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228"/>
  <workbookPr codeName="ThisWorkbook" defaultThemeVersion="124226"/>
  <mc:AlternateContent xmlns:mc="http://schemas.openxmlformats.org/markup-compatibility/2006">
    <mc:Choice Requires="x15">
      <x15ac:absPath xmlns:x15ac="http://schemas.microsoft.com/office/spreadsheetml/2010/11/ac" url="D:\Github\IGOC-Workspace\Mech Elec Template\"/>
    </mc:Choice>
  </mc:AlternateContent>
  <xr:revisionPtr revIDLastSave="0" documentId="13_ncr:1_{128214CA-8395-4055-9B63-06DB191F8219}" xr6:coauthVersionLast="34" xr6:coauthVersionMax="34" xr10:uidLastSave="{00000000-0000-0000-0000-000000000000}"/>
  <bookViews>
    <workbookView xWindow="0" yWindow="180" windowWidth="19200" windowHeight="7834" xr2:uid="{00000000-000D-0000-FFFF-FFFF00000000}"/>
  </bookViews>
  <sheets>
    <sheet name="Job Summary" sheetId="6" r:id="rId1"/>
    <sheet name="Sheet1" sheetId="5" state="hidden" r:id="rId2"/>
    <sheet name="Sheet4" sheetId="7" state="hidden" r:id="rId3"/>
    <sheet name="Takeoffs" sheetId="1" state="hidden" r:id="rId4"/>
    <sheet name="Sheet2" sheetId="2" state="hidden" r:id="rId5"/>
    <sheet name="Sheet3" sheetId="3" state="hidden" r:id="rId6"/>
    <sheet name="@MSSB" sheetId="10" r:id="rId7"/>
    <sheet name="_MSSB" sheetId="11" state="hidden" r:id="rId8"/>
    <sheet name="@Fan" sheetId="12" r:id="rId9"/>
    <sheet name="_Fan" sheetId="13" state="hidden" r:id="rId10"/>
    <sheet name="@VRF" sheetId="14" r:id="rId11"/>
    <sheet name="_VRF" sheetId="15" state="hidden" r:id="rId12"/>
    <sheet name="@Chiller" sheetId="18" r:id="rId13"/>
    <sheet name="_Chiller" sheetId="19" state="hidden" r:id="rId14"/>
    <sheet name="@Other" sheetId="20" r:id="rId15"/>
    <sheet name="_Other" sheetId="21" state="hidden" r:id="rId16"/>
    <sheet name="@Car Park" sheetId="8" r:id="rId17"/>
    <sheet name="Part List" sheetId="16" state="hidden" r:id="rId18"/>
    <sheet name="IGOC_Parts" sheetId="17" state="hidden" r:id="rId19"/>
    <sheet name="MJS Controls" sheetId="9" state="hidden" r:id="rId20"/>
  </sheets>
  <externalReferences>
    <externalReference r:id="rId21"/>
    <externalReference r:id="rId22"/>
    <externalReference r:id="rId23"/>
  </externalReferences>
  <definedNames>
    <definedName name="_xlnm._FilterDatabase" localSheetId="0" hidden="1">'Job Summary'!$A$47:$D$163</definedName>
    <definedName name="_xlnm._FilterDatabase" localSheetId="1" hidden="1">Sheet1!$R$1:$S$131</definedName>
    <definedName name="_xlnm._FilterDatabase" localSheetId="3" hidden="1">Takeoffs!$A$1:$CS$2622</definedName>
    <definedName name="_xlnm.Print_Area" localSheetId="0">'Job Summary'!$A$1:$U$43</definedName>
    <definedName name="_xlnm.Print_Area" localSheetId="3">Takeoffs!$A$1:$AN$2120</definedName>
  </definedNames>
  <calcPr calcId="179017"/>
</workbook>
</file>

<file path=xl/calcChain.xml><?xml version="1.0" encoding="utf-8"?>
<calcChain xmlns="http://schemas.openxmlformats.org/spreadsheetml/2006/main">
  <c r="A75" i="6" l="1"/>
  <c r="A76" i="6"/>
  <c r="A77" i="6"/>
  <c r="A78" i="6"/>
  <c r="A79" i="6"/>
  <c r="A80" i="6"/>
  <c r="A81" i="6"/>
  <c r="A82" i="6"/>
  <c r="A83" i="6"/>
  <c r="A84" i="6"/>
  <c r="A85" i="6"/>
  <c r="A86" i="6"/>
  <c r="A87" i="6"/>
  <c r="A88" i="6"/>
  <c r="A89" i="6"/>
  <c r="A90" i="6"/>
  <c r="A91" i="6"/>
  <c r="A92" i="6"/>
  <c r="A95" i="6"/>
  <c r="A96" i="6"/>
  <c r="A97" i="6"/>
  <c r="A98" i="6"/>
  <c r="A99" i="6"/>
  <c r="A100" i="6"/>
  <c r="A101" i="6"/>
  <c r="A102" i="6"/>
  <c r="A103" i="6"/>
  <c r="A104" i="6"/>
  <c r="A105" i="6"/>
  <c r="A106" i="6"/>
  <c r="A107" i="6"/>
  <c r="A108" i="6"/>
  <c r="A109" i="6"/>
  <c r="A110" i="6"/>
  <c r="A111" i="6"/>
  <c r="A112" i="6"/>
  <c r="A113" i="6"/>
  <c r="A114" i="6"/>
  <c r="A115" i="6"/>
  <c r="A118" i="6"/>
  <c r="A119" i="6"/>
  <c r="A120" i="6"/>
  <c r="A121" i="6"/>
  <c r="A122" i="6"/>
  <c r="A123" i="6"/>
  <c r="A124" i="6"/>
  <c r="A125" i="6"/>
  <c r="A126" i="6"/>
  <c r="A127" i="6"/>
  <c r="A128" i="6"/>
  <c r="A129" i="6"/>
  <c r="A130" i="6"/>
  <c r="A131" i="6"/>
  <c r="A132" i="6"/>
  <c r="A133" i="6"/>
  <c r="A134" i="6"/>
  <c r="A135" i="6"/>
  <c r="A136" i="6"/>
  <c r="A137" i="6"/>
  <c r="A138" i="6"/>
  <c r="A139" i="6"/>
  <c r="A140" i="6"/>
  <c r="A141" i="6"/>
  <c r="A142" i="6"/>
  <c r="A143" i="6"/>
  <c r="A144" i="6"/>
  <c r="A145" i="6"/>
  <c r="A146" i="6"/>
  <c r="A147" i="6"/>
  <c r="A148" i="6"/>
  <c r="A149" i="6"/>
  <c r="A150" i="6"/>
  <c r="A151" i="6"/>
  <c r="A152" i="6"/>
  <c r="A153" i="6"/>
  <c r="A154" i="6"/>
  <c r="A155" i="6"/>
  <c r="A156" i="6"/>
  <c r="A157" i="6"/>
  <c r="A158" i="6"/>
  <c r="A159" i="6"/>
  <c r="A161" i="6"/>
  <c r="A162" i="6"/>
  <c r="A163" i="6"/>
  <c r="A50" i="6"/>
  <c r="A51" i="6"/>
  <c r="A52" i="6"/>
  <c r="A53" i="6"/>
  <c r="A54" i="6"/>
  <c r="A55" i="6"/>
  <c r="A56" i="6"/>
  <c r="A57" i="6"/>
  <c r="A58" i="6"/>
  <c r="A59" i="6"/>
  <c r="A60" i="6"/>
  <c r="A61" i="6"/>
  <c r="A62" i="6"/>
  <c r="A63" i="6"/>
  <c r="A64" i="6"/>
  <c r="A65" i="6"/>
  <c r="A66" i="6"/>
  <c r="A67" i="6"/>
  <c r="A68" i="6"/>
  <c r="A69" i="6"/>
  <c r="A70" i="6"/>
  <c r="A72" i="6"/>
  <c r="A73" i="6"/>
  <c r="A74" i="6"/>
  <c r="B47" i="6"/>
  <c r="C47" i="6"/>
  <c r="B49" i="6"/>
  <c r="C49" i="6"/>
  <c r="A49" i="6" s="1"/>
  <c r="B50" i="6"/>
  <c r="C50" i="6"/>
  <c r="D50" i="6"/>
  <c r="B51" i="6"/>
  <c r="C51" i="6"/>
  <c r="D51" i="6"/>
  <c r="B52" i="6"/>
  <c r="C52" i="6"/>
  <c r="D52" i="6"/>
  <c r="B53" i="6"/>
  <c r="C53" i="6"/>
  <c r="D53" i="6"/>
  <c r="B54" i="6"/>
  <c r="C54" i="6"/>
  <c r="D54" i="6"/>
  <c r="B55" i="6"/>
  <c r="C55" i="6"/>
  <c r="D55" i="6"/>
  <c r="B56" i="6"/>
  <c r="C56" i="6"/>
  <c r="D56" i="6"/>
  <c r="B57" i="6"/>
  <c r="C57" i="6"/>
  <c r="D57" i="6"/>
  <c r="B58" i="6"/>
  <c r="C58" i="6"/>
  <c r="D58" i="6"/>
  <c r="B59" i="6"/>
  <c r="C59" i="6"/>
  <c r="D59" i="6"/>
  <c r="B60" i="6"/>
  <c r="C60" i="6"/>
  <c r="D60" i="6"/>
  <c r="B61" i="6"/>
  <c r="C61" i="6"/>
  <c r="D61" i="6"/>
  <c r="B62" i="6"/>
  <c r="C62" i="6"/>
  <c r="D62" i="6"/>
  <c r="B63" i="6"/>
  <c r="C63" i="6"/>
  <c r="D63" i="6"/>
  <c r="B64" i="6"/>
  <c r="C64" i="6"/>
  <c r="D64" i="6"/>
  <c r="B65" i="6"/>
  <c r="C65" i="6"/>
  <c r="D65" i="6"/>
  <c r="B66" i="6"/>
  <c r="C66" i="6"/>
  <c r="D66" i="6"/>
  <c r="B67" i="6"/>
  <c r="C67" i="6"/>
  <c r="D67" i="6"/>
  <c r="B68" i="6"/>
  <c r="C68" i="6"/>
  <c r="D68" i="6"/>
  <c r="B69" i="6"/>
  <c r="C69" i="6"/>
  <c r="D69" i="6"/>
  <c r="B70" i="6"/>
  <c r="C70" i="6"/>
  <c r="D70" i="6"/>
  <c r="C72" i="6"/>
  <c r="C71" i="6" s="1"/>
  <c r="A71" i="6" s="1"/>
  <c r="B73" i="6"/>
  <c r="C73" i="6"/>
  <c r="D73" i="6"/>
  <c r="B74" i="6"/>
  <c r="C74" i="6"/>
  <c r="D74" i="6"/>
  <c r="B75" i="6"/>
  <c r="C75" i="6"/>
  <c r="D75" i="6"/>
  <c r="B76" i="6"/>
  <c r="C76" i="6"/>
  <c r="D76" i="6"/>
  <c r="B77" i="6"/>
  <c r="C77" i="6"/>
  <c r="D77" i="6"/>
  <c r="B78" i="6"/>
  <c r="C78" i="6"/>
  <c r="D78" i="6"/>
  <c r="B79" i="6"/>
  <c r="C79" i="6"/>
  <c r="D79" i="6"/>
  <c r="B80" i="6"/>
  <c r="C80" i="6"/>
  <c r="D80" i="6"/>
  <c r="B81" i="6"/>
  <c r="C81" i="6"/>
  <c r="D81" i="6"/>
  <c r="B82" i="6"/>
  <c r="C82" i="6"/>
  <c r="D82" i="6"/>
  <c r="B83" i="6"/>
  <c r="C83" i="6"/>
  <c r="D83" i="6"/>
  <c r="B84" i="6"/>
  <c r="C84" i="6"/>
  <c r="D84" i="6"/>
  <c r="B85" i="6"/>
  <c r="C85" i="6"/>
  <c r="D85" i="6"/>
  <c r="B86" i="6"/>
  <c r="C86" i="6"/>
  <c r="D86" i="6"/>
  <c r="B87" i="6"/>
  <c r="C87" i="6"/>
  <c r="D87" i="6"/>
  <c r="B88" i="6"/>
  <c r="C88" i="6"/>
  <c r="D88" i="6"/>
  <c r="B89" i="6"/>
  <c r="C89" i="6"/>
  <c r="D89" i="6"/>
  <c r="B90" i="6"/>
  <c r="C90" i="6"/>
  <c r="D90" i="6"/>
  <c r="B91" i="6"/>
  <c r="C91" i="6"/>
  <c r="D91" i="6"/>
  <c r="B92" i="6"/>
  <c r="C92" i="6"/>
  <c r="D92" i="6"/>
  <c r="C94" i="6"/>
  <c r="A94" i="6" s="1"/>
  <c r="B95" i="6"/>
  <c r="C95" i="6"/>
  <c r="D95" i="6"/>
  <c r="B96" i="6"/>
  <c r="C96" i="6"/>
  <c r="D96" i="6"/>
  <c r="B97" i="6"/>
  <c r="C97" i="6"/>
  <c r="D97" i="6"/>
  <c r="B98" i="6"/>
  <c r="C98" i="6"/>
  <c r="D98" i="6"/>
  <c r="B99" i="6"/>
  <c r="C99" i="6"/>
  <c r="D99" i="6"/>
  <c r="B100" i="6"/>
  <c r="C100" i="6"/>
  <c r="D100" i="6"/>
  <c r="B101" i="6"/>
  <c r="C101" i="6"/>
  <c r="D101" i="6"/>
  <c r="B102" i="6"/>
  <c r="C102" i="6"/>
  <c r="D102" i="6"/>
  <c r="B103" i="6"/>
  <c r="C103" i="6"/>
  <c r="D103" i="6"/>
  <c r="B104" i="6"/>
  <c r="C104" i="6"/>
  <c r="D104" i="6"/>
  <c r="B105" i="6"/>
  <c r="C105" i="6"/>
  <c r="D105" i="6"/>
  <c r="B106" i="6"/>
  <c r="C106" i="6"/>
  <c r="D106" i="6"/>
  <c r="B107" i="6"/>
  <c r="C107" i="6"/>
  <c r="D107" i="6"/>
  <c r="B108" i="6"/>
  <c r="C108" i="6"/>
  <c r="D108" i="6"/>
  <c r="B109" i="6"/>
  <c r="C109" i="6"/>
  <c r="D109" i="6"/>
  <c r="B110" i="6"/>
  <c r="C110" i="6"/>
  <c r="D110" i="6"/>
  <c r="B111" i="6"/>
  <c r="C111" i="6"/>
  <c r="D111" i="6"/>
  <c r="B112" i="6"/>
  <c r="C112" i="6"/>
  <c r="D112" i="6"/>
  <c r="B113" i="6"/>
  <c r="C113" i="6"/>
  <c r="D113" i="6"/>
  <c r="B114" i="6"/>
  <c r="C114" i="6"/>
  <c r="D114" i="6"/>
  <c r="B115" i="6"/>
  <c r="C115" i="6"/>
  <c r="D115" i="6"/>
  <c r="C117" i="6"/>
  <c r="C116" i="6" s="1"/>
  <c r="A116" i="6" s="1"/>
  <c r="B118" i="6"/>
  <c r="C118" i="6"/>
  <c r="D118" i="6"/>
  <c r="B119" i="6"/>
  <c r="C119" i="6"/>
  <c r="D119" i="6"/>
  <c r="B120" i="6"/>
  <c r="C120" i="6"/>
  <c r="D120" i="6"/>
  <c r="B121" i="6"/>
  <c r="C121" i="6"/>
  <c r="D121" i="6"/>
  <c r="B122" i="6"/>
  <c r="C122" i="6"/>
  <c r="D122" i="6"/>
  <c r="B123" i="6"/>
  <c r="C123" i="6"/>
  <c r="D123" i="6"/>
  <c r="B124" i="6"/>
  <c r="C124" i="6"/>
  <c r="D124" i="6"/>
  <c r="B125" i="6"/>
  <c r="C125" i="6"/>
  <c r="D125" i="6"/>
  <c r="B126" i="6"/>
  <c r="C126" i="6"/>
  <c r="D126" i="6"/>
  <c r="B127" i="6"/>
  <c r="C127" i="6"/>
  <c r="D127" i="6"/>
  <c r="B128" i="6"/>
  <c r="C128" i="6"/>
  <c r="D128" i="6"/>
  <c r="B129" i="6"/>
  <c r="C129" i="6"/>
  <c r="D129" i="6"/>
  <c r="B130" i="6"/>
  <c r="C130" i="6"/>
  <c r="D130" i="6"/>
  <c r="B131" i="6"/>
  <c r="C131" i="6"/>
  <c r="D131" i="6"/>
  <c r="B132" i="6"/>
  <c r="C132" i="6"/>
  <c r="D132" i="6"/>
  <c r="B133" i="6"/>
  <c r="C133" i="6"/>
  <c r="D133" i="6"/>
  <c r="B134" i="6"/>
  <c r="C134" i="6"/>
  <c r="D134" i="6"/>
  <c r="B135" i="6"/>
  <c r="C135" i="6"/>
  <c r="D135" i="6"/>
  <c r="B136" i="6"/>
  <c r="C136" i="6"/>
  <c r="D136" i="6"/>
  <c r="B137" i="6"/>
  <c r="C137" i="6"/>
  <c r="D137" i="6"/>
  <c r="B138" i="6"/>
  <c r="C138" i="6"/>
  <c r="B139" i="6"/>
  <c r="C139" i="6"/>
  <c r="B140" i="6"/>
  <c r="C140" i="6"/>
  <c r="B141" i="6"/>
  <c r="C141" i="6"/>
  <c r="B142" i="6"/>
  <c r="C142" i="6"/>
  <c r="B143" i="6"/>
  <c r="C143" i="6"/>
  <c r="B144" i="6"/>
  <c r="C144" i="6"/>
  <c r="B145" i="6"/>
  <c r="C145" i="6"/>
  <c r="B146" i="6"/>
  <c r="C146" i="6"/>
  <c r="B147" i="6"/>
  <c r="C147" i="6"/>
  <c r="B148" i="6"/>
  <c r="C148" i="6"/>
  <c r="B149" i="6"/>
  <c r="C149" i="6"/>
  <c r="B150" i="6"/>
  <c r="C150" i="6"/>
  <c r="B151" i="6"/>
  <c r="C151" i="6"/>
  <c r="B152" i="6"/>
  <c r="C152" i="6"/>
  <c r="B153" i="6"/>
  <c r="C153" i="6"/>
  <c r="B154" i="6"/>
  <c r="C154" i="6"/>
  <c r="B155" i="6"/>
  <c r="C155" i="6"/>
  <c r="B156" i="6"/>
  <c r="C156" i="6"/>
  <c r="B157" i="6"/>
  <c r="C157" i="6"/>
  <c r="B158" i="6"/>
  <c r="C158" i="6"/>
  <c r="B159" i="6"/>
  <c r="C159" i="6"/>
  <c r="B160" i="6"/>
  <c r="C160" i="6"/>
  <c r="A160" i="6" s="1"/>
  <c r="B161" i="6"/>
  <c r="C161" i="6"/>
  <c r="D161" i="6"/>
  <c r="B162" i="6"/>
  <c r="C162" i="6"/>
  <c r="D162" i="6"/>
  <c r="B163" i="6"/>
  <c r="C163" i="6"/>
  <c r="D163" i="6"/>
  <c r="A117" i="6" l="1"/>
  <c r="C93" i="6"/>
  <c r="A93" i="6" s="1"/>
  <c r="AD3" i="12"/>
  <c r="AD4" i="12"/>
  <c r="AD5" i="12"/>
  <c r="AD6" i="12"/>
  <c r="AD7" i="12"/>
  <c r="AD8" i="12"/>
  <c r="AD9" i="12"/>
  <c r="AD10" i="12"/>
  <c r="AD11" i="12"/>
  <c r="AD12" i="12"/>
  <c r="AD13" i="12"/>
  <c r="AD14" i="12"/>
  <c r="AD15" i="12"/>
  <c r="AD16" i="12"/>
  <c r="AD17" i="12"/>
  <c r="AD18" i="12"/>
  <c r="AD19" i="12"/>
  <c r="AD20" i="12"/>
  <c r="AD21" i="12"/>
  <c r="AD22" i="12"/>
  <c r="AD2" i="12"/>
  <c r="R3" i="20" l="1"/>
  <c r="R4" i="20"/>
  <c r="R5" i="20"/>
  <c r="R6" i="20"/>
  <c r="R7" i="20"/>
  <c r="R8" i="20"/>
  <c r="R9" i="20"/>
  <c r="R10" i="20"/>
  <c r="R11" i="20"/>
  <c r="R12" i="20"/>
  <c r="R13" i="20"/>
  <c r="R14" i="20"/>
  <c r="R15" i="20"/>
  <c r="R16" i="20"/>
  <c r="R17" i="20"/>
  <c r="R18" i="20"/>
  <c r="R19" i="20"/>
  <c r="R20" i="20"/>
  <c r="R21" i="20"/>
  <c r="R22" i="20"/>
  <c r="R2" i="20"/>
  <c r="S2" i="20"/>
  <c r="S3" i="20"/>
  <c r="S4" i="20"/>
  <c r="S5" i="20"/>
  <c r="AS3" i="18"/>
  <c r="AS4" i="18"/>
  <c r="AS5" i="18"/>
  <c r="AS6" i="18"/>
  <c r="AS7" i="18"/>
  <c r="AS8" i="18"/>
  <c r="AS9" i="18"/>
  <c r="AS10" i="18"/>
  <c r="AS11" i="18"/>
  <c r="AS12" i="18"/>
  <c r="AS13" i="18"/>
  <c r="AS14" i="18"/>
  <c r="AS15" i="18"/>
  <c r="AS16" i="18"/>
  <c r="AS17" i="18"/>
  <c r="AS18" i="18"/>
  <c r="AS19" i="18"/>
  <c r="AS20" i="18"/>
  <c r="AS21" i="18"/>
  <c r="AS22" i="18"/>
  <c r="AZ5" i="14"/>
  <c r="AZ6" i="14"/>
  <c r="AZ7" i="14"/>
  <c r="AZ8" i="14"/>
  <c r="AZ9" i="14"/>
  <c r="AZ10" i="14"/>
  <c r="AZ11" i="14"/>
  <c r="AZ12" i="14"/>
  <c r="AZ13" i="14"/>
  <c r="AZ14" i="14"/>
  <c r="AZ15" i="14"/>
  <c r="AZ16" i="14"/>
  <c r="AZ17" i="14"/>
  <c r="AZ18" i="14"/>
  <c r="AZ19" i="14"/>
  <c r="AZ20" i="14"/>
  <c r="AZ21" i="14"/>
  <c r="AZ22" i="14"/>
  <c r="AZ23" i="14"/>
  <c r="AL3" i="12"/>
  <c r="AL4" i="12"/>
  <c r="AL5" i="12"/>
  <c r="AL6" i="12"/>
  <c r="AL7" i="12"/>
  <c r="AL8" i="12"/>
  <c r="AL9" i="12"/>
  <c r="AL10" i="12"/>
  <c r="AL11" i="12"/>
  <c r="AL12" i="12"/>
  <c r="AL13" i="12"/>
  <c r="AL14" i="12"/>
  <c r="AL15" i="12"/>
  <c r="AL16" i="12"/>
  <c r="AL17" i="12"/>
  <c r="AL18" i="12"/>
  <c r="AL19" i="12"/>
  <c r="AL20" i="12"/>
  <c r="AL21" i="12"/>
  <c r="AL22" i="12"/>
  <c r="D9" i="8"/>
  <c r="D10" i="8"/>
  <c r="D11" i="8"/>
  <c r="D12" i="8"/>
  <c r="AG18" i="19" l="1"/>
  <c r="AG24" i="19"/>
  <c r="AG26" i="19"/>
  <c r="AG28" i="19"/>
  <c r="AG32" i="19"/>
  <c r="AG34" i="19"/>
  <c r="AG36" i="19"/>
  <c r="AG14" i="19"/>
  <c r="AG10" i="19"/>
  <c r="AG8" i="19"/>
  <c r="AG6" i="19"/>
  <c r="AG5" i="18" l="1"/>
  <c r="AG6" i="18"/>
  <c r="AG7" i="18"/>
  <c r="AG8" i="18"/>
  <c r="AG9" i="18"/>
  <c r="AG10" i="18"/>
  <c r="AG11" i="18"/>
  <c r="AG12" i="18"/>
  <c r="AG13" i="18"/>
  <c r="AG14" i="18"/>
  <c r="AG15" i="18"/>
  <c r="AG16" i="18"/>
  <c r="AG17" i="18"/>
  <c r="AG18" i="18"/>
  <c r="AG19" i="18"/>
  <c r="AG20" i="18"/>
  <c r="AG21" i="18"/>
  <c r="AG22" i="18"/>
  <c r="AG38" i="19"/>
  <c r="AF31" i="19"/>
  <c r="AF32" i="19"/>
  <c r="AF33" i="19"/>
  <c r="AF34" i="19"/>
  <c r="AF35" i="19"/>
  <c r="AF36" i="19"/>
  <c r="AF37" i="19"/>
  <c r="AF38" i="19"/>
  <c r="AN3" i="18"/>
  <c r="AO3" i="18"/>
  <c r="AP3" i="18"/>
  <c r="AN4" i="18"/>
  <c r="AO4" i="18"/>
  <c r="AP4" i="18"/>
  <c r="AN5" i="18"/>
  <c r="AO5" i="18"/>
  <c r="AP5" i="18"/>
  <c r="AN6" i="18"/>
  <c r="AO6" i="18"/>
  <c r="AP6" i="18"/>
  <c r="AN7" i="18"/>
  <c r="AO7" i="18"/>
  <c r="AP7" i="18"/>
  <c r="AN8" i="18"/>
  <c r="AO8" i="18"/>
  <c r="AP8" i="18"/>
  <c r="AN9" i="18"/>
  <c r="AO9" i="18"/>
  <c r="AP9" i="18"/>
  <c r="AN10" i="18"/>
  <c r="AO10" i="18"/>
  <c r="AP10" i="18"/>
  <c r="AN11" i="18"/>
  <c r="AO11" i="18"/>
  <c r="AP11" i="18"/>
  <c r="AN12" i="18"/>
  <c r="AO12" i="18"/>
  <c r="AP12" i="18"/>
  <c r="AN13" i="18"/>
  <c r="AO13" i="18"/>
  <c r="AP13" i="18"/>
  <c r="AN14" i="18"/>
  <c r="AO14" i="18"/>
  <c r="AP14" i="18"/>
  <c r="AN15" i="18"/>
  <c r="AO15" i="18"/>
  <c r="AP15" i="18"/>
  <c r="AN16" i="18"/>
  <c r="AO16" i="18"/>
  <c r="AP16" i="18"/>
  <c r="AN17" i="18"/>
  <c r="AO17" i="18"/>
  <c r="AP17" i="18"/>
  <c r="AN18" i="18"/>
  <c r="AO18" i="18"/>
  <c r="AP18" i="18"/>
  <c r="AN19" i="18"/>
  <c r="AO19" i="18"/>
  <c r="AP19" i="18"/>
  <c r="AN20" i="18"/>
  <c r="AO20" i="18"/>
  <c r="AP20" i="18"/>
  <c r="AN21" i="18"/>
  <c r="AO21" i="18"/>
  <c r="AP21" i="18"/>
  <c r="AN22" i="18"/>
  <c r="AO22" i="18"/>
  <c r="AP22" i="18"/>
  <c r="AP1" i="18"/>
  <c r="AO2" i="18"/>
  <c r="AP2" i="18"/>
  <c r="AN2" i="18"/>
  <c r="AN1" i="18"/>
  <c r="AO1" i="18"/>
  <c r="H1" i="19"/>
  <c r="I1" i="19"/>
  <c r="J1" i="19"/>
  <c r="B137" i="16"/>
  <c r="D137" i="16"/>
  <c r="E137" i="16"/>
  <c r="F137" i="16"/>
  <c r="G137" i="16"/>
  <c r="C137" i="16"/>
  <c r="P36" i="19"/>
  <c r="O36" i="19"/>
  <c r="P34" i="19"/>
  <c r="O34" i="19"/>
  <c r="P32" i="19"/>
  <c r="O32" i="19"/>
  <c r="A22" i="6" l="1"/>
  <c r="A23" i="6"/>
  <c r="R21" i="6"/>
  <c r="R20" i="6"/>
  <c r="K3" i="20"/>
  <c r="A3" i="20" s="1"/>
  <c r="K4" i="20"/>
  <c r="K5" i="20"/>
  <c r="K6" i="20"/>
  <c r="A6" i="20" s="1"/>
  <c r="K7" i="20"/>
  <c r="A7" i="20" s="1"/>
  <c r="K8" i="20"/>
  <c r="A8" i="20" s="1"/>
  <c r="K9" i="20"/>
  <c r="A9" i="20" s="1"/>
  <c r="K10" i="20"/>
  <c r="A10" i="20" s="1"/>
  <c r="K11" i="20"/>
  <c r="A11" i="20" s="1"/>
  <c r="K12" i="20"/>
  <c r="K13" i="20"/>
  <c r="K14" i="20"/>
  <c r="A14" i="20" s="1"/>
  <c r="K15" i="20"/>
  <c r="A15" i="20" s="1"/>
  <c r="K16" i="20"/>
  <c r="A16" i="20" s="1"/>
  <c r="K17" i="20"/>
  <c r="K18" i="20"/>
  <c r="A18" i="20" s="1"/>
  <c r="K19" i="20"/>
  <c r="A19" i="20" s="1"/>
  <c r="K20" i="20"/>
  <c r="A20" i="20" s="1"/>
  <c r="K21" i="20"/>
  <c r="K22" i="20"/>
  <c r="A22" i="20" s="1"/>
  <c r="K2" i="20"/>
  <c r="A2" i="20" s="1"/>
  <c r="A4" i="20"/>
  <c r="A5" i="20"/>
  <c r="A12" i="20"/>
  <c r="A13" i="20"/>
  <c r="A17" i="20"/>
  <c r="A21" i="20"/>
  <c r="X3" i="20"/>
  <c r="X4" i="20"/>
  <c r="X5" i="20"/>
  <c r="X6" i="20"/>
  <c r="X7" i="20"/>
  <c r="X8" i="20"/>
  <c r="X9" i="20"/>
  <c r="X10" i="20"/>
  <c r="X11" i="20"/>
  <c r="X12" i="20"/>
  <c r="X13" i="20"/>
  <c r="X14" i="20"/>
  <c r="X15" i="20"/>
  <c r="X16" i="20"/>
  <c r="X17" i="20"/>
  <c r="X18" i="20"/>
  <c r="X19" i="20"/>
  <c r="X20" i="20"/>
  <c r="X21" i="20"/>
  <c r="X22" i="20"/>
  <c r="X2" i="20"/>
  <c r="W3" i="20"/>
  <c r="W4" i="20"/>
  <c r="W2" i="20"/>
  <c r="T3" i="20"/>
  <c r="T4" i="20"/>
  <c r="T5" i="20"/>
  <c r="T6" i="20"/>
  <c r="T7" i="20"/>
  <c r="T8" i="20"/>
  <c r="T9" i="20"/>
  <c r="T10" i="20"/>
  <c r="T11" i="20"/>
  <c r="T12" i="20"/>
  <c r="T13" i="20"/>
  <c r="T14" i="20"/>
  <c r="T15" i="20"/>
  <c r="T16" i="20"/>
  <c r="T17" i="20"/>
  <c r="T18" i="20"/>
  <c r="T19" i="20"/>
  <c r="T20" i="20"/>
  <c r="T21" i="20"/>
  <c r="T22" i="20"/>
  <c r="T2" i="20"/>
  <c r="Q22" i="21"/>
  <c r="Q20" i="21"/>
  <c r="S9" i="20"/>
  <c r="S12" i="20"/>
  <c r="S13" i="20"/>
  <c r="S14" i="20"/>
  <c r="S15" i="20"/>
  <c r="S16" i="20"/>
  <c r="S17" i="20"/>
  <c r="S18" i="20"/>
  <c r="S19" i="20"/>
  <c r="S20" i="20"/>
  <c r="S21" i="20"/>
  <c r="S22" i="20"/>
  <c r="AB3" i="20"/>
  <c r="AB4" i="20"/>
  <c r="AB5" i="20"/>
  <c r="AB6" i="20"/>
  <c r="AB7" i="20"/>
  <c r="AB8" i="20"/>
  <c r="AB9" i="20"/>
  <c r="AB10" i="20"/>
  <c r="AB11" i="20"/>
  <c r="AB12" i="20"/>
  <c r="AB13" i="20"/>
  <c r="AB14" i="20"/>
  <c r="AB15" i="20"/>
  <c r="AB16" i="20"/>
  <c r="AB17" i="20"/>
  <c r="AB18" i="20"/>
  <c r="AB19" i="20"/>
  <c r="AB20" i="20"/>
  <c r="AB21" i="20"/>
  <c r="AB22" i="20"/>
  <c r="AB2" i="20"/>
  <c r="AA3" i="20"/>
  <c r="AA4" i="20"/>
  <c r="AA5" i="20"/>
  <c r="AA6" i="20"/>
  <c r="S6" i="20" s="1"/>
  <c r="AA7" i="20"/>
  <c r="S7" i="20" s="1"/>
  <c r="AA8" i="20"/>
  <c r="S8" i="20" s="1"/>
  <c r="AA9" i="20"/>
  <c r="AA10" i="20"/>
  <c r="S10" i="20" s="1"/>
  <c r="AA11" i="20"/>
  <c r="S11" i="20" s="1"/>
  <c r="AA12" i="20"/>
  <c r="AA13" i="20"/>
  <c r="AA14" i="20"/>
  <c r="AA15" i="20"/>
  <c r="AA16" i="20"/>
  <c r="AA17" i="20"/>
  <c r="AA18" i="20"/>
  <c r="AA19" i="20"/>
  <c r="AA20" i="20"/>
  <c r="AA21" i="20"/>
  <c r="AA22" i="20"/>
  <c r="AA2" i="20"/>
  <c r="AA1" i="20"/>
  <c r="J2" i="20"/>
  <c r="I2" i="20"/>
  <c r="J3" i="20"/>
  <c r="J4" i="20"/>
  <c r="J5" i="20"/>
  <c r="J6" i="20"/>
  <c r="J7" i="20"/>
  <c r="J8" i="20"/>
  <c r="J9" i="20"/>
  <c r="J10" i="20"/>
  <c r="J11" i="20"/>
  <c r="J12" i="20"/>
  <c r="J13" i="20"/>
  <c r="J14" i="20"/>
  <c r="J15" i="20"/>
  <c r="J16" i="20"/>
  <c r="J17" i="20"/>
  <c r="J18" i="20"/>
  <c r="J19" i="20"/>
  <c r="J20" i="20"/>
  <c r="J21" i="20"/>
  <c r="J22" i="20"/>
  <c r="I4" i="20"/>
  <c r="I5" i="20"/>
  <c r="I6" i="20"/>
  <c r="I7" i="20"/>
  <c r="I8" i="20"/>
  <c r="I9" i="20"/>
  <c r="I10" i="20"/>
  <c r="I11" i="20"/>
  <c r="I12" i="20"/>
  <c r="I13" i="20"/>
  <c r="I14" i="20"/>
  <c r="I15" i="20"/>
  <c r="I16" i="20"/>
  <c r="I17" i="20"/>
  <c r="I18" i="20"/>
  <c r="I19" i="20"/>
  <c r="I20" i="20"/>
  <c r="I21" i="20"/>
  <c r="I22" i="20"/>
  <c r="I3" i="20"/>
  <c r="B3" i="20"/>
  <c r="B4" i="20"/>
  <c r="B5" i="20"/>
  <c r="B6" i="20"/>
  <c r="B7" i="20"/>
  <c r="B8" i="20"/>
  <c r="B9" i="20"/>
  <c r="B10" i="20"/>
  <c r="B11" i="20"/>
  <c r="B12" i="20"/>
  <c r="B13" i="20"/>
  <c r="B14" i="20"/>
  <c r="B15" i="20"/>
  <c r="B16" i="20"/>
  <c r="B17" i="20"/>
  <c r="B18" i="20"/>
  <c r="B19" i="20"/>
  <c r="B20" i="20"/>
  <c r="B21" i="20"/>
  <c r="B22" i="20"/>
  <c r="B2" i="20"/>
  <c r="B3" i="18"/>
  <c r="B4" i="18"/>
  <c r="B5" i="18"/>
  <c r="B6" i="18"/>
  <c r="B7" i="18"/>
  <c r="B8" i="18"/>
  <c r="B9" i="18"/>
  <c r="B10" i="18"/>
  <c r="B11" i="18"/>
  <c r="B12" i="18"/>
  <c r="B13" i="18"/>
  <c r="B14" i="18"/>
  <c r="B15" i="18"/>
  <c r="B16" i="18"/>
  <c r="B17" i="18"/>
  <c r="B18" i="18"/>
  <c r="B19" i="18"/>
  <c r="B20" i="18"/>
  <c r="B21" i="18"/>
  <c r="B22" i="18"/>
  <c r="B2" i="18"/>
  <c r="M1" i="20"/>
  <c r="A19" i="21"/>
  <c r="A20" i="21"/>
  <c r="A18" i="21"/>
  <c r="AG30" i="21" l="1"/>
  <c r="AF30" i="21"/>
  <c r="AG29" i="21"/>
  <c r="O28" i="21"/>
  <c r="N28" i="21"/>
  <c r="AF28" i="21" s="1"/>
  <c r="AG28" i="21" s="1"/>
  <c r="AG27" i="21"/>
  <c r="Q27" i="21"/>
  <c r="O26" i="21"/>
  <c r="N26" i="21"/>
  <c r="Q26" i="21" s="1"/>
  <c r="AG25" i="21"/>
  <c r="Q25" i="21"/>
  <c r="O24" i="21"/>
  <c r="N24" i="21"/>
  <c r="AF24" i="21" s="1"/>
  <c r="AG24" i="21" s="1"/>
  <c r="AG23" i="21"/>
  <c r="AG21" i="21"/>
  <c r="AG19" i="21"/>
  <c r="AG17" i="21"/>
  <c r="AG15" i="21"/>
  <c r="AF14" i="21"/>
  <c r="AG14" i="21" s="1"/>
  <c r="AG13" i="21"/>
  <c r="AF12" i="21"/>
  <c r="AG12" i="21" s="1"/>
  <c r="AG11" i="21"/>
  <c r="AF10" i="21"/>
  <c r="AG10" i="21" s="1"/>
  <c r="AG9" i="21"/>
  <c r="AF8" i="21"/>
  <c r="AG8" i="21" s="1"/>
  <c r="AG7" i="21"/>
  <c r="AG6" i="21"/>
  <c r="AF6" i="21"/>
  <c r="AG5" i="21"/>
  <c r="AF4" i="21"/>
  <c r="AG4" i="21" s="1"/>
  <c r="AG3" i="21"/>
  <c r="AF2" i="21"/>
  <c r="AG2" i="21" s="1"/>
  <c r="B1" i="21"/>
  <c r="L1" i="20" s="1"/>
  <c r="AB1" i="20" s="1"/>
  <c r="Y2" i="20" s="1"/>
  <c r="P22" i="20"/>
  <c r="N22" i="20"/>
  <c r="F22" i="20"/>
  <c r="P21" i="20"/>
  <c r="N21" i="20"/>
  <c r="F21" i="20"/>
  <c r="P20" i="20"/>
  <c r="N20" i="20"/>
  <c r="F20" i="20"/>
  <c r="P19" i="20"/>
  <c r="N19" i="20"/>
  <c r="F19" i="20"/>
  <c r="P18" i="20"/>
  <c r="N18" i="20"/>
  <c r="F18" i="20"/>
  <c r="P17" i="20"/>
  <c r="N17" i="20"/>
  <c r="F17" i="20"/>
  <c r="P16" i="20"/>
  <c r="N16" i="20"/>
  <c r="F16" i="20"/>
  <c r="P15" i="20"/>
  <c r="F15" i="20"/>
  <c r="P14" i="20"/>
  <c r="F14" i="20"/>
  <c r="P13" i="20"/>
  <c r="F13" i="20"/>
  <c r="P12" i="20"/>
  <c r="F12" i="20"/>
  <c r="P11" i="20"/>
  <c r="F11" i="20"/>
  <c r="P10" i="20"/>
  <c r="F10" i="20"/>
  <c r="P9" i="20"/>
  <c r="F9" i="20"/>
  <c r="P8" i="20"/>
  <c r="F8" i="20"/>
  <c r="P7" i="20"/>
  <c r="F7" i="20"/>
  <c r="P6" i="20"/>
  <c r="F6" i="20"/>
  <c r="P5" i="20"/>
  <c r="F5" i="20"/>
  <c r="P4" i="20"/>
  <c r="F4" i="20"/>
  <c r="P3" i="20"/>
  <c r="F3" i="20"/>
  <c r="P2" i="20"/>
  <c r="F2" i="20"/>
  <c r="AG30" i="19"/>
  <c r="AF4" i="19"/>
  <c r="AF6" i="19"/>
  <c r="AF8" i="19"/>
  <c r="AF10" i="19"/>
  <c r="AF12" i="19"/>
  <c r="AF14" i="19"/>
  <c r="AF24" i="19"/>
  <c r="AF26" i="19"/>
  <c r="AF28" i="19"/>
  <c r="AF30" i="19"/>
  <c r="AF2" i="19"/>
  <c r="AE17" i="18"/>
  <c r="AE18" i="18"/>
  <c r="AE19" i="18"/>
  <c r="AE20" i="18"/>
  <c r="AE21" i="18"/>
  <c r="AE22" i="18"/>
  <c r="AB3" i="18"/>
  <c r="AB4" i="18"/>
  <c r="AB5" i="18"/>
  <c r="AB6" i="18"/>
  <c r="AB7" i="18"/>
  <c r="AB8" i="18"/>
  <c r="AB9" i="18"/>
  <c r="AB10" i="18"/>
  <c r="AB11" i="18"/>
  <c r="AB12" i="18"/>
  <c r="AB13" i="18"/>
  <c r="AB14" i="18"/>
  <c r="AB15" i="18"/>
  <c r="AB16" i="18"/>
  <c r="AB17" i="18"/>
  <c r="AB18" i="18"/>
  <c r="AB19" i="18"/>
  <c r="AB20" i="18"/>
  <c r="AB21" i="18"/>
  <c r="AB22" i="18"/>
  <c r="AB2" i="18"/>
  <c r="AL3" i="18"/>
  <c r="AI3" i="18" s="1"/>
  <c r="AL4" i="18"/>
  <c r="AI4" i="18" s="1"/>
  <c r="AG4" i="18" s="1"/>
  <c r="AL5" i="18"/>
  <c r="AI5" i="18" s="1"/>
  <c r="AL6" i="18"/>
  <c r="AI6" i="18" s="1"/>
  <c r="AL7" i="18"/>
  <c r="AI7" i="18" s="1"/>
  <c r="AL8" i="18"/>
  <c r="AI8" i="18" s="1"/>
  <c r="AL9" i="18"/>
  <c r="AI9" i="18" s="1"/>
  <c r="AL10" i="18"/>
  <c r="AI10" i="18" s="1"/>
  <c r="AL11" i="18"/>
  <c r="AI11" i="18" s="1"/>
  <c r="AL12" i="18"/>
  <c r="AI12" i="18" s="1"/>
  <c r="AL13" i="18"/>
  <c r="AI13" i="18" s="1"/>
  <c r="AL14" i="18"/>
  <c r="AI14" i="18" s="1"/>
  <c r="AL15" i="18"/>
  <c r="AI15" i="18" s="1"/>
  <c r="AL16" i="18"/>
  <c r="AI16" i="18" s="1"/>
  <c r="AL17" i="18"/>
  <c r="AI17" i="18" s="1"/>
  <c r="AL18" i="18"/>
  <c r="AI18" i="18" s="1"/>
  <c r="AL19" i="18"/>
  <c r="AI19" i="18" s="1"/>
  <c r="AL20" i="18"/>
  <c r="AI20" i="18" s="1"/>
  <c r="Z20" i="18" s="1"/>
  <c r="AL21" i="18"/>
  <c r="AI21" i="18" s="1"/>
  <c r="Z21" i="18" s="1"/>
  <c r="AL22" i="18"/>
  <c r="AI22" i="18" s="1"/>
  <c r="AL2" i="18"/>
  <c r="AI2" i="18" s="1"/>
  <c r="AK3" i="18"/>
  <c r="AK4" i="18"/>
  <c r="AK5" i="18"/>
  <c r="AK6" i="18"/>
  <c r="AK7" i="18"/>
  <c r="AK8" i="18"/>
  <c r="AK9" i="18"/>
  <c r="AK10" i="18"/>
  <c r="AK11" i="18"/>
  <c r="AK12" i="18"/>
  <c r="AK13" i="18"/>
  <c r="AK14" i="18"/>
  <c r="AK15" i="18"/>
  <c r="AK16" i="18"/>
  <c r="AK17" i="18"/>
  <c r="AK18" i="18"/>
  <c r="AK19" i="18"/>
  <c r="AK20" i="18"/>
  <c r="AK21" i="18"/>
  <c r="AK22" i="18"/>
  <c r="AK2" i="18"/>
  <c r="AJ3" i="18"/>
  <c r="AJ4" i="18"/>
  <c r="AJ5" i="18"/>
  <c r="AJ6" i="18"/>
  <c r="AJ7" i="18"/>
  <c r="AJ8" i="18"/>
  <c r="AJ9" i="18"/>
  <c r="AJ10" i="18"/>
  <c r="AJ11" i="18"/>
  <c r="AJ12" i="18"/>
  <c r="AJ13" i="18"/>
  <c r="AJ14" i="18"/>
  <c r="AJ15" i="18"/>
  <c r="AJ16" i="18"/>
  <c r="AJ17" i="18"/>
  <c r="AJ18" i="18"/>
  <c r="AJ19" i="18"/>
  <c r="AJ20" i="18"/>
  <c r="AJ21" i="18"/>
  <c r="AJ22" i="18"/>
  <c r="AJ2" i="18"/>
  <c r="AJ1" i="18"/>
  <c r="AK1" i="18"/>
  <c r="AL1" i="18"/>
  <c r="AM1" i="18"/>
  <c r="AI1" i="18"/>
  <c r="Y17" i="18"/>
  <c r="Y18" i="18"/>
  <c r="Y19" i="18"/>
  <c r="Y20" i="18"/>
  <c r="Y21" i="18"/>
  <c r="Y22" i="18"/>
  <c r="K3" i="18"/>
  <c r="K4" i="18"/>
  <c r="K5" i="18"/>
  <c r="K6" i="18"/>
  <c r="K7" i="18"/>
  <c r="K8" i="18"/>
  <c r="K9" i="18"/>
  <c r="K10" i="18"/>
  <c r="K11" i="18"/>
  <c r="K12" i="18"/>
  <c r="K13" i="18"/>
  <c r="K14" i="18"/>
  <c r="K15" i="18"/>
  <c r="K16" i="18"/>
  <c r="K17" i="18"/>
  <c r="K18" i="18"/>
  <c r="K19" i="18"/>
  <c r="K20" i="18"/>
  <c r="K21" i="18"/>
  <c r="K22" i="18"/>
  <c r="K2" i="18"/>
  <c r="J4" i="18"/>
  <c r="J12" i="18"/>
  <c r="J16" i="18"/>
  <c r="J20" i="18"/>
  <c r="P6" i="19"/>
  <c r="F3" i="18"/>
  <c r="F4" i="18"/>
  <c r="F5" i="18"/>
  <c r="J5" i="18" s="1"/>
  <c r="F6" i="18"/>
  <c r="J6" i="18" s="1"/>
  <c r="F7" i="18"/>
  <c r="J7" i="18" s="1"/>
  <c r="F8" i="18"/>
  <c r="F9" i="18"/>
  <c r="F10" i="18"/>
  <c r="F11" i="18"/>
  <c r="F12" i="18"/>
  <c r="F13" i="18"/>
  <c r="J13" i="18" s="1"/>
  <c r="F14" i="18"/>
  <c r="J14" i="18" s="1"/>
  <c r="F15" i="18"/>
  <c r="J15" i="18" s="1"/>
  <c r="F16" i="18"/>
  <c r="F17" i="18"/>
  <c r="J17" i="18" s="1"/>
  <c r="F18" i="18"/>
  <c r="I18" i="18" s="1"/>
  <c r="F19" i="18"/>
  <c r="J19" i="18" s="1"/>
  <c r="F20" i="18"/>
  <c r="F21" i="18"/>
  <c r="J21" i="18" s="1"/>
  <c r="F22" i="18"/>
  <c r="I22" i="18" s="1"/>
  <c r="I16" i="18"/>
  <c r="I21" i="18"/>
  <c r="F2" i="18"/>
  <c r="I19" i="18"/>
  <c r="I20" i="18"/>
  <c r="P12" i="19"/>
  <c r="O12" i="19"/>
  <c r="Q7" i="19"/>
  <c r="Q8" i="19"/>
  <c r="Q9" i="19"/>
  <c r="Q10" i="19"/>
  <c r="Q11" i="19"/>
  <c r="Q12" i="19"/>
  <c r="Q13" i="19"/>
  <c r="Q14" i="19"/>
  <c r="Q15" i="19"/>
  <c r="Q17" i="19"/>
  <c r="Q19" i="19"/>
  <c r="Q21" i="19"/>
  <c r="Q23" i="19"/>
  <c r="Q24" i="19"/>
  <c r="Q25" i="19"/>
  <c r="Q26" i="19"/>
  <c r="Q27" i="19"/>
  <c r="Q28" i="19"/>
  <c r="Q6" i="19"/>
  <c r="O6" i="19"/>
  <c r="O8" i="19"/>
  <c r="P8" i="19"/>
  <c r="O10" i="19"/>
  <c r="P10" i="19"/>
  <c r="O14" i="19"/>
  <c r="P14" i="19"/>
  <c r="O16" i="19"/>
  <c r="P16" i="19"/>
  <c r="O18" i="19"/>
  <c r="P18" i="19"/>
  <c r="O20" i="19"/>
  <c r="P20" i="19"/>
  <c r="O22" i="19"/>
  <c r="P22" i="19"/>
  <c r="O24" i="19"/>
  <c r="O26" i="19"/>
  <c r="O28" i="19"/>
  <c r="N28" i="19"/>
  <c r="N26" i="19"/>
  <c r="N24" i="19"/>
  <c r="C1" i="19"/>
  <c r="D1" i="19"/>
  <c r="N16" i="19" s="1"/>
  <c r="Q16" i="19" s="1"/>
  <c r="E1" i="19"/>
  <c r="N18" i="19" s="1"/>
  <c r="Q18" i="19" s="1"/>
  <c r="F1" i="19"/>
  <c r="N20" i="19" s="1"/>
  <c r="Q20" i="19" s="1"/>
  <c r="G1" i="19"/>
  <c r="N22" i="19" s="1"/>
  <c r="Q22" i="19" s="1"/>
  <c r="B1" i="19"/>
  <c r="AG3" i="18" l="1"/>
  <c r="AG2" i="18"/>
  <c r="I14" i="18"/>
  <c r="J18" i="18"/>
  <c r="I15" i="18"/>
  <c r="J3" i="18"/>
  <c r="J22" i="18"/>
  <c r="J11" i="18"/>
  <c r="J2" i="18"/>
  <c r="I13" i="18"/>
  <c r="I17" i="18"/>
  <c r="Z5" i="18"/>
  <c r="Y6" i="20"/>
  <c r="AF22" i="19"/>
  <c r="AG22" i="19" s="1"/>
  <c r="Y5" i="20"/>
  <c r="AF20" i="19"/>
  <c r="Y10" i="20"/>
  <c r="Y3" i="20"/>
  <c r="Y9" i="20"/>
  <c r="AA21" i="18"/>
  <c r="AF18" i="19"/>
  <c r="Y7" i="20"/>
  <c r="AA20" i="18"/>
  <c r="AF16" i="19"/>
  <c r="Y13" i="20"/>
  <c r="Y17" i="20"/>
  <c r="Y21" i="20"/>
  <c r="Y14" i="20"/>
  <c r="Y18" i="20"/>
  <c r="Y22" i="20"/>
  <c r="Y12" i="20"/>
  <c r="Y20" i="20"/>
  <c r="Y15" i="20"/>
  <c r="Y19" i="20"/>
  <c r="Y16" i="20"/>
  <c r="Y11" i="20"/>
  <c r="Y4" i="20"/>
  <c r="Y8" i="20"/>
  <c r="AA19" i="18"/>
  <c r="Z19" i="18"/>
  <c r="Z17" i="18"/>
  <c r="AA17" i="18"/>
  <c r="Z9" i="18"/>
  <c r="AA9" i="18"/>
  <c r="Z16" i="18"/>
  <c r="AA16" i="18"/>
  <c r="Z15" i="18"/>
  <c r="AA15" i="18"/>
  <c r="Z7" i="18"/>
  <c r="AA7" i="18"/>
  <c r="AA11" i="18"/>
  <c r="Z11" i="18"/>
  <c r="Z3" i="18"/>
  <c r="AA3" i="18"/>
  <c r="Z12" i="18"/>
  <c r="AA12" i="18"/>
  <c r="Z8" i="18"/>
  <c r="AA8" i="18"/>
  <c r="Z4" i="18"/>
  <c r="AA4" i="18"/>
  <c r="AA13" i="18"/>
  <c r="AA5" i="18"/>
  <c r="Z13" i="18"/>
  <c r="D2" i="20"/>
  <c r="C2" i="20"/>
  <c r="D4" i="20"/>
  <c r="C4" i="20"/>
  <c r="C8" i="20"/>
  <c r="D8" i="20"/>
  <c r="C12" i="20"/>
  <c r="D12" i="20"/>
  <c r="C16" i="20"/>
  <c r="D16" i="20"/>
  <c r="D18" i="20"/>
  <c r="C18" i="20"/>
  <c r="C20" i="20"/>
  <c r="D20" i="20"/>
  <c r="D22" i="20"/>
  <c r="C22" i="20"/>
  <c r="C9" i="20"/>
  <c r="D9" i="20"/>
  <c r="D6" i="20"/>
  <c r="C6" i="20"/>
  <c r="D10" i="20"/>
  <c r="C10" i="20"/>
  <c r="D14" i="20"/>
  <c r="C14" i="20"/>
  <c r="C13" i="20"/>
  <c r="D13" i="20"/>
  <c r="D3" i="20"/>
  <c r="C3" i="20"/>
  <c r="C5" i="20"/>
  <c r="D5" i="20"/>
  <c r="D7" i="20"/>
  <c r="C7" i="20"/>
  <c r="D11" i="20"/>
  <c r="C11" i="20"/>
  <c r="D15" i="20"/>
  <c r="C15" i="20"/>
  <c r="D17" i="20"/>
  <c r="C17" i="20"/>
  <c r="C19" i="20"/>
  <c r="D19" i="20"/>
  <c r="D21" i="20"/>
  <c r="C21" i="20"/>
  <c r="AF26" i="21"/>
  <c r="AG26" i="21" s="1"/>
  <c r="Q24" i="21"/>
  <c r="AF18" i="21"/>
  <c r="AG18" i="21" s="1"/>
  <c r="AF20" i="21"/>
  <c r="AG20" i="21" s="1"/>
  <c r="AF22" i="21"/>
  <c r="AG22" i="21" s="1"/>
  <c r="AF16" i="21"/>
  <c r="AG16" i="21" s="1"/>
  <c r="Q28" i="21"/>
  <c r="Z22" i="18"/>
  <c r="Z18" i="18"/>
  <c r="Z14" i="18"/>
  <c r="Z10" i="18"/>
  <c r="Z6" i="18"/>
  <c r="Z2" i="18"/>
  <c r="AS2" i="18" s="1"/>
  <c r="D117" i="6" s="1"/>
  <c r="AA22" i="18"/>
  <c r="AA18" i="18"/>
  <c r="AA14" i="18"/>
  <c r="AA10" i="18"/>
  <c r="AA6" i="18"/>
  <c r="AA2" i="18"/>
  <c r="J10" i="18"/>
  <c r="J9" i="18"/>
  <c r="J8" i="18"/>
  <c r="E22" i="6" l="1"/>
  <c r="B23" i="6" s="1"/>
  <c r="F22" i="6"/>
  <c r="G22" i="6" s="1"/>
  <c r="N2" i="20"/>
  <c r="N6" i="20" l="1"/>
  <c r="N7" i="20" l="1"/>
  <c r="N9" i="20" l="1"/>
  <c r="Q11" i="20" l="1"/>
  <c r="U11" i="20" s="1"/>
  <c r="N11" i="20" s="1"/>
  <c r="W11" i="20"/>
  <c r="W12" i="20" l="1"/>
  <c r="Q12" i="20"/>
  <c r="U12" i="20" s="1"/>
  <c r="N12" i="20" s="1"/>
  <c r="W13" i="20" l="1"/>
  <c r="Q13" i="20"/>
  <c r="U13" i="20" s="1"/>
  <c r="N13" i="20" s="1"/>
  <c r="Q14" i="20" l="1"/>
  <c r="U14" i="20" s="1"/>
  <c r="N14" i="20" s="1"/>
  <c r="W14" i="20"/>
  <c r="Q15" i="20" l="1"/>
  <c r="U15" i="20" s="1"/>
  <c r="N15" i="20" s="1"/>
  <c r="W15" i="20"/>
  <c r="W16" i="20" l="1"/>
  <c r="Q16" i="20"/>
  <c r="U16" i="20" s="1"/>
  <c r="W17" i="20" l="1"/>
  <c r="Q17" i="20"/>
  <c r="U17" i="20" s="1"/>
  <c r="Q18" i="20" l="1"/>
  <c r="U18" i="20" s="1"/>
  <c r="W18" i="20"/>
  <c r="W19" i="20" l="1"/>
  <c r="Q19" i="20"/>
  <c r="U19" i="20" s="1"/>
  <c r="W20" i="20" l="1"/>
  <c r="Q20" i="20"/>
  <c r="U20" i="20" s="1"/>
  <c r="Q21" i="20" l="1"/>
  <c r="U21" i="20" s="1"/>
  <c r="W21" i="20"/>
  <c r="Q22" i="20" l="1"/>
  <c r="U22" i="20" s="1"/>
  <c r="W22" i="20"/>
  <c r="P4" i="19" l="1"/>
  <c r="O4" i="19"/>
  <c r="N4" i="19"/>
  <c r="P2" i="19"/>
  <c r="O2" i="19"/>
  <c r="N2" i="19"/>
  <c r="X22" i="18"/>
  <c r="A22" i="18"/>
  <c r="V22" i="18" s="1"/>
  <c r="C22" i="18"/>
  <c r="X21" i="18"/>
  <c r="A21" i="18"/>
  <c r="V21" i="18" s="1"/>
  <c r="C21" i="18"/>
  <c r="X20" i="18"/>
  <c r="A20" i="18"/>
  <c r="V20" i="18" s="1"/>
  <c r="C20" i="18"/>
  <c r="X19" i="18"/>
  <c r="A19" i="18"/>
  <c r="V19" i="18" s="1"/>
  <c r="C19" i="18"/>
  <c r="X18" i="18"/>
  <c r="A18" i="18"/>
  <c r="V18" i="18" s="1"/>
  <c r="C18" i="18"/>
  <c r="X17" i="18"/>
  <c r="A17" i="18"/>
  <c r="V17" i="18" s="1"/>
  <c r="C17" i="18"/>
  <c r="X16" i="18"/>
  <c r="A16" i="18"/>
  <c r="V16" i="18" s="1"/>
  <c r="C16" i="18"/>
  <c r="X15" i="18"/>
  <c r="A15" i="18"/>
  <c r="C15" i="18"/>
  <c r="X14" i="18"/>
  <c r="A14" i="18"/>
  <c r="C14" i="18"/>
  <c r="X13" i="18"/>
  <c r="A13" i="18"/>
  <c r="C13" i="18"/>
  <c r="X12" i="18"/>
  <c r="A12" i="18"/>
  <c r="X11" i="18"/>
  <c r="A11" i="18"/>
  <c r="X10" i="18"/>
  <c r="A10" i="18"/>
  <c r="X9" i="18"/>
  <c r="A9" i="18"/>
  <c r="X8" i="18"/>
  <c r="A8" i="18"/>
  <c r="X7" i="18"/>
  <c r="A7" i="18"/>
  <c r="X6" i="18"/>
  <c r="A6" i="18"/>
  <c r="X5" i="18"/>
  <c r="A5" i="18"/>
  <c r="X4" i="18"/>
  <c r="A4" i="18"/>
  <c r="X3" i="18"/>
  <c r="A3" i="18"/>
  <c r="X2" i="18"/>
  <c r="A2" i="18"/>
  <c r="I12" i="18" l="1"/>
  <c r="C12" i="18" s="1"/>
  <c r="I11" i="18"/>
  <c r="C11" i="18" s="1"/>
  <c r="I10" i="18"/>
  <c r="I9" i="18"/>
  <c r="C9" i="18" s="1"/>
  <c r="I8" i="18"/>
  <c r="I7" i="18"/>
  <c r="I6" i="18"/>
  <c r="I5" i="18"/>
  <c r="I3" i="18"/>
  <c r="I4" i="18"/>
  <c r="I2" i="18"/>
  <c r="C2" i="18" s="1"/>
  <c r="D2" i="18"/>
  <c r="B117" i="6" s="1"/>
  <c r="B116" i="6" s="1"/>
  <c r="D3" i="18"/>
  <c r="D5" i="18"/>
  <c r="D7" i="18"/>
  <c r="D10" i="18"/>
  <c r="D12" i="18"/>
  <c r="D13" i="18"/>
  <c r="D14" i="18"/>
  <c r="D15" i="18"/>
  <c r="D16" i="18"/>
  <c r="D17" i="18"/>
  <c r="D18" i="18"/>
  <c r="D19" i="18"/>
  <c r="D20" i="18"/>
  <c r="D21" i="18"/>
  <c r="D22" i="18"/>
  <c r="D4" i="18"/>
  <c r="D6" i="18"/>
  <c r="D8" i="18"/>
  <c r="D9" i="18"/>
  <c r="D11" i="18"/>
  <c r="AE38" i="13"/>
  <c r="Z38" i="13"/>
  <c r="AA38" i="13"/>
  <c r="AB38" i="13"/>
  <c r="AC38" i="13"/>
  <c r="AD38" i="13"/>
  <c r="S38" i="13"/>
  <c r="T38" i="13"/>
  <c r="U38" i="13"/>
  <c r="V38" i="13"/>
  <c r="W38" i="13"/>
  <c r="X38" i="13"/>
  <c r="Y38" i="13"/>
  <c r="R38" i="13"/>
  <c r="I6" i="12"/>
  <c r="I7" i="12"/>
  <c r="I8" i="12"/>
  <c r="I9" i="12"/>
  <c r="I10" i="12"/>
  <c r="I11" i="12"/>
  <c r="I12" i="12"/>
  <c r="I13" i="12"/>
  <c r="I14" i="12"/>
  <c r="I15" i="12"/>
  <c r="I16" i="12"/>
  <c r="I17" i="12"/>
  <c r="I18" i="12"/>
  <c r="I19" i="12"/>
  <c r="I20" i="12"/>
  <c r="I21" i="12"/>
  <c r="I22" i="12"/>
  <c r="I3" i="12"/>
  <c r="I4" i="12"/>
  <c r="J3" i="12"/>
  <c r="J4" i="12"/>
  <c r="J6" i="12"/>
  <c r="J7" i="12"/>
  <c r="J8" i="12"/>
  <c r="J9" i="12"/>
  <c r="J10" i="12"/>
  <c r="J11" i="12"/>
  <c r="J12" i="12"/>
  <c r="J13" i="12"/>
  <c r="J14" i="12"/>
  <c r="J15" i="12"/>
  <c r="J16" i="12"/>
  <c r="J17" i="12"/>
  <c r="J18" i="12"/>
  <c r="J19" i="12"/>
  <c r="J20" i="12"/>
  <c r="J21" i="12"/>
  <c r="J22" i="12"/>
  <c r="P36" i="13"/>
  <c r="J5" i="12" s="1"/>
  <c r="W1" i="12"/>
  <c r="O36" i="13"/>
  <c r="I5" i="12" s="1"/>
  <c r="AR3" i="14"/>
  <c r="AR4" i="14"/>
  <c r="AR5" i="14"/>
  <c r="AR6" i="14"/>
  <c r="AR7" i="14"/>
  <c r="AR8" i="14"/>
  <c r="AR9" i="14"/>
  <c r="AR10" i="14"/>
  <c r="AR11" i="14"/>
  <c r="AR12" i="14"/>
  <c r="AR13" i="14"/>
  <c r="AR14" i="14"/>
  <c r="AR15" i="14"/>
  <c r="AR16" i="14"/>
  <c r="AR17" i="14"/>
  <c r="AR18" i="14"/>
  <c r="AR19" i="14"/>
  <c r="AR20" i="14"/>
  <c r="AR21" i="14"/>
  <c r="AR22" i="14"/>
  <c r="S24" i="14"/>
  <c r="S25" i="14"/>
  <c r="C10" i="18" l="1"/>
  <c r="C8" i="18"/>
  <c r="C7" i="18"/>
  <c r="C6" i="18"/>
  <c r="C5" i="18"/>
  <c r="C4" i="18"/>
  <c r="C3" i="18"/>
  <c r="F21" i="6"/>
  <c r="Y6" i="12"/>
  <c r="Y7" i="12"/>
  <c r="Y8" i="12"/>
  <c r="Y9" i="12"/>
  <c r="Y10" i="12"/>
  <c r="Y11" i="12"/>
  <c r="Y12" i="12"/>
  <c r="Y13" i="12"/>
  <c r="Y14" i="12"/>
  <c r="Y15" i="12"/>
  <c r="Y16" i="12"/>
  <c r="Y17" i="12"/>
  <c r="Y18" i="12"/>
  <c r="Y19" i="12"/>
  <c r="Y20" i="12"/>
  <c r="Y21" i="12"/>
  <c r="Y22" i="12"/>
  <c r="AI5" i="8"/>
  <c r="AI4" i="8"/>
  <c r="AH6" i="8"/>
  <c r="AH5" i="8"/>
  <c r="AJ5" i="8"/>
  <c r="AI3" i="8"/>
  <c r="AI2" i="8"/>
  <c r="AF9" i="8"/>
  <c r="AH9" i="8" s="1"/>
  <c r="AF7" i="8"/>
  <c r="AH7" i="8" s="1"/>
  <c r="AF8" i="8"/>
  <c r="AF6" i="8"/>
  <c r="P3" i="10"/>
  <c r="P4" i="10"/>
  <c r="P5" i="10"/>
  <c r="P6" i="10"/>
  <c r="P7" i="10"/>
  <c r="P8" i="10"/>
  <c r="P9" i="10"/>
  <c r="P10" i="10"/>
  <c r="P11" i="10"/>
  <c r="P12" i="10"/>
  <c r="P13" i="10"/>
  <c r="P14" i="10"/>
  <c r="P15" i="10"/>
  <c r="P16" i="10"/>
  <c r="P17" i="10"/>
  <c r="P18" i="10"/>
  <c r="P19" i="10"/>
  <c r="P20" i="10"/>
  <c r="P21" i="10"/>
  <c r="P22" i="10"/>
  <c r="Q3" i="10"/>
  <c r="Q4" i="10"/>
  <c r="Q5" i="10"/>
  <c r="Q6" i="10"/>
  <c r="Q7" i="10"/>
  <c r="Q8" i="10"/>
  <c r="Q9" i="10"/>
  <c r="Q10" i="10"/>
  <c r="Q11" i="10"/>
  <c r="Q12" i="10"/>
  <c r="Q13" i="10"/>
  <c r="Q14" i="10"/>
  <c r="Q15" i="10"/>
  <c r="Q16" i="10"/>
  <c r="Q17" i="10"/>
  <c r="Q18" i="10"/>
  <c r="Q19" i="10"/>
  <c r="Q20" i="10"/>
  <c r="Q21" i="10"/>
  <c r="Q22" i="10"/>
  <c r="Q23" i="10"/>
  <c r="A20" i="6"/>
  <c r="A21" i="6"/>
  <c r="A19" i="6"/>
  <c r="S31" i="13"/>
  <c r="T31" i="13"/>
  <c r="U31" i="13"/>
  <c r="V31" i="13"/>
  <c r="W31" i="13"/>
  <c r="X31" i="13"/>
  <c r="Y31" i="13"/>
  <c r="Z31" i="13"/>
  <c r="AA31" i="13"/>
  <c r="AB31" i="13"/>
  <c r="AC31" i="13"/>
  <c r="R31" i="13"/>
  <c r="F2" i="14"/>
  <c r="F3" i="14"/>
  <c r="F4" i="14"/>
  <c r="F5" i="14"/>
  <c r="F6" i="14"/>
  <c r="F7" i="14"/>
  <c r="F8" i="14"/>
  <c r="F9" i="14"/>
  <c r="D47" i="8"/>
  <c r="D44" i="8"/>
  <c r="D45" i="8"/>
  <c r="D46" i="8"/>
  <c r="D36" i="8"/>
  <c r="D37" i="8"/>
  <c r="D38" i="8"/>
  <c r="D39" i="8"/>
  <c r="D40" i="8"/>
  <c r="D41" i="8"/>
  <c r="D42" i="8"/>
  <c r="D43" i="8"/>
  <c r="O34" i="13"/>
  <c r="D35" i="8"/>
  <c r="B34" i="8"/>
  <c r="C34" i="8"/>
  <c r="D34" i="8"/>
  <c r="B33" i="8"/>
  <c r="F2" i="12"/>
  <c r="F3" i="12"/>
  <c r="F23" i="12"/>
  <c r="F4" i="12"/>
  <c r="F5" i="12"/>
  <c r="F6" i="12"/>
  <c r="F7" i="12"/>
  <c r="F8" i="12"/>
  <c r="F9" i="12"/>
  <c r="F10" i="12"/>
  <c r="F11" i="12"/>
  <c r="F12" i="12"/>
  <c r="F13" i="12"/>
  <c r="F14" i="12"/>
  <c r="F15" i="12"/>
  <c r="F16" i="12"/>
  <c r="F17" i="12"/>
  <c r="F18" i="12"/>
  <c r="F19" i="12"/>
  <c r="F20" i="12"/>
  <c r="F21" i="12"/>
  <c r="F22" i="12"/>
  <c r="F24" i="12"/>
  <c r="R1" i="12"/>
  <c r="S1" i="12"/>
  <c r="T1" i="12"/>
  <c r="U1" i="12"/>
  <c r="V1" i="12"/>
  <c r="X1" i="12"/>
  <c r="Q1" i="12"/>
  <c r="P34" i="13"/>
  <c r="P32" i="13"/>
  <c r="O32" i="13"/>
  <c r="E21" i="6" l="1"/>
  <c r="B22" i="6" s="1"/>
  <c r="L17" i="6"/>
  <c r="M17" i="6"/>
  <c r="K17" i="6"/>
  <c r="A3" i="14"/>
  <c r="A4" i="14"/>
  <c r="A5" i="14"/>
  <c r="A6" i="14"/>
  <c r="A7" i="14"/>
  <c r="A8" i="14"/>
  <c r="A9" i="14"/>
  <c r="A10" i="14"/>
  <c r="A11" i="14"/>
  <c r="A12" i="14"/>
  <c r="A13" i="14"/>
  <c r="A14" i="14"/>
  <c r="A15" i="14"/>
  <c r="A16" i="14"/>
  <c r="A17" i="14"/>
  <c r="A18" i="14"/>
  <c r="A19" i="14"/>
  <c r="A20" i="14"/>
  <c r="A21" i="14"/>
  <c r="A22" i="14"/>
  <c r="A23" i="14"/>
  <c r="A2" i="14"/>
  <c r="N29" i="8"/>
  <c r="C30" i="8" s="1"/>
  <c r="N28" i="8"/>
  <c r="C29" i="8" s="1"/>
  <c r="N27" i="8"/>
  <c r="C28" i="8" s="1"/>
  <c r="N26" i="8"/>
  <c r="C27" i="8" s="1"/>
  <c r="N25" i="8"/>
  <c r="S22" i="14" l="1"/>
  <c r="AM22" i="14"/>
  <c r="S21" i="14"/>
  <c r="AM21" i="14"/>
  <c r="S17" i="14"/>
  <c r="AM17" i="14"/>
  <c r="S13" i="14"/>
  <c r="AM13" i="14"/>
  <c r="S18" i="14"/>
  <c r="AM18" i="14"/>
  <c r="S20" i="14"/>
  <c r="AM20" i="14"/>
  <c r="S16" i="14"/>
  <c r="AM16" i="14"/>
  <c r="S12" i="14"/>
  <c r="AM12" i="14"/>
  <c r="S14" i="14"/>
  <c r="AM14" i="14"/>
  <c r="S10" i="14"/>
  <c r="AM10" i="14"/>
  <c r="S23" i="14"/>
  <c r="AM23" i="14"/>
  <c r="S19" i="14"/>
  <c r="AM19" i="14"/>
  <c r="S15" i="14"/>
  <c r="AM15" i="14"/>
  <c r="S11" i="14"/>
  <c r="AM11" i="14"/>
  <c r="G21" i="6"/>
  <c r="S7" i="14"/>
  <c r="AM7" i="14"/>
  <c r="S6" i="14"/>
  <c r="AM6" i="14"/>
  <c r="S9" i="14"/>
  <c r="AM9" i="14"/>
  <c r="S8" i="14"/>
  <c r="AM8" i="14"/>
  <c r="D63" i="8"/>
  <c r="K3" i="12"/>
  <c r="K4" i="12"/>
  <c r="K5" i="12"/>
  <c r="K6" i="12"/>
  <c r="K7" i="12"/>
  <c r="K8" i="12"/>
  <c r="K9" i="12"/>
  <c r="K10" i="12"/>
  <c r="K11" i="12"/>
  <c r="K12" i="12"/>
  <c r="K13" i="12"/>
  <c r="K14" i="12"/>
  <c r="K15" i="12"/>
  <c r="K16" i="12"/>
  <c r="K17" i="12"/>
  <c r="K18" i="12"/>
  <c r="K19" i="12"/>
  <c r="K20" i="12"/>
  <c r="K21" i="12"/>
  <c r="K22" i="12"/>
  <c r="N28" i="15" l="1"/>
  <c r="K2" i="12"/>
  <c r="C65" i="8"/>
  <c r="E65" i="8" s="1"/>
  <c r="C64" i="8"/>
  <c r="C62" i="8"/>
  <c r="E64" i="8" l="1"/>
  <c r="E63" i="8" s="1"/>
  <c r="C63" i="8"/>
  <c r="D62" i="8"/>
  <c r="E62" i="8" s="1"/>
  <c r="D54" i="8"/>
  <c r="D55" i="8"/>
  <c r="D56" i="8"/>
  <c r="D57" i="8"/>
  <c r="D58" i="8"/>
  <c r="D59" i="8"/>
  <c r="D60" i="8"/>
  <c r="D61" i="8"/>
  <c r="D53" i="8"/>
  <c r="C56" i="8"/>
  <c r="C54" i="8"/>
  <c r="C55" i="8"/>
  <c r="C57" i="8"/>
  <c r="C58" i="8"/>
  <c r="C59" i="8"/>
  <c r="C53" i="8"/>
  <c r="H92" i="17"/>
  <c r="D92" i="17"/>
  <c r="H91" i="17"/>
  <c r="D91" i="17"/>
  <c r="H90" i="17"/>
  <c r="D90" i="17"/>
  <c r="H89" i="17"/>
  <c r="D89" i="17"/>
  <c r="H88" i="17"/>
  <c r="D88" i="17"/>
  <c r="H87" i="17"/>
  <c r="D87" i="17"/>
  <c r="H86" i="17"/>
  <c r="D86" i="17"/>
  <c r="H85" i="17"/>
  <c r="D85" i="17"/>
  <c r="H84" i="17"/>
  <c r="D84" i="17"/>
  <c r="H83" i="17"/>
  <c r="D83" i="17"/>
  <c r="H82" i="17"/>
  <c r="D82" i="17"/>
  <c r="H81" i="17"/>
  <c r="D81" i="17"/>
  <c r="H80" i="17"/>
  <c r="D80" i="17"/>
  <c r="H79" i="17"/>
  <c r="D79" i="17"/>
  <c r="H78" i="17"/>
  <c r="D78" i="17"/>
  <c r="H77" i="17"/>
  <c r="D77" i="17"/>
  <c r="H76" i="17"/>
  <c r="D76" i="17"/>
  <c r="H75" i="17"/>
  <c r="D75" i="17"/>
  <c r="H74" i="17"/>
  <c r="D74" i="17"/>
  <c r="H73" i="17"/>
  <c r="D73" i="17"/>
  <c r="H72" i="17"/>
  <c r="D72" i="17"/>
  <c r="H71" i="17"/>
  <c r="D71" i="17"/>
  <c r="H70" i="17"/>
  <c r="D70" i="17"/>
  <c r="H69" i="17"/>
  <c r="D69" i="17"/>
  <c r="H68" i="17"/>
  <c r="D68" i="17"/>
  <c r="H67" i="17"/>
  <c r="D67" i="17"/>
  <c r="H66" i="17"/>
  <c r="D66" i="17"/>
  <c r="H65" i="17"/>
  <c r="D65" i="17"/>
  <c r="H64" i="17"/>
  <c r="D64" i="17"/>
  <c r="H63" i="17"/>
  <c r="D63" i="17"/>
  <c r="H62" i="17"/>
  <c r="D62" i="17"/>
  <c r="H61" i="17"/>
  <c r="D61" i="17"/>
  <c r="H60" i="17"/>
  <c r="D60" i="17"/>
  <c r="H59" i="17"/>
  <c r="D59" i="17"/>
  <c r="H58" i="17"/>
  <c r="D58" i="17"/>
  <c r="H57" i="17"/>
  <c r="D57" i="17"/>
  <c r="H56" i="17"/>
  <c r="D56" i="17"/>
  <c r="H55" i="17"/>
  <c r="D55" i="17"/>
  <c r="H54" i="17"/>
  <c r="D54" i="17"/>
  <c r="H53" i="17"/>
  <c r="D53" i="17"/>
  <c r="H52" i="17"/>
  <c r="D52" i="17"/>
  <c r="H51" i="17"/>
  <c r="D51" i="17"/>
  <c r="H50" i="17"/>
  <c r="D50" i="17"/>
  <c r="H49" i="17"/>
  <c r="D49" i="17"/>
  <c r="H48" i="17"/>
  <c r="D48" i="17"/>
  <c r="H47" i="17"/>
  <c r="D47" i="17"/>
  <c r="H46" i="17"/>
  <c r="D46" i="17"/>
  <c r="H45" i="17"/>
  <c r="D45" i="17"/>
  <c r="H44" i="17"/>
  <c r="D44" i="17"/>
  <c r="H43" i="17"/>
  <c r="D43" i="17"/>
  <c r="H42" i="17"/>
  <c r="D42" i="17"/>
  <c r="H41" i="17"/>
  <c r="D41" i="17"/>
  <c r="H40" i="17"/>
  <c r="D40" i="17"/>
  <c r="H39" i="17"/>
  <c r="D39" i="17"/>
  <c r="H38" i="17"/>
  <c r="D38" i="17"/>
  <c r="H37" i="17"/>
  <c r="D37" i="17"/>
  <c r="H36" i="17"/>
  <c r="D36" i="17"/>
  <c r="H35" i="17"/>
  <c r="D35" i="17"/>
  <c r="H34" i="17"/>
  <c r="D34" i="17"/>
  <c r="H33" i="17"/>
  <c r="D33" i="17"/>
  <c r="H32" i="17"/>
  <c r="D32" i="17"/>
  <c r="H31" i="17"/>
  <c r="D31" i="17"/>
  <c r="H30" i="17"/>
  <c r="D30" i="17"/>
  <c r="H29" i="17"/>
  <c r="D29" i="17"/>
  <c r="H28" i="17"/>
  <c r="D28" i="17"/>
  <c r="H27" i="17"/>
  <c r="D27" i="17"/>
  <c r="H26" i="17"/>
  <c r="D26" i="17"/>
  <c r="H25" i="17"/>
  <c r="D25" i="17"/>
  <c r="H24" i="17"/>
  <c r="D24" i="17"/>
  <c r="H23" i="17"/>
  <c r="D23" i="17"/>
  <c r="H22" i="17"/>
  <c r="D22" i="17"/>
  <c r="H21" i="17"/>
  <c r="D21" i="17"/>
  <c r="H20" i="17"/>
  <c r="D20" i="17"/>
  <c r="H19" i="17"/>
  <c r="D19" i="17"/>
  <c r="H18" i="17"/>
  <c r="D18" i="17"/>
  <c r="H17" i="17"/>
  <c r="D17" i="17"/>
  <c r="H16" i="17"/>
  <c r="D16" i="17"/>
  <c r="H15" i="17"/>
  <c r="D15" i="17"/>
  <c r="H14" i="17"/>
  <c r="D14" i="17"/>
  <c r="H13" i="17"/>
  <c r="D13" i="17"/>
  <c r="H12" i="17"/>
  <c r="D12" i="17"/>
  <c r="H11" i="17"/>
  <c r="D11" i="17"/>
  <c r="H10" i="17"/>
  <c r="D10" i="17"/>
  <c r="H9" i="17"/>
  <c r="D9" i="17"/>
  <c r="H8" i="17"/>
  <c r="D8" i="17"/>
  <c r="H7" i="17"/>
  <c r="D7" i="17"/>
  <c r="H6" i="17"/>
  <c r="D6" i="17"/>
  <c r="H5" i="17"/>
  <c r="D5" i="17"/>
  <c r="H4" i="17"/>
  <c r="D4" i="17"/>
  <c r="H3" i="17"/>
  <c r="D3" i="17"/>
  <c r="H2" i="17"/>
  <c r="D2" i="17"/>
  <c r="C9" i="16"/>
  <c r="A48" i="15"/>
  <c r="A46" i="15"/>
  <c r="A44" i="15"/>
  <c r="A42" i="15"/>
  <c r="A40" i="15"/>
  <c r="A38" i="15"/>
  <c r="A35" i="15"/>
  <c r="A34" i="15"/>
  <c r="A47" i="15" s="1"/>
  <c r="A33" i="15"/>
  <c r="A32" i="15"/>
  <c r="A45" i="15" s="1"/>
  <c r="A31" i="15"/>
  <c r="A30" i="15"/>
  <c r="A43" i="15" s="1"/>
  <c r="A29" i="15"/>
  <c r="M28" i="15"/>
  <c r="A28" i="15"/>
  <c r="A41" i="15" s="1"/>
  <c r="A27" i="15"/>
  <c r="N26" i="15"/>
  <c r="M26" i="15"/>
  <c r="A26" i="15"/>
  <c r="N24" i="15"/>
  <c r="M24" i="15"/>
  <c r="N22" i="15"/>
  <c r="M22" i="15"/>
  <c r="N20" i="15"/>
  <c r="M20" i="15"/>
  <c r="N18" i="15"/>
  <c r="M18" i="15"/>
  <c r="N16" i="15"/>
  <c r="M16" i="15"/>
  <c r="N14" i="15"/>
  <c r="M14" i="15"/>
  <c r="N12" i="15"/>
  <c r="M12" i="15"/>
  <c r="N10" i="15"/>
  <c r="M10" i="15"/>
  <c r="N8" i="15"/>
  <c r="M8" i="15"/>
  <c r="N6" i="15"/>
  <c r="M6" i="15"/>
  <c r="N4" i="15"/>
  <c r="M4" i="15"/>
  <c r="L4" i="15"/>
  <c r="N2" i="15"/>
  <c r="M2" i="15"/>
  <c r="L2" i="15"/>
  <c r="AX23" i="14"/>
  <c r="AI23" i="14"/>
  <c r="AH23" i="14"/>
  <c r="AG23" i="14"/>
  <c r="AF23" i="14"/>
  <c r="AE23" i="14"/>
  <c r="X23" i="14"/>
  <c r="F23" i="14"/>
  <c r="B23" i="14"/>
  <c r="AX22" i="14"/>
  <c r="AO22" i="14"/>
  <c r="AI22" i="14"/>
  <c r="AH22" i="14"/>
  <c r="AG22" i="14"/>
  <c r="AF22" i="14"/>
  <c r="AE22" i="14"/>
  <c r="X22" i="14"/>
  <c r="F22" i="14"/>
  <c r="B22" i="14"/>
  <c r="AX21" i="14"/>
  <c r="AO21" i="14"/>
  <c r="AI21" i="14"/>
  <c r="AH21" i="14"/>
  <c r="AG21" i="14"/>
  <c r="AF21" i="14"/>
  <c r="AE21" i="14"/>
  <c r="X21" i="14"/>
  <c r="F21" i="14"/>
  <c r="B21" i="14"/>
  <c r="AX20" i="14"/>
  <c r="AO20" i="14"/>
  <c r="AI20" i="14"/>
  <c r="AH20" i="14"/>
  <c r="AG20" i="14"/>
  <c r="AF20" i="14"/>
  <c r="AE20" i="14"/>
  <c r="X20" i="14"/>
  <c r="F20" i="14"/>
  <c r="B20" i="14"/>
  <c r="AX19" i="14"/>
  <c r="AO19" i="14"/>
  <c r="AI19" i="14"/>
  <c r="AH19" i="14"/>
  <c r="AG19" i="14"/>
  <c r="AF19" i="14"/>
  <c r="AE19" i="14"/>
  <c r="X19" i="14"/>
  <c r="F19" i="14"/>
  <c r="B19" i="14"/>
  <c r="AX18" i="14"/>
  <c r="AO18" i="14"/>
  <c r="AI18" i="14"/>
  <c r="AH18" i="14"/>
  <c r="AG18" i="14"/>
  <c r="AF18" i="14"/>
  <c r="AE18" i="14"/>
  <c r="AB18" i="14"/>
  <c r="X18" i="14"/>
  <c r="F18" i="14"/>
  <c r="B18" i="14"/>
  <c r="AX17" i="14"/>
  <c r="AO17" i="14"/>
  <c r="AI17" i="14"/>
  <c r="AH17" i="14"/>
  <c r="AG17" i="14"/>
  <c r="AF17" i="14"/>
  <c r="AE17" i="14"/>
  <c r="AB17" i="14"/>
  <c r="X17" i="14"/>
  <c r="F17" i="14"/>
  <c r="B17" i="14"/>
  <c r="AX16" i="14"/>
  <c r="AO16" i="14"/>
  <c r="AI16" i="14"/>
  <c r="AH16" i="14"/>
  <c r="AG16" i="14"/>
  <c r="AF16" i="14"/>
  <c r="AE16" i="14"/>
  <c r="AB16" i="14"/>
  <c r="X16" i="14"/>
  <c r="F16" i="14"/>
  <c r="B16" i="14"/>
  <c r="AX15" i="14"/>
  <c r="AO15" i="14"/>
  <c r="AI15" i="14"/>
  <c r="AH15" i="14"/>
  <c r="AG15" i="14"/>
  <c r="AF15" i="14"/>
  <c r="AE15" i="14"/>
  <c r="AB15" i="14"/>
  <c r="X15" i="14"/>
  <c r="F15" i="14"/>
  <c r="B15" i="14"/>
  <c r="AX14" i="14"/>
  <c r="AO14" i="14"/>
  <c r="AI14" i="14"/>
  <c r="AH14" i="14"/>
  <c r="AG14" i="14"/>
  <c r="AF14" i="14"/>
  <c r="AE14" i="14"/>
  <c r="AB14" i="14"/>
  <c r="X14" i="14"/>
  <c r="F14" i="14"/>
  <c r="B14" i="14"/>
  <c r="AX13" i="14"/>
  <c r="AO13" i="14"/>
  <c r="AI13" i="14"/>
  <c r="AH13" i="14"/>
  <c r="AG13" i="14"/>
  <c r="AF13" i="14"/>
  <c r="AE13" i="14"/>
  <c r="AB13" i="14"/>
  <c r="X13" i="14"/>
  <c r="F13" i="14"/>
  <c r="B13" i="14"/>
  <c r="AX12" i="14"/>
  <c r="AO12" i="14"/>
  <c r="AI12" i="14"/>
  <c r="AH12" i="14"/>
  <c r="AG12" i="14"/>
  <c r="AF12" i="14"/>
  <c r="AE12" i="14"/>
  <c r="AB12" i="14"/>
  <c r="X12" i="14"/>
  <c r="F12" i="14"/>
  <c r="B12" i="14"/>
  <c r="AX11" i="14"/>
  <c r="AO11" i="14"/>
  <c r="AI11" i="14"/>
  <c r="AH11" i="14"/>
  <c r="AG11" i="14"/>
  <c r="AF11" i="14"/>
  <c r="AE11" i="14"/>
  <c r="Z11" i="14"/>
  <c r="Y11" i="14"/>
  <c r="X11" i="14"/>
  <c r="F11" i="14"/>
  <c r="B11" i="14"/>
  <c r="AX10" i="14"/>
  <c r="AO10" i="14"/>
  <c r="AI10" i="14"/>
  <c r="AH10" i="14"/>
  <c r="AG10" i="14"/>
  <c r="AF10" i="14"/>
  <c r="AE10" i="14"/>
  <c r="AB10" i="14"/>
  <c r="Z10" i="14"/>
  <c r="X10" i="14"/>
  <c r="F10" i="14"/>
  <c r="B10" i="14"/>
  <c r="AX9" i="14"/>
  <c r="AO9" i="14"/>
  <c r="AI9" i="14"/>
  <c r="AH9" i="14"/>
  <c r="AG9" i="14"/>
  <c r="AF9" i="14"/>
  <c r="AE9" i="14"/>
  <c r="AD9" i="14"/>
  <c r="AS9" i="14" s="1"/>
  <c r="AB9" i="14"/>
  <c r="AA9" i="14"/>
  <c r="Z9" i="14"/>
  <c r="Y9" i="14"/>
  <c r="X9" i="14"/>
  <c r="W9" i="14"/>
  <c r="B9" i="14"/>
  <c r="AX8" i="14"/>
  <c r="AO8" i="14"/>
  <c r="AI8" i="14"/>
  <c r="AH8" i="14"/>
  <c r="AG8" i="14"/>
  <c r="AF8" i="14"/>
  <c r="AE8" i="14"/>
  <c r="AB8" i="14"/>
  <c r="AA8" i="14"/>
  <c r="Z8" i="14"/>
  <c r="Y8" i="14"/>
  <c r="X8" i="14"/>
  <c r="W8" i="14"/>
  <c r="AD8" i="14" s="1"/>
  <c r="B8" i="14"/>
  <c r="AX7" i="14"/>
  <c r="AO7" i="14"/>
  <c r="AI7" i="14"/>
  <c r="AH7" i="14"/>
  <c r="AG7" i="14"/>
  <c r="AF7" i="14"/>
  <c r="AE7" i="14"/>
  <c r="AB7" i="14"/>
  <c r="AA7" i="14"/>
  <c r="Z7" i="14"/>
  <c r="Y7" i="14"/>
  <c r="X7" i="14"/>
  <c r="W7" i="14"/>
  <c r="AD7" i="14" s="1"/>
  <c r="AS7" i="14" s="1"/>
  <c r="B7" i="14"/>
  <c r="AX6" i="14"/>
  <c r="AO6" i="14"/>
  <c r="AI6" i="14"/>
  <c r="AH6" i="14"/>
  <c r="AG6" i="14"/>
  <c r="AF6" i="14"/>
  <c r="AE6" i="14"/>
  <c r="AB6" i="14"/>
  <c r="AA6" i="14"/>
  <c r="Z6" i="14"/>
  <c r="Y6" i="14"/>
  <c r="X6" i="14"/>
  <c r="W6" i="14"/>
  <c r="AD6" i="14" s="1"/>
  <c r="B6" i="14"/>
  <c r="AX5" i="14"/>
  <c r="AO5" i="14"/>
  <c r="AI5" i="14"/>
  <c r="AH5" i="14"/>
  <c r="AG5" i="14"/>
  <c r="AF5" i="14"/>
  <c r="AE5" i="14"/>
  <c r="AB5" i="14"/>
  <c r="AA5" i="14"/>
  <c r="Z5" i="14"/>
  <c r="Y5" i="14"/>
  <c r="X5" i="14"/>
  <c r="W5" i="14"/>
  <c r="AD5" i="14" s="1"/>
  <c r="AS5" i="14" s="1"/>
  <c r="B5" i="14"/>
  <c r="AX4" i="14"/>
  <c r="AO4" i="14"/>
  <c r="AI4" i="14"/>
  <c r="AH4" i="14"/>
  <c r="AG4" i="14"/>
  <c r="AF4" i="14"/>
  <c r="AE4" i="14"/>
  <c r="AB4" i="14"/>
  <c r="AA4" i="14"/>
  <c r="Z4" i="14"/>
  <c r="Y4" i="14"/>
  <c r="X4" i="14"/>
  <c r="W4" i="14"/>
  <c r="AD4" i="14" s="1"/>
  <c r="B4" i="14"/>
  <c r="AX3" i="14"/>
  <c r="AO3" i="14"/>
  <c r="AI3" i="14"/>
  <c r="AH3" i="14"/>
  <c r="AG3" i="14"/>
  <c r="AF3" i="14"/>
  <c r="AE3" i="14"/>
  <c r="AB3" i="14"/>
  <c r="AA3" i="14"/>
  <c r="Z3" i="14"/>
  <c r="Y3" i="14"/>
  <c r="X3" i="14"/>
  <c r="W3" i="14"/>
  <c r="AD3" i="14" s="1"/>
  <c r="AS3" i="14" s="1"/>
  <c r="B3" i="14"/>
  <c r="AX2" i="14"/>
  <c r="AR2" i="14"/>
  <c r="AO2" i="14"/>
  <c r="AI2" i="14"/>
  <c r="AH2" i="14"/>
  <c r="AG2" i="14"/>
  <c r="AF2" i="14"/>
  <c r="AE2" i="14"/>
  <c r="AB2" i="14"/>
  <c r="AA2" i="14"/>
  <c r="Z2" i="14"/>
  <c r="Y2" i="14"/>
  <c r="X2" i="14"/>
  <c r="W2" i="14"/>
  <c r="AD2" i="14" s="1"/>
  <c r="B2" i="14"/>
  <c r="R1" i="14"/>
  <c r="Q1" i="14"/>
  <c r="P1" i="14"/>
  <c r="O1" i="14"/>
  <c r="N1" i="14"/>
  <c r="M1" i="14"/>
  <c r="L1" i="14"/>
  <c r="P28" i="13"/>
  <c r="O28" i="13"/>
  <c r="P26" i="13"/>
  <c r="O26" i="13"/>
  <c r="P24" i="13"/>
  <c r="O24" i="13"/>
  <c r="P22" i="13"/>
  <c r="O22" i="13"/>
  <c r="P20" i="13"/>
  <c r="O20" i="13"/>
  <c r="P18" i="13"/>
  <c r="O18" i="13"/>
  <c r="P16" i="13"/>
  <c r="O16" i="13"/>
  <c r="P14" i="13"/>
  <c r="O14" i="13"/>
  <c r="P12" i="13"/>
  <c r="O12" i="13"/>
  <c r="P10" i="13"/>
  <c r="O10" i="13"/>
  <c r="P8" i="13"/>
  <c r="O8" i="13"/>
  <c r="P6" i="13"/>
  <c r="O6" i="13"/>
  <c r="P4" i="13"/>
  <c r="J2" i="12" s="1"/>
  <c r="O4" i="13"/>
  <c r="I2" i="12" s="1"/>
  <c r="N4" i="13"/>
  <c r="P2" i="13"/>
  <c r="O2" i="13"/>
  <c r="N2" i="13"/>
  <c r="AJ22" i="12"/>
  <c r="AI22" i="12" s="1"/>
  <c r="AE22" i="12"/>
  <c r="AC22" i="12"/>
  <c r="AA22" i="12"/>
  <c r="A22" i="12"/>
  <c r="B22" i="12"/>
  <c r="AJ21" i="12"/>
  <c r="AI21" i="12" s="1"/>
  <c r="AE21" i="12"/>
  <c r="AC21" i="12"/>
  <c r="AA21" i="12"/>
  <c r="A21" i="12"/>
  <c r="B21" i="12"/>
  <c r="AJ20" i="12"/>
  <c r="AI20" i="12" s="1"/>
  <c r="AE20" i="12"/>
  <c r="AC20" i="12"/>
  <c r="AA20" i="12"/>
  <c r="A20" i="12"/>
  <c r="B20" i="12"/>
  <c r="AJ19" i="12"/>
  <c r="AI19" i="12" s="1"/>
  <c r="AE19" i="12"/>
  <c r="AC19" i="12"/>
  <c r="AA19" i="12"/>
  <c r="B19" i="12"/>
  <c r="A19" i="12"/>
  <c r="AJ18" i="12"/>
  <c r="AI18" i="12" s="1"/>
  <c r="AE18" i="12"/>
  <c r="AC18" i="12"/>
  <c r="AA18" i="12"/>
  <c r="B18" i="12"/>
  <c r="A18" i="12"/>
  <c r="AJ17" i="12"/>
  <c r="AI17" i="12" s="1"/>
  <c r="AE17" i="12"/>
  <c r="AC17" i="12"/>
  <c r="AA17" i="12"/>
  <c r="A17" i="12"/>
  <c r="B17" i="12"/>
  <c r="AJ16" i="12"/>
  <c r="AI16" i="12" s="1"/>
  <c r="AE16" i="12"/>
  <c r="AC16" i="12"/>
  <c r="AA16" i="12"/>
  <c r="A16" i="12"/>
  <c r="B16" i="12"/>
  <c r="AJ15" i="12"/>
  <c r="AI15" i="12" s="1"/>
  <c r="AE15" i="12"/>
  <c r="AC15" i="12"/>
  <c r="AA15" i="12"/>
  <c r="B15" i="12"/>
  <c r="A15" i="12"/>
  <c r="AJ14" i="12"/>
  <c r="AI14" i="12" s="1"/>
  <c r="AE14" i="12"/>
  <c r="AC14" i="12"/>
  <c r="AA14" i="12"/>
  <c r="A14" i="12"/>
  <c r="B14" i="12"/>
  <c r="AJ13" i="12"/>
  <c r="AI13" i="12" s="1"/>
  <c r="AE13" i="12"/>
  <c r="AC13" i="12"/>
  <c r="AA13" i="12"/>
  <c r="B13" i="12"/>
  <c r="A13" i="12"/>
  <c r="AJ12" i="12"/>
  <c r="AI12" i="12" s="1"/>
  <c r="AE12" i="12"/>
  <c r="AC12" i="12"/>
  <c r="AA12" i="12"/>
  <c r="B12" i="12"/>
  <c r="A12" i="12"/>
  <c r="AJ11" i="12"/>
  <c r="AI11" i="12" s="1"/>
  <c r="AE11" i="12"/>
  <c r="AC11" i="12"/>
  <c r="AA11" i="12"/>
  <c r="A11" i="12"/>
  <c r="B11" i="12"/>
  <c r="AJ10" i="12"/>
  <c r="AI10" i="12" s="1"/>
  <c r="AE10" i="12"/>
  <c r="AC10" i="12"/>
  <c r="AA10" i="12"/>
  <c r="A10" i="12"/>
  <c r="B10" i="12"/>
  <c r="AE9" i="12"/>
  <c r="AC9" i="12"/>
  <c r="AA9" i="12"/>
  <c r="B9" i="12"/>
  <c r="A9" i="12"/>
  <c r="AE8" i="12"/>
  <c r="AC8" i="12"/>
  <c r="AA8" i="12"/>
  <c r="B8" i="12"/>
  <c r="A8" i="12"/>
  <c r="AJ7" i="12"/>
  <c r="AE7" i="12"/>
  <c r="AC7" i="12"/>
  <c r="AA7" i="12"/>
  <c r="A7" i="12"/>
  <c r="B7" i="12"/>
  <c r="AJ6" i="12"/>
  <c r="AE6" i="12"/>
  <c r="AC6" i="12"/>
  <c r="AA6" i="12"/>
  <c r="A6" i="12"/>
  <c r="B6" i="12"/>
  <c r="AE5" i="12"/>
  <c r="AC5" i="12"/>
  <c r="AA5" i="12"/>
  <c r="B5" i="12"/>
  <c r="A5" i="12"/>
  <c r="AJ4" i="12"/>
  <c r="AE4" i="12"/>
  <c r="AC4" i="12"/>
  <c r="AA4" i="12"/>
  <c r="B4" i="12"/>
  <c r="A4" i="12"/>
  <c r="AJ3" i="12"/>
  <c r="AE3" i="12"/>
  <c r="AC3" i="12"/>
  <c r="AA3" i="12"/>
  <c r="A3" i="12"/>
  <c r="B3" i="12"/>
  <c r="AJ2" i="12"/>
  <c r="AE2" i="12"/>
  <c r="AC2" i="12"/>
  <c r="AA2" i="12"/>
  <c r="A2" i="12"/>
  <c r="B2" i="12"/>
  <c r="Q92" i="11"/>
  <c r="P92" i="11"/>
  <c r="N92" i="11"/>
  <c r="M92" i="11"/>
  <c r="Q91" i="11"/>
  <c r="P91" i="11"/>
  <c r="N91" i="11"/>
  <c r="M91" i="11"/>
  <c r="Q90" i="11"/>
  <c r="P90" i="11"/>
  <c r="N90" i="11"/>
  <c r="M90" i="11"/>
  <c r="Q89" i="11"/>
  <c r="P89" i="11"/>
  <c r="N89" i="11"/>
  <c r="M89" i="11"/>
  <c r="Q88" i="11"/>
  <c r="P88" i="11"/>
  <c r="N88" i="11"/>
  <c r="M88" i="11"/>
  <c r="Q87" i="11"/>
  <c r="P87" i="11"/>
  <c r="N87" i="11"/>
  <c r="M87" i="11"/>
  <c r="Q86" i="11"/>
  <c r="P86" i="11"/>
  <c r="N86" i="11"/>
  <c r="M86" i="11"/>
  <c r="Q85" i="11"/>
  <c r="P85" i="11"/>
  <c r="N85" i="11"/>
  <c r="M85" i="11"/>
  <c r="Q84" i="11"/>
  <c r="P84" i="11"/>
  <c r="N84" i="11"/>
  <c r="M84" i="11"/>
  <c r="Q83" i="11"/>
  <c r="P83" i="11"/>
  <c r="N83" i="11"/>
  <c r="M83" i="11"/>
  <c r="Q82" i="11"/>
  <c r="P82" i="11"/>
  <c r="N82" i="11"/>
  <c r="M82" i="11"/>
  <c r="Q81" i="11"/>
  <c r="P81" i="11"/>
  <c r="N81" i="11"/>
  <c r="M81" i="11"/>
  <c r="Q80" i="11"/>
  <c r="P80" i="11"/>
  <c r="N80" i="11"/>
  <c r="M80" i="11"/>
  <c r="Q79" i="11"/>
  <c r="P79" i="11"/>
  <c r="N79" i="11"/>
  <c r="M79" i="11"/>
  <c r="Q78" i="11"/>
  <c r="P78" i="11"/>
  <c r="N78" i="11"/>
  <c r="M78" i="11"/>
  <c r="Q77" i="11"/>
  <c r="P77" i="11"/>
  <c r="N77" i="11"/>
  <c r="M77" i="11"/>
  <c r="Q76" i="11"/>
  <c r="P76" i="11"/>
  <c r="N76" i="11"/>
  <c r="M76" i="11"/>
  <c r="Q75" i="11"/>
  <c r="P75" i="11"/>
  <c r="N75" i="11"/>
  <c r="M75" i="11"/>
  <c r="Q74" i="11"/>
  <c r="P74" i="11"/>
  <c r="N74" i="11"/>
  <c r="M74" i="11"/>
  <c r="Q73" i="11"/>
  <c r="P73" i="11"/>
  <c r="N73" i="11"/>
  <c r="M73" i="11"/>
  <c r="Q72" i="11"/>
  <c r="P72" i="11"/>
  <c r="N72" i="11"/>
  <c r="M72" i="11"/>
  <c r="Q71" i="11"/>
  <c r="P71" i="11"/>
  <c r="N71" i="11"/>
  <c r="M71" i="11"/>
  <c r="Q70" i="11"/>
  <c r="P70" i="11"/>
  <c r="N70" i="11"/>
  <c r="M70" i="11"/>
  <c r="Q69" i="11"/>
  <c r="P69" i="11"/>
  <c r="N69" i="11"/>
  <c r="M69" i="11"/>
  <c r="Q68" i="11"/>
  <c r="P68" i="11"/>
  <c r="N68" i="11"/>
  <c r="M68" i="11"/>
  <c r="Q67" i="11"/>
  <c r="P67" i="11"/>
  <c r="N67" i="11"/>
  <c r="M67" i="11"/>
  <c r="Q66" i="11"/>
  <c r="P66" i="11"/>
  <c r="N66" i="11"/>
  <c r="M66" i="11"/>
  <c r="Q65" i="11"/>
  <c r="P65" i="11"/>
  <c r="N65" i="11"/>
  <c r="M65" i="11"/>
  <c r="Q64" i="11"/>
  <c r="P64" i="11"/>
  <c r="N64" i="11"/>
  <c r="M64" i="11"/>
  <c r="Q63" i="11"/>
  <c r="P63" i="11"/>
  <c r="N63" i="11"/>
  <c r="M63" i="11"/>
  <c r="Q62" i="11"/>
  <c r="P62" i="11"/>
  <c r="N62" i="11"/>
  <c r="M62" i="11"/>
  <c r="Q61" i="11"/>
  <c r="P61" i="11"/>
  <c r="N61" i="11"/>
  <c r="M61" i="11"/>
  <c r="Q60" i="11"/>
  <c r="P60" i="11"/>
  <c r="N60" i="11"/>
  <c r="M60" i="11"/>
  <c r="Q59" i="11"/>
  <c r="P59" i="11"/>
  <c r="N59" i="11"/>
  <c r="M59" i="11"/>
  <c r="Q58" i="11"/>
  <c r="P58" i="11"/>
  <c r="N58" i="11"/>
  <c r="M58" i="11"/>
  <c r="Q57" i="11"/>
  <c r="P57" i="11"/>
  <c r="N57" i="11"/>
  <c r="M57" i="11"/>
  <c r="Q56" i="11"/>
  <c r="P56" i="11"/>
  <c r="N56" i="11"/>
  <c r="M56" i="11"/>
  <c r="Q55" i="11"/>
  <c r="P55" i="11"/>
  <c r="N55" i="11"/>
  <c r="M55" i="11"/>
  <c r="Q54" i="11"/>
  <c r="P54" i="11"/>
  <c r="N54" i="11"/>
  <c r="M54" i="11"/>
  <c r="Q53" i="11"/>
  <c r="P53" i="11"/>
  <c r="N53" i="11"/>
  <c r="M53" i="11"/>
  <c r="Q52" i="11"/>
  <c r="P52" i="11"/>
  <c r="N52" i="11"/>
  <c r="M52" i="11"/>
  <c r="Q51" i="11"/>
  <c r="P51" i="11"/>
  <c r="N51" i="11"/>
  <c r="M51" i="11"/>
  <c r="Q50" i="11"/>
  <c r="P50" i="11"/>
  <c r="N50" i="11"/>
  <c r="M50" i="11"/>
  <c r="Q49" i="11"/>
  <c r="P49" i="11"/>
  <c r="N49" i="11"/>
  <c r="M49" i="11"/>
  <c r="Q48" i="11"/>
  <c r="P48" i="11"/>
  <c r="N48" i="11"/>
  <c r="M48" i="11"/>
  <c r="Q47" i="11"/>
  <c r="P47" i="11"/>
  <c r="N47" i="11"/>
  <c r="M47" i="11"/>
  <c r="Q46" i="11"/>
  <c r="P46" i="11"/>
  <c r="N46" i="11"/>
  <c r="M46" i="11"/>
  <c r="Q45" i="11"/>
  <c r="P45" i="11"/>
  <c r="N45" i="11"/>
  <c r="M45" i="11"/>
  <c r="Q44" i="11"/>
  <c r="P44" i="11"/>
  <c r="N44" i="11"/>
  <c r="M44" i="11"/>
  <c r="Q43" i="11"/>
  <c r="P43" i="11"/>
  <c r="N43" i="11"/>
  <c r="M43" i="11"/>
  <c r="Q42" i="11"/>
  <c r="P42" i="11"/>
  <c r="N42" i="11"/>
  <c r="M42" i="11"/>
  <c r="Q41" i="11"/>
  <c r="P41" i="11"/>
  <c r="N41" i="11"/>
  <c r="M41" i="11"/>
  <c r="Q40" i="11"/>
  <c r="P40" i="11"/>
  <c r="N40" i="11"/>
  <c r="M40" i="11"/>
  <c r="Q39" i="11"/>
  <c r="P39" i="11"/>
  <c r="N39" i="11"/>
  <c r="M39" i="11"/>
  <c r="Q38" i="11"/>
  <c r="P38" i="11"/>
  <c r="N38" i="11"/>
  <c r="M38" i="11"/>
  <c r="Q37" i="11"/>
  <c r="P37" i="11"/>
  <c r="N37" i="11"/>
  <c r="M37" i="11"/>
  <c r="Q36" i="11"/>
  <c r="P36" i="11"/>
  <c r="N36" i="11"/>
  <c r="M36" i="11"/>
  <c r="Q35" i="11"/>
  <c r="P35" i="11"/>
  <c r="N35" i="11"/>
  <c r="M35" i="11"/>
  <c r="Q34" i="11"/>
  <c r="P34" i="11"/>
  <c r="N34" i="11"/>
  <c r="M34" i="11"/>
  <c r="Q33" i="11"/>
  <c r="P33" i="11"/>
  <c r="N33" i="11"/>
  <c r="M33" i="11"/>
  <c r="Q32" i="11"/>
  <c r="P32" i="11"/>
  <c r="N32" i="11"/>
  <c r="M32" i="11"/>
  <c r="Q31" i="11"/>
  <c r="P31" i="11"/>
  <c r="N31" i="11"/>
  <c r="M31" i="11"/>
  <c r="Q30" i="11"/>
  <c r="P30" i="11"/>
  <c r="N30" i="11"/>
  <c r="M30" i="11"/>
  <c r="Q29" i="11"/>
  <c r="P29" i="11"/>
  <c r="N29" i="11"/>
  <c r="M29" i="11"/>
  <c r="Q28" i="11"/>
  <c r="P28" i="11"/>
  <c r="N28" i="11"/>
  <c r="M28" i="11"/>
  <c r="Q27" i="11"/>
  <c r="P27" i="11"/>
  <c r="N27" i="11"/>
  <c r="M27" i="11"/>
  <c r="Q26" i="11"/>
  <c r="P26" i="11"/>
  <c r="N26" i="11"/>
  <c r="M26" i="11"/>
  <c r="Q25" i="11"/>
  <c r="P25" i="11"/>
  <c r="N25" i="11"/>
  <c r="M25" i="11"/>
  <c r="Q24" i="11"/>
  <c r="P24" i="11"/>
  <c r="N24" i="11"/>
  <c r="M24" i="11"/>
  <c r="Q23" i="11"/>
  <c r="P23" i="11"/>
  <c r="N23" i="11"/>
  <c r="M23" i="11"/>
  <c r="Q22" i="11"/>
  <c r="P22" i="11"/>
  <c r="N22" i="11"/>
  <c r="L22" i="11"/>
  <c r="K22" i="11"/>
  <c r="I22" i="11"/>
  <c r="M22" i="11" s="1"/>
  <c r="Q21" i="11"/>
  <c r="P21" i="11"/>
  <c r="N21" i="11"/>
  <c r="L21" i="11"/>
  <c r="K21" i="11"/>
  <c r="I21" i="11"/>
  <c r="M21" i="11" s="1"/>
  <c r="Q20" i="11"/>
  <c r="P20" i="11"/>
  <c r="N20" i="11"/>
  <c r="L20" i="11"/>
  <c r="K20" i="11"/>
  <c r="I20" i="11"/>
  <c r="M20" i="11" s="1"/>
  <c r="Q19" i="11"/>
  <c r="P19" i="11"/>
  <c r="N19" i="11"/>
  <c r="L19" i="11"/>
  <c r="K19" i="11"/>
  <c r="I19" i="11"/>
  <c r="M19" i="11" s="1"/>
  <c r="H19" i="11"/>
  <c r="H20" i="11" s="1"/>
  <c r="H21" i="11" s="1"/>
  <c r="H22" i="11" s="1"/>
  <c r="Q18" i="11"/>
  <c r="P18" i="11"/>
  <c r="N18" i="11"/>
  <c r="K18" i="11"/>
  <c r="J18" i="11"/>
  <c r="I18" i="11"/>
  <c r="M18" i="11" s="1"/>
  <c r="P17" i="11"/>
  <c r="N17" i="11"/>
  <c r="Q17" i="11" s="1"/>
  <c r="M17" i="11"/>
  <c r="K17" i="11"/>
  <c r="J17" i="11"/>
  <c r="I17" i="11"/>
  <c r="Q16" i="11"/>
  <c r="P16" i="11"/>
  <c r="N16" i="11"/>
  <c r="M16" i="11"/>
  <c r="I16" i="11"/>
  <c r="Q15" i="11"/>
  <c r="P15" i="11"/>
  <c r="N15" i="11"/>
  <c r="M15" i="11"/>
  <c r="I15" i="11"/>
  <c r="Q14" i="11"/>
  <c r="P14" i="11"/>
  <c r="N14" i="11"/>
  <c r="M14" i="11"/>
  <c r="K14" i="11"/>
  <c r="I14" i="11"/>
  <c r="Q13" i="11"/>
  <c r="P13" i="11"/>
  <c r="N13" i="11"/>
  <c r="M13" i="11"/>
  <c r="K13" i="11"/>
  <c r="I13" i="11"/>
  <c r="Q11" i="11"/>
  <c r="P11" i="11"/>
  <c r="J11" i="11"/>
  <c r="Q10" i="11"/>
  <c r="P10" i="11"/>
  <c r="J10" i="11"/>
  <c r="Q9" i="11"/>
  <c r="P9" i="11"/>
  <c r="J9" i="11"/>
  <c r="Q8" i="11"/>
  <c r="P8" i="11"/>
  <c r="J8" i="11"/>
  <c r="Q7" i="11"/>
  <c r="P7" i="11"/>
  <c r="J7" i="11"/>
  <c r="Q6" i="11"/>
  <c r="P6" i="11"/>
  <c r="J6" i="11"/>
  <c r="Q5" i="11"/>
  <c r="P5" i="11"/>
  <c r="J5" i="11"/>
  <c r="Q4" i="11"/>
  <c r="P4" i="11"/>
  <c r="J4" i="11"/>
  <c r="Q3" i="11"/>
  <c r="P3" i="11"/>
  <c r="J3" i="11"/>
  <c r="Q2" i="11"/>
  <c r="P2" i="11"/>
  <c r="J2" i="11"/>
  <c r="Q1" i="11"/>
  <c r="P1" i="11"/>
  <c r="H1" i="11"/>
  <c r="Z22" i="10"/>
  <c r="Y22" i="10"/>
  <c r="X22" i="10"/>
  <c r="W22" i="10"/>
  <c r="V22" i="10"/>
  <c r="U22" i="10"/>
  <c r="T22" i="10"/>
  <c r="S22" i="10"/>
  <c r="R22" i="10"/>
  <c r="I22" i="10"/>
  <c r="H22" i="10"/>
  <c r="D22" i="10" s="1"/>
  <c r="G22" i="10"/>
  <c r="C22" i="10" s="1"/>
  <c r="B22" i="10"/>
  <c r="A22" i="10"/>
  <c r="Z21" i="10"/>
  <c r="Y21" i="10"/>
  <c r="X21" i="10"/>
  <c r="W21" i="10"/>
  <c r="V21" i="10"/>
  <c r="U21" i="10"/>
  <c r="T21" i="10"/>
  <c r="S21" i="10"/>
  <c r="R21" i="10"/>
  <c r="I21" i="10"/>
  <c r="H21" i="10"/>
  <c r="D21" i="10" s="1"/>
  <c r="G21" i="10"/>
  <c r="C21" i="10" s="1"/>
  <c r="B21" i="10"/>
  <c r="A21" i="10"/>
  <c r="Z20" i="10"/>
  <c r="Y20" i="10"/>
  <c r="X20" i="10"/>
  <c r="W20" i="10"/>
  <c r="V20" i="10"/>
  <c r="U20" i="10"/>
  <c r="T20" i="10"/>
  <c r="S20" i="10"/>
  <c r="R20" i="10"/>
  <c r="I20" i="10"/>
  <c r="H20" i="10"/>
  <c r="D20" i="10" s="1"/>
  <c r="G20" i="10"/>
  <c r="C20" i="10" s="1"/>
  <c r="B20" i="10"/>
  <c r="A20" i="10"/>
  <c r="Z19" i="10"/>
  <c r="Y19" i="10"/>
  <c r="X19" i="10"/>
  <c r="W19" i="10"/>
  <c r="V19" i="10"/>
  <c r="U19" i="10"/>
  <c r="T19" i="10"/>
  <c r="S19" i="10"/>
  <c r="R19" i="10"/>
  <c r="I19" i="10"/>
  <c r="H19" i="10"/>
  <c r="D19" i="10" s="1"/>
  <c r="G19" i="10"/>
  <c r="C19" i="10" s="1"/>
  <c r="B19" i="10"/>
  <c r="A19" i="10"/>
  <c r="Z18" i="10"/>
  <c r="Y18" i="10"/>
  <c r="X18" i="10"/>
  <c r="W18" i="10"/>
  <c r="V18" i="10"/>
  <c r="U18" i="10"/>
  <c r="T18" i="10"/>
  <c r="S18" i="10"/>
  <c r="R18" i="10"/>
  <c r="I18" i="10"/>
  <c r="H18" i="10"/>
  <c r="D18" i="10" s="1"/>
  <c r="G18" i="10"/>
  <c r="C18" i="10" s="1"/>
  <c r="B18" i="10"/>
  <c r="A18" i="10"/>
  <c r="Z17" i="10"/>
  <c r="Y17" i="10"/>
  <c r="X17" i="10"/>
  <c r="W17" i="10"/>
  <c r="V17" i="10"/>
  <c r="U17" i="10"/>
  <c r="T17" i="10"/>
  <c r="S17" i="10"/>
  <c r="R17" i="10"/>
  <c r="I17" i="10"/>
  <c r="H17" i="10"/>
  <c r="D17" i="10" s="1"/>
  <c r="G17" i="10"/>
  <c r="C17" i="10" s="1"/>
  <c r="B17" i="10"/>
  <c r="A17" i="10"/>
  <c r="Z16" i="10"/>
  <c r="Y16" i="10"/>
  <c r="X16" i="10"/>
  <c r="W16" i="10"/>
  <c r="V16" i="10"/>
  <c r="U16" i="10"/>
  <c r="T16" i="10"/>
  <c r="S16" i="10"/>
  <c r="R16" i="10"/>
  <c r="I16" i="10"/>
  <c r="H16" i="10"/>
  <c r="D16" i="10" s="1"/>
  <c r="G16" i="10"/>
  <c r="C16" i="10" s="1"/>
  <c r="B16" i="10"/>
  <c r="A16" i="10"/>
  <c r="Z15" i="10"/>
  <c r="Y15" i="10"/>
  <c r="X15" i="10"/>
  <c r="W15" i="10"/>
  <c r="V15" i="10"/>
  <c r="U15" i="10"/>
  <c r="T15" i="10"/>
  <c r="S15" i="10"/>
  <c r="R15" i="10"/>
  <c r="I15" i="10"/>
  <c r="H15" i="10"/>
  <c r="D15" i="10" s="1"/>
  <c r="G15" i="10"/>
  <c r="C15" i="10" s="1"/>
  <c r="B15" i="10"/>
  <c r="A15" i="10"/>
  <c r="Z14" i="10"/>
  <c r="Y14" i="10"/>
  <c r="X14" i="10"/>
  <c r="W14" i="10"/>
  <c r="V14" i="10"/>
  <c r="U14" i="10"/>
  <c r="T14" i="10"/>
  <c r="S14" i="10"/>
  <c r="R14" i="10"/>
  <c r="I14" i="10"/>
  <c r="H14" i="10"/>
  <c r="D14" i="10" s="1"/>
  <c r="G14" i="10"/>
  <c r="C14" i="10" s="1"/>
  <c r="B14" i="10"/>
  <c r="A14" i="10"/>
  <c r="Z13" i="10"/>
  <c r="Y13" i="10"/>
  <c r="X13" i="10"/>
  <c r="W13" i="10"/>
  <c r="V13" i="10"/>
  <c r="U13" i="10"/>
  <c r="T13" i="10"/>
  <c r="S13" i="10"/>
  <c r="R13" i="10"/>
  <c r="I13" i="10"/>
  <c r="H13" i="10"/>
  <c r="D13" i="10" s="1"/>
  <c r="G13" i="10"/>
  <c r="C13" i="10" s="1"/>
  <c r="B13" i="10"/>
  <c r="A13" i="10"/>
  <c r="Z12" i="10"/>
  <c r="Y12" i="10"/>
  <c r="X12" i="10"/>
  <c r="W12" i="10"/>
  <c r="V12" i="10"/>
  <c r="U12" i="10"/>
  <c r="T12" i="10"/>
  <c r="S12" i="10"/>
  <c r="R12" i="10"/>
  <c r="I12" i="10"/>
  <c r="H12" i="10"/>
  <c r="D12" i="10" s="1"/>
  <c r="G12" i="10"/>
  <c r="C12" i="10" s="1"/>
  <c r="B12" i="10"/>
  <c r="A12" i="10"/>
  <c r="Z11" i="10"/>
  <c r="Y11" i="10"/>
  <c r="X11" i="10"/>
  <c r="W11" i="10"/>
  <c r="V11" i="10"/>
  <c r="U11" i="10"/>
  <c r="T11" i="10"/>
  <c r="S11" i="10"/>
  <c r="R11" i="10"/>
  <c r="I11" i="10"/>
  <c r="H11" i="10"/>
  <c r="D11" i="10" s="1"/>
  <c r="G11" i="10"/>
  <c r="C11" i="10" s="1"/>
  <c r="B11" i="10"/>
  <c r="A11" i="10"/>
  <c r="Z10" i="10"/>
  <c r="Y10" i="10"/>
  <c r="X10" i="10"/>
  <c r="W10" i="10"/>
  <c r="V10" i="10"/>
  <c r="U10" i="10"/>
  <c r="T10" i="10"/>
  <c r="S10" i="10"/>
  <c r="R10" i="10"/>
  <c r="I10" i="10"/>
  <c r="H10" i="10"/>
  <c r="D10" i="10" s="1"/>
  <c r="G10" i="10"/>
  <c r="C10" i="10" s="1"/>
  <c r="B10" i="10"/>
  <c r="A10" i="10"/>
  <c r="Z9" i="10"/>
  <c r="Y9" i="10"/>
  <c r="X9" i="10"/>
  <c r="W9" i="10"/>
  <c r="V9" i="10"/>
  <c r="U9" i="10"/>
  <c r="T9" i="10"/>
  <c r="S9" i="10"/>
  <c r="R9" i="10"/>
  <c r="I9" i="10"/>
  <c r="H9" i="10"/>
  <c r="D9" i="10" s="1"/>
  <c r="G9" i="10"/>
  <c r="C9" i="10" s="1"/>
  <c r="B9" i="10"/>
  <c r="A9" i="10"/>
  <c r="Z8" i="10"/>
  <c r="Y8" i="10"/>
  <c r="X8" i="10"/>
  <c r="W8" i="10"/>
  <c r="V8" i="10"/>
  <c r="U8" i="10"/>
  <c r="T8" i="10"/>
  <c r="S8" i="10"/>
  <c r="R8" i="10"/>
  <c r="I8" i="10"/>
  <c r="H8" i="10"/>
  <c r="D8" i="10" s="1"/>
  <c r="G8" i="10"/>
  <c r="C8" i="10" s="1"/>
  <c r="B8" i="10"/>
  <c r="A8" i="10"/>
  <c r="Z7" i="10"/>
  <c r="Y7" i="10"/>
  <c r="X7" i="10"/>
  <c r="W7" i="10"/>
  <c r="V7" i="10"/>
  <c r="U7" i="10"/>
  <c r="T7" i="10"/>
  <c r="S7" i="10"/>
  <c r="R7" i="10"/>
  <c r="I7" i="10"/>
  <c r="H7" i="10"/>
  <c r="D7" i="10" s="1"/>
  <c r="G7" i="10"/>
  <c r="C7" i="10" s="1"/>
  <c r="B7" i="10"/>
  <c r="A7" i="10"/>
  <c r="Y6" i="10"/>
  <c r="X6" i="10"/>
  <c r="Z6" i="10" s="1"/>
  <c r="W6" i="10"/>
  <c r="V6" i="10"/>
  <c r="U6" i="10"/>
  <c r="T6" i="10"/>
  <c r="S6" i="10"/>
  <c r="I6" i="10"/>
  <c r="H6" i="10" s="1"/>
  <c r="D6" i="10" s="1"/>
  <c r="B6" i="10"/>
  <c r="A6" i="10"/>
  <c r="Y5" i="10"/>
  <c r="X5" i="10"/>
  <c r="Z5" i="10" s="1"/>
  <c r="W5" i="10"/>
  <c r="V5" i="10"/>
  <c r="U5" i="10"/>
  <c r="T5" i="10"/>
  <c r="S5" i="10"/>
  <c r="I5" i="10"/>
  <c r="R5" i="10" s="1"/>
  <c r="H5" i="10"/>
  <c r="D5" i="10" s="1"/>
  <c r="B5" i="10"/>
  <c r="A5" i="10"/>
  <c r="Z4" i="10"/>
  <c r="Y4" i="10"/>
  <c r="X4" i="10"/>
  <c r="W4" i="10"/>
  <c r="H4" i="10" s="1"/>
  <c r="D4" i="10" s="1"/>
  <c r="V4" i="10"/>
  <c r="U4" i="10"/>
  <c r="T4" i="10"/>
  <c r="S4" i="10"/>
  <c r="R4" i="10"/>
  <c r="I4" i="10"/>
  <c r="B4" i="10"/>
  <c r="Z3" i="10"/>
  <c r="Y3" i="10"/>
  <c r="X3" i="10"/>
  <c r="W3" i="10"/>
  <c r="V3" i="10"/>
  <c r="U3" i="10"/>
  <c r="T3" i="10"/>
  <c r="S3" i="10"/>
  <c r="R3" i="10"/>
  <c r="I3" i="10"/>
  <c r="H3" i="10"/>
  <c r="D3" i="10" s="1"/>
  <c r="G3" i="10"/>
  <c r="C3" i="10" s="1"/>
  <c r="B3" i="10"/>
  <c r="A3" i="10"/>
  <c r="Y2" i="10"/>
  <c r="X2" i="10"/>
  <c r="Z2" i="10" s="1"/>
  <c r="W2" i="10"/>
  <c r="V2" i="10"/>
  <c r="U2" i="10"/>
  <c r="T2" i="10"/>
  <c r="AD2" i="10" s="1"/>
  <c r="S2" i="10"/>
  <c r="I2" i="10"/>
  <c r="H2" i="10" s="1"/>
  <c r="B2" i="10"/>
  <c r="Y1" i="10"/>
  <c r="X1" i="10"/>
  <c r="V1" i="10"/>
  <c r="U1" i="10"/>
  <c r="T1" i="10"/>
  <c r="AL2" i="12" l="1"/>
  <c r="D72" i="6" s="1"/>
  <c r="AW6" i="14"/>
  <c r="AB2" i="10"/>
  <c r="E58" i="8"/>
  <c r="C2" i="12"/>
  <c r="C4" i="12"/>
  <c r="C8" i="12"/>
  <c r="C12" i="12"/>
  <c r="C16" i="12"/>
  <c r="C20" i="12"/>
  <c r="C5" i="12"/>
  <c r="C9" i="12"/>
  <c r="C13" i="12"/>
  <c r="C17" i="12"/>
  <c r="C21" i="12"/>
  <c r="C6" i="12"/>
  <c r="C10" i="12"/>
  <c r="C14" i="12"/>
  <c r="C18" i="12"/>
  <c r="C22" i="12"/>
  <c r="C3" i="12"/>
  <c r="C7" i="12"/>
  <c r="C15" i="12"/>
  <c r="C19" i="12"/>
  <c r="D5" i="12"/>
  <c r="D9" i="12"/>
  <c r="D13" i="12"/>
  <c r="D17" i="12"/>
  <c r="D21" i="12"/>
  <c r="D6" i="12"/>
  <c r="D10" i="12"/>
  <c r="D14" i="12"/>
  <c r="D18" i="12"/>
  <c r="D22" i="12"/>
  <c r="D3" i="12"/>
  <c r="D7" i="12"/>
  <c r="D11" i="12"/>
  <c r="D15" i="12"/>
  <c r="D19" i="12"/>
  <c r="D4" i="12"/>
  <c r="D8" i="12"/>
  <c r="D12" i="12"/>
  <c r="D16" i="12"/>
  <c r="D20" i="12"/>
  <c r="D2" i="12"/>
  <c r="B72" i="6" s="1"/>
  <c r="B71" i="6" s="1"/>
  <c r="C11" i="12"/>
  <c r="E59" i="8"/>
  <c r="AA2" i="10"/>
  <c r="G4" i="10"/>
  <c r="C4" i="10" s="1"/>
  <c r="G6" i="10"/>
  <c r="C6" i="10" s="1"/>
  <c r="R6" i="10"/>
  <c r="A4" i="10"/>
  <c r="G5" i="10"/>
  <c r="C5" i="10" s="1"/>
  <c r="AS4" i="14"/>
  <c r="AW8" i="14"/>
  <c r="AS8" i="14"/>
  <c r="AW9" i="14"/>
  <c r="J2" i="14"/>
  <c r="D2" i="14" s="1"/>
  <c r="B94" i="6" s="1"/>
  <c r="B93" i="6" s="1"/>
  <c r="E55" i="8"/>
  <c r="E54" i="8"/>
  <c r="J3" i="14"/>
  <c r="D3" i="14" s="1"/>
  <c r="E56" i="8"/>
  <c r="J7" i="14"/>
  <c r="D7" i="14" s="1"/>
  <c r="I7" i="14"/>
  <c r="C7" i="14" s="1"/>
  <c r="I3" i="14"/>
  <c r="C3" i="14" s="1"/>
  <c r="E57" i="8"/>
  <c r="E53" i="8"/>
  <c r="R2" i="10"/>
  <c r="G2" i="10"/>
  <c r="C2" i="10" s="1"/>
  <c r="A2" i="10"/>
  <c r="P2" i="10"/>
  <c r="AD3" i="10"/>
  <c r="AB3" i="10" s="1"/>
  <c r="D2" i="10"/>
  <c r="AQ13" i="14"/>
  <c r="AQ17" i="14"/>
  <c r="AJ5" i="12"/>
  <c r="AJ9" i="12"/>
  <c r="J4" i="14"/>
  <c r="D4" i="14" s="1"/>
  <c r="I4" i="14"/>
  <c r="C4" i="14" s="1"/>
  <c r="J8" i="14"/>
  <c r="D8" i="14" s="1"/>
  <c r="I8" i="14"/>
  <c r="C8" i="14" s="1"/>
  <c r="AQ14" i="14"/>
  <c r="AQ18" i="14"/>
  <c r="AQ19" i="14"/>
  <c r="AQ20" i="14"/>
  <c r="AQ21" i="14"/>
  <c r="AQ22" i="14"/>
  <c r="AJ8" i="12"/>
  <c r="AS2" i="14"/>
  <c r="J5" i="14"/>
  <c r="D5" i="14" s="1"/>
  <c r="I5" i="14"/>
  <c r="C5" i="14" s="1"/>
  <c r="AS6" i="14"/>
  <c r="J9" i="14"/>
  <c r="D9" i="14" s="1"/>
  <c r="I9" i="14"/>
  <c r="C9" i="14" s="1"/>
  <c r="AQ11" i="14"/>
  <c r="AQ15" i="14"/>
  <c r="I2" i="14"/>
  <c r="C2" i="14" s="1"/>
  <c r="J6" i="14"/>
  <c r="D6" i="14" s="1"/>
  <c r="I6" i="14"/>
  <c r="C6" i="14" s="1"/>
  <c r="K7" i="14"/>
  <c r="AQ12" i="14"/>
  <c r="AQ16" i="14"/>
  <c r="A39" i="15"/>
  <c r="K2" i="14" s="1"/>
  <c r="AA23" i="14"/>
  <c r="W23" i="14"/>
  <c r="AD23" i="14" s="1"/>
  <c r="AW23" i="14" s="1"/>
  <c r="AA22" i="14"/>
  <c r="W22" i="14"/>
  <c r="AD22" i="14" s="1"/>
  <c r="I22" i="14" s="1"/>
  <c r="C22" i="14" s="1"/>
  <c r="AA21" i="14"/>
  <c r="W21" i="14"/>
  <c r="AD21" i="14" s="1"/>
  <c r="J21" i="14" s="1"/>
  <c r="D21" i="14" s="1"/>
  <c r="AA20" i="14"/>
  <c r="W20" i="14"/>
  <c r="AD20" i="14" s="1"/>
  <c r="J20" i="14" s="1"/>
  <c r="D20" i="14" s="1"/>
  <c r="AA19" i="14"/>
  <c r="W19" i="14"/>
  <c r="AD19" i="14" s="1"/>
  <c r="J19" i="14" s="1"/>
  <c r="D19" i="14" s="1"/>
  <c r="AA18" i="14"/>
  <c r="W18" i="14"/>
  <c r="AD18" i="14" s="1"/>
  <c r="I18" i="14" s="1"/>
  <c r="C18" i="14" s="1"/>
  <c r="AA17" i="14"/>
  <c r="W17" i="14"/>
  <c r="AD17" i="14" s="1"/>
  <c r="J17" i="14" s="1"/>
  <c r="D17" i="14" s="1"/>
  <c r="AA16" i="14"/>
  <c r="W16" i="14"/>
  <c r="AD16" i="14" s="1"/>
  <c r="J16" i="14" s="1"/>
  <c r="D16" i="14" s="1"/>
  <c r="AA15" i="14"/>
  <c r="W15" i="14"/>
  <c r="AD15" i="14" s="1"/>
  <c r="I15" i="14" s="1"/>
  <c r="C15" i="14" s="1"/>
  <c r="AA14" i="14"/>
  <c r="W14" i="14"/>
  <c r="AD14" i="14" s="1"/>
  <c r="J14" i="14" s="1"/>
  <c r="D14" i="14" s="1"/>
  <c r="AA13" i="14"/>
  <c r="W13" i="14"/>
  <c r="AD13" i="14" s="1"/>
  <c r="J13" i="14" s="1"/>
  <c r="D13" i="14" s="1"/>
  <c r="AA12" i="14"/>
  <c r="W12" i="14"/>
  <c r="AD12" i="14" s="1"/>
  <c r="J12" i="14" s="1"/>
  <c r="D12" i="14" s="1"/>
  <c r="AA11" i="14"/>
  <c r="W11" i="14"/>
  <c r="AD11" i="14" s="1"/>
  <c r="J11" i="14" s="1"/>
  <c r="D11" i="14" s="1"/>
  <c r="AA10" i="14"/>
  <c r="W10" i="14"/>
  <c r="AD10" i="14" s="1"/>
  <c r="J10" i="14" s="1"/>
  <c r="D10" i="14" s="1"/>
  <c r="Y23" i="14"/>
  <c r="Y22" i="14"/>
  <c r="Y21" i="14"/>
  <c r="Y20" i="14"/>
  <c r="Y19" i="14"/>
  <c r="Y18" i="14"/>
  <c r="Y17" i="14"/>
  <c r="Y16" i="14"/>
  <c r="Y15" i="14"/>
  <c r="Y14" i="14"/>
  <c r="Y13" i="14"/>
  <c r="Y12" i="14"/>
  <c r="AQ2" i="14"/>
  <c r="AZ2" i="14" s="1"/>
  <c r="D94" i="6" s="1"/>
  <c r="AQ3" i="14"/>
  <c r="AZ3" i="14" s="1"/>
  <c r="AQ4" i="14"/>
  <c r="AZ4" i="14" s="1"/>
  <c r="AQ5" i="14"/>
  <c r="AQ6" i="14"/>
  <c r="AQ7" i="14"/>
  <c r="AQ8" i="14"/>
  <c r="AQ9" i="14"/>
  <c r="Y10" i="14"/>
  <c r="AQ10" i="14"/>
  <c r="AB11" i="14"/>
  <c r="K11" i="14" s="1"/>
  <c r="Z12" i="14"/>
  <c r="Z13" i="14"/>
  <c r="Z14" i="14"/>
  <c r="Z15" i="14"/>
  <c r="Z16" i="14"/>
  <c r="Z17" i="14"/>
  <c r="Z18" i="14"/>
  <c r="Z19" i="14"/>
  <c r="Z20" i="14"/>
  <c r="Z21" i="14"/>
  <c r="Z22" i="14"/>
  <c r="Z23" i="14"/>
  <c r="AB19" i="14"/>
  <c r="AB20" i="14"/>
  <c r="AB21" i="14"/>
  <c r="AB22" i="14"/>
  <c r="AB23" i="14"/>
  <c r="Z1814" i="1"/>
  <c r="Z1813" i="1"/>
  <c r="N31" i="8"/>
  <c r="C31" i="8" s="1"/>
  <c r="B48" i="6" l="1"/>
  <c r="Q2" i="10"/>
  <c r="X3" i="6" s="1"/>
  <c r="F18" i="6"/>
  <c r="E18" i="6"/>
  <c r="F19" i="6"/>
  <c r="E19" i="6"/>
  <c r="B20" i="6" s="1"/>
  <c r="AC2" i="10"/>
  <c r="I16" i="14"/>
  <c r="C16" i="14" s="1"/>
  <c r="I11" i="14"/>
  <c r="C11" i="14" s="1"/>
  <c r="I10" i="14"/>
  <c r="C10" i="14" s="1"/>
  <c r="I12" i="14"/>
  <c r="C12" i="14" s="1"/>
  <c r="K13" i="14"/>
  <c r="K18" i="14"/>
  <c r="K12" i="14"/>
  <c r="K16" i="14"/>
  <c r="K20" i="14"/>
  <c r="K3" i="14"/>
  <c r="J15" i="14"/>
  <c r="D15" i="14" s="1"/>
  <c r="J22" i="14"/>
  <c r="D22" i="14" s="1"/>
  <c r="I19" i="14"/>
  <c r="C19" i="14" s="1"/>
  <c r="J18" i="14"/>
  <c r="D18" i="14" s="1"/>
  <c r="K5" i="14"/>
  <c r="AD4" i="10"/>
  <c r="AB4" i="10" s="1"/>
  <c r="I23" i="14"/>
  <c r="C23" i="14" s="1"/>
  <c r="I20" i="14"/>
  <c r="C20" i="14" s="1"/>
  <c r="K9" i="14"/>
  <c r="I17" i="14"/>
  <c r="C17" i="14" s="1"/>
  <c r="K8" i="14"/>
  <c r="K21" i="14"/>
  <c r="K14" i="14"/>
  <c r="J23" i="14"/>
  <c r="D23" i="14" s="1"/>
  <c r="I21" i="14"/>
  <c r="C21" i="14" s="1"/>
  <c r="I14" i="14"/>
  <c r="C14" i="14" s="1"/>
  <c r="I13" i="14"/>
  <c r="C13" i="14" s="1"/>
  <c r="K4" i="14"/>
  <c r="K17" i="14"/>
  <c r="K22" i="14"/>
  <c r="K10" i="14"/>
  <c r="K15" i="14"/>
  <c r="K19" i="14"/>
  <c r="K23" i="14"/>
  <c r="K6" i="14"/>
  <c r="AA3" i="10"/>
  <c r="AC3" i="10" s="1"/>
  <c r="AS10" i="14"/>
  <c r="AW11" i="14"/>
  <c r="AS11" i="14"/>
  <c r="AW12" i="14"/>
  <c r="AS12" i="14"/>
  <c r="AW13" i="14"/>
  <c r="AS13" i="14"/>
  <c r="AW14" i="14"/>
  <c r="AS14" i="14"/>
  <c r="AW15" i="14"/>
  <c r="AS15" i="14"/>
  <c r="AW16" i="14"/>
  <c r="AS16" i="14"/>
  <c r="AW17" i="14"/>
  <c r="AS17" i="14"/>
  <c r="AW18" i="14"/>
  <c r="AS18" i="14"/>
  <c r="AW19" i="14"/>
  <c r="AS19" i="14"/>
  <c r="AW20" i="14"/>
  <c r="AS20" i="14"/>
  <c r="AW21" i="14"/>
  <c r="AS21" i="14"/>
  <c r="AW22" i="14"/>
  <c r="AS22" i="14"/>
  <c r="AP2116" i="1"/>
  <c r="AP1" i="1"/>
  <c r="B19" i="6" l="1"/>
  <c r="G18" i="6"/>
  <c r="E20" i="6"/>
  <c r="B21" i="6" s="1"/>
  <c r="F20" i="6"/>
  <c r="F17" i="6" s="1"/>
  <c r="G19" i="6"/>
  <c r="AD5" i="10"/>
  <c r="AB5" i="10" s="1"/>
  <c r="AA4" i="10"/>
  <c r="AC4" i="10"/>
  <c r="B35" i="6"/>
  <c r="B10" i="6" s="1"/>
  <c r="M12" i="6"/>
  <c r="M13" i="6"/>
  <c r="K12" i="6"/>
  <c r="K13" i="6"/>
  <c r="I12" i="6"/>
  <c r="I13" i="6"/>
  <c r="E17" i="6" l="1"/>
  <c r="G20" i="6"/>
  <c r="G17" i="6" s="1"/>
  <c r="AD6" i="10"/>
  <c r="AB6" i="10" s="1"/>
  <c r="AA5" i="10"/>
  <c r="AC5" i="10"/>
  <c r="N13" i="6"/>
  <c r="O13" i="6" s="1"/>
  <c r="N12" i="6"/>
  <c r="O12" i="6" s="1"/>
  <c r="AC6" i="10" l="1"/>
  <c r="AD7" i="10"/>
  <c r="AB7" i="10" s="1"/>
  <c r="AA6" i="10"/>
  <c r="E69" i="8"/>
  <c r="E68" i="8"/>
  <c r="N16" i="8"/>
  <c r="P16" i="8" s="1"/>
  <c r="Q16" i="8" s="1"/>
  <c r="D8" i="8"/>
  <c r="D7" i="8"/>
  <c r="N32" i="8"/>
  <c r="C23" i="8" s="1"/>
  <c r="N18" i="8"/>
  <c r="C17" i="8" s="1"/>
  <c r="N19" i="8"/>
  <c r="C18" i="8" s="1"/>
  <c r="N39" i="8"/>
  <c r="E11" i="6"/>
  <c r="N20" i="8"/>
  <c r="C19" i="8" s="1"/>
  <c r="N42" i="8"/>
  <c r="C89" i="8" s="1"/>
  <c r="N41" i="8"/>
  <c r="C87" i="8" s="1"/>
  <c r="N40" i="8"/>
  <c r="C86" i="8" s="1"/>
  <c r="S26" i="9"/>
  <c r="S27" i="9"/>
  <c r="S28" i="9"/>
  <c r="M27" i="8"/>
  <c r="M29" i="8"/>
  <c r="M31" i="8"/>
  <c r="D23" i="8"/>
  <c r="M40" i="8"/>
  <c r="B86" i="8" s="1"/>
  <c r="L27" i="8"/>
  <c r="L31" i="8"/>
  <c r="N23" i="8"/>
  <c r="C22" i="8" s="1"/>
  <c r="N22" i="8"/>
  <c r="C21" i="8" s="1"/>
  <c r="N21" i="8"/>
  <c r="C20" i="8" s="1"/>
  <c r="N17" i="8"/>
  <c r="L19" i="8"/>
  <c r="M20" i="8"/>
  <c r="B19" i="8" s="1"/>
  <c r="L23" i="8"/>
  <c r="M25" i="8"/>
  <c r="Q5" i="9"/>
  <c r="L18" i="8" s="1"/>
  <c r="R5" i="9"/>
  <c r="M18" i="8" s="1"/>
  <c r="B17" i="8" s="1"/>
  <c r="S5" i="9"/>
  <c r="T5" i="9"/>
  <c r="O18" i="8" s="1"/>
  <c r="D17" i="8" s="1"/>
  <c r="Q8" i="9"/>
  <c r="R8" i="9"/>
  <c r="M19" i="8" s="1"/>
  <c r="B18" i="8" s="1"/>
  <c r="S8" i="9"/>
  <c r="T8" i="9"/>
  <c r="O19" i="8" s="1"/>
  <c r="D18" i="8" s="1"/>
  <c r="Q9" i="9"/>
  <c r="L20" i="8" s="1"/>
  <c r="R9" i="9"/>
  <c r="S9" i="9"/>
  <c r="T9" i="9"/>
  <c r="O20" i="8" s="1"/>
  <c r="D19" i="8" s="1"/>
  <c r="Q12" i="9"/>
  <c r="L21" i="8" s="1"/>
  <c r="R12" i="9"/>
  <c r="M21" i="8" s="1"/>
  <c r="B20" i="8" s="1"/>
  <c r="S12" i="9"/>
  <c r="T12" i="9"/>
  <c r="O21" i="8" s="1"/>
  <c r="D20" i="8" s="1"/>
  <c r="Q14" i="9"/>
  <c r="L22" i="8" s="1"/>
  <c r="R14" i="9"/>
  <c r="M22" i="8" s="1"/>
  <c r="B21" i="8" s="1"/>
  <c r="S14" i="9"/>
  <c r="T14" i="9"/>
  <c r="O22" i="8" s="1"/>
  <c r="D21" i="8" s="1"/>
  <c r="Q16" i="9"/>
  <c r="R16" i="9"/>
  <c r="M23" i="8" s="1"/>
  <c r="B22" i="8" s="1"/>
  <c r="S16" i="9"/>
  <c r="T16" i="9"/>
  <c r="O23" i="8" s="1"/>
  <c r="D22" i="8" s="1"/>
  <c r="Q17" i="9"/>
  <c r="L25" i="8" s="1"/>
  <c r="R17" i="9"/>
  <c r="S17" i="9"/>
  <c r="T17" i="9"/>
  <c r="O25" i="8" s="1"/>
  <c r="Q19" i="9"/>
  <c r="L26" i="8" s="1"/>
  <c r="R19" i="9"/>
  <c r="M26" i="8" s="1"/>
  <c r="S19" i="9"/>
  <c r="T19" i="9"/>
  <c r="O26" i="8" s="1"/>
  <c r="Q20" i="9"/>
  <c r="R20" i="9"/>
  <c r="S20" i="9"/>
  <c r="T20" i="9"/>
  <c r="O27" i="8" s="1"/>
  <c r="Q27" i="8" s="1"/>
  <c r="Q21" i="9"/>
  <c r="L28" i="8" s="1"/>
  <c r="R21" i="9"/>
  <c r="M28" i="8" s="1"/>
  <c r="S21" i="9"/>
  <c r="T21" i="9"/>
  <c r="O28" i="8" s="1"/>
  <c r="D29" i="8" s="1"/>
  <c r="Q22" i="9"/>
  <c r="L29" i="8" s="1"/>
  <c r="R22" i="9"/>
  <c r="S22" i="9"/>
  <c r="T22" i="9"/>
  <c r="O29" i="8" s="1"/>
  <c r="D30" i="8" s="1"/>
  <c r="Q23" i="9"/>
  <c r="L39" i="8" s="1"/>
  <c r="R23" i="9"/>
  <c r="M39" i="8" s="1"/>
  <c r="S23" i="9"/>
  <c r="T23" i="9"/>
  <c r="O39" i="8" s="1"/>
  <c r="E9" i="8" s="1"/>
  <c r="G9" i="8" s="1"/>
  <c r="Q24" i="9"/>
  <c r="R24" i="9"/>
  <c r="S24" i="9"/>
  <c r="T24" i="9"/>
  <c r="O31" i="8" s="1"/>
  <c r="D31" i="8" s="1"/>
  <c r="Q25" i="9"/>
  <c r="L32" i="8" s="1"/>
  <c r="R25" i="9"/>
  <c r="M32" i="8" s="1"/>
  <c r="B23" i="8" s="1"/>
  <c r="S25" i="9"/>
  <c r="T25" i="9"/>
  <c r="Q26" i="9"/>
  <c r="L40" i="8" s="1"/>
  <c r="R26" i="9"/>
  <c r="T26" i="9"/>
  <c r="O40" i="8" s="1"/>
  <c r="D86" i="8" s="1"/>
  <c r="Q27" i="9"/>
  <c r="L41" i="8" s="1"/>
  <c r="R27" i="9"/>
  <c r="M41" i="8" s="1"/>
  <c r="B87" i="8" s="1"/>
  <c r="T27" i="9"/>
  <c r="O41" i="8" s="1"/>
  <c r="D87" i="8" s="1"/>
  <c r="Q28" i="9"/>
  <c r="L42" i="8" s="1"/>
  <c r="R28" i="9"/>
  <c r="M42" i="8" s="1"/>
  <c r="B89" i="8" s="1"/>
  <c r="T28" i="9"/>
  <c r="O42" i="8" s="1"/>
  <c r="D89" i="8" s="1"/>
  <c r="R3" i="9"/>
  <c r="S3" i="9"/>
  <c r="T3" i="9"/>
  <c r="R4" i="9"/>
  <c r="M17" i="8" s="1"/>
  <c r="B16" i="8" s="1"/>
  <c r="S4" i="9"/>
  <c r="T4" i="9"/>
  <c r="O17" i="8" s="1"/>
  <c r="D16" i="8" s="1"/>
  <c r="Q4" i="9"/>
  <c r="L17" i="8" s="1"/>
  <c r="M33" i="9"/>
  <c r="O33" i="9" s="1"/>
  <c r="M32" i="9"/>
  <c r="O32" i="9" s="1"/>
  <c r="M31" i="9"/>
  <c r="O31" i="9" s="1"/>
  <c r="M30" i="9"/>
  <c r="O30" i="9" s="1"/>
  <c r="M29" i="9"/>
  <c r="O29" i="9" s="1"/>
  <c r="M28" i="9"/>
  <c r="O28" i="9" s="1"/>
  <c r="M27" i="9"/>
  <c r="O27" i="9" s="1"/>
  <c r="M26" i="9"/>
  <c r="O26" i="9" s="1"/>
  <c r="M25" i="9"/>
  <c r="O25" i="9" s="1"/>
  <c r="M24" i="9"/>
  <c r="O24" i="9" s="1"/>
  <c r="M23" i="9"/>
  <c r="O23" i="9" s="1"/>
  <c r="M22" i="9"/>
  <c r="O22" i="9" s="1"/>
  <c r="M21" i="9"/>
  <c r="O21" i="9" s="1"/>
  <c r="M20" i="9"/>
  <c r="O20" i="9" s="1"/>
  <c r="M19" i="9"/>
  <c r="O19" i="9" s="1"/>
  <c r="M18" i="9"/>
  <c r="O18" i="9" s="1"/>
  <c r="M17" i="9"/>
  <c r="O17" i="9" s="1"/>
  <c r="M16" i="9"/>
  <c r="O16" i="9" s="1"/>
  <c r="M15" i="9"/>
  <c r="O15" i="9" s="1"/>
  <c r="M14" i="9"/>
  <c r="O14" i="9" s="1"/>
  <c r="M13" i="9"/>
  <c r="O13" i="9" s="1"/>
  <c r="M12" i="9"/>
  <c r="O12" i="9" s="1"/>
  <c r="M11" i="9"/>
  <c r="O11" i="9" s="1"/>
  <c r="M10" i="9"/>
  <c r="O10" i="9" s="1"/>
  <c r="M9" i="9"/>
  <c r="O9" i="9" s="1"/>
  <c r="M8" i="9"/>
  <c r="O8" i="9" s="1"/>
  <c r="M7" i="9"/>
  <c r="O7" i="9" s="1"/>
  <c r="M6" i="9"/>
  <c r="O6" i="9" s="1"/>
  <c r="M5" i="9"/>
  <c r="O5" i="9" s="1"/>
  <c r="M4" i="9"/>
  <c r="O4" i="9" s="1"/>
  <c r="E17" i="9"/>
  <c r="G17" i="9" s="1"/>
  <c r="E16" i="9"/>
  <c r="G16" i="9" s="1"/>
  <c r="E15" i="9"/>
  <c r="G15" i="9" s="1"/>
  <c r="E12" i="9"/>
  <c r="G12" i="9" s="1"/>
  <c r="E11" i="9"/>
  <c r="G11" i="9" s="1"/>
  <c r="E9" i="9"/>
  <c r="G9" i="9" s="1"/>
  <c r="AI9" i="8" l="1"/>
  <c r="E11" i="8"/>
  <c r="G11" i="8" s="1"/>
  <c r="AI8" i="8"/>
  <c r="E10" i="8"/>
  <c r="G10" i="8" s="1"/>
  <c r="AI7" i="8"/>
  <c r="C49" i="8"/>
  <c r="E49" i="8" s="1"/>
  <c r="C45" i="8"/>
  <c r="E45" i="8" s="1"/>
  <c r="C42" i="8"/>
  <c r="E42" i="8" s="1"/>
  <c r="C39" i="8"/>
  <c r="E39" i="8" s="1"/>
  <c r="C44" i="8"/>
  <c r="E44" i="8" s="1"/>
  <c r="C37" i="8"/>
  <c r="E37" i="8" s="1"/>
  <c r="C41" i="8"/>
  <c r="E41" i="8" s="1"/>
  <c r="C60" i="8"/>
  <c r="E60" i="8" s="1"/>
  <c r="C36" i="8"/>
  <c r="E36" i="8" s="1"/>
  <c r="C40" i="8"/>
  <c r="E40" i="8" s="1"/>
  <c r="C35" i="8"/>
  <c r="E35" i="8" s="1"/>
  <c r="C61" i="8"/>
  <c r="E61" i="8" s="1"/>
  <c r="C38" i="8"/>
  <c r="E38" i="8" s="1"/>
  <c r="C43" i="8"/>
  <c r="E43" i="8" s="1"/>
  <c r="C46" i="8"/>
  <c r="AI6" i="8"/>
  <c r="Q26" i="8"/>
  <c r="E12" i="8"/>
  <c r="G12" i="8" s="1"/>
  <c r="AC7" i="10"/>
  <c r="AD8" i="10"/>
  <c r="AB8" i="10" s="1"/>
  <c r="AA7" i="10"/>
  <c r="M11" i="6"/>
  <c r="I11" i="6"/>
  <c r="K11" i="6"/>
  <c r="E86" i="8"/>
  <c r="F12" i="8"/>
  <c r="E87" i="8"/>
  <c r="E89" i="8"/>
  <c r="C16" i="8"/>
  <c r="E16" i="8" s="1"/>
  <c r="P41" i="8"/>
  <c r="Q41" i="8" s="1"/>
  <c r="C26" i="8"/>
  <c r="E31" i="8"/>
  <c r="E29" i="8"/>
  <c r="E21" i="8"/>
  <c r="E17" i="8"/>
  <c r="E22" i="8"/>
  <c r="E18" i="8"/>
  <c r="E23" i="8"/>
  <c r="E30" i="8"/>
  <c r="E20" i="8"/>
  <c r="E19" i="8"/>
  <c r="D27" i="8"/>
  <c r="D28" i="8"/>
  <c r="E28" i="8" s="1"/>
  <c r="P21" i="8"/>
  <c r="Q21" i="8" s="1"/>
  <c r="Q28" i="8"/>
  <c r="P32" i="8"/>
  <c r="Q32" i="8" s="1"/>
  <c r="P22" i="8"/>
  <c r="Q22" i="8" s="1"/>
  <c r="P40" i="8"/>
  <c r="Q40" i="8" s="1"/>
  <c r="P20" i="8"/>
  <c r="Q20" i="8" s="1"/>
  <c r="P23" i="8"/>
  <c r="Q23" i="8" s="1"/>
  <c r="Q42" i="8"/>
  <c r="Q31" i="8"/>
  <c r="Q29" i="8"/>
  <c r="P39" i="8"/>
  <c r="Q39" i="8" s="1"/>
  <c r="P18" i="8"/>
  <c r="Q18" i="8" s="1"/>
  <c r="P17" i="8"/>
  <c r="Q17" i="8" s="1"/>
  <c r="P25" i="8"/>
  <c r="Q25" i="8" s="1"/>
  <c r="P19" i="8"/>
  <c r="Q19" i="8" s="1"/>
  <c r="C81" i="8"/>
  <c r="D81" i="8" s="1"/>
  <c r="C73" i="8"/>
  <c r="E73" i="8" s="1"/>
  <c r="O8" i="8"/>
  <c r="O6" i="8"/>
  <c r="O5" i="8"/>
  <c r="C76" i="8" s="1"/>
  <c r="E76" i="8" s="1"/>
  <c r="L5" i="8"/>
  <c r="B76" i="8" s="1"/>
  <c r="O4" i="8"/>
  <c r="C75" i="8" s="1"/>
  <c r="E75" i="8" s="1"/>
  <c r="L4" i="8"/>
  <c r="B75" i="8" s="1"/>
  <c r="A1" i="8"/>
  <c r="C80" i="8" s="1"/>
  <c r="D80" i="8" s="1"/>
  <c r="I1" i="8"/>
  <c r="E46" i="8" l="1"/>
  <c r="E34" i="8" s="1"/>
  <c r="C48" i="8"/>
  <c r="E52" i="8"/>
  <c r="E85" i="8"/>
  <c r="AD9" i="10"/>
  <c r="AB9" i="10" s="1"/>
  <c r="AA8" i="10"/>
  <c r="AC8" i="10"/>
  <c r="N11" i="6"/>
  <c r="E27" i="8"/>
  <c r="E26" i="8" s="1"/>
  <c r="F11" i="6"/>
  <c r="D26" i="8"/>
  <c r="E81" i="8"/>
  <c r="E80" i="8"/>
  <c r="E15" i="8"/>
  <c r="C77" i="8"/>
  <c r="E77" i="8" s="1"/>
  <c r="E8" i="8" s="1"/>
  <c r="I12" i="8" s="1"/>
  <c r="B33" i="6" s="1"/>
  <c r="C79" i="8"/>
  <c r="D79" i="8" s="1"/>
  <c r="E7" i="8" l="1"/>
  <c r="E48" i="8"/>
  <c r="E47" i="8" s="1"/>
  <c r="G7" i="8" s="1"/>
  <c r="C47" i="8"/>
  <c r="F7" i="8" s="1"/>
  <c r="O11" i="6"/>
  <c r="AD10" i="10"/>
  <c r="AB10" i="10" s="1"/>
  <c r="AA9" i="10"/>
  <c r="AC9" i="10"/>
  <c r="D82" i="8"/>
  <c r="F8" i="8" s="1"/>
  <c r="E79" i="8"/>
  <c r="E82" i="8" s="1"/>
  <c r="I10" i="8" s="1"/>
  <c r="C82" i="8"/>
  <c r="AC10" i="10" l="1"/>
  <c r="AD11" i="10"/>
  <c r="AB11" i="10" s="1"/>
  <c r="AA10" i="10"/>
  <c r="E3" i="8"/>
  <c r="B29" i="6" s="1"/>
  <c r="G8" i="8"/>
  <c r="B32" i="6"/>
  <c r="B31" i="6" s="1"/>
  <c r="B25" i="6" l="1"/>
  <c r="B9" i="6" s="1"/>
  <c r="AC11" i="10"/>
  <c r="AD12" i="10"/>
  <c r="AB12" i="10" s="1"/>
  <c r="AA11" i="10"/>
  <c r="E4" i="9"/>
  <c r="E5" i="9"/>
  <c r="G5" i="9" s="1"/>
  <c r="E6" i="9"/>
  <c r="G6" i="9" s="1"/>
  <c r="E7" i="9"/>
  <c r="G7" i="9" s="1"/>
  <c r="E8" i="9"/>
  <c r="G8" i="9" s="1"/>
  <c r="E10" i="9"/>
  <c r="G10" i="9" s="1"/>
  <c r="E13" i="9"/>
  <c r="G13" i="9" s="1"/>
  <c r="E14" i="9"/>
  <c r="G14" i="9"/>
  <c r="E18" i="9"/>
  <c r="G18" i="9" s="1"/>
  <c r="E19" i="9"/>
  <c r="G19" i="9" s="1"/>
  <c r="E20" i="9"/>
  <c r="G20" i="9" s="1"/>
  <c r="E21" i="9"/>
  <c r="G21" i="9" s="1"/>
  <c r="E22" i="9"/>
  <c r="G22" i="9" s="1"/>
  <c r="E23" i="9"/>
  <c r="G23" i="9"/>
  <c r="E24" i="9"/>
  <c r="G24" i="9" s="1"/>
  <c r="E25" i="9"/>
  <c r="G25" i="9" s="1"/>
  <c r="E26" i="9"/>
  <c r="G26" i="9" s="1"/>
  <c r="E27" i="9"/>
  <c r="G27" i="9"/>
  <c r="E28" i="9"/>
  <c r="G28" i="9" s="1"/>
  <c r="E29" i="9"/>
  <c r="G29" i="9"/>
  <c r="E30" i="9"/>
  <c r="G30" i="9" s="1"/>
  <c r="E31" i="9"/>
  <c r="G31" i="9" s="1"/>
  <c r="K20" i="6" l="1"/>
  <c r="K18" i="6" s="1"/>
  <c r="AD13" i="10"/>
  <c r="AB13" i="10" s="1"/>
  <c r="AA12" i="10"/>
  <c r="AC12" i="10"/>
  <c r="G4" i="9"/>
  <c r="E34" i="9"/>
  <c r="G39" i="9"/>
  <c r="AD14" i="10" l="1"/>
  <c r="AB14" i="10" s="1"/>
  <c r="AA13" i="10"/>
  <c r="AC13" i="10"/>
  <c r="M68" i="5"/>
  <c r="C68" i="5" s="1"/>
  <c r="M69" i="5"/>
  <c r="C69" i="5" s="1"/>
  <c r="M70" i="5"/>
  <c r="C70" i="5" s="1"/>
  <c r="M71" i="5"/>
  <c r="C71" i="5" s="1"/>
  <c r="M72" i="5"/>
  <c r="C72" i="5" s="1"/>
  <c r="M73" i="5"/>
  <c r="C73" i="5" s="1"/>
  <c r="M74" i="5"/>
  <c r="C74" i="5" s="1"/>
  <c r="M75" i="5"/>
  <c r="C75" i="5" s="1"/>
  <c r="M76" i="5"/>
  <c r="C76" i="5" s="1"/>
  <c r="M77" i="5"/>
  <c r="C77" i="5" s="1"/>
  <c r="M78" i="5"/>
  <c r="C78" i="5" s="1"/>
  <c r="M79" i="5"/>
  <c r="C79" i="5" s="1"/>
  <c r="M80" i="5"/>
  <c r="C80" i="5" s="1"/>
  <c r="M81" i="5"/>
  <c r="C81" i="5" s="1"/>
  <c r="M82" i="5"/>
  <c r="C82" i="5" s="1"/>
  <c r="M83" i="5"/>
  <c r="C83" i="5" s="1"/>
  <c r="M84" i="5"/>
  <c r="C84" i="5" s="1"/>
  <c r="M85" i="5"/>
  <c r="C85" i="5" s="1"/>
  <c r="M86" i="5"/>
  <c r="C86" i="5" s="1"/>
  <c r="M87" i="5"/>
  <c r="C87" i="5" s="1"/>
  <c r="M88" i="5"/>
  <c r="C88" i="5" s="1"/>
  <c r="M89" i="5"/>
  <c r="C89" i="5" s="1"/>
  <c r="M90" i="5"/>
  <c r="C90" i="5" s="1"/>
  <c r="M91" i="5"/>
  <c r="C91" i="5" s="1"/>
  <c r="M92" i="5"/>
  <c r="C92" i="5" s="1"/>
  <c r="M93" i="5"/>
  <c r="C93" i="5" s="1"/>
  <c r="M94" i="5"/>
  <c r="C94" i="5" s="1"/>
  <c r="M96" i="5"/>
  <c r="C96" i="5" s="1"/>
  <c r="M97" i="5"/>
  <c r="C97" i="5" s="1"/>
  <c r="M98" i="5"/>
  <c r="C98" i="5" s="1"/>
  <c r="M100" i="5"/>
  <c r="C100" i="5" s="1"/>
  <c r="M102" i="5"/>
  <c r="C102" i="5" s="1"/>
  <c r="M104" i="5"/>
  <c r="C104" i="5" s="1"/>
  <c r="M105" i="5"/>
  <c r="C105" i="5" s="1"/>
  <c r="M106" i="5"/>
  <c r="C106" i="5" s="1"/>
  <c r="M107" i="5"/>
  <c r="C107" i="5" s="1"/>
  <c r="M108" i="5"/>
  <c r="C108" i="5" s="1"/>
  <c r="M110" i="5"/>
  <c r="C110" i="5" s="1"/>
  <c r="M111" i="5"/>
  <c r="C111" i="5" s="1"/>
  <c r="M112" i="5"/>
  <c r="C112" i="5" s="1"/>
  <c r="M113" i="5"/>
  <c r="C113" i="5" s="1"/>
  <c r="M114" i="5"/>
  <c r="C114" i="5" s="1"/>
  <c r="M115" i="5"/>
  <c r="C115" i="5" s="1"/>
  <c r="M116" i="5"/>
  <c r="C116" i="5" s="1"/>
  <c r="M117" i="5"/>
  <c r="C117" i="5" s="1"/>
  <c r="M118" i="5"/>
  <c r="C118" i="5" s="1"/>
  <c r="M119" i="5"/>
  <c r="C119" i="5" s="1"/>
  <c r="M120" i="5"/>
  <c r="C120" i="5" s="1"/>
  <c r="M121" i="5"/>
  <c r="C121" i="5" s="1"/>
  <c r="M122" i="5"/>
  <c r="C122" i="5" s="1"/>
  <c r="M123" i="5"/>
  <c r="C123" i="5" s="1"/>
  <c r="M50" i="5"/>
  <c r="C50" i="5" s="1"/>
  <c r="M51" i="5"/>
  <c r="C51" i="5" s="1"/>
  <c r="M52" i="5"/>
  <c r="C52" i="5" s="1"/>
  <c r="M54" i="5"/>
  <c r="C54" i="5" s="1"/>
  <c r="M55" i="5"/>
  <c r="C55" i="5" s="1"/>
  <c r="M56" i="5"/>
  <c r="C56" i="5" s="1"/>
  <c r="M57" i="5"/>
  <c r="C57" i="5" s="1"/>
  <c r="M58" i="5"/>
  <c r="C58" i="5" s="1"/>
  <c r="M59" i="5"/>
  <c r="C59" i="5" s="1"/>
  <c r="M60" i="5"/>
  <c r="C60" i="5" s="1"/>
  <c r="M61" i="5"/>
  <c r="C61" i="5" s="1"/>
  <c r="M62" i="5"/>
  <c r="C62" i="5" s="1"/>
  <c r="M63" i="5"/>
  <c r="C63" i="5" s="1"/>
  <c r="M64" i="5"/>
  <c r="C64" i="5" s="1"/>
  <c r="M65" i="5"/>
  <c r="C65" i="5" s="1"/>
  <c r="M66" i="5"/>
  <c r="C66" i="5" s="1"/>
  <c r="M67" i="5"/>
  <c r="C67" i="5" s="1"/>
  <c r="M48" i="5"/>
  <c r="C48" i="5" s="1"/>
  <c r="O48" i="5"/>
  <c r="O50" i="5"/>
  <c r="O54" i="5"/>
  <c r="O56" i="5"/>
  <c r="O57" i="5"/>
  <c r="O58" i="5"/>
  <c r="O59" i="5"/>
  <c r="O66" i="5"/>
  <c r="O67" i="5"/>
  <c r="O68" i="5"/>
  <c r="O69" i="5"/>
  <c r="O70" i="5"/>
  <c r="O71" i="5"/>
  <c r="O72" i="5"/>
  <c r="O73" i="5"/>
  <c r="O74" i="5"/>
  <c r="O75" i="5"/>
  <c r="O76" i="5"/>
  <c r="O77" i="5"/>
  <c r="O78" i="5"/>
  <c r="O79" i="5"/>
  <c r="O80" i="5"/>
  <c r="O92" i="5"/>
  <c r="O107" i="5"/>
  <c r="O110" i="5"/>
  <c r="O113" i="5"/>
  <c r="O115" i="5"/>
  <c r="AC14" i="10" l="1"/>
  <c r="AD15" i="10"/>
  <c r="AB15" i="10" s="1"/>
  <c r="AA14" i="10"/>
  <c r="L2117" i="1"/>
  <c r="L1995" i="1"/>
  <c r="L1897" i="1"/>
  <c r="L1776" i="1"/>
  <c r="L1631" i="1"/>
  <c r="L1172" i="1"/>
  <c r="L955" i="1"/>
  <c r="L210" i="1"/>
  <c r="L17" i="1"/>
  <c r="AC15" i="10" l="1"/>
  <c r="AD16" i="10"/>
  <c r="AB16" i="10" s="1"/>
  <c r="AA15" i="10"/>
  <c r="L124" i="5"/>
  <c r="AD17" i="10" l="1"/>
  <c r="AB17" i="10" s="1"/>
  <c r="AA16" i="10"/>
  <c r="AC16" i="10"/>
  <c r="O124" i="5"/>
  <c r="M124" i="5"/>
  <c r="C124" i="5" s="1"/>
  <c r="R17" i="5"/>
  <c r="S17" i="5"/>
  <c r="R18" i="5"/>
  <c r="S18" i="5"/>
  <c r="R19" i="5"/>
  <c r="S19" i="5"/>
  <c r="R20" i="5"/>
  <c r="S20" i="5"/>
  <c r="R21" i="5"/>
  <c r="S21" i="5"/>
  <c r="R22" i="5"/>
  <c r="S22" i="5"/>
  <c r="R23" i="5"/>
  <c r="S23" i="5"/>
  <c r="R24" i="5"/>
  <c r="S24" i="5"/>
  <c r="R25" i="5"/>
  <c r="S25" i="5"/>
  <c r="R26" i="5"/>
  <c r="S26" i="5"/>
  <c r="R27" i="5"/>
  <c r="S27" i="5"/>
  <c r="R28" i="5"/>
  <c r="S28" i="5"/>
  <c r="R29" i="5"/>
  <c r="S29" i="5"/>
  <c r="R30" i="5"/>
  <c r="S30" i="5"/>
  <c r="R31" i="5"/>
  <c r="S31" i="5"/>
  <c r="R32" i="5"/>
  <c r="S32" i="5"/>
  <c r="R33" i="5"/>
  <c r="S33" i="5"/>
  <c r="R34" i="5"/>
  <c r="S34" i="5"/>
  <c r="R35" i="5"/>
  <c r="S35" i="5"/>
  <c r="R36" i="5"/>
  <c r="S36" i="5"/>
  <c r="R37" i="5"/>
  <c r="S37" i="5"/>
  <c r="R38" i="5"/>
  <c r="S38" i="5"/>
  <c r="R39" i="5"/>
  <c r="S39" i="5"/>
  <c r="R40" i="5"/>
  <c r="S40" i="5"/>
  <c r="R41" i="5"/>
  <c r="S41" i="5"/>
  <c r="R42" i="5"/>
  <c r="S42" i="5"/>
  <c r="R43" i="5"/>
  <c r="S43" i="5"/>
  <c r="R44" i="5"/>
  <c r="S44" i="5"/>
  <c r="R45" i="5"/>
  <c r="S45" i="5"/>
  <c r="R46" i="5"/>
  <c r="S46" i="5"/>
  <c r="R47" i="5"/>
  <c r="S47" i="5"/>
  <c r="R48" i="5"/>
  <c r="S48" i="5"/>
  <c r="R49" i="5"/>
  <c r="S49" i="5"/>
  <c r="R50" i="5"/>
  <c r="S50" i="5"/>
  <c r="R51" i="5"/>
  <c r="S51" i="5"/>
  <c r="R52" i="5"/>
  <c r="S52" i="5"/>
  <c r="R53" i="5"/>
  <c r="S53" i="5"/>
  <c r="R54" i="5"/>
  <c r="S54" i="5"/>
  <c r="R55" i="5"/>
  <c r="S55" i="5"/>
  <c r="R56" i="5"/>
  <c r="S56" i="5"/>
  <c r="R57" i="5"/>
  <c r="S57" i="5"/>
  <c r="R58" i="5"/>
  <c r="S58" i="5"/>
  <c r="R59" i="5"/>
  <c r="S59" i="5"/>
  <c r="S60" i="5"/>
  <c r="S61" i="5"/>
  <c r="R62" i="5"/>
  <c r="S62" i="5"/>
  <c r="R63" i="5"/>
  <c r="S63" i="5"/>
  <c r="R64" i="5"/>
  <c r="S64" i="5"/>
  <c r="R65" i="5"/>
  <c r="S65" i="5"/>
  <c r="R66" i="5"/>
  <c r="S66" i="5"/>
  <c r="S67" i="5"/>
  <c r="R68" i="5"/>
  <c r="S68" i="5"/>
  <c r="R69" i="5"/>
  <c r="S69" i="5"/>
  <c r="R70" i="5"/>
  <c r="S70" i="5"/>
  <c r="R71" i="5"/>
  <c r="S71" i="5"/>
  <c r="R72" i="5"/>
  <c r="S72" i="5"/>
  <c r="R73" i="5"/>
  <c r="S73" i="5"/>
  <c r="R74" i="5"/>
  <c r="S74" i="5"/>
  <c r="R75" i="5"/>
  <c r="S75" i="5"/>
  <c r="R76" i="5"/>
  <c r="S76" i="5"/>
  <c r="R77" i="5"/>
  <c r="S77" i="5"/>
  <c r="R78" i="5"/>
  <c r="S78" i="5"/>
  <c r="R79" i="5"/>
  <c r="S79" i="5"/>
  <c r="R80" i="5"/>
  <c r="S80" i="5"/>
  <c r="R81" i="5"/>
  <c r="S81" i="5"/>
  <c r="R82" i="5"/>
  <c r="S82" i="5"/>
  <c r="R83" i="5"/>
  <c r="S83" i="5"/>
  <c r="R84" i="5"/>
  <c r="S84" i="5"/>
  <c r="R85" i="5"/>
  <c r="S85" i="5"/>
  <c r="R86" i="5"/>
  <c r="S86" i="5"/>
  <c r="R87" i="5"/>
  <c r="S87" i="5"/>
  <c r="R88" i="5"/>
  <c r="S88" i="5"/>
  <c r="S89" i="5"/>
  <c r="R90" i="5"/>
  <c r="S90" i="5"/>
  <c r="R91" i="5"/>
  <c r="S91" i="5"/>
  <c r="R92" i="5"/>
  <c r="S92" i="5"/>
  <c r="S93" i="5"/>
  <c r="S94" i="5"/>
  <c r="R95" i="5"/>
  <c r="S95" i="5"/>
  <c r="S96" i="5"/>
  <c r="R97" i="5"/>
  <c r="S97" i="5"/>
  <c r="R98" i="5"/>
  <c r="S98" i="5"/>
  <c r="R99" i="5"/>
  <c r="S99" i="5"/>
  <c r="R100" i="5"/>
  <c r="S100" i="5"/>
  <c r="R101" i="5"/>
  <c r="S101" i="5"/>
  <c r="R102" i="5"/>
  <c r="S102" i="5"/>
  <c r="R103" i="5"/>
  <c r="S103" i="5"/>
  <c r="S104" i="5"/>
  <c r="R105" i="5"/>
  <c r="S105" i="5"/>
  <c r="S106" i="5"/>
  <c r="R107" i="5"/>
  <c r="S107" i="5"/>
  <c r="S108" i="5"/>
  <c r="R109" i="5"/>
  <c r="S109" i="5"/>
  <c r="R110" i="5"/>
  <c r="S110" i="5"/>
  <c r="S111" i="5"/>
  <c r="S112" i="5"/>
  <c r="R113" i="5"/>
  <c r="S113" i="5"/>
  <c r="S114" i="5"/>
  <c r="R115" i="5"/>
  <c r="S115" i="5"/>
  <c r="S116" i="5"/>
  <c r="S117" i="5"/>
  <c r="S118" i="5"/>
  <c r="S119" i="5"/>
  <c r="S120" i="5"/>
  <c r="S121" i="5"/>
  <c r="S122" i="5"/>
  <c r="S123" i="5"/>
  <c r="S124" i="5"/>
  <c r="K109" i="5"/>
  <c r="L109" i="5"/>
  <c r="J109" i="5"/>
  <c r="R2" i="5"/>
  <c r="S2" i="5"/>
  <c r="R3" i="5"/>
  <c r="S3" i="5"/>
  <c r="R4" i="5"/>
  <c r="S4" i="5"/>
  <c r="R5" i="5"/>
  <c r="S5" i="5"/>
  <c r="R6" i="5"/>
  <c r="S6" i="5"/>
  <c r="R7" i="5"/>
  <c r="S7" i="5"/>
  <c r="R8" i="5"/>
  <c r="S8" i="5"/>
  <c r="R9" i="5"/>
  <c r="S9" i="5"/>
  <c r="R10" i="5"/>
  <c r="S10" i="5"/>
  <c r="R11" i="5"/>
  <c r="S11" i="5"/>
  <c r="R12" i="5"/>
  <c r="S12" i="5"/>
  <c r="R13" i="5"/>
  <c r="S13" i="5"/>
  <c r="R14" i="5"/>
  <c r="S14" i="5"/>
  <c r="R15" i="5"/>
  <c r="S15" i="5"/>
  <c r="R16" i="5"/>
  <c r="S16" i="5"/>
  <c r="L95" i="5"/>
  <c r="L49" i="5"/>
  <c r="M49" i="5" s="1"/>
  <c r="C49" i="5" s="1"/>
  <c r="L103" i="5"/>
  <c r="AD18" i="10" l="1"/>
  <c r="AB18" i="10" s="1"/>
  <c r="AA17" i="10"/>
  <c r="AC17" i="10"/>
  <c r="O103" i="5"/>
  <c r="M103" i="5"/>
  <c r="C103" i="5" s="1"/>
  <c r="O95" i="5"/>
  <c r="M95" i="5"/>
  <c r="C95" i="5" s="1"/>
  <c r="O109" i="5"/>
  <c r="M109" i="5"/>
  <c r="C109" i="5" s="1"/>
  <c r="O49" i="5"/>
  <c r="G113" i="5"/>
  <c r="G114" i="5" s="1"/>
  <c r="AC18" i="10" l="1"/>
  <c r="AA18" i="10"/>
  <c r="AD19" i="10"/>
  <c r="AB19" i="10" s="1"/>
  <c r="N101" i="5"/>
  <c r="M101" i="5" s="1"/>
  <c r="C101" i="5" s="1"/>
  <c r="N99" i="5"/>
  <c r="M99" i="5" s="1"/>
  <c r="C99" i="5" s="1"/>
  <c r="N53" i="5"/>
  <c r="M53" i="5" s="1"/>
  <c r="C53" i="5" s="1"/>
  <c r="I124" i="5"/>
  <c r="R124" i="5" s="1"/>
  <c r="I123" i="5"/>
  <c r="R123" i="5" s="1"/>
  <c r="I122" i="5"/>
  <c r="R122" i="5" s="1"/>
  <c r="I121" i="5"/>
  <c r="R121" i="5" s="1"/>
  <c r="I120" i="5"/>
  <c r="R120" i="5" s="1"/>
  <c r="I119" i="5"/>
  <c r="R119" i="5" s="1"/>
  <c r="I118" i="5"/>
  <c r="R118" i="5" s="1"/>
  <c r="I117" i="5"/>
  <c r="R117" i="5" s="1"/>
  <c r="I116" i="5"/>
  <c r="R116" i="5" s="1"/>
  <c r="I115" i="5"/>
  <c r="I114" i="5"/>
  <c r="R114" i="5" s="1"/>
  <c r="I113" i="5"/>
  <c r="I112" i="5"/>
  <c r="R112" i="5" s="1"/>
  <c r="I111" i="5"/>
  <c r="R111" i="5" s="1"/>
  <c r="I110" i="5"/>
  <c r="I109" i="5"/>
  <c r="I108" i="5"/>
  <c r="R108" i="5" s="1"/>
  <c r="I107" i="5"/>
  <c r="I106" i="5"/>
  <c r="R106" i="5" s="1"/>
  <c r="I104" i="5"/>
  <c r="R104" i="5" s="1"/>
  <c r="I103" i="5"/>
  <c r="I102" i="5"/>
  <c r="I101" i="5"/>
  <c r="I100" i="5"/>
  <c r="I99" i="5"/>
  <c r="I98" i="5"/>
  <c r="I97" i="5"/>
  <c r="I96" i="5"/>
  <c r="R96" i="5" s="1"/>
  <c r="I95" i="5"/>
  <c r="I94" i="5"/>
  <c r="R94" i="5" s="1"/>
  <c r="I93" i="5"/>
  <c r="R93" i="5" s="1"/>
  <c r="I92" i="5"/>
  <c r="I91" i="5"/>
  <c r="I90" i="5"/>
  <c r="I89" i="5"/>
  <c r="R89" i="5" s="1"/>
  <c r="I88" i="5"/>
  <c r="I87" i="5"/>
  <c r="I86" i="5"/>
  <c r="I85" i="5"/>
  <c r="I83" i="5"/>
  <c r="I82" i="5"/>
  <c r="I81" i="5"/>
  <c r="I80" i="5"/>
  <c r="I79" i="5"/>
  <c r="I78" i="5"/>
  <c r="I77" i="5"/>
  <c r="I76" i="5"/>
  <c r="I75" i="5"/>
  <c r="I74" i="5"/>
  <c r="I73" i="5"/>
  <c r="I72" i="5"/>
  <c r="I71" i="5"/>
  <c r="I70" i="5"/>
  <c r="I69" i="5"/>
  <c r="I67" i="5"/>
  <c r="R67" i="5" s="1"/>
  <c r="I66" i="5"/>
  <c r="I65" i="5"/>
  <c r="I64" i="5"/>
  <c r="I63" i="5"/>
  <c r="I62" i="5"/>
  <c r="I61" i="5"/>
  <c r="R61" i="5" s="1"/>
  <c r="I60" i="5"/>
  <c r="R60" i="5" s="1"/>
  <c r="I59" i="5"/>
  <c r="I58" i="5"/>
  <c r="I57" i="5"/>
  <c r="I56" i="5"/>
  <c r="I54" i="5"/>
  <c r="I53" i="5"/>
  <c r="I52" i="5"/>
  <c r="I51" i="5"/>
  <c r="I50" i="5"/>
  <c r="I49" i="5"/>
  <c r="I48" i="5"/>
  <c r="AC19" i="10" l="1"/>
  <c r="AD20" i="10"/>
  <c r="AB20" i="10" s="1"/>
  <c r="AA19" i="10"/>
  <c r="AD21" i="10" l="1"/>
  <c r="AB21" i="10" s="1"/>
  <c r="AA20" i="10"/>
  <c r="AC20" i="10"/>
  <c r="AP20" i="1"/>
  <c r="AQ20" i="1"/>
  <c r="AR20" i="1"/>
  <c r="AS20" i="1"/>
  <c r="AT20" i="1"/>
  <c r="AP21" i="1"/>
  <c r="AQ21" i="1"/>
  <c r="AR21" i="1"/>
  <c r="AS21" i="1"/>
  <c r="AT21" i="1"/>
  <c r="AP22" i="1"/>
  <c r="AQ22" i="1"/>
  <c r="AR22" i="1"/>
  <c r="AS22" i="1"/>
  <c r="AT22" i="1"/>
  <c r="AP23" i="1"/>
  <c r="AQ23" i="1"/>
  <c r="AR23" i="1"/>
  <c r="AS23" i="1"/>
  <c r="AT23" i="1"/>
  <c r="AP24" i="1"/>
  <c r="AQ24" i="1"/>
  <c r="AR24" i="1"/>
  <c r="AS24" i="1"/>
  <c r="AT24" i="1"/>
  <c r="AP25" i="1"/>
  <c r="AQ25" i="1"/>
  <c r="AR25" i="1"/>
  <c r="AS25" i="1"/>
  <c r="AT25" i="1"/>
  <c r="AP26" i="1"/>
  <c r="AQ26" i="1"/>
  <c r="AR26" i="1"/>
  <c r="AS26" i="1"/>
  <c r="AT26" i="1"/>
  <c r="AP27" i="1"/>
  <c r="AQ27" i="1"/>
  <c r="AR27" i="1"/>
  <c r="AS27" i="1"/>
  <c r="AT27" i="1"/>
  <c r="AP28" i="1"/>
  <c r="AQ28" i="1"/>
  <c r="AR28" i="1"/>
  <c r="AS28" i="1"/>
  <c r="AT28" i="1"/>
  <c r="AP29" i="1"/>
  <c r="AQ29" i="1"/>
  <c r="AR29" i="1"/>
  <c r="AS29" i="1"/>
  <c r="AT29" i="1"/>
  <c r="AP30" i="1"/>
  <c r="AQ30" i="1"/>
  <c r="AR30" i="1"/>
  <c r="AS30" i="1"/>
  <c r="AT30" i="1"/>
  <c r="AP31" i="1"/>
  <c r="AQ31" i="1"/>
  <c r="AR31" i="1"/>
  <c r="AS31" i="1"/>
  <c r="AT31" i="1"/>
  <c r="AP32" i="1"/>
  <c r="AQ32" i="1"/>
  <c r="AR32" i="1"/>
  <c r="AS32" i="1"/>
  <c r="AT32" i="1"/>
  <c r="AP33" i="1"/>
  <c r="AQ33" i="1"/>
  <c r="AR33" i="1"/>
  <c r="AS33" i="1"/>
  <c r="AT33" i="1"/>
  <c r="AP34" i="1"/>
  <c r="AQ34" i="1"/>
  <c r="AR34" i="1"/>
  <c r="AS34" i="1"/>
  <c r="AT34" i="1"/>
  <c r="AP35" i="1"/>
  <c r="AQ35" i="1"/>
  <c r="AR35" i="1"/>
  <c r="AS35" i="1"/>
  <c r="AT35" i="1"/>
  <c r="AP36" i="1"/>
  <c r="AQ36" i="1"/>
  <c r="AR36" i="1"/>
  <c r="AS36" i="1"/>
  <c r="AT36" i="1"/>
  <c r="AP37" i="1"/>
  <c r="AQ37" i="1"/>
  <c r="AR37" i="1"/>
  <c r="AS37" i="1"/>
  <c r="AT37" i="1"/>
  <c r="AP38" i="1"/>
  <c r="AQ38" i="1"/>
  <c r="AR38" i="1"/>
  <c r="AS38" i="1"/>
  <c r="AT38" i="1"/>
  <c r="AP39" i="1"/>
  <c r="AQ39" i="1"/>
  <c r="AR39" i="1"/>
  <c r="AS39" i="1"/>
  <c r="AT39" i="1"/>
  <c r="AP40" i="1"/>
  <c r="AQ40" i="1"/>
  <c r="AR40" i="1"/>
  <c r="AS40" i="1"/>
  <c r="AT40" i="1"/>
  <c r="AP41" i="1"/>
  <c r="AP42" i="1"/>
  <c r="AQ42" i="1"/>
  <c r="AR42" i="1"/>
  <c r="AS42" i="1"/>
  <c r="AT42" i="1"/>
  <c r="AP43" i="1"/>
  <c r="AQ43" i="1"/>
  <c r="AR43" i="1"/>
  <c r="AS43" i="1"/>
  <c r="AT43" i="1"/>
  <c r="AP44" i="1"/>
  <c r="AQ44" i="1"/>
  <c r="AR44" i="1"/>
  <c r="AS44" i="1"/>
  <c r="AT44" i="1"/>
  <c r="AP45" i="1"/>
  <c r="AQ45" i="1"/>
  <c r="AR45" i="1"/>
  <c r="AS45" i="1"/>
  <c r="AT45" i="1"/>
  <c r="AP46" i="1"/>
  <c r="AQ46" i="1"/>
  <c r="AR46" i="1"/>
  <c r="AS46" i="1"/>
  <c r="AT46" i="1"/>
  <c r="AP47" i="1"/>
  <c r="AQ47" i="1"/>
  <c r="AR47" i="1"/>
  <c r="AS47" i="1"/>
  <c r="AT47" i="1"/>
  <c r="AP48" i="1"/>
  <c r="AQ48" i="1"/>
  <c r="AR48" i="1"/>
  <c r="AS48" i="1"/>
  <c r="AT48" i="1"/>
  <c r="AP49" i="1"/>
  <c r="AQ49" i="1"/>
  <c r="AR49" i="1"/>
  <c r="AS49" i="1"/>
  <c r="AT49" i="1"/>
  <c r="AP50" i="1"/>
  <c r="AQ50" i="1"/>
  <c r="AR50" i="1"/>
  <c r="AS50" i="1"/>
  <c r="AT50" i="1"/>
  <c r="AP51" i="1"/>
  <c r="AQ51" i="1"/>
  <c r="AR51" i="1"/>
  <c r="AS51" i="1"/>
  <c r="AT51" i="1"/>
  <c r="AP52" i="1"/>
  <c r="AQ52" i="1"/>
  <c r="AR52" i="1"/>
  <c r="AS52" i="1"/>
  <c r="AT52" i="1"/>
  <c r="AP53" i="1"/>
  <c r="AQ53" i="1"/>
  <c r="AR53" i="1"/>
  <c r="AS53" i="1"/>
  <c r="AT53" i="1"/>
  <c r="AP54" i="1"/>
  <c r="AQ54" i="1"/>
  <c r="AR54" i="1"/>
  <c r="AS54" i="1"/>
  <c r="AT54" i="1"/>
  <c r="AP55" i="1"/>
  <c r="AQ55" i="1"/>
  <c r="AR55" i="1"/>
  <c r="AS55" i="1"/>
  <c r="AT55" i="1"/>
  <c r="AP56" i="1"/>
  <c r="AQ56" i="1"/>
  <c r="AR56" i="1"/>
  <c r="AS56" i="1"/>
  <c r="AT56" i="1"/>
  <c r="AP57" i="1"/>
  <c r="AQ57" i="1"/>
  <c r="AR57" i="1"/>
  <c r="AS57" i="1"/>
  <c r="AT57" i="1"/>
  <c r="AP58" i="1"/>
  <c r="AQ58" i="1"/>
  <c r="AR58" i="1"/>
  <c r="AS58" i="1"/>
  <c r="AT58" i="1"/>
  <c r="AP59" i="1"/>
  <c r="AQ59" i="1"/>
  <c r="AR59" i="1"/>
  <c r="AS59" i="1"/>
  <c r="AT59" i="1"/>
  <c r="AP60" i="1"/>
  <c r="AQ60" i="1"/>
  <c r="AR60" i="1"/>
  <c r="AS60" i="1"/>
  <c r="AT60" i="1"/>
  <c r="AP61" i="1"/>
  <c r="AQ61" i="1"/>
  <c r="AR61" i="1"/>
  <c r="AS61" i="1"/>
  <c r="AT61" i="1"/>
  <c r="AP62" i="1"/>
  <c r="AQ62" i="1"/>
  <c r="AR62" i="1"/>
  <c r="AS62" i="1"/>
  <c r="AT62" i="1"/>
  <c r="AP63" i="1"/>
  <c r="AQ63" i="1"/>
  <c r="AR63" i="1"/>
  <c r="AS63" i="1"/>
  <c r="AT63" i="1"/>
  <c r="AP64" i="1"/>
  <c r="AQ64" i="1"/>
  <c r="AR64" i="1"/>
  <c r="AS64" i="1"/>
  <c r="AT64" i="1"/>
  <c r="AP65" i="1"/>
  <c r="AP66" i="1"/>
  <c r="AQ66" i="1"/>
  <c r="AR66" i="1"/>
  <c r="AS66" i="1"/>
  <c r="AT66" i="1"/>
  <c r="AP67" i="1"/>
  <c r="AQ67" i="1"/>
  <c r="AR67" i="1"/>
  <c r="AS67" i="1"/>
  <c r="AT67" i="1"/>
  <c r="AP68" i="1"/>
  <c r="AQ68" i="1"/>
  <c r="AR68" i="1"/>
  <c r="AS68" i="1"/>
  <c r="AT68" i="1"/>
  <c r="AP69" i="1"/>
  <c r="AQ69" i="1"/>
  <c r="AR69" i="1"/>
  <c r="AS69" i="1"/>
  <c r="AT69" i="1"/>
  <c r="AP70" i="1"/>
  <c r="AQ70" i="1"/>
  <c r="AR70" i="1"/>
  <c r="AS70" i="1"/>
  <c r="AT70" i="1"/>
  <c r="AP71" i="1"/>
  <c r="AQ71" i="1"/>
  <c r="AR71" i="1"/>
  <c r="AS71" i="1"/>
  <c r="AT71" i="1"/>
  <c r="AP72" i="1"/>
  <c r="AQ72" i="1"/>
  <c r="AR72" i="1"/>
  <c r="AS72" i="1"/>
  <c r="AT72" i="1"/>
  <c r="AP73" i="1"/>
  <c r="AQ73" i="1"/>
  <c r="AR73" i="1"/>
  <c r="AS73" i="1"/>
  <c r="AT73" i="1"/>
  <c r="AP74" i="1"/>
  <c r="AQ74" i="1"/>
  <c r="AR74" i="1"/>
  <c r="AS74" i="1"/>
  <c r="AT74" i="1"/>
  <c r="AP75" i="1"/>
  <c r="AQ75" i="1"/>
  <c r="AR75" i="1"/>
  <c r="AS75" i="1"/>
  <c r="AT75" i="1"/>
  <c r="AP76" i="1"/>
  <c r="AQ76" i="1"/>
  <c r="AR76" i="1"/>
  <c r="AS76" i="1"/>
  <c r="AT76" i="1"/>
  <c r="AP77" i="1"/>
  <c r="AQ77" i="1"/>
  <c r="AR77" i="1"/>
  <c r="AS77" i="1"/>
  <c r="AT77" i="1"/>
  <c r="AP78" i="1"/>
  <c r="AQ78" i="1"/>
  <c r="AR78" i="1"/>
  <c r="AS78" i="1"/>
  <c r="AT78" i="1"/>
  <c r="AP79" i="1"/>
  <c r="AQ79" i="1"/>
  <c r="AR79" i="1"/>
  <c r="AS79" i="1"/>
  <c r="AT79" i="1"/>
  <c r="AP80" i="1"/>
  <c r="AQ80" i="1"/>
  <c r="AR80" i="1"/>
  <c r="AS80" i="1"/>
  <c r="AT80" i="1"/>
  <c r="AP81" i="1"/>
  <c r="AQ81" i="1"/>
  <c r="AR81" i="1"/>
  <c r="AS81" i="1"/>
  <c r="AT81" i="1"/>
  <c r="AP82" i="1"/>
  <c r="AQ82" i="1"/>
  <c r="AR82" i="1"/>
  <c r="AS82" i="1"/>
  <c r="AT82" i="1"/>
  <c r="AP83" i="1"/>
  <c r="AQ83" i="1"/>
  <c r="AR83" i="1"/>
  <c r="AS83" i="1"/>
  <c r="AT83" i="1"/>
  <c r="AP84" i="1"/>
  <c r="AQ84" i="1"/>
  <c r="AR84" i="1"/>
  <c r="AS84" i="1"/>
  <c r="AT84" i="1"/>
  <c r="AP85" i="1"/>
  <c r="AQ85" i="1"/>
  <c r="AR85" i="1"/>
  <c r="AS85" i="1"/>
  <c r="AT85" i="1"/>
  <c r="AP86" i="1"/>
  <c r="AQ86" i="1"/>
  <c r="AR86" i="1"/>
  <c r="AS86" i="1"/>
  <c r="AT86" i="1"/>
  <c r="AP87" i="1"/>
  <c r="AQ87" i="1"/>
  <c r="AR87" i="1"/>
  <c r="AS87" i="1"/>
  <c r="AT87" i="1"/>
  <c r="AP88" i="1"/>
  <c r="AQ88" i="1"/>
  <c r="AR88" i="1"/>
  <c r="AS88" i="1"/>
  <c r="AT88" i="1"/>
  <c r="AP89" i="1"/>
  <c r="AP90" i="1"/>
  <c r="AQ90" i="1"/>
  <c r="AR90" i="1"/>
  <c r="AS90" i="1"/>
  <c r="AT90" i="1"/>
  <c r="AP91" i="1"/>
  <c r="AQ91" i="1"/>
  <c r="AR91" i="1"/>
  <c r="AS91" i="1"/>
  <c r="AT91" i="1"/>
  <c r="AP92" i="1"/>
  <c r="AQ92" i="1"/>
  <c r="AR92" i="1"/>
  <c r="AS92" i="1"/>
  <c r="AT92" i="1"/>
  <c r="AP93" i="1"/>
  <c r="AQ93" i="1"/>
  <c r="AR93" i="1"/>
  <c r="AS93" i="1"/>
  <c r="AT93" i="1"/>
  <c r="AP94" i="1"/>
  <c r="AQ94" i="1"/>
  <c r="AR94" i="1"/>
  <c r="AS94" i="1"/>
  <c r="AT94" i="1"/>
  <c r="AP95" i="1"/>
  <c r="AQ95" i="1"/>
  <c r="AR95" i="1"/>
  <c r="AS95" i="1"/>
  <c r="AT95" i="1"/>
  <c r="AP96" i="1"/>
  <c r="AQ96" i="1"/>
  <c r="AR96" i="1"/>
  <c r="AS96" i="1"/>
  <c r="AT96" i="1"/>
  <c r="AP97" i="1"/>
  <c r="AQ97" i="1"/>
  <c r="AR97" i="1"/>
  <c r="AS97" i="1"/>
  <c r="AT97" i="1"/>
  <c r="AP98" i="1"/>
  <c r="AQ98" i="1"/>
  <c r="AR98" i="1"/>
  <c r="AS98" i="1"/>
  <c r="AT98" i="1"/>
  <c r="AP99" i="1"/>
  <c r="AQ99" i="1"/>
  <c r="AR99" i="1"/>
  <c r="AS99" i="1"/>
  <c r="AT99" i="1"/>
  <c r="AP100" i="1"/>
  <c r="AQ100" i="1"/>
  <c r="AR100" i="1"/>
  <c r="AS100" i="1"/>
  <c r="AT100" i="1"/>
  <c r="AP101" i="1"/>
  <c r="AQ101" i="1"/>
  <c r="AR101" i="1"/>
  <c r="AS101" i="1"/>
  <c r="AT101" i="1"/>
  <c r="AP102" i="1"/>
  <c r="AQ102" i="1"/>
  <c r="AR102" i="1"/>
  <c r="AS102" i="1"/>
  <c r="AT102" i="1"/>
  <c r="AP103" i="1"/>
  <c r="AQ103" i="1"/>
  <c r="AR103" i="1"/>
  <c r="AS103" i="1"/>
  <c r="AT103" i="1"/>
  <c r="AP104" i="1"/>
  <c r="AQ104" i="1"/>
  <c r="AR104" i="1"/>
  <c r="AS104" i="1"/>
  <c r="AT104" i="1"/>
  <c r="AP105" i="1"/>
  <c r="AQ105" i="1"/>
  <c r="AR105" i="1"/>
  <c r="AS105" i="1"/>
  <c r="AT105" i="1"/>
  <c r="AP106" i="1"/>
  <c r="AQ106" i="1"/>
  <c r="AR106" i="1"/>
  <c r="AS106" i="1"/>
  <c r="AT106" i="1"/>
  <c r="AP107" i="1"/>
  <c r="AQ107" i="1"/>
  <c r="AR107" i="1"/>
  <c r="AS107" i="1"/>
  <c r="AT107" i="1"/>
  <c r="AP108" i="1"/>
  <c r="AQ108" i="1"/>
  <c r="AR108" i="1"/>
  <c r="AS108" i="1"/>
  <c r="AT108" i="1"/>
  <c r="AP109" i="1"/>
  <c r="AQ109" i="1"/>
  <c r="AR109" i="1"/>
  <c r="AS109" i="1"/>
  <c r="AT109" i="1"/>
  <c r="AP110" i="1"/>
  <c r="AQ110" i="1"/>
  <c r="AR110" i="1"/>
  <c r="AS110" i="1"/>
  <c r="AT110" i="1"/>
  <c r="AP111" i="1"/>
  <c r="AQ111" i="1"/>
  <c r="AR111" i="1"/>
  <c r="AS111" i="1"/>
  <c r="AT111" i="1"/>
  <c r="AP112" i="1"/>
  <c r="AQ112" i="1"/>
  <c r="AR112" i="1"/>
  <c r="AS112" i="1"/>
  <c r="AT112" i="1"/>
  <c r="AP113" i="1"/>
  <c r="AQ113" i="1"/>
  <c r="AR113" i="1"/>
  <c r="AS113" i="1"/>
  <c r="AT113" i="1"/>
  <c r="AP114" i="1"/>
  <c r="AQ114" i="1"/>
  <c r="AR114" i="1"/>
  <c r="AS114" i="1"/>
  <c r="AT114" i="1"/>
  <c r="AP115" i="1"/>
  <c r="AQ115" i="1"/>
  <c r="AR115" i="1"/>
  <c r="AS115" i="1"/>
  <c r="AT115" i="1"/>
  <c r="AP116" i="1"/>
  <c r="AQ116" i="1"/>
  <c r="AR116" i="1"/>
  <c r="AS116" i="1"/>
  <c r="AT116" i="1"/>
  <c r="AP117" i="1"/>
  <c r="AQ117" i="1"/>
  <c r="AR117" i="1"/>
  <c r="AS117" i="1"/>
  <c r="AT117" i="1"/>
  <c r="AP118" i="1"/>
  <c r="AQ118" i="1"/>
  <c r="AR118" i="1"/>
  <c r="AS118" i="1"/>
  <c r="AT118" i="1"/>
  <c r="AP119" i="1"/>
  <c r="AQ119" i="1"/>
  <c r="AR119" i="1"/>
  <c r="AS119" i="1"/>
  <c r="AT119" i="1"/>
  <c r="AP120" i="1"/>
  <c r="AQ120" i="1"/>
  <c r="AR120" i="1"/>
  <c r="AS120" i="1"/>
  <c r="AT120" i="1"/>
  <c r="AP121" i="1"/>
  <c r="AQ121" i="1"/>
  <c r="AR121" i="1"/>
  <c r="AS121" i="1"/>
  <c r="AT121" i="1"/>
  <c r="AP122" i="1"/>
  <c r="AQ122" i="1"/>
  <c r="AR122" i="1"/>
  <c r="AS122" i="1"/>
  <c r="AT122" i="1"/>
  <c r="AP123" i="1"/>
  <c r="AQ123" i="1"/>
  <c r="AR123" i="1"/>
  <c r="AS123" i="1"/>
  <c r="AT123" i="1"/>
  <c r="AP124" i="1"/>
  <c r="AQ124" i="1"/>
  <c r="AR124" i="1"/>
  <c r="AS124" i="1"/>
  <c r="AT124" i="1"/>
  <c r="AP125" i="1"/>
  <c r="AQ125" i="1"/>
  <c r="AR125" i="1"/>
  <c r="AS125" i="1"/>
  <c r="AT125" i="1"/>
  <c r="AP126" i="1"/>
  <c r="AQ126" i="1"/>
  <c r="AR126" i="1"/>
  <c r="AS126" i="1"/>
  <c r="AT126" i="1"/>
  <c r="AP127" i="1"/>
  <c r="AQ127" i="1"/>
  <c r="AR127" i="1"/>
  <c r="AS127" i="1"/>
  <c r="AT127" i="1"/>
  <c r="AP128" i="1"/>
  <c r="AQ128" i="1"/>
  <c r="AR128" i="1"/>
  <c r="AS128" i="1"/>
  <c r="AT128" i="1"/>
  <c r="AP129" i="1"/>
  <c r="AQ129" i="1"/>
  <c r="AR129" i="1"/>
  <c r="AS129" i="1"/>
  <c r="AT129" i="1"/>
  <c r="AP130" i="1"/>
  <c r="AQ130" i="1"/>
  <c r="AR130" i="1"/>
  <c r="AS130" i="1"/>
  <c r="AT130" i="1"/>
  <c r="AP131" i="1"/>
  <c r="AQ131" i="1"/>
  <c r="AR131" i="1"/>
  <c r="AS131" i="1"/>
  <c r="AT131" i="1"/>
  <c r="AP132" i="1"/>
  <c r="AQ132" i="1"/>
  <c r="AR132" i="1"/>
  <c r="AS132" i="1"/>
  <c r="AT132" i="1"/>
  <c r="AP133" i="1"/>
  <c r="AQ133" i="1"/>
  <c r="AR133" i="1"/>
  <c r="AS133" i="1"/>
  <c r="AT133" i="1"/>
  <c r="AP134" i="1"/>
  <c r="AQ134" i="1"/>
  <c r="AR134" i="1"/>
  <c r="AS134" i="1"/>
  <c r="AT134" i="1"/>
  <c r="AP135" i="1"/>
  <c r="AQ135" i="1"/>
  <c r="AR135" i="1"/>
  <c r="AS135" i="1"/>
  <c r="AT135" i="1"/>
  <c r="AP136" i="1"/>
  <c r="AQ136" i="1"/>
  <c r="AR136" i="1"/>
  <c r="AS136" i="1"/>
  <c r="AT136" i="1"/>
  <c r="AP137" i="1"/>
  <c r="AP138" i="1"/>
  <c r="AQ138" i="1"/>
  <c r="AR138" i="1"/>
  <c r="AS138" i="1"/>
  <c r="AT138" i="1"/>
  <c r="AP139" i="1"/>
  <c r="AQ139" i="1"/>
  <c r="AR139" i="1"/>
  <c r="AS139" i="1"/>
  <c r="AT139" i="1"/>
  <c r="AP140" i="1"/>
  <c r="AQ140" i="1"/>
  <c r="AR140" i="1"/>
  <c r="AS140" i="1"/>
  <c r="AT140" i="1"/>
  <c r="AP141" i="1"/>
  <c r="AQ141" i="1"/>
  <c r="AR141" i="1"/>
  <c r="AS141" i="1"/>
  <c r="AT141" i="1"/>
  <c r="AP142" i="1"/>
  <c r="AQ142" i="1"/>
  <c r="AR142" i="1"/>
  <c r="AS142" i="1"/>
  <c r="AT142" i="1"/>
  <c r="AP143" i="1"/>
  <c r="AQ143" i="1"/>
  <c r="AR143" i="1"/>
  <c r="AS143" i="1"/>
  <c r="AT143" i="1"/>
  <c r="AP144" i="1"/>
  <c r="AQ144" i="1"/>
  <c r="AR144" i="1"/>
  <c r="AS144" i="1"/>
  <c r="AT144" i="1"/>
  <c r="AP145" i="1"/>
  <c r="AQ145" i="1"/>
  <c r="AR145" i="1"/>
  <c r="AS145" i="1"/>
  <c r="AT145" i="1"/>
  <c r="AP146" i="1"/>
  <c r="AQ146" i="1"/>
  <c r="AR146" i="1"/>
  <c r="AS146" i="1"/>
  <c r="AT146" i="1"/>
  <c r="AP147" i="1"/>
  <c r="AQ147" i="1"/>
  <c r="AR147" i="1"/>
  <c r="AS147" i="1"/>
  <c r="AT147" i="1"/>
  <c r="AP148" i="1"/>
  <c r="AQ148" i="1"/>
  <c r="AR148" i="1"/>
  <c r="AS148" i="1"/>
  <c r="AT148" i="1"/>
  <c r="AP149" i="1"/>
  <c r="AQ149" i="1"/>
  <c r="AR149" i="1"/>
  <c r="AS149" i="1"/>
  <c r="AT149" i="1"/>
  <c r="AP150" i="1"/>
  <c r="AQ150" i="1"/>
  <c r="AR150" i="1"/>
  <c r="AS150" i="1"/>
  <c r="AT150" i="1"/>
  <c r="AP151" i="1"/>
  <c r="AQ151" i="1"/>
  <c r="AR151" i="1"/>
  <c r="AS151" i="1"/>
  <c r="AT151" i="1"/>
  <c r="AP152" i="1"/>
  <c r="AQ152" i="1"/>
  <c r="AR152" i="1"/>
  <c r="AS152" i="1"/>
  <c r="AT152" i="1"/>
  <c r="AP153" i="1"/>
  <c r="AQ153" i="1"/>
  <c r="AR153" i="1"/>
  <c r="AS153" i="1"/>
  <c r="AT153" i="1"/>
  <c r="AP154" i="1"/>
  <c r="AQ154" i="1"/>
  <c r="AR154" i="1"/>
  <c r="AS154" i="1"/>
  <c r="AT154" i="1"/>
  <c r="AP155" i="1"/>
  <c r="AQ155" i="1"/>
  <c r="AR155" i="1"/>
  <c r="AS155" i="1"/>
  <c r="AT155" i="1"/>
  <c r="AP156" i="1"/>
  <c r="AQ156" i="1"/>
  <c r="AR156" i="1"/>
  <c r="AS156" i="1"/>
  <c r="AT156" i="1"/>
  <c r="AP157" i="1"/>
  <c r="AQ157" i="1"/>
  <c r="AR157" i="1"/>
  <c r="AS157" i="1"/>
  <c r="AT157" i="1"/>
  <c r="AP158" i="1"/>
  <c r="AQ158" i="1"/>
  <c r="AR158" i="1"/>
  <c r="AS158" i="1"/>
  <c r="AT158" i="1"/>
  <c r="AP159" i="1"/>
  <c r="AQ159" i="1"/>
  <c r="AR159" i="1"/>
  <c r="AS159" i="1"/>
  <c r="AT159" i="1"/>
  <c r="AP160" i="1"/>
  <c r="AQ160" i="1"/>
  <c r="AR160" i="1"/>
  <c r="AS160" i="1"/>
  <c r="AT160" i="1"/>
  <c r="AP162" i="1"/>
  <c r="AQ162" i="1"/>
  <c r="AR162" i="1"/>
  <c r="AS162" i="1"/>
  <c r="AT162" i="1"/>
  <c r="AP163" i="1"/>
  <c r="AQ163" i="1"/>
  <c r="AR163" i="1"/>
  <c r="AS163" i="1"/>
  <c r="AT163" i="1"/>
  <c r="AP164" i="1"/>
  <c r="AQ164" i="1"/>
  <c r="AR164" i="1"/>
  <c r="AS164" i="1"/>
  <c r="AT164" i="1"/>
  <c r="AP165" i="1"/>
  <c r="AQ165" i="1"/>
  <c r="AR165" i="1"/>
  <c r="AS165" i="1"/>
  <c r="AT165" i="1"/>
  <c r="AP166" i="1"/>
  <c r="AQ166" i="1"/>
  <c r="AR166" i="1"/>
  <c r="AS166" i="1"/>
  <c r="AT166" i="1"/>
  <c r="AP167" i="1"/>
  <c r="AQ167" i="1"/>
  <c r="AR167" i="1"/>
  <c r="AS167" i="1"/>
  <c r="AT167" i="1"/>
  <c r="AP168" i="1"/>
  <c r="AQ168" i="1"/>
  <c r="AR168" i="1"/>
  <c r="AS168" i="1"/>
  <c r="AT168" i="1"/>
  <c r="AP169" i="1"/>
  <c r="AQ169" i="1"/>
  <c r="AR169" i="1"/>
  <c r="AS169" i="1"/>
  <c r="AT169" i="1"/>
  <c r="AP170" i="1"/>
  <c r="AQ170" i="1"/>
  <c r="AR170" i="1"/>
  <c r="AS170" i="1"/>
  <c r="AT170" i="1"/>
  <c r="AP171" i="1"/>
  <c r="AQ171" i="1"/>
  <c r="AR171" i="1"/>
  <c r="AS171" i="1"/>
  <c r="AT171" i="1"/>
  <c r="AP172" i="1"/>
  <c r="AQ172" i="1"/>
  <c r="AR172" i="1"/>
  <c r="AS172" i="1"/>
  <c r="AT172" i="1"/>
  <c r="AP173" i="1"/>
  <c r="AQ173" i="1"/>
  <c r="AR173" i="1"/>
  <c r="AS173" i="1"/>
  <c r="AT173" i="1"/>
  <c r="AP174" i="1"/>
  <c r="AQ174" i="1"/>
  <c r="AR174" i="1"/>
  <c r="AS174" i="1"/>
  <c r="AT174" i="1"/>
  <c r="AP175" i="1"/>
  <c r="AQ175" i="1"/>
  <c r="AR175" i="1"/>
  <c r="AS175" i="1"/>
  <c r="AT175" i="1"/>
  <c r="AP176" i="1"/>
  <c r="AQ176" i="1"/>
  <c r="AR176" i="1"/>
  <c r="AS176" i="1"/>
  <c r="AT176" i="1"/>
  <c r="AP177" i="1"/>
  <c r="AQ177" i="1"/>
  <c r="AR177" i="1"/>
  <c r="AS177" i="1"/>
  <c r="AT177" i="1"/>
  <c r="AP178" i="1"/>
  <c r="AQ178" i="1"/>
  <c r="AR178" i="1"/>
  <c r="AS178" i="1"/>
  <c r="AT178" i="1"/>
  <c r="AP179" i="1"/>
  <c r="AQ179" i="1"/>
  <c r="AR179" i="1"/>
  <c r="AS179" i="1"/>
  <c r="AT179" i="1"/>
  <c r="AP180" i="1"/>
  <c r="AQ180" i="1"/>
  <c r="AR180" i="1"/>
  <c r="AS180" i="1"/>
  <c r="AT180" i="1"/>
  <c r="AP181" i="1"/>
  <c r="AQ181" i="1"/>
  <c r="AR181" i="1"/>
  <c r="AS181" i="1"/>
  <c r="AT181" i="1"/>
  <c r="AP182" i="1"/>
  <c r="AQ182" i="1"/>
  <c r="AR182" i="1"/>
  <c r="AS182" i="1"/>
  <c r="AT182" i="1"/>
  <c r="AP183" i="1"/>
  <c r="AQ183" i="1"/>
  <c r="AR183" i="1"/>
  <c r="AS183" i="1"/>
  <c r="AT183" i="1"/>
  <c r="AP184" i="1"/>
  <c r="AQ184" i="1"/>
  <c r="AR184" i="1"/>
  <c r="AS184" i="1"/>
  <c r="AT184" i="1"/>
  <c r="AP186" i="1"/>
  <c r="AQ186" i="1"/>
  <c r="AR186" i="1"/>
  <c r="AS186" i="1"/>
  <c r="AT186" i="1"/>
  <c r="AP187" i="1"/>
  <c r="AQ187" i="1"/>
  <c r="AR187" i="1"/>
  <c r="AS187" i="1"/>
  <c r="AT187" i="1"/>
  <c r="AP188" i="1"/>
  <c r="AQ188" i="1"/>
  <c r="AR188" i="1"/>
  <c r="AS188" i="1"/>
  <c r="AT188" i="1"/>
  <c r="AP189" i="1"/>
  <c r="AQ189" i="1"/>
  <c r="AR189" i="1"/>
  <c r="AS189" i="1"/>
  <c r="AT189" i="1"/>
  <c r="AP190" i="1"/>
  <c r="AQ190" i="1"/>
  <c r="AR190" i="1"/>
  <c r="AS190" i="1"/>
  <c r="AT190" i="1"/>
  <c r="AP191" i="1"/>
  <c r="AQ191" i="1"/>
  <c r="AR191" i="1"/>
  <c r="AS191" i="1"/>
  <c r="AT191" i="1"/>
  <c r="AP192" i="1"/>
  <c r="AQ192" i="1"/>
  <c r="AR192" i="1"/>
  <c r="AS192" i="1"/>
  <c r="AT192" i="1"/>
  <c r="AP193" i="1"/>
  <c r="AQ193" i="1"/>
  <c r="AR193" i="1"/>
  <c r="AS193" i="1"/>
  <c r="AT193" i="1"/>
  <c r="AP194" i="1"/>
  <c r="AQ194" i="1"/>
  <c r="AR194" i="1"/>
  <c r="AS194" i="1"/>
  <c r="AT194" i="1"/>
  <c r="AP195" i="1"/>
  <c r="AQ195" i="1"/>
  <c r="AR195" i="1"/>
  <c r="AS195" i="1"/>
  <c r="AT195" i="1"/>
  <c r="AP196" i="1"/>
  <c r="AQ196" i="1"/>
  <c r="AR196" i="1"/>
  <c r="AS196" i="1"/>
  <c r="AT196" i="1"/>
  <c r="AP197" i="1"/>
  <c r="AQ197" i="1"/>
  <c r="AR197" i="1"/>
  <c r="AS197" i="1"/>
  <c r="AT197" i="1"/>
  <c r="AP198" i="1"/>
  <c r="AQ198" i="1"/>
  <c r="AR198" i="1"/>
  <c r="AS198" i="1"/>
  <c r="AT198" i="1"/>
  <c r="AP199" i="1"/>
  <c r="AQ199" i="1"/>
  <c r="AR199" i="1"/>
  <c r="AS199" i="1"/>
  <c r="AT199" i="1"/>
  <c r="AP200" i="1"/>
  <c r="AQ200" i="1"/>
  <c r="AR200" i="1"/>
  <c r="AS200" i="1"/>
  <c r="AT200" i="1"/>
  <c r="AP201" i="1"/>
  <c r="AQ201" i="1"/>
  <c r="AR201" i="1"/>
  <c r="AS201" i="1"/>
  <c r="AT201" i="1"/>
  <c r="AP202" i="1"/>
  <c r="AQ202" i="1"/>
  <c r="AR202" i="1"/>
  <c r="AS202" i="1"/>
  <c r="AT202" i="1"/>
  <c r="AP203" i="1"/>
  <c r="AQ203" i="1"/>
  <c r="AR203" i="1"/>
  <c r="AS203" i="1"/>
  <c r="AT203" i="1"/>
  <c r="AP204" i="1"/>
  <c r="AQ204" i="1"/>
  <c r="AR204" i="1"/>
  <c r="AS204" i="1"/>
  <c r="AT204" i="1"/>
  <c r="AP205" i="1"/>
  <c r="AQ205" i="1"/>
  <c r="AR205" i="1"/>
  <c r="AS205" i="1"/>
  <c r="AT205" i="1"/>
  <c r="AP206" i="1"/>
  <c r="AQ206" i="1"/>
  <c r="AR206" i="1"/>
  <c r="AS206" i="1"/>
  <c r="AT206" i="1"/>
  <c r="AP207" i="1"/>
  <c r="AQ207" i="1"/>
  <c r="AR207" i="1"/>
  <c r="AS207" i="1"/>
  <c r="AT207" i="1"/>
  <c r="AP208" i="1"/>
  <c r="AQ208" i="1"/>
  <c r="AR208" i="1"/>
  <c r="AS208" i="1"/>
  <c r="AT208" i="1"/>
  <c r="AP211" i="1"/>
  <c r="AQ211" i="1"/>
  <c r="AR211" i="1"/>
  <c r="AS211" i="1"/>
  <c r="AT211" i="1"/>
  <c r="AP212" i="1"/>
  <c r="AQ212" i="1"/>
  <c r="AR212" i="1"/>
  <c r="AS212" i="1"/>
  <c r="AT212" i="1"/>
  <c r="AP213" i="1"/>
  <c r="AQ213" i="1"/>
  <c r="AR213" i="1"/>
  <c r="AS213" i="1"/>
  <c r="AT213" i="1"/>
  <c r="AP214" i="1"/>
  <c r="AQ214" i="1"/>
  <c r="AR214" i="1"/>
  <c r="AS214" i="1"/>
  <c r="AT214" i="1"/>
  <c r="AP215" i="1"/>
  <c r="AQ215" i="1"/>
  <c r="AR215" i="1"/>
  <c r="AS215" i="1"/>
  <c r="AT215" i="1"/>
  <c r="AP216" i="1"/>
  <c r="AQ216" i="1"/>
  <c r="AR216" i="1"/>
  <c r="AS216" i="1"/>
  <c r="AT216" i="1"/>
  <c r="AP217" i="1"/>
  <c r="AQ217" i="1"/>
  <c r="AR217" i="1"/>
  <c r="AS217" i="1"/>
  <c r="AT217" i="1"/>
  <c r="AP218" i="1"/>
  <c r="AQ218" i="1"/>
  <c r="AR218" i="1"/>
  <c r="AS218" i="1"/>
  <c r="AT218" i="1"/>
  <c r="AP219" i="1"/>
  <c r="AQ219" i="1"/>
  <c r="AR219" i="1"/>
  <c r="AS219" i="1"/>
  <c r="AT219" i="1"/>
  <c r="AP220" i="1"/>
  <c r="AQ220" i="1"/>
  <c r="AR220" i="1"/>
  <c r="AS220" i="1"/>
  <c r="AT220" i="1"/>
  <c r="AP221" i="1"/>
  <c r="AQ221" i="1"/>
  <c r="AR221" i="1"/>
  <c r="AS221" i="1"/>
  <c r="AT221" i="1"/>
  <c r="AP222" i="1"/>
  <c r="AQ222" i="1"/>
  <c r="AR222" i="1"/>
  <c r="AS222" i="1"/>
  <c r="AT222" i="1"/>
  <c r="AP223" i="1"/>
  <c r="AQ223" i="1"/>
  <c r="AR223" i="1"/>
  <c r="AS223" i="1"/>
  <c r="AT223" i="1"/>
  <c r="AP224" i="1"/>
  <c r="AQ224" i="1"/>
  <c r="AR224" i="1"/>
  <c r="AS224" i="1"/>
  <c r="AT224" i="1"/>
  <c r="AP225" i="1"/>
  <c r="AQ225" i="1"/>
  <c r="AR225" i="1"/>
  <c r="AS225" i="1"/>
  <c r="AT225" i="1"/>
  <c r="AP226" i="1"/>
  <c r="AQ226" i="1"/>
  <c r="AR226" i="1"/>
  <c r="AS226" i="1"/>
  <c r="AT226" i="1"/>
  <c r="AP227" i="1"/>
  <c r="AQ227" i="1"/>
  <c r="AR227" i="1"/>
  <c r="AS227" i="1"/>
  <c r="AT227" i="1"/>
  <c r="AP228" i="1"/>
  <c r="AQ228" i="1"/>
  <c r="AR228" i="1"/>
  <c r="AS228" i="1"/>
  <c r="AT228" i="1"/>
  <c r="AP229" i="1"/>
  <c r="AQ229" i="1"/>
  <c r="AR229" i="1"/>
  <c r="AS229" i="1"/>
  <c r="AT229" i="1"/>
  <c r="AP230" i="1"/>
  <c r="AQ230" i="1"/>
  <c r="AR230" i="1"/>
  <c r="AS230" i="1"/>
  <c r="AT230" i="1"/>
  <c r="AP231" i="1"/>
  <c r="AQ231" i="1"/>
  <c r="AR231" i="1"/>
  <c r="AS231" i="1"/>
  <c r="AT231" i="1"/>
  <c r="AP232" i="1"/>
  <c r="AQ232" i="1"/>
  <c r="AR232" i="1"/>
  <c r="AS232" i="1"/>
  <c r="AT232" i="1"/>
  <c r="AP233" i="1"/>
  <c r="AQ233" i="1"/>
  <c r="AR233" i="1"/>
  <c r="AS233" i="1"/>
  <c r="AT233" i="1"/>
  <c r="AP235" i="1"/>
  <c r="AQ235" i="1"/>
  <c r="AR235" i="1"/>
  <c r="AS235" i="1"/>
  <c r="AT235" i="1"/>
  <c r="AP236" i="1"/>
  <c r="AQ236" i="1"/>
  <c r="AR236" i="1"/>
  <c r="AS236" i="1"/>
  <c r="AT236" i="1"/>
  <c r="AP237" i="1"/>
  <c r="AQ237" i="1"/>
  <c r="AR237" i="1"/>
  <c r="AS237" i="1"/>
  <c r="AT237" i="1"/>
  <c r="AP238" i="1"/>
  <c r="AQ238" i="1"/>
  <c r="AR238" i="1"/>
  <c r="AS238" i="1"/>
  <c r="AT238" i="1"/>
  <c r="AP239" i="1"/>
  <c r="AQ239" i="1"/>
  <c r="AR239" i="1"/>
  <c r="AS239" i="1"/>
  <c r="AT239" i="1"/>
  <c r="AP240" i="1"/>
  <c r="AQ240" i="1"/>
  <c r="AR240" i="1"/>
  <c r="AS240" i="1"/>
  <c r="AT240" i="1"/>
  <c r="AP241" i="1"/>
  <c r="AQ241" i="1"/>
  <c r="AR241" i="1"/>
  <c r="AS241" i="1"/>
  <c r="AT241" i="1"/>
  <c r="AP242" i="1"/>
  <c r="AQ242" i="1"/>
  <c r="AR242" i="1"/>
  <c r="AS242" i="1"/>
  <c r="AT242" i="1"/>
  <c r="AP243" i="1"/>
  <c r="AQ243" i="1"/>
  <c r="AR243" i="1"/>
  <c r="AS243" i="1"/>
  <c r="AT243" i="1"/>
  <c r="AP244" i="1"/>
  <c r="AQ244" i="1"/>
  <c r="AR244" i="1"/>
  <c r="AS244" i="1"/>
  <c r="AT244" i="1"/>
  <c r="AP245" i="1"/>
  <c r="AQ245" i="1"/>
  <c r="AR245" i="1"/>
  <c r="AS245" i="1"/>
  <c r="AT245" i="1"/>
  <c r="AP246" i="1"/>
  <c r="AQ246" i="1"/>
  <c r="AR246" i="1"/>
  <c r="AS246" i="1"/>
  <c r="AT246" i="1"/>
  <c r="AP247" i="1"/>
  <c r="AQ247" i="1"/>
  <c r="AR247" i="1"/>
  <c r="AS247" i="1"/>
  <c r="AT247" i="1"/>
  <c r="AP248" i="1"/>
  <c r="AQ248" i="1"/>
  <c r="AR248" i="1"/>
  <c r="AS248" i="1"/>
  <c r="AT248" i="1"/>
  <c r="AP249" i="1"/>
  <c r="AQ249" i="1"/>
  <c r="AR249" i="1"/>
  <c r="AS249" i="1"/>
  <c r="AT249" i="1"/>
  <c r="AP250" i="1"/>
  <c r="AQ250" i="1"/>
  <c r="AR250" i="1"/>
  <c r="AS250" i="1"/>
  <c r="AT250" i="1"/>
  <c r="AP251" i="1"/>
  <c r="AQ251" i="1"/>
  <c r="AR251" i="1"/>
  <c r="AS251" i="1"/>
  <c r="AT251" i="1"/>
  <c r="AP252" i="1"/>
  <c r="AQ252" i="1"/>
  <c r="AR252" i="1"/>
  <c r="AS252" i="1"/>
  <c r="AT252" i="1"/>
  <c r="AP253" i="1"/>
  <c r="AQ253" i="1"/>
  <c r="AR253" i="1"/>
  <c r="AS253" i="1"/>
  <c r="AT253" i="1"/>
  <c r="AP254" i="1"/>
  <c r="AQ254" i="1"/>
  <c r="AR254" i="1"/>
  <c r="AS254" i="1"/>
  <c r="AT254" i="1"/>
  <c r="AP255" i="1"/>
  <c r="AQ255" i="1"/>
  <c r="AR255" i="1"/>
  <c r="AS255" i="1"/>
  <c r="AT255" i="1"/>
  <c r="AP256" i="1"/>
  <c r="AQ256" i="1"/>
  <c r="AR256" i="1"/>
  <c r="AS256" i="1"/>
  <c r="AT256" i="1"/>
  <c r="AP257" i="1"/>
  <c r="AQ257" i="1"/>
  <c r="AR257" i="1"/>
  <c r="AS257" i="1"/>
  <c r="AT257" i="1"/>
  <c r="AP259" i="1"/>
  <c r="AQ259" i="1"/>
  <c r="AR259" i="1"/>
  <c r="AS259" i="1"/>
  <c r="AT259" i="1"/>
  <c r="AP260" i="1"/>
  <c r="AQ260" i="1"/>
  <c r="AR260" i="1"/>
  <c r="AS260" i="1"/>
  <c r="AT260" i="1"/>
  <c r="AP261" i="1"/>
  <c r="AQ261" i="1"/>
  <c r="AR261" i="1"/>
  <c r="AS261" i="1"/>
  <c r="AT261" i="1"/>
  <c r="AP262" i="1"/>
  <c r="AQ262" i="1"/>
  <c r="AR262" i="1"/>
  <c r="AS262" i="1"/>
  <c r="AT262" i="1"/>
  <c r="AP263" i="1"/>
  <c r="AQ263" i="1"/>
  <c r="AR263" i="1"/>
  <c r="AS263" i="1"/>
  <c r="AT263" i="1"/>
  <c r="AP264" i="1"/>
  <c r="AQ264" i="1"/>
  <c r="AR264" i="1"/>
  <c r="AS264" i="1"/>
  <c r="AT264" i="1"/>
  <c r="AP265" i="1"/>
  <c r="AQ265" i="1"/>
  <c r="AR265" i="1"/>
  <c r="AS265" i="1"/>
  <c r="AT265" i="1"/>
  <c r="AP266" i="1"/>
  <c r="AQ266" i="1"/>
  <c r="AR266" i="1"/>
  <c r="AS266" i="1"/>
  <c r="AT266" i="1"/>
  <c r="AP267" i="1"/>
  <c r="AQ267" i="1"/>
  <c r="AR267" i="1"/>
  <c r="AS267" i="1"/>
  <c r="AT267" i="1"/>
  <c r="AP268" i="1"/>
  <c r="AQ268" i="1"/>
  <c r="AR268" i="1"/>
  <c r="AS268" i="1"/>
  <c r="AT268" i="1"/>
  <c r="AP269" i="1"/>
  <c r="AQ269" i="1"/>
  <c r="AR269" i="1"/>
  <c r="AS269" i="1"/>
  <c r="AT269" i="1"/>
  <c r="AP270" i="1"/>
  <c r="AQ270" i="1"/>
  <c r="AR270" i="1"/>
  <c r="AS270" i="1"/>
  <c r="AT270" i="1"/>
  <c r="AP271" i="1"/>
  <c r="AQ271" i="1"/>
  <c r="AR271" i="1"/>
  <c r="AS271" i="1"/>
  <c r="AT271" i="1"/>
  <c r="AP272" i="1"/>
  <c r="AQ272" i="1"/>
  <c r="AR272" i="1"/>
  <c r="AS272" i="1"/>
  <c r="AT272" i="1"/>
  <c r="AP273" i="1"/>
  <c r="AQ273" i="1"/>
  <c r="AR273" i="1"/>
  <c r="AS273" i="1"/>
  <c r="AT273" i="1"/>
  <c r="AP274" i="1"/>
  <c r="AQ274" i="1"/>
  <c r="AR274" i="1"/>
  <c r="AS274" i="1"/>
  <c r="AT274" i="1"/>
  <c r="AP275" i="1"/>
  <c r="AQ275" i="1"/>
  <c r="AR275" i="1"/>
  <c r="AS275" i="1"/>
  <c r="AT275" i="1"/>
  <c r="AP276" i="1"/>
  <c r="AQ276" i="1"/>
  <c r="AR276" i="1"/>
  <c r="AS276" i="1"/>
  <c r="AT276" i="1"/>
  <c r="AP277" i="1"/>
  <c r="AQ277" i="1"/>
  <c r="AR277" i="1"/>
  <c r="AS277" i="1"/>
  <c r="AT277" i="1"/>
  <c r="AP278" i="1"/>
  <c r="AQ278" i="1"/>
  <c r="AR278" i="1"/>
  <c r="AS278" i="1"/>
  <c r="AT278" i="1"/>
  <c r="AP279" i="1"/>
  <c r="AQ279" i="1"/>
  <c r="AR279" i="1"/>
  <c r="AS279" i="1"/>
  <c r="AT279" i="1"/>
  <c r="AP280" i="1"/>
  <c r="AQ280" i="1"/>
  <c r="AR280" i="1"/>
  <c r="AS280" i="1"/>
  <c r="AT280" i="1"/>
  <c r="AP281" i="1"/>
  <c r="AQ281" i="1"/>
  <c r="AR281" i="1"/>
  <c r="AS281" i="1"/>
  <c r="AT281" i="1"/>
  <c r="AP282" i="1"/>
  <c r="AQ282" i="1"/>
  <c r="AR282" i="1"/>
  <c r="AS282" i="1"/>
  <c r="AT282" i="1"/>
  <c r="AP283" i="1"/>
  <c r="AQ283" i="1"/>
  <c r="AR283" i="1"/>
  <c r="AS283" i="1"/>
  <c r="AT283" i="1"/>
  <c r="AP284" i="1"/>
  <c r="AQ284" i="1"/>
  <c r="AR284" i="1"/>
  <c r="AS284" i="1"/>
  <c r="AT284" i="1"/>
  <c r="AP285" i="1"/>
  <c r="AQ285" i="1"/>
  <c r="AR285" i="1"/>
  <c r="AS285" i="1"/>
  <c r="AT285" i="1"/>
  <c r="AP286" i="1"/>
  <c r="AQ286" i="1"/>
  <c r="AR286" i="1"/>
  <c r="AS286" i="1"/>
  <c r="AT286" i="1"/>
  <c r="AP287" i="1"/>
  <c r="AQ287" i="1"/>
  <c r="AR287" i="1"/>
  <c r="AS287" i="1"/>
  <c r="AT287" i="1"/>
  <c r="AP288" i="1"/>
  <c r="AQ288" i="1"/>
  <c r="AR288" i="1"/>
  <c r="AS288" i="1"/>
  <c r="AT288" i="1"/>
  <c r="AP289" i="1"/>
  <c r="AQ289" i="1"/>
  <c r="AR289" i="1"/>
  <c r="AS289" i="1"/>
  <c r="AT289" i="1"/>
  <c r="AP290" i="1"/>
  <c r="AQ290" i="1"/>
  <c r="AR290" i="1"/>
  <c r="AS290" i="1"/>
  <c r="AT290" i="1"/>
  <c r="AP291" i="1"/>
  <c r="AQ291" i="1"/>
  <c r="AR291" i="1"/>
  <c r="AS291" i="1"/>
  <c r="AT291" i="1"/>
  <c r="AP292" i="1"/>
  <c r="AQ292" i="1"/>
  <c r="AR292" i="1"/>
  <c r="AS292" i="1"/>
  <c r="AT292" i="1"/>
  <c r="AP293" i="1"/>
  <c r="AQ293" i="1"/>
  <c r="AR293" i="1"/>
  <c r="AS293" i="1"/>
  <c r="AT293" i="1"/>
  <c r="AP294" i="1"/>
  <c r="AQ294" i="1"/>
  <c r="AR294" i="1"/>
  <c r="AS294" i="1"/>
  <c r="AT294" i="1"/>
  <c r="AP295" i="1"/>
  <c r="AQ295" i="1"/>
  <c r="AR295" i="1"/>
  <c r="AS295" i="1"/>
  <c r="AT295" i="1"/>
  <c r="AP296" i="1"/>
  <c r="AQ296" i="1"/>
  <c r="AR296" i="1"/>
  <c r="AS296" i="1"/>
  <c r="AT296" i="1"/>
  <c r="AP297" i="1"/>
  <c r="AQ297" i="1"/>
  <c r="AR297" i="1"/>
  <c r="AS297" i="1"/>
  <c r="AT297" i="1"/>
  <c r="AP298" i="1"/>
  <c r="AQ298" i="1"/>
  <c r="AR298" i="1"/>
  <c r="AS298" i="1"/>
  <c r="AT298" i="1"/>
  <c r="AP299" i="1"/>
  <c r="AQ299" i="1"/>
  <c r="AR299" i="1"/>
  <c r="AS299" i="1"/>
  <c r="AT299" i="1"/>
  <c r="AP300" i="1"/>
  <c r="AQ300" i="1"/>
  <c r="AR300" i="1"/>
  <c r="AS300" i="1"/>
  <c r="AT300" i="1"/>
  <c r="AP301" i="1"/>
  <c r="AQ301" i="1"/>
  <c r="AR301" i="1"/>
  <c r="AS301" i="1"/>
  <c r="AT301" i="1"/>
  <c r="AP302" i="1"/>
  <c r="AQ302" i="1"/>
  <c r="AR302" i="1"/>
  <c r="AS302" i="1"/>
  <c r="AT302" i="1"/>
  <c r="AP303" i="1"/>
  <c r="AQ303" i="1"/>
  <c r="AR303" i="1"/>
  <c r="AS303" i="1"/>
  <c r="AT303" i="1"/>
  <c r="AP304" i="1"/>
  <c r="AQ304" i="1"/>
  <c r="AR304" i="1"/>
  <c r="AS304" i="1"/>
  <c r="AT304" i="1"/>
  <c r="AP305" i="1"/>
  <c r="AQ305" i="1"/>
  <c r="AR305" i="1"/>
  <c r="AS305" i="1"/>
  <c r="AT305" i="1"/>
  <c r="AP307" i="1"/>
  <c r="AQ307" i="1"/>
  <c r="AR307" i="1"/>
  <c r="AS307" i="1"/>
  <c r="AT307" i="1"/>
  <c r="AP308" i="1"/>
  <c r="AQ308" i="1"/>
  <c r="AR308" i="1"/>
  <c r="AS308" i="1"/>
  <c r="AT308" i="1"/>
  <c r="AP309" i="1"/>
  <c r="AQ309" i="1"/>
  <c r="AR309" i="1"/>
  <c r="AS309" i="1"/>
  <c r="AT309" i="1"/>
  <c r="AP310" i="1"/>
  <c r="AQ310" i="1"/>
  <c r="AR310" i="1"/>
  <c r="AS310" i="1"/>
  <c r="AT310" i="1"/>
  <c r="AP311" i="1"/>
  <c r="AQ311" i="1"/>
  <c r="AR311" i="1"/>
  <c r="AS311" i="1"/>
  <c r="AT311" i="1"/>
  <c r="AP312" i="1"/>
  <c r="AQ312" i="1"/>
  <c r="AR312" i="1"/>
  <c r="AS312" i="1"/>
  <c r="AT312" i="1"/>
  <c r="AP313" i="1"/>
  <c r="AQ313" i="1"/>
  <c r="AR313" i="1"/>
  <c r="AS313" i="1"/>
  <c r="AT313" i="1"/>
  <c r="AP314" i="1"/>
  <c r="AQ314" i="1"/>
  <c r="AR314" i="1"/>
  <c r="AS314" i="1"/>
  <c r="AT314" i="1"/>
  <c r="AP315" i="1"/>
  <c r="AQ315" i="1"/>
  <c r="AR315" i="1"/>
  <c r="AS315" i="1"/>
  <c r="AT315" i="1"/>
  <c r="AP316" i="1"/>
  <c r="AQ316" i="1"/>
  <c r="AR316" i="1"/>
  <c r="AS316" i="1"/>
  <c r="AT316" i="1"/>
  <c r="AP317" i="1"/>
  <c r="AQ317" i="1"/>
  <c r="AR317" i="1"/>
  <c r="AS317" i="1"/>
  <c r="AT317" i="1"/>
  <c r="AP318" i="1"/>
  <c r="AQ318" i="1"/>
  <c r="AR318" i="1"/>
  <c r="AS318" i="1"/>
  <c r="AT318" i="1"/>
  <c r="AP319" i="1"/>
  <c r="AQ319" i="1"/>
  <c r="AR319" i="1"/>
  <c r="AS319" i="1"/>
  <c r="AT319" i="1"/>
  <c r="AP320" i="1"/>
  <c r="AQ320" i="1"/>
  <c r="AR320" i="1"/>
  <c r="AS320" i="1"/>
  <c r="AT320" i="1"/>
  <c r="AP321" i="1"/>
  <c r="AQ321" i="1"/>
  <c r="AR321" i="1"/>
  <c r="AS321" i="1"/>
  <c r="AT321" i="1"/>
  <c r="AP322" i="1"/>
  <c r="AQ322" i="1"/>
  <c r="AR322" i="1"/>
  <c r="AS322" i="1"/>
  <c r="AT322" i="1"/>
  <c r="AP323" i="1"/>
  <c r="AQ323" i="1"/>
  <c r="AR323" i="1"/>
  <c r="AS323" i="1"/>
  <c r="AT323" i="1"/>
  <c r="AP324" i="1"/>
  <c r="AQ324" i="1"/>
  <c r="AR324" i="1"/>
  <c r="AS324" i="1"/>
  <c r="AT324" i="1"/>
  <c r="AP325" i="1"/>
  <c r="AQ325" i="1"/>
  <c r="AR325" i="1"/>
  <c r="AS325" i="1"/>
  <c r="AT325" i="1"/>
  <c r="AP326" i="1"/>
  <c r="AQ326" i="1"/>
  <c r="AR326" i="1"/>
  <c r="AS326" i="1"/>
  <c r="AT326" i="1"/>
  <c r="AP327" i="1"/>
  <c r="AQ327" i="1"/>
  <c r="AR327" i="1"/>
  <c r="AS327" i="1"/>
  <c r="AT327" i="1"/>
  <c r="AP328" i="1"/>
  <c r="AQ328" i="1"/>
  <c r="AR328" i="1"/>
  <c r="AS328" i="1"/>
  <c r="AT328" i="1"/>
  <c r="AP329" i="1"/>
  <c r="AQ329" i="1"/>
  <c r="AR329" i="1"/>
  <c r="AS329" i="1"/>
  <c r="AT329" i="1"/>
  <c r="AP330" i="1"/>
  <c r="AQ330" i="1"/>
  <c r="AR330" i="1"/>
  <c r="AS330" i="1"/>
  <c r="AT330" i="1"/>
  <c r="AP331" i="1"/>
  <c r="AQ331" i="1"/>
  <c r="AR331" i="1"/>
  <c r="AS331" i="1"/>
  <c r="AT331" i="1"/>
  <c r="AP332" i="1"/>
  <c r="AQ332" i="1"/>
  <c r="AR332" i="1"/>
  <c r="AS332" i="1"/>
  <c r="AT332" i="1"/>
  <c r="AP333" i="1"/>
  <c r="AQ333" i="1"/>
  <c r="AR333" i="1"/>
  <c r="AS333" i="1"/>
  <c r="AT333" i="1"/>
  <c r="AP334" i="1"/>
  <c r="AQ334" i="1"/>
  <c r="AR334" i="1"/>
  <c r="AS334" i="1"/>
  <c r="AT334" i="1"/>
  <c r="AP335" i="1"/>
  <c r="AQ335" i="1"/>
  <c r="AR335" i="1"/>
  <c r="AS335" i="1"/>
  <c r="AT335" i="1"/>
  <c r="AP336" i="1"/>
  <c r="AQ336" i="1"/>
  <c r="AR336" i="1"/>
  <c r="AS336" i="1"/>
  <c r="AT336" i="1"/>
  <c r="AP337" i="1"/>
  <c r="AQ337" i="1"/>
  <c r="AR337" i="1"/>
  <c r="AS337" i="1"/>
  <c r="AT337" i="1"/>
  <c r="AP338" i="1"/>
  <c r="AQ338" i="1"/>
  <c r="AR338" i="1"/>
  <c r="AS338" i="1"/>
  <c r="AT338" i="1"/>
  <c r="AP339" i="1"/>
  <c r="AQ339" i="1"/>
  <c r="AR339" i="1"/>
  <c r="AS339" i="1"/>
  <c r="AT339" i="1"/>
  <c r="AP340" i="1"/>
  <c r="AQ340" i="1"/>
  <c r="AR340" i="1"/>
  <c r="AS340" i="1"/>
  <c r="AT340" i="1"/>
  <c r="AP341" i="1"/>
  <c r="AQ341" i="1"/>
  <c r="AR341" i="1"/>
  <c r="AS341" i="1"/>
  <c r="AT341" i="1"/>
  <c r="AP342" i="1"/>
  <c r="AQ342" i="1"/>
  <c r="AR342" i="1"/>
  <c r="AS342" i="1"/>
  <c r="AT342" i="1"/>
  <c r="AP343" i="1"/>
  <c r="AQ343" i="1"/>
  <c r="AR343" i="1"/>
  <c r="AS343" i="1"/>
  <c r="AT343" i="1"/>
  <c r="AP344" i="1"/>
  <c r="AQ344" i="1"/>
  <c r="AR344" i="1"/>
  <c r="AS344" i="1"/>
  <c r="AT344" i="1"/>
  <c r="AP345" i="1"/>
  <c r="AQ345" i="1"/>
  <c r="AR345" i="1"/>
  <c r="AS345" i="1"/>
  <c r="AT345" i="1"/>
  <c r="AP346" i="1"/>
  <c r="AQ346" i="1"/>
  <c r="AR346" i="1"/>
  <c r="AS346" i="1"/>
  <c r="AT346" i="1"/>
  <c r="AP347" i="1"/>
  <c r="AQ347" i="1"/>
  <c r="AR347" i="1"/>
  <c r="AS347" i="1"/>
  <c r="AT347" i="1"/>
  <c r="AP348" i="1"/>
  <c r="AQ348" i="1"/>
  <c r="AR348" i="1"/>
  <c r="AS348" i="1"/>
  <c r="AT348" i="1"/>
  <c r="AP349" i="1"/>
  <c r="AQ349" i="1"/>
  <c r="AR349" i="1"/>
  <c r="AS349" i="1"/>
  <c r="AT349" i="1"/>
  <c r="AP350" i="1"/>
  <c r="AQ350" i="1"/>
  <c r="AR350" i="1"/>
  <c r="AS350" i="1"/>
  <c r="AT350" i="1"/>
  <c r="AP351" i="1"/>
  <c r="AQ351" i="1"/>
  <c r="AR351" i="1"/>
  <c r="AS351" i="1"/>
  <c r="AT351" i="1"/>
  <c r="AP352" i="1"/>
  <c r="AQ352" i="1"/>
  <c r="AR352" i="1"/>
  <c r="AS352" i="1"/>
  <c r="AT352" i="1"/>
  <c r="AP353" i="1"/>
  <c r="AQ353" i="1"/>
  <c r="AR353" i="1"/>
  <c r="AS353" i="1"/>
  <c r="AT353" i="1"/>
  <c r="AP355" i="1"/>
  <c r="AQ355" i="1"/>
  <c r="AR355" i="1"/>
  <c r="AS355" i="1"/>
  <c r="AT355" i="1"/>
  <c r="AP356" i="1"/>
  <c r="AQ356" i="1"/>
  <c r="AR356" i="1"/>
  <c r="AS356" i="1"/>
  <c r="AT356" i="1"/>
  <c r="AP357" i="1"/>
  <c r="AQ357" i="1"/>
  <c r="AR357" i="1"/>
  <c r="AS357" i="1"/>
  <c r="AT357" i="1"/>
  <c r="AP358" i="1"/>
  <c r="AQ358" i="1"/>
  <c r="AR358" i="1"/>
  <c r="AS358" i="1"/>
  <c r="AT358" i="1"/>
  <c r="AP359" i="1"/>
  <c r="AQ359" i="1"/>
  <c r="AR359" i="1"/>
  <c r="AS359" i="1"/>
  <c r="AT359" i="1"/>
  <c r="AP360" i="1"/>
  <c r="AQ360" i="1"/>
  <c r="AR360" i="1"/>
  <c r="AS360" i="1"/>
  <c r="AT360" i="1"/>
  <c r="AP361" i="1"/>
  <c r="AQ361" i="1"/>
  <c r="AR361" i="1"/>
  <c r="AS361" i="1"/>
  <c r="AT361" i="1"/>
  <c r="AP362" i="1"/>
  <c r="AQ362" i="1"/>
  <c r="AR362" i="1"/>
  <c r="AS362" i="1"/>
  <c r="AT362" i="1"/>
  <c r="AP363" i="1"/>
  <c r="AQ363" i="1"/>
  <c r="AR363" i="1"/>
  <c r="AS363" i="1"/>
  <c r="AT363" i="1"/>
  <c r="AP364" i="1"/>
  <c r="AQ364" i="1"/>
  <c r="AR364" i="1"/>
  <c r="AS364" i="1"/>
  <c r="AT364" i="1"/>
  <c r="AP365" i="1"/>
  <c r="AQ365" i="1"/>
  <c r="AR365" i="1"/>
  <c r="AS365" i="1"/>
  <c r="AT365" i="1"/>
  <c r="AP366" i="1"/>
  <c r="AQ366" i="1"/>
  <c r="AR366" i="1"/>
  <c r="AS366" i="1"/>
  <c r="AT366" i="1"/>
  <c r="AP367" i="1"/>
  <c r="AQ367" i="1"/>
  <c r="AR367" i="1"/>
  <c r="AS367" i="1"/>
  <c r="AT367" i="1"/>
  <c r="AP368" i="1"/>
  <c r="AQ368" i="1"/>
  <c r="AR368" i="1"/>
  <c r="AS368" i="1"/>
  <c r="AT368" i="1"/>
  <c r="AP369" i="1"/>
  <c r="AQ369" i="1"/>
  <c r="AR369" i="1"/>
  <c r="AS369" i="1"/>
  <c r="AT369" i="1"/>
  <c r="AP370" i="1"/>
  <c r="AQ370" i="1"/>
  <c r="AR370" i="1"/>
  <c r="AS370" i="1"/>
  <c r="AT370" i="1"/>
  <c r="AP371" i="1"/>
  <c r="AQ371" i="1"/>
  <c r="AR371" i="1"/>
  <c r="AS371" i="1"/>
  <c r="AT371" i="1"/>
  <c r="AP372" i="1"/>
  <c r="AQ372" i="1"/>
  <c r="AR372" i="1"/>
  <c r="AS372" i="1"/>
  <c r="AT372" i="1"/>
  <c r="AP373" i="1"/>
  <c r="AQ373" i="1"/>
  <c r="AR373" i="1"/>
  <c r="AS373" i="1"/>
  <c r="AT373" i="1"/>
  <c r="AP374" i="1"/>
  <c r="AQ374" i="1"/>
  <c r="AR374" i="1"/>
  <c r="AS374" i="1"/>
  <c r="AT374" i="1"/>
  <c r="AP375" i="1"/>
  <c r="AQ375" i="1"/>
  <c r="AR375" i="1"/>
  <c r="AS375" i="1"/>
  <c r="AT375" i="1"/>
  <c r="AP376" i="1"/>
  <c r="AQ376" i="1"/>
  <c r="AR376" i="1"/>
  <c r="AS376" i="1"/>
  <c r="AT376" i="1"/>
  <c r="AP377" i="1"/>
  <c r="AQ377" i="1"/>
  <c r="AR377" i="1"/>
  <c r="AS377" i="1"/>
  <c r="AT377" i="1"/>
  <c r="AP378" i="1"/>
  <c r="AQ378" i="1"/>
  <c r="AR378" i="1"/>
  <c r="AS378" i="1"/>
  <c r="AT378" i="1"/>
  <c r="AP379" i="1"/>
  <c r="AQ379" i="1"/>
  <c r="AR379" i="1"/>
  <c r="AS379" i="1"/>
  <c r="AT379" i="1"/>
  <c r="AP380" i="1"/>
  <c r="AQ380" i="1"/>
  <c r="AR380" i="1"/>
  <c r="AS380" i="1"/>
  <c r="AT380" i="1"/>
  <c r="AP381" i="1"/>
  <c r="AQ381" i="1"/>
  <c r="AR381" i="1"/>
  <c r="AS381" i="1"/>
  <c r="AT381" i="1"/>
  <c r="AP382" i="1"/>
  <c r="AQ382" i="1"/>
  <c r="AR382" i="1"/>
  <c r="AS382" i="1"/>
  <c r="AT382" i="1"/>
  <c r="AP383" i="1"/>
  <c r="AQ383" i="1"/>
  <c r="AR383" i="1"/>
  <c r="AS383" i="1"/>
  <c r="AT383" i="1"/>
  <c r="AP384" i="1"/>
  <c r="AQ384" i="1"/>
  <c r="AR384" i="1"/>
  <c r="AS384" i="1"/>
  <c r="AT384" i="1"/>
  <c r="AP385" i="1"/>
  <c r="AQ385" i="1"/>
  <c r="AR385" i="1"/>
  <c r="AS385" i="1"/>
  <c r="AT385" i="1"/>
  <c r="AP386" i="1"/>
  <c r="AQ386" i="1"/>
  <c r="AR386" i="1"/>
  <c r="AS386" i="1"/>
  <c r="AT386" i="1"/>
  <c r="AP387" i="1"/>
  <c r="AQ387" i="1"/>
  <c r="AR387" i="1"/>
  <c r="AS387" i="1"/>
  <c r="AT387" i="1"/>
  <c r="AP388" i="1"/>
  <c r="AQ388" i="1"/>
  <c r="AR388" i="1"/>
  <c r="AS388" i="1"/>
  <c r="AT388" i="1"/>
  <c r="AP389" i="1"/>
  <c r="AQ389" i="1"/>
  <c r="AR389" i="1"/>
  <c r="AS389" i="1"/>
  <c r="AT389" i="1"/>
  <c r="AP390" i="1"/>
  <c r="AQ390" i="1"/>
  <c r="AR390" i="1"/>
  <c r="AS390" i="1"/>
  <c r="AT390" i="1"/>
  <c r="AP391" i="1"/>
  <c r="AQ391" i="1"/>
  <c r="AR391" i="1"/>
  <c r="AS391" i="1"/>
  <c r="AT391" i="1"/>
  <c r="AP392" i="1"/>
  <c r="AQ392" i="1"/>
  <c r="AR392" i="1"/>
  <c r="AS392" i="1"/>
  <c r="AT392" i="1"/>
  <c r="AP393" i="1"/>
  <c r="AQ393" i="1"/>
  <c r="AR393" i="1"/>
  <c r="AS393" i="1"/>
  <c r="AT393" i="1"/>
  <c r="AP394" i="1"/>
  <c r="AQ394" i="1"/>
  <c r="AR394" i="1"/>
  <c r="AS394" i="1"/>
  <c r="AT394" i="1"/>
  <c r="AP395" i="1"/>
  <c r="AQ395" i="1"/>
  <c r="AR395" i="1"/>
  <c r="AS395" i="1"/>
  <c r="AT395" i="1"/>
  <c r="AP396" i="1"/>
  <c r="AQ396" i="1"/>
  <c r="AR396" i="1"/>
  <c r="AS396" i="1"/>
  <c r="AT396" i="1"/>
  <c r="AP397" i="1"/>
  <c r="AQ397" i="1"/>
  <c r="AR397" i="1"/>
  <c r="AS397" i="1"/>
  <c r="AT397" i="1"/>
  <c r="AP398" i="1"/>
  <c r="AQ398" i="1"/>
  <c r="AR398" i="1"/>
  <c r="AS398" i="1"/>
  <c r="AT398" i="1"/>
  <c r="AP399" i="1"/>
  <c r="AQ399" i="1"/>
  <c r="AR399" i="1"/>
  <c r="AS399" i="1"/>
  <c r="AT399" i="1"/>
  <c r="AP400" i="1"/>
  <c r="AQ400" i="1"/>
  <c r="AR400" i="1"/>
  <c r="AS400" i="1"/>
  <c r="AT400" i="1"/>
  <c r="AP401" i="1"/>
  <c r="AQ401" i="1"/>
  <c r="AR401" i="1"/>
  <c r="AS401" i="1"/>
  <c r="AT401" i="1"/>
  <c r="AP402" i="1"/>
  <c r="AQ402" i="1"/>
  <c r="AR402" i="1"/>
  <c r="AS402" i="1"/>
  <c r="AT402" i="1"/>
  <c r="AP403" i="1"/>
  <c r="AQ403" i="1"/>
  <c r="AR403" i="1"/>
  <c r="AS403" i="1"/>
  <c r="AT403" i="1"/>
  <c r="AP404" i="1"/>
  <c r="AQ404" i="1"/>
  <c r="AR404" i="1"/>
  <c r="AS404" i="1"/>
  <c r="AT404" i="1"/>
  <c r="AP405" i="1"/>
  <c r="AQ405" i="1"/>
  <c r="AR405" i="1"/>
  <c r="AS405" i="1"/>
  <c r="AT405" i="1"/>
  <c r="AP406" i="1"/>
  <c r="AQ406" i="1"/>
  <c r="AR406" i="1"/>
  <c r="AS406" i="1"/>
  <c r="AT406" i="1"/>
  <c r="AP407" i="1"/>
  <c r="AQ407" i="1"/>
  <c r="AR407" i="1"/>
  <c r="AS407" i="1"/>
  <c r="AT407" i="1"/>
  <c r="AP408" i="1"/>
  <c r="AQ408" i="1"/>
  <c r="AR408" i="1"/>
  <c r="AS408" i="1"/>
  <c r="AT408" i="1"/>
  <c r="AP409" i="1"/>
  <c r="AQ409" i="1"/>
  <c r="AR409" i="1"/>
  <c r="AS409" i="1"/>
  <c r="AT409" i="1"/>
  <c r="AP410" i="1"/>
  <c r="AQ410" i="1"/>
  <c r="AR410" i="1"/>
  <c r="AS410" i="1"/>
  <c r="AT410" i="1"/>
  <c r="AP411" i="1"/>
  <c r="AQ411" i="1"/>
  <c r="AR411" i="1"/>
  <c r="AS411" i="1"/>
  <c r="AT411" i="1"/>
  <c r="AP412" i="1"/>
  <c r="AQ412" i="1"/>
  <c r="AR412" i="1"/>
  <c r="AS412" i="1"/>
  <c r="AT412" i="1"/>
  <c r="AP413" i="1"/>
  <c r="AQ413" i="1"/>
  <c r="AR413" i="1"/>
  <c r="AS413" i="1"/>
  <c r="AT413" i="1"/>
  <c r="AP414" i="1"/>
  <c r="AQ414" i="1"/>
  <c r="AR414" i="1"/>
  <c r="AS414" i="1"/>
  <c r="AT414" i="1"/>
  <c r="AP415" i="1"/>
  <c r="AQ415" i="1"/>
  <c r="AR415" i="1"/>
  <c r="AS415" i="1"/>
  <c r="AT415" i="1"/>
  <c r="AP416" i="1"/>
  <c r="AQ416" i="1"/>
  <c r="AR416" i="1"/>
  <c r="AS416" i="1"/>
  <c r="AT416" i="1"/>
  <c r="AP417" i="1"/>
  <c r="AQ417" i="1"/>
  <c r="AR417" i="1"/>
  <c r="AS417" i="1"/>
  <c r="AT417" i="1"/>
  <c r="AP418" i="1"/>
  <c r="AQ418" i="1"/>
  <c r="AR418" i="1"/>
  <c r="AS418" i="1"/>
  <c r="AT418" i="1"/>
  <c r="AP419" i="1"/>
  <c r="AQ419" i="1"/>
  <c r="AR419" i="1"/>
  <c r="AS419" i="1"/>
  <c r="AT419" i="1"/>
  <c r="AP420" i="1"/>
  <c r="AQ420" i="1"/>
  <c r="AR420" i="1"/>
  <c r="AS420" i="1"/>
  <c r="AT420" i="1"/>
  <c r="AP421" i="1"/>
  <c r="AQ421" i="1"/>
  <c r="AR421" i="1"/>
  <c r="AS421" i="1"/>
  <c r="AT421" i="1"/>
  <c r="AP422" i="1"/>
  <c r="AQ422" i="1"/>
  <c r="AR422" i="1"/>
  <c r="AS422" i="1"/>
  <c r="AT422" i="1"/>
  <c r="AP423" i="1"/>
  <c r="AQ423" i="1"/>
  <c r="AR423" i="1"/>
  <c r="AS423" i="1"/>
  <c r="AT423" i="1"/>
  <c r="AP424" i="1"/>
  <c r="AQ424" i="1"/>
  <c r="AR424" i="1"/>
  <c r="AS424" i="1"/>
  <c r="AT424" i="1"/>
  <c r="AP425" i="1"/>
  <c r="AQ425" i="1"/>
  <c r="AR425" i="1"/>
  <c r="AS425" i="1"/>
  <c r="AT425" i="1"/>
  <c r="AP426" i="1"/>
  <c r="AQ426" i="1"/>
  <c r="AR426" i="1"/>
  <c r="AS426" i="1"/>
  <c r="AT426" i="1"/>
  <c r="AP427" i="1"/>
  <c r="AQ427" i="1"/>
  <c r="AR427" i="1"/>
  <c r="AS427" i="1"/>
  <c r="AT427" i="1"/>
  <c r="AP428" i="1"/>
  <c r="AQ428" i="1"/>
  <c r="AR428" i="1"/>
  <c r="AS428" i="1"/>
  <c r="AT428" i="1"/>
  <c r="AP429" i="1"/>
  <c r="AQ429" i="1"/>
  <c r="AR429" i="1"/>
  <c r="AS429" i="1"/>
  <c r="AT429" i="1"/>
  <c r="AP430" i="1"/>
  <c r="AQ430" i="1"/>
  <c r="AR430" i="1"/>
  <c r="AS430" i="1"/>
  <c r="AT430" i="1"/>
  <c r="AP431" i="1"/>
  <c r="AQ431" i="1"/>
  <c r="AR431" i="1"/>
  <c r="AS431" i="1"/>
  <c r="AT431" i="1"/>
  <c r="AP432" i="1"/>
  <c r="AQ432" i="1"/>
  <c r="AR432" i="1"/>
  <c r="AS432" i="1"/>
  <c r="AT432" i="1"/>
  <c r="AP433" i="1"/>
  <c r="AQ433" i="1"/>
  <c r="AR433" i="1"/>
  <c r="AS433" i="1"/>
  <c r="AT433" i="1"/>
  <c r="AP434" i="1"/>
  <c r="AQ434" i="1"/>
  <c r="AR434" i="1"/>
  <c r="AS434" i="1"/>
  <c r="AT434" i="1"/>
  <c r="AP435" i="1"/>
  <c r="AQ435" i="1"/>
  <c r="AR435" i="1"/>
  <c r="AS435" i="1"/>
  <c r="AT435" i="1"/>
  <c r="AP436" i="1"/>
  <c r="AQ436" i="1"/>
  <c r="AR436" i="1"/>
  <c r="AS436" i="1"/>
  <c r="AT436" i="1"/>
  <c r="AP437" i="1"/>
  <c r="AQ437" i="1"/>
  <c r="AR437" i="1"/>
  <c r="AS437" i="1"/>
  <c r="AT437" i="1"/>
  <c r="AP438" i="1"/>
  <c r="AQ438" i="1"/>
  <c r="AR438" i="1"/>
  <c r="AS438" i="1"/>
  <c r="AT438" i="1"/>
  <c r="AP439" i="1"/>
  <c r="AQ439" i="1"/>
  <c r="AR439" i="1"/>
  <c r="AS439" i="1"/>
  <c r="AT439" i="1"/>
  <c r="AP440" i="1"/>
  <c r="AQ440" i="1"/>
  <c r="AR440" i="1"/>
  <c r="AS440" i="1"/>
  <c r="AT440" i="1"/>
  <c r="AP441" i="1"/>
  <c r="AQ441" i="1"/>
  <c r="AR441" i="1"/>
  <c r="AS441" i="1"/>
  <c r="AT441" i="1"/>
  <c r="AP442" i="1"/>
  <c r="AQ442" i="1"/>
  <c r="AR442" i="1"/>
  <c r="AS442" i="1"/>
  <c r="AT442" i="1"/>
  <c r="AP443" i="1"/>
  <c r="AQ443" i="1"/>
  <c r="AR443" i="1"/>
  <c r="AS443" i="1"/>
  <c r="AT443" i="1"/>
  <c r="AP444" i="1"/>
  <c r="AQ444" i="1"/>
  <c r="AR444" i="1"/>
  <c r="AS444" i="1"/>
  <c r="AT444" i="1"/>
  <c r="AP445" i="1"/>
  <c r="AQ445" i="1"/>
  <c r="AR445" i="1"/>
  <c r="AS445" i="1"/>
  <c r="AT445" i="1"/>
  <c r="AP446" i="1"/>
  <c r="AQ446" i="1"/>
  <c r="AR446" i="1"/>
  <c r="AS446" i="1"/>
  <c r="AT446" i="1"/>
  <c r="AP447" i="1"/>
  <c r="AQ447" i="1"/>
  <c r="AR447" i="1"/>
  <c r="AS447" i="1"/>
  <c r="AT447" i="1"/>
  <c r="AP448" i="1"/>
  <c r="AQ448" i="1"/>
  <c r="AR448" i="1"/>
  <c r="AS448" i="1"/>
  <c r="AT448" i="1"/>
  <c r="AP449" i="1"/>
  <c r="AQ449" i="1"/>
  <c r="AR449" i="1"/>
  <c r="AS449" i="1"/>
  <c r="AT449" i="1"/>
  <c r="AP451" i="1"/>
  <c r="AQ451" i="1"/>
  <c r="AR451" i="1"/>
  <c r="AS451" i="1"/>
  <c r="AT451" i="1"/>
  <c r="AP452" i="1"/>
  <c r="AQ452" i="1"/>
  <c r="AR452" i="1"/>
  <c r="AS452" i="1"/>
  <c r="AT452" i="1"/>
  <c r="AP453" i="1"/>
  <c r="AQ453" i="1"/>
  <c r="AR453" i="1"/>
  <c r="AS453" i="1"/>
  <c r="AT453" i="1"/>
  <c r="AP454" i="1"/>
  <c r="AQ454" i="1"/>
  <c r="AR454" i="1"/>
  <c r="AS454" i="1"/>
  <c r="AT454" i="1"/>
  <c r="AP455" i="1"/>
  <c r="AQ455" i="1"/>
  <c r="AR455" i="1"/>
  <c r="AS455" i="1"/>
  <c r="AT455" i="1"/>
  <c r="AP456" i="1"/>
  <c r="AQ456" i="1"/>
  <c r="AR456" i="1"/>
  <c r="AS456" i="1"/>
  <c r="AT456" i="1"/>
  <c r="AP457" i="1"/>
  <c r="AQ457" i="1"/>
  <c r="AR457" i="1"/>
  <c r="AS457" i="1"/>
  <c r="AT457" i="1"/>
  <c r="AP458" i="1"/>
  <c r="AQ458" i="1"/>
  <c r="AR458" i="1"/>
  <c r="AS458" i="1"/>
  <c r="AT458" i="1"/>
  <c r="AP459" i="1"/>
  <c r="AQ459" i="1"/>
  <c r="AR459" i="1"/>
  <c r="AS459" i="1"/>
  <c r="AT459" i="1"/>
  <c r="AP460" i="1"/>
  <c r="AQ460" i="1"/>
  <c r="AR460" i="1"/>
  <c r="AS460" i="1"/>
  <c r="AT460" i="1"/>
  <c r="AP461" i="1"/>
  <c r="AQ461" i="1"/>
  <c r="AR461" i="1"/>
  <c r="AS461" i="1"/>
  <c r="AT461" i="1"/>
  <c r="AP462" i="1"/>
  <c r="AQ462" i="1"/>
  <c r="AR462" i="1"/>
  <c r="AS462" i="1"/>
  <c r="AT462" i="1"/>
  <c r="AP463" i="1"/>
  <c r="AQ463" i="1"/>
  <c r="AR463" i="1"/>
  <c r="AS463" i="1"/>
  <c r="AT463" i="1"/>
  <c r="AP464" i="1"/>
  <c r="AQ464" i="1"/>
  <c r="AR464" i="1"/>
  <c r="AS464" i="1"/>
  <c r="AT464" i="1"/>
  <c r="AP465" i="1"/>
  <c r="AQ465" i="1"/>
  <c r="AR465" i="1"/>
  <c r="AS465" i="1"/>
  <c r="AT465" i="1"/>
  <c r="AP466" i="1"/>
  <c r="AQ466" i="1"/>
  <c r="AR466" i="1"/>
  <c r="AS466" i="1"/>
  <c r="AT466" i="1"/>
  <c r="AP467" i="1"/>
  <c r="AQ467" i="1"/>
  <c r="AR467" i="1"/>
  <c r="AS467" i="1"/>
  <c r="AT467" i="1"/>
  <c r="AP468" i="1"/>
  <c r="AQ468" i="1"/>
  <c r="AR468" i="1"/>
  <c r="AS468" i="1"/>
  <c r="AT468" i="1"/>
  <c r="AP469" i="1"/>
  <c r="AQ469" i="1"/>
  <c r="AR469" i="1"/>
  <c r="AS469" i="1"/>
  <c r="AT469" i="1"/>
  <c r="AP470" i="1"/>
  <c r="AQ470" i="1"/>
  <c r="AR470" i="1"/>
  <c r="AS470" i="1"/>
  <c r="AT470" i="1"/>
  <c r="AP471" i="1"/>
  <c r="AQ471" i="1"/>
  <c r="AR471" i="1"/>
  <c r="AS471" i="1"/>
  <c r="AT471" i="1"/>
  <c r="AP472" i="1"/>
  <c r="AQ472" i="1"/>
  <c r="AR472" i="1"/>
  <c r="AS472" i="1"/>
  <c r="AT472" i="1"/>
  <c r="AP473" i="1"/>
  <c r="AQ473" i="1"/>
  <c r="AR473" i="1"/>
  <c r="AS473" i="1"/>
  <c r="AT473" i="1"/>
  <c r="AP474" i="1"/>
  <c r="AQ474" i="1"/>
  <c r="AR474" i="1"/>
  <c r="AS474" i="1"/>
  <c r="AT474" i="1"/>
  <c r="AP475" i="1"/>
  <c r="AQ475" i="1"/>
  <c r="AR475" i="1"/>
  <c r="AS475" i="1"/>
  <c r="AT475" i="1"/>
  <c r="AP476" i="1"/>
  <c r="AQ476" i="1"/>
  <c r="AR476" i="1"/>
  <c r="AS476" i="1"/>
  <c r="AT476" i="1"/>
  <c r="AP477" i="1"/>
  <c r="AQ477" i="1"/>
  <c r="AR477" i="1"/>
  <c r="AS477" i="1"/>
  <c r="AT477" i="1"/>
  <c r="AP478" i="1"/>
  <c r="AQ478" i="1"/>
  <c r="AR478" i="1"/>
  <c r="AS478" i="1"/>
  <c r="AT478" i="1"/>
  <c r="AP479" i="1"/>
  <c r="AQ479" i="1"/>
  <c r="AR479" i="1"/>
  <c r="AS479" i="1"/>
  <c r="AT479" i="1"/>
  <c r="AP480" i="1"/>
  <c r="AQ480" i="1"/>
  <c r="AR480" i="1"/>
  <c r="AS480" i="1"/>
  <c r="AT480" i="1"/>
  <c r="AP481" i="1"/>
  <c r="AQ481" i="1"/>
  <c r="AR481" i="1"/>
  <c r="AS481" i="1"/>
  <c r="AT481" i="1"/>
  <c r="AP482" i="1"/>
  <c r="AQ482" i="1"/>
  <c r="AR482" i="1"/>
  <c r="AS482" i="1"/>
  <c r="AT482" i="1"/>
  <c r="AP483" i="1"/>
  <c r="AQ483" i="1"/>
  <c r="AR483" i="1"/>
  <c r="AS483" i="1"/>
  <c r="AT483" i="1"/>
  <c r="AP484" i="1"/>
  <c r="AQ484" i="1"/>
  <c r="AR484" i="1"/>
  <c r="AS484" i="1"/>
  <c r="AT484" i="1"/>
  <c r="AP485" i="1"/>
  <c r="AQ485" i="1"/>
  <c r="AR485" i="1"/>
  <c r="AS485" i="1"/>
  <c r="AT485" i="1"/>
  <c r="AP486" i="1"/>
  <c r="AQ486" i="1"/>
  <c r="AR486" i="1"/>
  <c r="AS486" i="1"/>
  <c r="AT486" i="1"/>
  <c r="AP487" i="1"/>
  <c r="AQ487" i="1"/>
  <c r="AR487" i="1"/>
  <c r="AS487" i="1"/>
  <c r="AT487" i="1"/>
  <c r="AP488" i="1"/>
  <c r="AQ488" i="1"/>
  <c r="AR488" i="1"/>
  <c r="AS488" i="1"/>
  <c r="AT488" i="1"/>
  <c r="AP489" i="1"/>
  <c r="AQ489" i="1"/>
  <c r="AR489" i="1"/>
  <c r="AS489" i="1"/>
  <c r="AT489" i="1"/>
  <c r="AP490" i="1"/>
  <c r="AQ490" i="1"/>
  <c r="AR490" i="1"/>
  <c r="AS490" i="1"/>
  <c r="AT490" i="1"/>
  <c r="AP491" i="1"/>
  <c r="AQ491" i="1"/>
  <c r="AR491" i="1"/>
  <c r="AS491" i="1"/>
  <c r="AT491" i="1"/>
  <c r="AP492" i="1"/>
  <c r="AQ492" i="1"/>
  <c r="AR492" i="1"/>
  <c r="AS492" i="1"/>
  <c r="AT492" i="1"/>
  <c r="AP493" i="1"/>
  <c r="AQ493" i="1"/>
  <c r="AR493" i="1"/>
  <c r="AS493" i="1"/>
  <c r="AT493" i="1"/>
  <c r="AP494" i="1"/>
  <c r="AQ494" i="1"/>
  <c r="AR494" i="1"/>
  <c r="AS494" i="1"/>
  <c r="AT494" i="1"/>
  <c r="AP495" i="1"/>
  <c r="AQ495" i="1"/>
  <c r="AR495" i="1"/>
  <c r="AS495" i="1"/>
  <c r="AT495" i="1"/>
  <c r="AP496" i="1"/>
  <c r="AQ496" i="1"/>
  <c r="AR496" i="1"/>
  <c r="AS496" i="1"/>
  <c r="AT496" i="1"/>
  <c r="AP497" i="1"/>
  <c r="AQ497" i="1"/>
  <c r="AR497" i="1"/>
  <c r="AS497" i="1"/>
  <c r="AT497" i="1"/>
  <c r="AP498" i="1"/>
  <c r="AQ498" i="1"/>
  <c r="AR498" i="1"/>
  <c r="AS498" i="1"/>
  <c r="AT498" i="1"/>
  <c r="AP499" i="1"/>
  <c r="AQ499" i="1"/>
  <c r="AR499" i="1"/>
  <c r="AS499" i="1"/>
  <c r="AT499" i="1"/>
  <c r="AP500" i="1"/>
  <c r="AQ500" i="1"/>
  <c r="AR500" i="1"/>
  <c r="AS500" i="1"/>
  <c r="AT500" i="1"/>
  <c r="AP501" i="1"/>
  <c r="AQ501" i="1"/>
  <c r="AR501" i="1"/>
  <c r="AS501" i="1"/>
  <c r="AT501" i="1"/>
  <c r="AP502" i="1"/>
  <c r="AQ502" i="1"/>
  <c r="AR502" i="1"/>
  <c r="AS502" i="1"/>
  <c r="AT502" i="1"/>
  <c r="AP503" i="1"/>
  <c r="AQ503" i="1"/>
  <c r="AR503" i="1"/>
  <c r="AS503" i="1"/>
  <c r="AT503" i="1"/>
  <c r="AP504" i="1"/>
  <c r="AQ504" i="1"/>
  <c r="AR504" i="1"/>
  <c r="AS504" i="1"/>
  <c r="AT504" i="1"/>
  <c r="AP505" i="1"/>
  <c r="AQ505" i="1"/>
  <c r="AR505" i="1"/>
  <c r="AS505" i="1"/>
  <c r="AT505" i="1"/>
  <c r="AP506" i="1"/>
  <c r="AQ506" i="1"/>
  <c r="AR506" i="1"/>
  <c r="AS506" i="1"/>
  <c r="AT506" i="1"/>
  <c r="AP507" i="1"/>
  <c r="AQ507" i="1"/>
  <c r="AR507" i="1"/>
  <c r="AS507" i="1"/>
  <c r="AT507" i="1"/>
  <c r="AP508" i="1"/>
  <c r="AQ508" i="1"/>
  <c r="AR508" i="1"/>
  <c r="AS508" i="1"/>
  <c r="AT508" i="1"/>
  <c r="AP509" i="1"/>
  <c r="AQ509" i="1"/>
  <c r="AR509" i="1"/>
  <c r="AS509" i="1"/>
  <c r="AT509" i="1"/>
  <c r="AP510" i="1"/>
  <c r="AQ510" i="1"/>
  <c r="AR510" i="1"/>
  <c r="AS510" i="1"/>
  <c r="AT510" i="1"/>
  <c r="AP511" i="1"/>
  <c r="AQ511" i="1"/>
  <c r="AR511" i="1"/>
  <c r="AS511" i="1"/>
  <c r="AT511" i="1"/>
  <c r="AP512" i="1"/>
  <c r="AQ512" i="1"/>
  <c r="AR512" i="1"/>
  <c r="AS512" i="1"/>
  <c r="AT512" i="1"/>
  <c r="AP513" i="1"/>
  <c r="AQ513" i="1"/>
  <c r="AR513" i="1"/>
  <c r="AS513" i="1"/>
  <c r="AT513" i="1"/>
  <c r="AP514" i="1"/>
  <c r="AQ514" i="1"/>
  <c r="AR514" i="1"/>
  <c r="AS514" i="1"/>
  <c r="AT514" i="1"/>
  <c r="AP515" i="1"/>
  <c r="AQ515" i="1"/>
  <c r="AR515" i="1"/>
  <c r="AS515" i="1"/>
  <c r="AT515" i="1"/>
  <c r="AP516" i="1"/>
  <c r="AQ516" i="1"/>
  <c r="AR516" i="1"/>
  <c r="AS516" i="1"/>
  <c r="AT516" i="1"/>
  <c r="AP517" i="1"/>
  <c r="AQ517" i="1"/>
  <c r="AR517" i="1"/>
  <c r="AS517" i="1"/>
  <c r="AT517" i="1"/>
  <c r="AP518" i="1"/>
  <c r="AQ518" i="1"/>
  <c r="AR518" i="1"/>
  <c r="AS518" i="1"/>
  <c r="AT518" i="1"/>
  <c r="AP519" i="1"/>
  <c r="AQ519" i="1"/>
  <c r="AR519" i="1"/>
  <c r="AS519" i="1"/>
  <c r="AT519" i="1"/>
  <c r="AP520" i="1"/>
  <c r="AQ520" i="1"/>
  <c r="AR520" i="1"/>
  <c r="AS520" i="1"/>
  <c r="AT520" i="1"/>
  <c r="AP521" i="1"/>
  <c r="AQ521" i="1"/>
  <c r="AR521" i="1"/>
  <c r="AS521" i="1"/>
  <c r="AT521" i="1"/>
  <c r="AP522" i="1"/>
  <c r="AQ522" i="1"/>
  <c r="AR522" i="1"/>
  <c r="AS522" i="1"/>
  <c r="AT522" i="1"/>
  <c r="AP523" i="1"/>
  <c r="AQ523" i="1"/>
  <c r="AR523" i="1"/>
  <c r="AS523" i="1"/>
  <c r="AT523" i="1"/>
  <c r="AP524" i="1"/>
  <c r="AQ524" i="1"/>
  <c r="AR524" i="1"/>
  <c r="AS524" i="1"/>
  <c r="AT524" i="1"/>
  <c r="AP525" i="1"/>
  <c r="AQ525" i="1"/>
  <c r="AR525" i="1"/>
  <c r="AS525" i="1"/>
  <c r="AT525" i="1"/>
  <c r="AP526" i="1"/>
  <c r="AQ526" i="1"/>
  <c r="AR526" i="1"/>
  <c r="AS526" i="1"/>
  <c r="AT526" i="1"/>
  <c r="AP527" i="1"/>
  <c r="AQ527" i="1"/>
  <c r="AR527" i="1"/>
  <c r="AS527" i="1"/>
  <c r="AT527" i="1"/>
  <c r="AP528" i="1"/>
  <c r="AQ528" i="1"/>
  <c r="AR528" i="1"/>
  <c r="AS528" i="1"/>
  <c r="AT528" i="1"/>
  <c r="AP529" i="1"/>
  <c r="AQ529" i="1"/>
  <c r="AR529" i="1"/>
  <c r="AS529" i="1"/>
  <c r="AT529" i="1"/>
  <c r="AP530" i="1"/>
  <c r="AQ530" i="1"/>
  <c r="AR530" i="1"/>
  <c r="AS530" i="1"/>
  <c r="AT530" i="1"/>
  <c r="AP531" i="1"/>
  <c r="AQ531" i="1"/>
  <c r="AR531" i="1"/>
  <c r="AS531" i="1"/>
  <c r="AT531" i="1"/>
  <c r="AP532" i="1"/>
  <c r="AQ532" i="1"/>
  <c r="AR532" i="1"/>
  <c r="AS532" i="1"/>
  <c r="AT532" i="1"/>
  <c r="AP533" i="1"/>
  <c r="AQ533" i="1"/>
  <c r="AR533" i="1"/>
  <c r="AS533" i="1"/>
  <c r="AT533" i="1"/>
  <c r="AP534" i="1"/>
  <c r="AQ534" i="1"/>
  <c r="AR534" i="1"/>
  <c r="AS534" i="1"/>
  <c r="AT534" i="1"/>
  <c r="AP535" i="1"/>
  <c r="AQ535" i="1"/>
  <c r="AR535" i="1"/>
  <c r="AS535" i="1"/>
  <c r="AT535" i="1"/>
  <c r="AP536" i="1"/>
  <c r="AQ536" i="1"/>
  <c r="AR536" i="1"/>
  <c r="AS536" i="1"/>
  <c r="AT536" i="1"/>
  <c r="AP537" i="1"/>
  <c r="AQ537" i="1"/>
  <c r="AR537" i="1"/>
  <c r="AS537" i="1"/>
  <c r="AT537" i="1"/>
  <c r="AP538" i="1"/>
  <c r="AQ538" i="1"/>
  <c r="AR538" i="1"/>
  <c r="AS538" i="1"/>
  <c r="AT538" i="1"/>
  <c r="AP539" i="1"/>
  <c r="AQ539" i="1"/>
  <c r="AR539" i="1"/>
  <c r="AS539" i="1"/>
  <c r="AT539" i="1"/>
  <c r="AP540" i="1"/>
  <c r="AQ540" i="1"/>
  <c r="AR540" i="1"/>
  <c r="AS540" i="1"/>
  <c r="AT540" i="1"/>
  <c r="AP541" i="1"/>
  <c r="AQ541" i="1"/>
  <c r="AR541" i="1"/>
  <c r="AS541" i="1"/>
  <c r="AT541" i="1"/>
  <c r="AP542" i="1"/>
  <c r="AQ542" i="1"/>
  <c r="AR542" i="1"/>
  <c r="AS542" i="1"/>
  <c r="AT542" i="1"/>
  <c r="AP543" i="1"/>
  <c r="AQ543" i="1"/>
  <c r="AR543" i="1"/>
  <c r="AS543" i="1"/>
  <c r="AT543" i="1"/>
  <c r="AP544" i="1"/>
  <c r="AQ544" i="1"/>
  <c r="AR544" i="1"/>
  <c r="AS544" i="1"/>
  <c r="AT544" i="1"/>
  <c r="AP545" i="1"/>
  <c r="AQ545" i="1"/>
  <c r="AR545" i="1"/>
  <c r="AS545" i="1"/>
  <c r="AT545" i="1"/>
  <c r="AP547" i="1"/>
  <c r="AQ547" i="1"/>
  <c r="AR547" i="1"/>
  <c r="AS547" i="1"/>
  <c r="AT547" i="1"/>
  <c r="AP548" i="1"/>
  <c r="AQ548" i="1"/>
  <c r="AR548" i="1"/>
  <c r="AS548" i="1"/>
  <c r="AT548" i="1"/>
  <c r="AP549" i="1"/>
  <c r="AQ549" i="1"/>
  <c r="AR549" i="1"/>
  <c r="AS549" i="1"/>
  <c r="AT549" i="1"/>
  <c r="AP550" i="1"/>
  <c r="AQ550" i="1"/>
  <c r="AR550" i="1"/>
  <c r="AS550" i="1"/>
  <c r="AT550" i="1"/>
  <c r="AP551" i="1"/>
  <c r="AQ551" i="1"/>
  <c r="AR551" i="1"/>
  <c r="AS551" i="1"/>
  <c r="AT551" i="1"/>
  <c r="AP552" i="1"/>
  <c r="AQ552" i="1"/>
  <c r="AR552" i="1"/>
  <c r="AS552" i="1"/>
  <c r="AT552" i="1"/>
  <c r="AP553" i="1"/>
  <c r="AQ553" i="1"/>
  <c r="AR553" i="1"/>
  <c r="AS553" i="1"/>
  <c r="AT553" i="1"/>
  <c r="AP554" i="1"/>
  <c r="AQ554" i="1"/>
  <c r="AR554" i="1"/>
  <c r="AS554" i="1"/>
  <c r="AT554" i="1"/>
  <c r="AP555" i="1"/>
  <c r="AQ555" i="1"/>
  <c r="AR555" i="1"/>
  <c r="AS555" i="1"/>
  <c r="AT555" i="1"/>
  <c r="AP556" i="1"/>
  <c r="AQ556" i="1"/>
  <c r="AR556" i="1"/>
  <c r="AS556" i="1"/>
  <c r="AT556" i="1"/>
  <c r="AP557" i="1"/>
  <c r="AQ557" i="1"/>
  <c r="AR557" i="1"/>
  <c r="AS557" i="1"/>
  <c r="AT557" i="1"/>
  <c r="AP558" i="1"/>
  <c r="AQ558" i="1"/>
  <c r="AR558" i="1"/>
  <c r="AS558" i="1"/>
  <c r="AT558" i="1"/>
  <c r="AP559" i="1"/>
  <c r="AQ559" i="1"/>
  <c r="AR559" i="1"/>
  <c r="AS559" i="1"/>
  <c r="AT559" i="1"/>
  <c r="AP560" i="1"/>
  <c r="AQ560" i="1"/>
  <c r="AR560" i="1"/>
  <c r="AS560" i="1"/>
  <c r="AT560" i="1"/>
  <c r="AP561" i="1"/>
  <c r="AQ561" i="1"/>
  <c r="AR561" i="1"/>
  <c r="AS561" i="1"/>
  <c r="AT561" i="1"/>
  <c r="AP562" i="1"/>
  <c r="AQ562" i="1"/>
  <c r="AR562" i="1"/>
  <c r="AS562" i="1"/>
  <c r="AT562" i="1"/>
  <c r="AP563" i="1"/>
  <c r="AQ563" i="1"/>
  <c r="AR563" i="1"/>
  <c r="AS563" i="1"/>
  <c r="AT563" i="1"/>
  <c r="AP564" i="1"/>
  <c r="AQ564" i="1"/>
  <c r="AR564" i="1"/>
  <c r="AS564" i="1"/>
  <c r="AT564" i="1"/>
  <c r="AP565" i="1"/>
  <c r="AQ565" i="1"/>
  <c r="AR565" i="1"/>
  <c r="AS565" i="1"/>
  <c r="AT565" i="1"/>
  <c r="AP566" i="1"/>
  <c r="AQ566" i="1"/>
  <c r="AR566" i="1"/>
  <c r="AS566" i="1"/>
  <c r="AT566" i="1"/>
  <c r="AP567" i="1"/>
  <c r="AQ567" i="1"/>
  <c r="AR567" i="1"/>
  <c r="AS567" i="1"/>
  <c r="AT567" i="1"/>
  <c r="AP568" i="1"/>
  <c r="AQ568" i="1"/>
  <c r="AR568" i="1"/>
  <c r="AS568" i="1"/>
  <c r="AT568" i="1"/>
  <c r="AP569" i="1"/>
  <c r="AQ569" i="1"/>
  <c r="AR569" i="1"/>
  <c r="AS569" i="1"/>
  <c r="AT569" i="1"/>
  <c r="AP571" i="1"/>
  <c r="AQ571" i="1"/>
  <c r="AR571" i="1"/>
  <c r="AS571" i="1"/>
  <c r="AT571" i="1"/>
  <c r="AP572" i="1"/>
  <c r="AQ572" i="1"/>
  <c r="AR572" i="1"/>
  <c r="AS572" i="1"/>
  <c r="AT572" i="1"/>
  <c r="AP573" i="1"/>
  <c r="AQ573" i="1"/>
  <c r="AR573" i="1"/>
  <c r="AS573" i="1"/>
  <c r="AT573" i="1"/>
  <c r="AP574" i="1"/>
  <c r="AQ574" i="1"/>
  <c r="AR574" i="1"/>
  <c r="AS574" i="1"/>
  <c r="AT574" i="1"/>
  <c r="AP575" i="1"/>
  <c r="AQ575" i="1"/>
  <c r="AR575" i="1"/>
  <c r="AS575" i="1"/>
  <c r="AT575" i="1"/>
  <c r="AP576" i="1"/>
  <c r="AQ576" i="1"/>
  <c r="AR576" i="1"/>
  <c r="AS576" i="1"/>
  <c r="AT576" i="1"/>
  <c r="AP577" i="1"/>
  <c r="AQ577" i="1"/>
  <c r="AR577" i="1"/>
  <c r="AS577" i="1"/>
  <c r="AT577" i="1"/>
  <c r="AP578" i="1"/>
  <c r="AQ578" i="1"/>
  <c r="AR578" i="1"/>
  <c r="AS578" i="1"/>
  <c r="AT578" i="1"/>
  <c r="AP579" i="1"/>
  <c r="AQ579" i="1"/>
  <c r="AR579" i="1"/>
  <c r="AS579" i="1"/>
  <c r="AT579" i="1"/>
  <c r="AP580" i="1"/>
  <c r="AQ580" i="1"/>
  <c r="AR580" i="1"/>
  <c r="AS580" i="1"/>
  <c r="AT580" i="1"/>
  <c r="AP581" i="1"/>
  <c r="AQ581" i="1"/>
  <c r="AR581" i="1"/>
  <c r="AS581" i="1"/>
  <c r="AT581" i="1"/>
  <c r="AP582" i="1"/>
  <c r="AQ582" i="1"/>
  <c r="AR582" i="1"/>
  <c r="AS582" i="1"/>
  <c r="AT582" i="1"/>
  <c r="AP583" i="1"/>
  <c r="AQ583" i="1"/>
  <c r="AR583" i="1"/>
  <c r="AS583" i="1"/>
  <c r="AT583" i="1"/>
  <c r="AP584" i="1"/>
  <c r="AQ584" i="1"/>
  <c r="AR584" i="1"/>
  <c r="AS584" i="1"/>
  <c r="AT584" i="1"/>
  <c r="AP585" i="1"/>
  <c r="AQ585" i="1"/>
  <c r="AR585" i="1"/>
  <c r="AS585" i="1"/>
  <c r="AT585" i="1"/>
  <c r="AP586" i="1"/>
  <c r="AQ586" i="1"/>
  <c r="AR586" i="1"/>
  <c r="AS586" i="1"/>
  <c r="AT586" i="1"/>
  <c r="AP587" i="1"/>
  <c r="AQ587" i="1"/>
  <c r="AR587" i="1"/>
  <c r="AS587" i="1"/>
  <c r="AT587" i="1"/>
  <c r="AP588" i="1"/>
  <c r="AQ588" i="1"/>
  <c r="AR588" i="1"/>
  <c r="AS588" i="1"/>
  <c r="AT588" i="1"/>
  <c r="AP589" i="1"/>
  <c r="AQ589" i="1"/>
  <c r="AR589" i="1"/>
  <c r="AS589" i="1"/>
  <c r="AT589" i="1"/>
  <c r="AP590" i="1"/>
  <c r="AQ590" i="1"/>
  <c r="AR590" i="1"/>
  <c r="AS590" i="1"/>
  <c r="AT590" i="1"/>
  <c r="AP591" i="1"/>
  <c r="AQ591" i="1"/>
  <c r="AR591" i="1"/>
  <c r="AS591" i="1"/>
  <c r="AT591" i="1"/>
  <c r="AP592" i="1"/>
  <c r="AQ592" i="1"/>
  <c r="AR592" i="1"/>
  <c r="AS592" i="1"/>
  <c r="AT592" i="1"/>
  <c r="AP593" i="1"/>
  <c r="AQ593" i="1"/>
  <c r="AR593" i="1"/>
  <c r="AS593" i="1"/>
  <c r="AT593" i="1"/>
  <c r="AP594" i="1"/>
  <c r="AQ594" i="1"/>
  <c r="AR594" i="1"/>
  <c r="AS594" i="1"/>
  <c r="AT594" i="1"/>
  <c r="AP595" i="1"/>
  <c r="AQ595" i="1"/>
  <c r="AR595" i="1"/>
  <c r="AS595" i="1"/>
  <c r="AT595" i="1"/>
  <c r="AP596" i="1"/>
  <c r="AQ596" i="1"/>
  <c r="AR596" i="1"/>
  <c r="AS596" i="1"/>
  <c r="AT596" i="1"/>
  <c r="AP597" i="1"/>
  <c r="AQ597" i="1"/>
  <c r="AR597" i="1"/>
  <c r="AS597" i="1"/>
  <c r="AT597" i="1"/>
  <c r="AP598" i="1"/>
  <c r="AQ598" i="1"/>
  <c r="AR598" i="1"/>
  <c r="AS598" i="1"/>
  <c r="AT598" i="1"/>
  <c r="AP599" i="1"/>
  <c r="AQ599" i="1"/>
  <c r="AR599" i="1"/>
  <c r="AS599" i="1"/>
  <c r="AT599" i="1"/>
  <c r="AP600" i="1"/>
  <c r="AQ600" i="1"/>
  <c r="AR600" i="1"/>
  <c r="AS600" i="1"/>
  <c r="AT600" i="1"/>
  <c r="AP601" i="1"/>
  <c r="AQ601" i="1"/>
  <c r="AR601" i="1"/>
  <c r="AS601" i="1"/>
  <c r="AT601" i="1"/>
  <c r="AP602" i="1"/>
  <c r="AQ602" i="1"/>
  <c r="AR602" i="1"/>
  <c r="AS602" i="1"/>
  <c r="AT602" i="1"/>
  <c r="AP603" i="1"/>
  <c r="AQ603" i="1"/>
  <c r="AR603" i="1"/>
  <c r="AS603" i="1"/>
  <c r="AT603" i="1"/>
  <c r="AP604" i="1"/>
  <c r="AQ604" i="1"/>
  <c r="AR604" i="1"/>
  <c r="AS604" i="1"/>
  <c r="AT604" i="1"/>
  <c r="AP605" i="1"/>
  <c r="AQ605" i="1"/>
  <c r="AR605" i="1"/>
  <c r="AS605" i="1"/>
  <c r="AT605" i="1"/>
  <c r="AP606" i="1"/>
  <c r="AQ606" i="1"/>
  <c r="AR606" i="1"/>
  <c r="AS606" i="1"/>
  <c r="AT606" i="1"/>
  <c r="AP607" i="1"/>
  <c r="AQ607" i="1"/>
  <c r="AR607" i="1"/>
  <c r="AS607" i="1"/>
  <c r="AT607" i="1"/>
  <c r="AP608" i="1"/>
  <c r="AQ608" i="1"/>
  <c r="AR608" i="1"/>
  <c r="AS608" i="1"/>
  <c r="AT608" i="1"/>
  <c r="AP609" i="1"/>
  <c r="AQ609" i="1"/>
  <c r="AR609" i="1"/>
  <c r="AS609" i="1"/>
  <c r="AT609" i="1"/>
  <c r="AP610" i="1"/>
  <c r="AQ610" i="1"/>
  <c r="AR610" i="1"/>
  <c r="AS610" i="1"/>
  <c r="AT610" i="1"/>
  <c r="AP611" i="1"/>
  <c r="AQ611" i="1"/>
  <c r="AR611" i="1"/>
  <c r="AS611" i="1"/>
  <c r="AT611" i="1"/>
  <c r="AP612" i="1"/>
  <c r="AQ612" i="1"/>
  <c r="AR612" i="1"/>
  <c r="AS612" i="1"/>
  <c r="AT612" i="1"/>
  <c r="AP613" i="1"/>
  <c r="AQ613" i="1"/>
  <c r="AR613" i="1"/>
  <c r="AS613" i="1"/>
  <c r="AT613" i="1"/>
  <c r="AP614" i="1"/>
  <c r="AQ614" i="1"/>
  <c r="AR614" i="1"/>
  <c r="AS614" i="1"/>
  <c r="AT614" i="1"/>
  <c r="AP615" i="1"/>
  <c r="AQ615" i="1"/>
  <c r="AR615" i="1"/>
  <c r="AS615" i="1"/>
  <c r="AT615" i="1"/>
  <c r="AP616" i="1"/>
  <c r="AQ616" i="1"/>
  <c r="AR616" i="1"/>
  <c r="AS616" i="1"/>
  <c r="AT616" i="1"/>
  <c r="AP617" i="1"/>
  <c r="AQ617" i="1"/>
  <c r="AR617" i="1"/>
  <c r="AS617" i="1"/>
  <c r="AT617" i="1"/>
  <c r="AP619" i="1"/>
  <c r="AQ619" i="1"/>
  <c r="AR619" i="1"/>
  <c r="AS619" i="1"/>
  <c r="AT619" i="1"/>
  <c r="AP620" i="1"/>
  <c r="AQ620" i="1"/>
  <c r="AR620" i="1"/>
  <c r="AS620" i="1"/>
  <c r="AT620" i="1"/>
  <c r="AP621" i="1"/>
  <c r="AQ621" i="1"/>
  <c r="AR621" i="1"/>
  <c r="AS621" i="1"/>
  <c r="AT621" i="1"/>
  <c r="AP622" i="1"/>
  <c r="AQ622" i="1"/>
  <c r="AR622" i="1"/>
  <c r="AS622" i="1"/>
  <c r="AT622" i="1"/>
  <c r="AP623" i="1"/>
  <c r="AQ623" i="1"/>
  <c r="AR623" i="1"/>
  <c r="AS623" i="1"/>
  <c r="AT623" i="1"/>
  <c r="AP624" i="1"/>
  <c r="AQ624" i="1"/>
  <c r="AR624" i="1"/>
  <c r="AS624" i="1"/>
  <c r="AT624" i="1"/>
  <c r="AP625" i="1"/>
  <c r="AQ625" i="1"/>
  <c r="AR625" i="1"/>
  <c r="AS625" i="1"/>
  <c r="AT625" i="1"/>
  <c r="AP626" i="1"/>
  <c r="AQ626" i="1"/>
  <c r="AR626" i="1"/>
  <c r="AS626" i="1"/>
  <c r="AT626" i="1"/>
  <c r="AP627" i="1"/>
  <c r="AQ627" i="1"/>
  <c r="AR627" i="1"/>
  <c r="AS627" i="1"/>
  <c r="AT627" i="1"/>
  <c r="AP628" i="1"/>
  <c r="AQ628" i="1"/>
  <c r="AR628" i="1"/>
  <c r="AS628" i="1"/>
  <c r="AT628" i="1"/>
  <c r="AP629" i="1"/>
  <c r="AQ629" i="1"/>
  <c r="AR629" i="1"/>
  <c r="AS629" i="1"/>
  <c r="AT629" i="1"/>
  <c r="AP630" i="1"/>
  <c r="AQ630" i="1"/>
  <c r="AR630" i="1"/>
  <c r="AS630" i="1"/>
  <c r="AT630" i="1"/>
  <c r="AP631" i="1"/>
  <c r="AQ631" i="1"/>
  <c r="AR631" i="1"/>
  <c r="AS631" i="1"/>
  <c r="AT631" i="1"/>
  <c r="AP632" i="1"/>
  <c r="AQ632" i="1"/>
  <c r="AR632" i="1"/>
  <c r="AS632" i="1"/>
  <c r="AT632" i="1"/>
  <c r="AP633" i="1"/>
  <c r="AQ633" i="1"/>
  <c r="AR633" i="1"/>
  <c r="AS633" i="1"/>
  <c r="AT633" i="1"/>
  <c r="AP634" i="1"/>
  <c r="AQ634" i="1"/>
  <c r="AR634" i="1"/>
  <c r="AS634" i="1"/>
  <c r="AT634" i="1"/>
  <c r="AP635" i="1"/>
  <c r="AQ635" i="1"/>
  <c r="AR635" i="1"/>
  <c r="AS635" i="1"/>
  <c r="AT635" i="1"/>
  <c r="AP636" i="1"/>
  <c r="AQ636" i="1"/>
  <c r="AR636" i="1"/>
  <c r="AS636" i="1"/>
  <c r="AT636" i="1"/>
  <c r="AP637" i="1"/>
  <c r="AQ637" i="1"/>
  <c r="AR637" i="1"/>
  <c r="AS637" i="1"/>
  <c r="AT637" i="1"/>
  <c r="AP638" i="1"/>
  <c r="AQ638" i="1"/>
  <c r="AR638" i="1"/>
  <c r="AS638" i="1"/>
  <c r="AT638" i="1"/>
  <c r="AP639" i="1"/>
  <c r="AQ639" i="1"/>
  <c r="AR639" i="1"/>
  <c r="AS639" i="1"/>
  <c r="AT639" i="1"/>
  <c r="AP640" i="1"/>
  <c r="AQ640" i="1"/>
  <c r="AR640" i="1"/>
  <c r="AS640" i="1"/>
  <c r="AT640" i="1"/>
  <c r="AP641" i="1"/>
  <c r="AQ641" i="1"/>
  <c r="AR641" i="1"/>
  <c r="AS641" i="1"/>
  <c r="AT641" i="1"/>
  <c r="AP643" i="1"/>
  <c r="AQ643" i="1"/>
  <c r="AR643" i="1"/>
  <c r="AS643" i="1"/>
  <c r="AT643" i="1"/>
  <c r="AP644" i="1"/>
  <c r="AQ644" i="1"/>
  <c r="AR644" i="1"/>
  <c r="AS644" i="1"/>
  <c r="AT644" i="1"/>
  <c r="AP645" i="1"/>
  <c r="AQ645" i="1"/>
  <c r="AR645" i="1"/>
  <c r="AS645" i="1"/>
  <c r="AT645" i="1"/>
  <c r="AP646" i="1"/>
  <c r="AQ646" i="1"/>
  <c r="AR646" i="1"/>
  <c r="AS646" i="1"/>
  <c r="AT646" i="1"/>
  <c r="AP647" i="1"/>
  <c r="AQ647" i="1"/>
  <c r="AR647" i="1"/>
  <c r="AS647" i="1"/>
  <c r="AT647" i="1"/>
  <c r="AP648" i="1"/>
  <c r="AQ648" i="1"/>
  <c r="AR648" i="1"/>
  <c r="AS648" i="1"/>
  <c r="AT648" i="1"/>
  <c r="AP649" i="1"/>
  <c r="AQ649" i="1"/>
  <c r="AR649" i="1"/>
  <c r="AS649" i="1"/>
  <c r="AT649" i="1"/>
  <c r="AP650" i="1"/>
  <c r="AQ650" i="1"/>
  <c r="AR650" i="1"/>
  <c r="AS650" i="1"/>
  <c r="AT650" i="1"/>
  <c r="AP651" i="1"/>
  <c r="AQ651" i="1"/>
  <c r="AR651" i="1"/>
  <c r="AS651" i="1"/>
  <c r="AT651" i="1"/>
  <c r="AP652" i="1"/>
  <c r="AQ652" i="1"/>
  <c r="AR652" i="1"/>
  <c r="AS652" i="1"/>
  <c r="AT652" i="1"/>
  <c r="AP653" i="1"/>
  <c r="AQ653" i="1"/>
  <c r="AR653" i="1"/>
  <c r="AS653" i="1"/>
  <c r="AT653" i="1"/>
  <c r="AP654" i="1"/>
  <c r="AQ654" i="1"/>
  <c r="AR654" i="1"/>
  <c r="AS654" i="1"/>
  <c r="AT654" i="1"/>
  <c r="AP655" i="1"/>
  <c r="AQ655" i="1"/>
  <c r="AR655" i="1"/>
  <c r="AS655" i="1"/>
  <c r="AT655" i="1"/>
  <c r="AP656" i="1"/>
  <c r="AQ656" i="1"/>
  <c r="AR656" i="1"/>
  <c r="AS656" i="1"/>
  <c r="AT656" i="1"/>
  <c r="AP657" i="1"/>
  <c r="AQ657" i="1"/>
  <c r="AR657" i="1"/>
  <c r="AS657" i="1"/>
  <c r="AT657" i="1"/>
  <c r="AP658" i="1"/>
  <c r="AQ658" i="1"/>
  <c r="AR658" i="1"/>
  <c r="AS658" i="1"/>
  <c r="AT658" i="1"/>
  <c r="AP659" i="1"/>
  <c r="AQ659" i="1"/>
  <c r="AR659" i="1"/>
  <c r="AS659" i="1"/>
  <c r="AT659" i="1"/>
  <c r="AP660" i="1"/>
  <c r="AQ660" i="1"/>
  <c r="AR660" i="1"/>
  <c r="AS660" i="1"/>
  <c r="AT660" i="1"/>
  <c r="AP661" i="1"/>
  <c r="AQ661" i="1"/>
  <c r="AR661" i="1"/>
  <c r="AS661" i="1"/>
  <c r="AT661" i="1"/>
  <c r="AP662" i="1"/>
  <c r="AQ662" i="1"/>
  <c r="AR662" i="1"/>
  <c r="AS662" i="1"/>
  <c r="AT662" i="1"/>
  <c r="AP663" i="1"/>
  <c r="AQ663" i="1"/>
  <c r="AR663" i="1"/>
  <c r="AS663" i="1"/>
  <c r="AT663" i="1"/>
  <c r="AP664" i="1"/>
  <c r="AQ664" i="1"/>
  <c r="AR664" i="1"/>
  <c r="AS664" i="1"/>
  <c r="AT664" i="1"/>
  <c r="AP665" i="1"/>
  <c r="AQ665" i="1"/>
  <c r="AR665" i="1"/>
  <c r="AS665" i="1"/>
  <c r="AT665" i="1"/>
  <c r="AP667" i="1"/>
  <c r="AQ667" i="1"/>
  <c r="AR667" i="1"/>
  <c r="AS667" i="1"/>
  <c r="AT667" i="1"/>
  <c r="AP668" i="1"/>
  <c r="AQ668" i="1"/>
  <c r="AR668" i="1"/>
  <c r="AS668" i="1"/>
  <c r="AT668" i="1"/>
  <c r="AP669" i="1"/>
  <c r="AQ669" i="1"/>
  <c r="AR669" i="1"/>
  <c r="AS669" i="1"/>
  <c r="AT669" i="1"/>
  <c r="AP670" i="1"/>
  <c r="AQ670" i="1"/>
  <c r="AR670" i="1"/>
  <c r="AS670" i="1"/>
  <c r="AT670" i="1"/>
  <c r="AP671" i="1"/>
  <c r="AQ671" i="1"/>
  <c r="AR671" i="1"/>
  <c r="AS671" i="1"/>
  <c r="AT671" i="1"/>
  <c r="AP672" i="1"/>
  <c r="AQ672" i="1"/>
  <c r="AR672" i="1"/>
  <c r="AS672" i="1"/>
  <c r="AT672" i="1"/>
  <c r="AP673" i="1"/>
  <c r="AQ673" i="1"/>
  <c r="AR673" i="1"/>
  <c r="AS673" i="1"/>
  <c r="AT673" i="1"/>
  <c r="AP674" i="1"/>
  <c r="AQ674" i="1"/>
  <c r="AR674" i="1"/>
  <c r="AS674" i="1"/>
  <c r="AT674" i="1"/>
  <c r="AP675" i="1"/>
  <c r="AQ675" i="1"/>
  <c r="AR675" i="1"/>
  <c r="AS675" i="1"/>
  <c r="AT675" i="1"/>
  <c r="AP676" i="1"/>
  <c r="AQ676" i="1"/>
  <c r="AR676" i="1"/>
  <c r="AS676" i="1"/>
  <c r="AT676" i="1"/>
  <c r="AP677" i="1"/>
  <c r="AQ677" i="1"/>
  <c r="AR677" i="1"/>
  <c r="AS677" i="1"/>
  <c r="AT677" i="1"/>
  <c r="AP678" i="1"/>
  <c r="AQ678" i="1"/>
  <c r="AR678" i="1"/>
  <c r="AS678" i="1"/>
  <c r="AT678" i="1"/>
  <c r="AP679" i="1"/>
  <c r="AQ679" i="1"/>
  <c r="AR679" i="1"/>
  <c r="AS679" i="1"/>
  <c r="AT679" i="1"/>
  <c r="AP680" i="1"/>
  <c r="AQ680" i="1"/>
  <c r="AR680" i="1"/>
  <c r="AS680" i="1"/>
  <c r="AT680" i="1"/>
  <c r="AP681" i="1"/>
  <c r="AQ681" i="1"/>
  <c r="AR681" i="1"/>
  <c r="AS681" i="1"/>
  <c r="AT681" i="1"/>
  <c r="AP682" i="1"/>
  <c r="AQ682" i="1"/>
  <c r="AR682" i="1"/>
  <c r="AS682" i="1"/>
  <c r="AT682" i="1"/>
  <c r="AP683" i="1"/>
  <c r="AQ683" i="1"/>
  <c r="AR683" i="1"/>
  <c r="AS683" i="1"/>
  <c r="AT683" i="1"/>
  <c r="AP684" i="1"/>
  <c r="AQ684" i="1"/>
  <c r="AR684" i="1"/>
  <c r="AS684" i="1"/>
  <c r="AT684" i="1"/>
  <c r="AP685" i="1"/>
  <c r="AQ685" i="1"/>
  <c r="AR685" i="1"/>
  <c r="AS685" i="1"/>
  <c r="AT685" i="1"/>
  <c r="AP686" i="1"/>
  <c r="AQ686" i="1"/>
  <c r="AR686" i="1"/>
  <c r="AS686" i="1"/>
  <c r="AT686" i="1"/>
  <c r="AP687" i="1"/>
  <c r="AQ687" i="1"/>
  <c r="AR687" i="1"/>
  <c r="AS687" i="1"/>
  <c r="AT687" i="1"/>
  <c r="AP688" i="1"/>
  <c r="AQ688" i="1"/>
  <c r="AR688" i="1"/>
  <c r="AS688" i="1"/>
  <c r="AT688" i="1"/>
  <c r="AP689" i="1"/>
  <c r="AQ689" i="1"/>
  <c r="AR689" i="1"/>
  <c r="AS689" i="1"/>
  <c r="AT689" i="1"/>
  <c r="AP690" i="1"/>
  <c r="AQ690" i="1"/>
  <c r="AR690" i="1"/>
  <c r="AS690" i="1"/>
  <c r="AT690" i="1"/>
  <c r="AP691" i="1"/>
  <c r="AQ691" i="1"/>
  <c r="AR691" i="1"/>
  <c r="AS691" i="1"/>
  <c r="AT691" i="1"/>
  <c r="AP692" i="1"/>
  <c r="AQ692" i="1"/>
  <c r="AR692" i="1"/>
  <c r="AS692" i="1"/>
  <c r="AT692" i="1"/>
  <c r="AP693" i="1"/>
  <c r="AQ693" i="1"/>
  <c r="AR693" i="1"/>
  <c r="AS693" i="1"/>
  <c r="AT693" i="1"/>
  <c r="AP694" i="1"/>
  <c r="AQ694" i="1"/>
  <c r="AR694" i="1"/>
  <c r="AS694" i="1"/>
  <c r="AT694" i="1"/>
  <c r="AP695" i="1"/>
  <c r="AQ695" i="1"/>
  <c r="AR695" i="1"/>
  <c r="AS695" i="1"/>
  <c r="AT695" i="1"/>
  <c r="AP696" i="1"/>
  <c r="AQ696" i="1"/>
  <c r="AR696" i="1"/>
  <c r="AS696" i="1"/>
  <c r="AT696" i="1"/>
  <c r="AP697" i="1"/>
  <c r="AQ697" i="1"/>
  <c r="AR697" i="1"/>
  <c r="AS697" i="1"/>
  <c r="AT697" i="1"/>
  <c r="AP698" i="1"/>
  <c r="AQ698" i="1"/>
  <c r="AR698" i="1"/>
  <c r="AS698" i="1"/>
  <c r="AT698" i="1"/>
  <c r="AP699" i="1"/>
  <c r="AQ699" i="1"/>
  <c r="AR699" i="1"/>
  <c r="AS699" i="1"/>
  <c r="AT699" i="1"/>
  <c r="AP700" i="1"/>
  <c r="AQ700" i="1"/>
  <c r="AR700" i="1"/>
  <c r="AS700" i="1"/>
  <c r="AT700" i="1"/>
  <c r="AP701" i="1"/>
  <c r="AQ701" i="1"/>
  <c r="AR701" i="1"/>
  <c r="AS701" i="1"/>
  <c r="AT701" i="1"/>
  <c r="AP702" i="1"/>
  <c r="AQ702" i="1"/>
  <c r="AR702" i="1"/>
  <c r="AS702" i="1"/>
  <c r="AT702" i="1"/>
  <c r="AP703" i="1"/>
  <c r="AQ703" i="1"/>
  <c r="AR703" i="1"/>
  <c r="AS703" i="1"/>
  <c r="AT703" i="1"/>
  <c r="AP704" i="1"/>
  <c r="AQ704" i="1"/>
  <c r="AR704" i="1"/>
  <c r="AS704" i="1"/>
  <c r="AT704" i="1"/>
  <c r="AP705" i="1"/>
  <c r="AQ705" i="1"/>
  <c r="AR705" i="1"/>
  <c r="AS705" i="1"/>
  <c r="AT705" i="1"/>
  <c r="AP706" i="1"/>
  <c r="AQ706" i="1"/>
  <c r="AR706" i="1"/>
  <c r="AS706" i="1"/>
  <c r="AT706" i="1"/>
  <c r="AP707" i="1"/>
  <c r="AQ707" i="1"/>
  <c r="AR707" i="1"/>
  <c r="AS707" i="1"/>
  <c r="AT707" i="1"/>
  <c r="AP708" i="1"/>
  <c r="AQ708" i="1"/>
  <c r="AR708" i="1"/>
  <c r="AS708" i="1"/>
  <c r="AT708" i="1"/>
  <c r="AP709" i="1"/>
  <c r="AQ709" i="1"/>
  <c r="AR709" i="1"/>
  <c r="AS709" i="1"/>
  <c r="AT709" i="1"/>
  <c r="AP710" i="1"/>
  <c r="AQ710" i="1"/>
  <c r="AR710" i="1"/>
  <c r="AS710" i="1"/>
  <c r="AT710" i="1"/>
  <c r="AP711" i="1"/>
  <c r="AQ711" i="1"/>
  <c r="AR711" i="1"/>
  <c r="AS711" i="1"/>
  <c r="AT711" i="1"/>
  <c r="AP712" i="1"/>
  <c r="AQ712" i="1"/>
  <c r="AR712" i="1"/>
  <c r="AS712" i="1"/>
  <c r="AT712" i="1"/>
  <c r="AP713" i="1"/>
  <c r="AQ713" i="1"/>
  <c r="AR713" i="1"/>
  <c r="AS713" i="1"/>
  <c r="AT713" i="1"/>
  <c r="AP714" i="1"/>
  <c r="AQ714" i="1"/>
  <c r="AR714" i="1"/>
  <c r="AS714" i="1"/>
  <c r="AT714" i="1"/>
  <c r="AP715" i="1"/>
  <c r="AQ715" i="1"/>
  <c r="AR715" i="1"/>
  <c r="AS715" i="1"/>
  <c r="AT715" i="1"/>
  <c r="AP716" i="1"/>
  <c r="AQ716" i="1"/>
  <c r="AR716" i="1"/>
  <c r="AS716" i="1"/>
  <c r="AT716" i="1"/>
  <c r="AP717" i="1"/>
  <c r="AQ717" i="1"/>
  <c r="AR717" i="1"/>
  <c r="AS717" i="1"/>
  <c r="AT717" i="1"/>
  <c r="AP718" i="1"/>
  <c r="AQ718" i="1"/>
  <c r="AR718" i="1"/>
  <c r="AS718" i="1"/>
  <c r="AT718" i="1"/>
  <c r="AP719" i="1"/>
  <c r="AQ719" i="1"/>
  <c r="AR719" i="1"/>
  <c r="AS719" i="1"/>
  <c r="AT719" i="1"/>
  <c r="AP720" i="1"/>
  <c r="AQ720" i="1"/>
  <c r="AR720" i="1"/>
  <c r="AS720" i="1"/>
  <c r="AT720" i="1"/>
  <c r="AP721" i="1"/>
  <c r="AQ721" i="1"/>
  <c r="AR721" i="1"/>
  <c r="AS721" i="1"/>
  <c r="AT721" i="1"/>
  <c r="AP722" i="1"/>
  <c r="AQ722" i="1"/>
  <c r="AR722" i="1"/>
  <c r="AS722" i="1"/>
  <c r="AT722" i="1"/>
  <c r="AP723" i="1"/>
  <c r="AQ723" i="1"/>
  <c r="AR723" i="1"/>
  <c r="AS723" i="1"/>
  <c r="AT723" i="1"/>
  <c r="AP724" i="1"/>
  <c r="AQ724" i="1"/>
  <c r="AR724" i="1"/>
  <c r="AS724" i="1"/>
  <c r="AT724" i="1"/>
  <c r="AP725" i="1"/>
  <c r="AQ725" i="1"/>
  <c r="AR725" i="1"/>
  <c r="AS725" i="1"/>
  <c r="AT725" i="1"/>
  <c r="AP726" i="1"/>
  <c r="AQ726" i="1"/>
  <c r="AR726" i="1"/>
  <c r="AS726" i="1"/>
  <c r="AT726" i="1"/>
  <c r="AP727" i="1"/>
  <c r="AQ727" i="1"/>
  <c r="AR727" i="1"/>
  <c r="AS727" i="1"/>
  <c r="AT727" i="1"/>
  <c r="AP728" i="1"/>
  <c r="AQ728" i="1"/>
  <c r="AR728" i="1"/>
  <c r="AS728" i="1"/>
  <c r="AT728" i="1"/>
  <c r="AP729" i="1"/>
  <c r="AQ729" i="1"/>
  <c r="AR729" i="1"/>
  <c r="AS729" i="1"/>
  <c r="AT729" i="1"/>
  <c r="AP730" i="1"/>
  <c r="AQ730" i="1"/>
  <c r="AR730" i="1"/>
  <c r="AS730" i="1"/>
  <c r="AT730" i="1"/>
  <c r="AP731" i="1"/>
  <c r="AQ731" i="1"/>
  <c r="AR731" i="1"/>
  <c r="AS731" i="1"/>
  <c r="AT731" i="1"/>
  <c r="AP732" i="1"/>
  <c r="AQ732" i="1"/>
  <c r="AR732" i="1"/>
  <c r="AS732" i="1"/>
  <c r="AT732" i="1"/>
  <c r="AP733" i="1"/>
  <c r="AQ733" i="1"/>
  <c r="AR733" i="1"/>
  <c r="AS733" i="1"/>
  <c r="AT733" i="1"/>
  <c r="AP734" i="1"/>
  <c r="AQ734" i="1"/>
  <c r="AR734" i="1"/>
  <c r="AS734" i="1"/>
  <c r="AT734" i="1"/>
  <c r="AP735" i="1"/>
  <c r="AQ735" i="1"/>
  <c r="AR735" i="1"/>
  <c r="AS735" i="1"/>
  <c r="AT735" i="1"/>
  <c r="AP736" i="1"/>
  <c r="AQ736" i="1"/>
  <c r="AR736" i="1"/>
  <c r="AS736" i="1"/>
  <c r="AT736" i="1"/>
  <c r="AP737" i="1"/>
  <c r="AQ737" i="1"/>
  <c r="AR737" i="1"/>
  <c r="AS737" i="1"/>
  <c r="AT737" i="1"/>
  <c r="AP738" i="1"/>
  <c r="AQ738" i="1"/>
  <c r="AR738" i="1"/>
  <c r="AS738" i="1"/>
  <c r="AT738" i="1"/>
  <c r="AP739" i="1"/>
  <c r="AQ739" i="1"/>
  <c r="AR739" i="1"/>
  <c r="AS739" i="1"/>
  <c r="AT739" i="1"/>
  <c r="AP740" i="1"/>
  <c r="AQ740" i="1"/>
  <c r="AR740" i="1"/>
  <c r="AS740" i="1"/>
  <c r="AT740" i="1"/>
  <c r="AP741" i="1"/>
  <c r="AQ741" i="1"/>
  <c r="AR741" i="1"/>
  <c r="AS741" i="1"/>
  <c r="AT741" i="1"/>
  <c r="AP742" i="1"/>
  <c r="AQ742" i="1"/>
  <c r="AR742" i="1"/>
  <c r="AS742" i="1"/>
  <c r="AT742" i="1"/>
  <c r="AP743" i="1"/>
  <c r="AQ743" i="1"/>
  <c r="AR743" i="1"/>
  <c r="AS743" i="1"/>
  <c r="AT743" i="1"/>
  <c r="AP744" i="1"/>
  <c r="AQ744" i="1"/>
  <c r="AR744" i="1"/>
  <c r="AS744" i="1"/>
  <c r="AT744" i="1"/>
  <c r="AP745" i="1"/>
  <c r="AQ745" i="1"/>
  <c r="AR745" i="1"/>
  <c r="AS745" i="1"/>
  <c r="AT745" i="1"/>
  <c r="AP746" i="1"/>
  <c r="AQ746" i="1"/>
  <c r="AR746" i="1"/>
  <c r="AS746" i="1"/>
  <c r="AT746" i="1"/>
  <c r="AP747" i="1"/>
  <c r="AQ747" i="1"/>
  <c r="AR747" i="1"/>
  <c r="AS747" i="1"/>
  <c r="AT747" i="1"/>
  <c r="AP748" i="1"/>
  <c r="AQ748" i="1"/>
  <c r="AR748" i="1"/>
  <c r="AS748" i="1"/>
  <c r="AT748" i="1"/>
  <c r="AP749" i="1"/>
  <c r="AQ749" i="1"/>
  <c r="AR749" i="1"/>
  <c r="AS749" i="1"/>
  <c r="AT749" i="1"/>
  <c r="AP750" i="1"/>
  <c r="AQ750" i="1"/>
  <c r="AR750" i="1"/>
  <c r="AS750" i="1"/>
  <c r="AT750" i="1"/>
  <c r="AP751" i="1"/>
  <c r="AQ751" i="1"/>
  <c r="AR751" i="1"/>
  <c r="AS751" i="1"/>
  <c r="AT751" i="1"/>
  <c r="AP752" i="1"/>
  <c r="AQ752" i="1"/>
  <c r="AR752" i="1"/>
  <c r="AS752" i="1"/>
  <c r="AT752" i="1"/>
  <c r="AP753" i="1"/>
  <c r="AQ753" i="1"/>
  <c r="AR753" i="1"/>
  <c r="AS753" i="1"/>
  <c r="AT753" i="1"/>
  <c r="AP754" i="1"/>
  <c r="AQ754" i="1"/>
  <c r="AR754" i="1"/>
  <c r="AS754" i="1"/>
  <c r="AT754" i="1"/>
  <c r="AP755" i="1"/>
  <c r="AQ755" i="1"/>
  <c r="AR755" i="1"/>
  <c r="AS755" i="1"/>
  <c r="AT755" i="1"/>
  <c r="AP756" i="1"/>
  <c r="AQ756" i="1"/>
  <c r="AR756" i="1"/>
  <c r="AS756" i="1"/>
  <c r="AT756" i="1"/>
  <c r="AP757" i="1"/>
  <c r="AQ757" i="1"/>
  <c r="AR757" i="1"/>
  <c r="AS757" i="1"/>
  <c r="AT757" i="1"/>
  <c r="AP758" i="1"/>
  <c r="AQ758" i="1"/>
  <c r="AR758" i="1"/>
  <c r="AS758" i="1"/>
  <c r="AT758" i="1"/>
  <c r="AP759" i="1"/>
  <c r="AQ759" i="1"/>
  <c r="AR759" i="1"/>
  <c r="AS759" i="1"/>
  <c r="AT759" i="1"/>
  <c r="AP760" i="1"/>
  <c r="AQ760" i="1"/>
  <c r="AR760" i="1"/>
  <c r="AS760" i="1"/>
  <c r="AT760" i="1"/>
  <c r="AP761" i="1"/>
  <c r="AQ761" i="1"/>
  <c r="AR761" i="1"/>
  <c r="AS761" i="1"/>
  <c r="AT761" i="1"/>
  <c r="AP762" i="1"/>
  <c r="AQ762" i="1"/>
  <c r="AR762" i="1"/>
  <c r="AS762" i="1"/>
  <c r="AT762" i="1"/>
  <c r="AP763" i="1"/>
  <c r="AQ763" i="1"/>
  <c r="AR763" i="1"/>
  <c r="AS763" i="1"/>
  <c r="AT763" i="1"/>
  <c r="AP764" i="1"/>
  <c r="AQ764" i="1"/>
  <c r="AR764" i="1"/>
  <c r="AS764" i="1"/>
  <c r="AT764" i="1"/>
  <c r="AP765" i="1"/>
  <c r="AQ765" i="1"/>
  <c r="AR765" i="1"/>
  <c r="AS765" i="1"/>
  <c r="AT765" i="1"/>
  <c r="AP766" i="1"/>
  <c r="AQ766" i="1"/>
  <c r="AR766" i="1"/>
  <c r="AS766" i="1"/>
  <c r="AT766" i="1"/>
  <c r="AP767" i="1"/>
  <c r="AQ767" i="1"/>
  <c r="AR767" i="1"/>
  <c r="AS767" i="1"/>
  <c r="AT767" i="1"/>
  <c r="AP768" i="1"/>
  <c r="AQ768" i="1"/>
  <c r="AR768" i="1"/>
  <c r="AS768" i="1"/>
  <c r="AT768" i="1"/>
  <c r="AP769" i="1"/>
  <c r="AQ769" i="1"/>
  <c r="AR769" i="1"/>
  <c r="AS769" i="1"/>
  <c r="AT769" i="1"/>
  <c r="AP770" i="1"/>
  <c r="AQ770" i="1"/>
  <c r="AR770" i="1"/>
  <c r="AS770" i="1"/>
  <c r="AT770" i="1"/>
  <c r="AP771" i="1"/>
  <c r="AQ771" i="1"/>
  <c r="AR771" i="1"/>
  <c r="AS771" i="1"/>
  <c r="AT771" i="1"/>
  <c r="AP772" i="1"/>
  <c r="AQ772" i="1"/>
  <c r="AR772" i="1"/>
  <c r="AS772" i="1"/>
  <c r="AT772" i="1"/>
  <c r="AP773" i="1"/>
  <c r="AQ773" i="1"/>
  <c r="AR773" i="1"/>
  <c r="AS773" i="1"/>
  <c r="AT773" i="1"/>
  <c r="AP774" i="1"/>
  <c r="AQ774" i="1"/>
  <c r="AR774" i="1"/>
  <c r="AS774" i="1"/>
  <c r="AT774" i="1"/>
  <c r="AP775" i="1"/>
  <c r="AQ775" i="1"/>
  <c r="AR775" i="1"/>
  <c r="AS775" i="1"/>
  <c r="AT775" i="1"/>
  <c r="AP776" i="1"/>
  <c r="AQ776" i="1"/>
  <c r="AR776" i="1"/>
  <c r="AS776" i="1"/>
  <c r="AT776" i="1"/>
  <c r="AP777" i="1"/>
  <c r="AQ777" i="1"/>
  <c r="AR777" i="1"/>
  <c r="AS777" i="1"/>
  <c r="AT777" i="1"/>
  <c r="AP778" i="1"/>
  <c r="AQ778" i="1"/>
  <c r="AR778" i="1"/>
  <c r="AS778" i="1"/>
  <c r="AT778" i="1"/>
  <c r="AP779" i="1"/>
  <c r="AQ779" i="1"/>
  <c r="AR779" i="1"/>
  <c r="AS779" i="1"/>
  <c r="AT779" i="1"/>
  <c r="AP780" i="1"/>
  <c r="AQ780" i="1"/>
  <c r="AR780" i="1"/>
  <c r="AS780" i="1"/>
  <c r="AT780" i="1"/>
  <c r="AP781" i="1"/>
  <c r="AQ781" i="1"/>
  <c r="AR781" i="1"/>
  <c r="AS781" i="1"/>
  <c r="AT781" i="1"/>
  <c r="AP782" i="1"/>
  <c r="AQ782" i="1"/>
  <c r="AR782" i="1"/>
  <c r="AS782" i="1"/>
  <c r="AT782" i="1"/>
  <c r="AP783" i="1"/>
  <c r="AQ783" i="1"/>
  <c r="AR783" i="1"/>
  <c r="AS783" i="1"/>
  <c r="AT783" i="1"/>
  <c r="AP784" i="1"/>
  <c r="AQ784" i="1"/>
  <c r="AR784" i="1"/>
  <c r="AS784" i="1"/>
  <c r="AT784" i="1"/>
  <c r="AP785" i="1"/>
  <c r="AQ785" i="1"/>
  <c r="AR785" i="1"/>
  <c r="AS785" i="1"/>
  <c r="AT785" i="1"/>
  <c r="AP787" i="1"/>
  <c r="AQ787" i="1"/>
  <c r="AR787" i="1"/>
  <c r="AS787" i="1"/>
  <c r="AT787" i="1"/>
  <c r="AP788" i="1"/>
  <c r="AQ788" i="1"/>
  <c r="AR788" i="1"/>
  <c r="AS788" i="1"/>
  <c r="AT788" i="1"/>
  <c r="AP789" i="1"/>
  <c r="AQ789" i="1"/>
  <c r="AR789" i="1"/>
  <c r="AS789" i="1"/>
  <c r="AT789" i="1"/>
  <c r="AP790" i="1"/>
  <c r="AQ790" i="1"/>
  <c r="AR790" i="1"/>
  <c r="AS790" i="1"/>
  <c r="AT790" i="1"/>
  <c r="AP791" i="1"/>
  <c r="AQ791" i="1"/>
  <c r="AR791" i="1"/>
  <c r="AS791" i="1"/>
  <c r="AT791" i="1"/>
  <c r="AP792" i="1"/>
  <c r="AQ792" i="1"/>
  <c r="AR792" i="1"/>
  <c r="AS792" i="1"/>
  <c r="AT792" i="1"/>
  <c r="AP793" i="1"/>
  <c r="AQ793" i="1"/>
  <c r="AR793" i="1"/>
  <c r="AS793" i="1"/>
  <c r="AT793" i="1"/>
  <c r="AP794" i="1"/>
  <c r="AQ794" i="1"/>
  <c r="AR794" i="1"/>
  <c r="AS794" i="1"/>
  <c r="AT794" i="1"/>
  <c r="AP795" i="1"/>
  <c r="AQ795" i="1"/>
  <c r="AR795" i="1"/>
  <c r="AS795" i="1"/>
  <c r="AT795" i="1"/>
  <c r="AP796" i="1"/>
  <c r="AQ796" i="1"/>
  <c r="AR796" i="1"/>
  <c r="AS796" i="1"/>
  <c r="AT796" i="1"/>
  <c r="AP797" i="1"/>
  <c r="AQ797" i="1"/>
  <c r="AR797" i="1"/>
  <c r="AS797" i="1"/>
  <c r="AT797" i="1"/>
  <c r="AP798" i="1"/>
  <c r="AQ798" i="1"/>
  <c r="AR798" i="1"/>
  <c r="AS798" i="1"/>
  <c r="AT798" i="1"/>
  <c r="AP799" i="1"/>
  <c r="AQ799" i="1"/>
  <c r="AR799" i="1"/>
  <c r="AS799" i="1"/>
  <c r="AT799" i="1"/>
  <c r="AP800" i="1"/>
  <c r="AQ800" i="1"/>
  <c r="AR800" i="1"/>
  <c r="AS800" i="1"/>
  <c r="AT800" i="1"/>
  <c r="AP801" i="1"/>
  <c r="AQ801" i="1"/>
  <c r="AR801" i="1"/>
  <c r="AS801" i="1"/>
  <c r="AT801" i="1"/>
  <c r="AP802" i="1"/>
  <c r="AQ802" i="1"/>
  <c r="AR802" i="1"/>
  <c r="AS802" i="1"/>
  <c r="AT802" i="1"/>
  <c r="AP803" i="1"/>
  <c r="AQ803" i="1"/>
  <c r="AR803" i="1"/>
  <c r="AS803" i="1"/>
  <c r="AT803" i="1"/>
  <c r="AP804" i="1"/>
  <c r="AQ804" i="1"/>
  <c r="AR804" i="1"/>
  <c r="AS804" i="1"/>
  <c r="AT804" i="1"/>
  <c r="AP805" i="1"/>
  <c r="AQ805" i="1"/>
  <c r="AR805" i="1"/>
  <c r="AS805" i="1"/>
  <c r="AT805" i="1"/>
  <c r="AP806" i="1"/>
  <c r="AQ806" i="1"/>
  <c r="AR806" i="1"/>
  <c r="AS806" i="1"/>
  <c r="AT806" i="1"/>
  <c r="AP807" i="1"/>
  <c r="AQ807" i="1"/>
  <c r="AR807" i="1"/>
  <c r="AS807" i="1"/>
  <c r="AT807" i="1"/>
  <c r="AP808" i="1"/>
  <c r="AQ808" i="1"/>
  <c r="AR808" i="1"/>
  <c r="AS808" i="1"/>
  <c r="AT808" i="1"/>
  <c r="AP809" i="1"/>
  <c r="AQ809" i="1"/>
  <c r="AR809" i="1"/>
  <c r="AS809" i="1"/>
  <c r="AT809" i="1"/>
  <c r="AP810" i="1"/>
  <c r="AQ810" i="1"/>
  <c r="AR810" i="1"/>
  <c r="AS810" i="1"/>
  <c r="AT810" i="1"/>
  <c r="AP811" i="1"/>
  <c r="AQ811" i="1"/>
  <c r="AR811" i="1"/>
  <c r="AS811" i="1"/>
  <c r="AT811" i="1"/>
  <c r="AP812" i="1"/>
  <c r="AQ812" i="1"/>
  <c r="AR812" i="1"/>
  <c r="AS812" i="1"/>
  <c r="AT812" i="1"/>
  <c r="AP813" i="1"/>
  <c r="AQ813" i="1"/>
  <c r="AR813" i="1"/>
  <c r="AS813" i="1"/>
  <c r="AT813" i="1"/>
  <c r="AP814" i="1"/>
  <c r="AQ814" i="1"/>
  <c r="AR814" i="1"/>
  <c r="AS814" i="1"/>
  <c r="AT814" i="1"/>
  <c r="AP815" i="1"/>
  <c r="AQ815" i="1"/>
  <c r="AR815" i="1"/>
  <c r="AS815" i="1"/>
  <c r="AT815" i="1"/>
  <c r="AP816" i="1"/>
  <c r="AQ816" i="1"/>
  <c r="AR816" i="1"/>
  <c r="AS816" i="1"/>
  <c r="AT816" i="1"/>
  <c r="AP817" i="1"/>
  <c r="AQ817" i="1"/>
  <c r="AR817" i="1"/>
  <c r="AS817" i="1"/>
  <c r="AT817" i="1"/>
  <c r="AP818" i="1"/>
  <c r="AQ818" i="1"/>
  <c r="AR818" i="1"/>
  <c r="AS818" i="1"/>
  <c r="AT818" i="1"/>
  <c r="AP819" i="1"/>
  <c r="AQ819" i="1"/>
  <c r="AR819" i="1"/>
  <c r="AS819" i="1"/>
  <c r="AT819" i="1"/>
  <c r="AP820" i="1"/>
  <c r="AQ820" i="1"/>
  <c r="AR820" i="1"/>
  <c r="AS820" i="1"/>
  <c r="AT820" i="1"/>
  <c r="AP821" i="1"/>
  <c r="AQ821" i="1"/>
  <c r="AR821" i="1"/>
  <c r="AS821" i="1"/>
  <c r="AT821" i="1"/>
  <c r="AP822" i="1"/>
  <c r="AQ822" i="1"/>
  <c r="AR822" i="1"/>
  <c r="AS822" i="1"/>
  <c r="AT822" i="1"/>
  <c r="AP823" i="1"/>
  <c r="AQ823" i="1"/>
  <c r="AR823" i="1"/>
  <c r="AS823" i="1"/>
  <c r="AT823" i="1"/>
  <c r="AP824" i="1"/>
  <c r="AQ824" i="1"/>
  <c r="AR824" i="1"/>
  <c r="AS824" i="1"/>
  <c r="AT824" i="1"/>
  <c r="AP825" i="1"/>
  <c r="AQ825" i="1"/>
  <c r="AR825" i="1"/>
  <c r="AS825" i="1"/>
  <c r="AT825" i="1"/>
  <c r="AP826" i="1"/>
  <c r="AQ826" i="1"/>
  <c r="AR826" i="1"/>
  <c r="AS826" i="1"/>
  <c r="AT826" i="1"/>
  <c r="AP827" i="1"/>
  <c r="AQ827" i="1"/>
  <c r="AR827" i="1"/>
  <c r="AS827" i="1"/>
  <c r="AT827" i="1"/>
  <c r="AP828" i="1"/>
  <c r="AQ828" i="1"/>
  <c r="AR828" i="1"/>
  <c r="AS828" i="1"/>
  <c r="AT828" i="1"/>
  <c r="AP829" i="1"/>
  <c r="AQ829" i="1"/>
  <c r="AR829" i="1"/>
  <c r="AS829" i="1"/>
  <c r="AT829" i="1"/>
  <c r="AP830" i="1"/>
  <c r="AQ830" i="1"/>
  <c r="AR830" i="1"/>
  <c r="AS830" i="1"/>
  <c r="AT830" i="1"/>
  <c r="AP831" i="1"/>
  <c r="AQ831" i="1"/>
  <c r="AR831" i="1"/>
  <c r="AS831" i="1"/>
  <c r="AT831" i="1"/>
  <c r="AP832" i="1"/>
  <c r="AQ832" i="1"/>
  <c r="AR832" i="1"/>
  <c r="AS832" i="1"/>
  <c r="AT832" i="1"/>
  <c r="AP833" i="1"/>
  <c r="AQ833" i="1"/>
  <c r="AR833" i="1"/>
  <c r="AS833" i="1"/>
  <c r="AT833" i="1"/>
  <c r="AP834" i="1"/>
  <c r="AQ834" i="1"/>
  <c r="AR834" i="1"/>
  <c r="AS834" i="1"/>
  <c r="AT834" i="1"/>
  <c r="AP835" i="1"/>
  <c r="AQ835" i="1"/>
  <c r="AR835" i="1"/>
  <c r="AS835" i="1"/>
  <c r="AT835" i="1"/>
  <c r="AP836" i="1"/>
  <c r="AQ836" i="1"/>
  <c r="AR836" i="1"/>
  <c r="AS836" i="1"/>
  <c r="AT836" i="1"/>
  <c r="AP837" i="1"/>
  <c r="AQ837" i="1"/>
  <c r="AR837" i="1"/>
  <c r="AS837" i="1"/>
  <c r="AT837" i="1"/>
  <c r="AP838" i="1"/>
  <c r="AQ838" i="1"/>
  <c r="AR838" i="1"/>
  <c r="AS838" i="1"/>
  <c r="AT838" i="1"/>
  <c r="AP839" i="1"/>
  <c r="AQ839" i="1"/>
  <c r="AR839" i="1"/>
  <c r="AS839" i="1"/>
  <c r="AT839" i="1"/>
  <c r="AP840" i="1"/>
  <c r="AQ840" i="1"/>
  <c r="AR840" i="1"/>
  <c r="AS840" i="1"/>
  <c r="AT840" i="1"/>
  <c r="AP841" i="1"/>
  <c r="AQ841" i="1"/>
  <c r="AR841" i="1"/>
  <c r="AS841" i="1"/>
  <c r="AT841" i="1"/>
  <c r="AP842" i="1"/>
  <c r="AQ842" i="1"/>
  <c r="AR842" i="1"/>
  <c r="AS842" i="1"/>
  <c r="AT842" i="1"/>
  <c r="AP843" i="1"/>
  <c r="AQ843" i="1"/>
  <c r="AR843" i="1"/>
  <c r="AS843" i="1"/>
  <c r="AT843" i="1"/>
  <c r="AP844" i="1"/>
  <c r="AQ844" i="1"/>
  <c r="AR844" i="1"/>
  <c r="AS844" i="1"/>
  <c r="AT844" i="1"/>
  <c r="AP845" i="1"/>
  <c r="AQ845" i="1"/>
  <c r="AR845" i="1"/>
  <c r="AS845" i="1"/>
  <c r="AT845" i="1"/>
  <c r="AP846" i="1"/>
  <c r="AQ846" i="1"/>
  <c r="AR846" i="1"/>
  <c r="AS846" i="1"/>
  <c r="AT846" i="1"/>
  <c r="AP847" i="1"/>
  <c r="AQ847" i="1"/>
  <c r="AR847" i="1"/>
  <c r="AS847" i="1"/>
  <c r="AT847" i="1"/>
  <c r="AP848" i="1"/>
  <c r="AQ848" i="1"/>
  <c r="AR848" i="1"/>
  <c r="AS848" i="1"/>
  <c r="AT848" i="1"/>
  <c r="AP849" i="1"/>
  <c r="AQ849" i="1"/>
  <c r="AR849" i="1"/>
  <c r="AS849" i="1"/>
  <c r="AT849" i="1"/>
  <c r="AP850" i="1"/>
  <c r="AQ850" i="1"/>
  <c r="AR850" i="1"/>
  <c r="AS850" i="1"/>
  <c r="AT850" i="1"/>
  <c r="AP851" i="1"/>
  <c r="AQ851" i="1"/>
  <c r="AR851" i="1"/>
  <c r="AS851" i="1"/>
  <c r="AT851" i="1"/>
  <c r="AP852" i="1"/>
  <c r="AQ852" i="1"/>
  <c r="AR852" i="1"/>
  <c r="AS852" i="1"/>
  <c r="AT852" i="1"/>
  <c r="AP853" i="1"/>
  <c r="AQ853" i="1"/>
  <c r="AR853" i="1"/>
  <c r="AS853" i="1"/>
  <c r="AT853" i="1"/>
  <c r="AP854" i="1"/>
  <c r="AQ854" i="1"/>
  <c r="AR854" i="1"/>
  <c r="AS854" i="1"/>
  <c r="AT854" i="1"/>
  <c r="AP855" i="1"/>
  <c r="AQ855" i="1"/>
  <c r="AR855" i="1"/>
  <c r="AS855" i="1"/>
  <c r="AT855" i="1"/>
  <c r="AP856" i="1"/>
  <c r="AQ856" i="1"/>
  <c r="AR856" i="1"/>
  <c r="AS856" i="1"/>
  <c r="AT856" i="1"/>
  <c r="AP857" i="1"/>
  <c r="AQ857" i="1"/>
  <c r="AR857" i="1"/>
  <c r="AS857" i="1"/>
  <c r="AT857" i="1"/>
  <c r="AP859" i="1"/>
  <c r="AQ859" i="1"/>
  <c r="AR859" i="1"/>
  <c r="AS859" i="1"/>
  <c r="AT859" i="1"/>
  <c r="AP860" i="1"/>
  <c r="AQ860" i="1"/>
  <c r="AR860" i="1"/>
  <c r="AS860" i="1"/>
  <c r="AT860" i="1"/>
  <c r="AP861" i="1"/>
  <c r="AQ861" i="1"/>
  <c r="AR861" i="1"/>
  <c r="AS861" i="1"/>
  <c r="AT861" i="1"/>
  <c r="AP862" i="1"/>
  <c r="AQ862" i="1"/>
  <c r="AR862" i="1"/>
  <c r="AS862" i="1"/>
  <c r="AT862" i="1"/>
  <c r="AP863" i="1"/>
  <c r="AQ863" i="1"/>
  <c r="AR863" i="1"/>
  <c r="AS863" i="1"/>
  <c r="AT863" i="1"/>
  <c r="AP864" i="1"/>
  <c r="AQ864" i="1"/>
  <c r="AR864" i="1"/>
  <c r="AS864" i="1"/>
  <c r="AT864" i="1"/>
  <c r="AP865" i="1"/>
  <c r="AQ865" i="1"/>
  <c r="AR865" i="1"/>
  <c r="AS865" i="1"/>
  <c r="AT865" i="1"/>
  <c r="AP866" i="1"/>
  <c r="AQ866" i="1"/>
  <c r="AR866" i="1"/>
  <c r="AS866" i="1"/>
  <c r="AT866" i="1"/>
  <c r="AP867" i="1"/>
  <c r="AQ867" i="1"/>
  <c r="AR867" i="1"/>
  <c r="AS867" i="1"/>
  <c r="AT867" i="1"/>
  <c r="AP868" i="1"/>
  <c r="AQ868" i="1"/>
  <c r="AR868" i="1"/>
  <c r="AS868" i="1"/>
  <c r="AT868" i="1"/>
  <c r="AP869" i="1"/>
  <c r="AQ869" i="1"/>
  <c r="AR869" i="1"/>
  <c r="AS869" i="1"/>
  <c r="AT869" i="1"/>
  <c r="AP870" i="1"/>
  <c r="AQ870" i="1"/>
  <c r="AR870" i="1"/>
  <c r="AS870" i="1"/>
  <c r="AT870" i="1"/>
  <c r="AP871" i="1"/>
  <c r="AQ871" i="1"/>
  <c r="AR871" i="1"/>
  <c r="AS871" i="1"/>
  <c r="AT871" i="1"/>
  <c r="AP872" i="1"/>
  <c r="AQ872" i="1"/>
  <c r="AR872" i="1"/>
  <c r="AS872" i="1"/>
  <c r="AT872" i="1"/>
  <c r="AP873" i="1"/>
  <c r="AQ873" i="1"/>
  <c r="AR873" i="1"/>
  <c r="AS873" i="1"/>
  <c r="AT873" i="1"/>
  <c r="AP874" i="1"/>
  <c r="AQ874" i="1"/>
  <c r="AR874" i="1"/>
  <c r="AS874" i="1"/>
  <c r="AT874" i="1"/>
  <c r="AP875" i="1"/>
  <c r="AQ875" i="1"/>
  <c r="AR875" i="1"/>
  <c r="AS875" i="1"/>
  <c r="AT875" i="1"/>
  <c r="AP876" i="1"/>
  <c r="AQ876" i="1"/>
  <c r="AR876" i="1"/>
  <c r="AS876" i="1"/>
  <c r="AT876" i="1"/>
  <c r="AP877" i="1"/>
  <c r="AQ877" i="1"/>
  <c r="AR877" i="1"/>
  <c r="AS877" i="1"/>
  <c r="AT877" i="1"/>
  <c r="AP878" i="1"/>
  <c r="AQ878" i="1"/>
  <c r="AR878" i="1"/>
  <c r="AS878" i="1"/>
  <c r="AT878" i="1"/>
  <c r="AP879" i="1"/>
  <c r="AQ879" i="1"/>
  <c r="AR879" i="1"/>
  <c r="AS879" i="1"/>
  <c r="AT879" i="1"/>
  <c r="AP880" i="1"/>
  <c r="AQ880" i="1"/>
  <c r="AR880" i="1"/>
  <c r="AS880" i="1"/>
  <c r="AT880" i="1"/>
  <c r="AP881" i="1"/>
  <c r="AQ881" i="1"/>
  <c r="AR881" i="1"/>
  <c r="AS881" i="1"/>
  <c r="AT881" i="1"/>
  <c r="AP882" i="1"/>
  <c r="AQ882" i="1"/>
  <c r="AR882" i="1"/>
  <c r="AS882" i="1"/>
  <c r="AT882" i="1"/>
  <c r="AP883" i="1"/>
  <c r="AQ883" i="1"/>
  <c r="AR883" i="1"/>
  <c r="AS883" i="1"/>
  <c r="AT883" i="1"/>
  <c r="AP884" i="1"/>
  <c r="AQ884" i="1"/>
  <c r="AR884" i="1"/>
  <c r="AS884" i="1"/>
  <c r="AT884" i="1"/>
  <c r="AP885" i="1"/>
  <c r="AQ885" i="1"/>
  <c r="AR885" i="1"/>
  <c r="AS885" i="1"/>
  <c r="AT885" i="1"/>
  <c r="AP886" i="1"/>
  <c r="AQ886" i="1"/>
  <c r="AR886" i="1"/>
  <c r="AS886" i="1"/>
  <c r="AT886" i="1"/>
  <c r="AP887" i="1"/>
  <c r="AQ887" i="1"/>
  <c r="AR887" i="1"/>
  <c r="AS887" i="1"/>
  <c r="AT887" i="1"/>
  <c r="AP888" i="1"/>
  <c r="AQ888" i="1"/>
  <c r="AR888" i="1"/>
  <c r="AS888" i="1"/>
  <c r="AT888" i="1"/>
  <c r="AP889" i="1"/>
  <c r="AQ889" i="1"/>
  <c r="AR889" i="1"/>
  <c r="AS889" i="1"/>
  <c r="AT889" i="1"/>
  <c r="AP890" i="1"/>
  <c r="AQ890" i="1"/>
  <c r="AR890" i="1"/>
  <c r="AS890" i="1"/>
  <c r="AT890" i="1"/>
  <c r="AP891" i="1"/>
  <c r="AQ891" i="1"/>
  <c r="AR891" i="1"/>
  <c r="AS891" i="1"/>
  <c r="AT891" i="1"/>
  <c r="AP892" i="1"/>
  <c r="AQ892" i="1"/>
  <c r="AR892" i="1"/>
  <c r="AS892" i="1"/>
  <c r="AT892" i="1"/>
  <c r="AP893" i="1"/>
  <c r="AQ893" i="1"/>
  <c r="AR893" i="1"/>
  <c r="AS893" i="1"/>
  <c r="AT893" i="1"/>
  <c r="AP894" i="1"/>
  <c r="AQ894" i="1"/>
  <c r="AR894" i="1"/>
  <c r="AS894" i="1"/>
  <c r="AT894" i="1"/>
  <c r="AP895" i="1"/>
  <c r="AQ895" i="1"/>
  <c r="AR895" i="1"/>
  <c r="AS895" i="1"/>
  <c r="AT895" i="1"/>
  <c r="AP896" i="1"/>
  <c r="AQ896" i="1"/>
  <c r="AR896" i="1"/>
  <c r="AS896" i="1"/>
  <c r="AT896" i="1"/>
  <c r="AP897" i="1"/>
  <c r="AQ897" i="1"/>
  <c r="AR897" i="1"/>
  <c r="AS897" i="1"/>
  <c r="AT897" i="1"/>
  <c r="AP898" i="1"/>
  <c r="AQ898" i="1"/>
  <c r="AR898" i="1"/>
  <c r="AS898" i="1"/>
  <c r="AT898" i="1"/>
  <c r="AP899" i="1"/>
  <c r="AQ899" i="1"/>
  <c r="AR899" i="1"/>
  <c r="AS899" i="1"/>
  <c r="AT899" i="1"/>
  <c r="AP900" i="1"/>
  <c r="AQ900" i="1"/>
  <c r="AR900" i="1"/>
  <c r="AS900" i="1"/>
  <c r="AT900" i="1"/>
  <c r="AP901" i="1"/>
  <c r="AQ901" i="1"/>
  <c r="AR901" i="1"/>
  <c r="AS901" i="1"/>
  <c r="AT901" i="1"/>
  <c r="AP902" i="1"/>
  <c r="AQ902" i="1"/>
  <c r="AR902" i="1"/>
  <c r="AS902" i="1"/>
  <c r="AT902" i="1"/>
  <c r="AP903" i="1"/>
  <c r="AQ903" i="1"/>
  <c r="AR903" i="1"/>
  <c r="AS903" i="1"/>
  <c r="AT903" i="1"/>
  <c r="AP904" i="1"/>
  <c r="AQ904" i="1"/>
  <c r="AR904" i="1"/>
  <c r="AS904" i="1"/>
  <c r="AT904" i="1"/>
  <c r="AP905" i="1"/>
  <c r="AQ905" i="1"/>
  <c r="AR905" i="1"/>
  <c r="AS905" i="1"/>
  <c r="AT905" i="1"/>
  <c r="AP906" i="1"/>
  <c r="AQ906" i="1"/>
  <c r="AR906" i="1"/>
  <c r="AS906" i="1"/>
  <c r="AT906" i="1"/>
  <c r="AP907" i="1"/>
  <c r="AQ907" i="1"/>
  <c r="AR907" i="1"/>
  <c r="AS907" i="1"/>
  <c r="AT907" i="1"/>
  <c r="AP908" i="1"/>
  <c r="AQ908" i="1"/>
  <c r="AR908" i="1"/>
  <c r="AS908" i="1"/>
  <c r="AT908" i="1"/>
  <c r="AP909" i="1"/>
  <c r="AQ909" i="1"/>
  <c r="AR909" i="1"/>
  <c r="AS909" i="1"/>
  <c r="AT909" i="1"/>
  <c r="AP910" i="1"/>
  <c r="AQ910" i="1"/>
  <c r="AR910" i="1"/>
  <c r="AS910" i="1"/>
  <c r="AT910" i="1"/>
  <c r="AP911" i="1"/>
  <c r="AQ911" i="1"/>
  <c r="AR911" i="1"/>
  <c r="AS911" i="1"/>
  <c r="AT911" i="1"/>
  <c r="AP912" i="1"/>
  <c r="AQ912" i="1"/>
  <c r="AR912" i="1"/>
  <c r="AS912" i="1"/>
  <c r="AT912" i="1"/>
  <c r="AP913" i="1"/>
  <c r="AQ913" i="1"/>
  <c r="AR913" i="1"/>
  <c r="AS913" i="1"/>
  <c r="AT913" i="1"/>
  <c r="AP914" i="1"/>
  <c r="AQ914" i="1"/>
  <c r="AR914" i="1"/>
  <c r="AS914" i="1"/>
  <c r="AT914" i="1"/>
  <c r="AP915" i="1"/>
  <c r="AQ915" i="1"/>
  <c r="AR915" i="1"/>
  <c r="AS915" i="1"/>
  <c r="AT915" i="1"/>
  <c r="AP916" i="1"/>
  <c r="AQ916" i="1"/>
  <c r="AR916" i="1"/>
  <c r="AS916" i="1"/>
  <c r="AT916" i="1"/>
  <c r="AP917" i="1"/>
  <c r="AQ917" i="1"/>
  <c r="AR917" i="1"/>
  <c r="AS917" i="1"/>
  <c r="AT917" i="1"/>
  <c r="AP918" i="1"/>
  <c r="AQ918" i="1"/>
  <c r="AR918" i="1"/>
  <c r="AS918" i="1"/>
  <c r="AT918" i="1"/>
  <c r="AP919" i="1"/>
  <c r="AQ919" i="1"/>
  <c r="AR919" i="1"/>
  <c r="AS919" i="1"/>
  <c r="AT919" i="1"/>
  <c r="AP920" i="1"/>
  <c r="AQ920" i="1"/>
  <c r="AR920" i="1"/>
  <c r="AS920" i="1"/>
  <c r="AT920" i="1"/>
  <c r="AP921" i="1"/>
  <c r="AQ921" i="1"/>
  <c r="AR921" i="1"/>
  <c r="AS921" i="1"/>
  <c r="AT921" i="1"/>
  <c r="AP922" i="1"/>
  <c r="AQ922" i="1"/>
  <c r="AR922" i="1"/>
  <c r="AS922" i="1"/>
  <c r="AT922" i="1"/>
  <c r="AP923" i="1"/>
  <c r="AQ923" i="1"/>
  <c r="AR923" i="1"/>
  <c r="AS923" i="1"/>
  <c r="AT923" i="1"/>
  <c r="AP924" i="1"/>
  <c r="AQ924" i="1"/>
  <c r="AR924" i="1"/>
  <c r="AS924" i="1"/>
  <c r="AT924" i="1"/>
  <c r="AP925" i="1"/>
  <c r="AQ925" i="1"/>
  <c r="AR925" i="1"/>
  <c r="AS925" i="1"/>
  <c r="AT925" i="1"/>
  <c r="AP926" i="1"/>
  <c r="AQ926" i="1"/>
  <c r="AR926" i="1"/>
  <c r="AS926" i="1"/>
  <c r="AT926" i="1"/>
  <c r="AP927" i="1"/>
  <c r="AQ927" i="1"/>
  <c r="AR927" i="1"/>
  <c r="AS927" i="1"/>
  <c r="AT927" i="1"/>
  <c r="AP928" i="1"/>
  <c r="AQ928" i="1"/>
  <c r="AR928" i="1"/>
  <c r="AS928" i="1"/>
  <c r="AT928" i="1"/>
  <c r="AP929" i="1"/>
  <c r="AQ929" i="1"/>
  <c r="AR929" i="1"/>
  <c r="AS929" i="1"/>
  <c r="AT929" i="1"/>
  <c r="AP930" i="1"/>
  <c r="AQ930" i="1"/>
  <c r="AR930" i="1"/>
  <c r="AS930" i="1"/>
  <c r="AT930" i="1"/>
  <c r="AP931" i="1"/>
  <c r="AQ931" i="1"/>
  <c r="AR931" i="1"/>
  <c r="AS931" i="1"/>
  <c r="AT931" i="1"/>
  <c r="AP932" i="1"/>
  <c r="AQ932" i="1"/>
  <c r="AR932" i="1"/>
  <c r="AS932" i="1"/>
  <c r="AT932" i="1"/>
  <c r="AP933" i="1"/>
  <c r="AQ933" i="1"/>
  <c r="AR933" i="1"/>
  <c r="AS933" i="1"/>
  <c r="AT933" i="1"/>
  <c r="AP934" i="1"/>
  <c r="AQ934" i="1"/>
  <c r="AR934" i="1"/>
  <c r="AS934" i="1"/>
  <c r="AT934" i="1"/>
  <c r="AP935" i="1"/>
  <c r="AQ935" i="1"/>
  <c r="AR935" i="1"/>
  <c r="AS935" i="1"/>
  <c r="AT935" i="1"/>
  <c r="AP936" i="1"/>
  <c r="AQ936" i="1"/>
  <c r="AR936" i="1"/>
  <c r="AS936" i="1"/>
  <c r="AT936" i="1"/>
  <c r="AP937" i="1"/>
  <c r="AQ937" i="1"/>
  <c r="AR937" i="1"/>
  <c r="AS937" i="1"/>
  <c r="AT937" i="1"/>
  <c r="AP938" i="1"/>
  <c r="AQ938" i="1"/>
  <c r="AR938" i="1"/>
  <c r="AS938" i="1"/>
  <c r="AT938" i="1"/>
  <c r="AP939" i="1"/>
  <c r="AQ939" i="1"/>
  <c r="AR939" i="1"/>
  <c r="AS939" i="1"/>
  <c r="AT939" i="1"/>
  <c r="AP940" i="1"/>
  <c r="AQ940" i="1"/>
  <c r="AR940" i="1"/>
  <c r="AS940" i="1"/>
  <c r="AT940" i="1"/>
  <c r="AP941" i="1"/>
  <c r="AQ941" i="1"/>
  <c r="AR941" i="1"/>
  <c r="AS941" i="1"/>
  <c r="AT941" i="1"/>
  <c r="AP942" i="1"/>
  <c r="AQ942" i="1"/>
  <c r="AR942" i="1"/>
  <c r="AS942" i="1"/>
  <c r="AT942" i="1"/>
  <c r="AP943" i="1"/>
  <c r="AQ943" i="1"/>
  <c r="AR943" i="1"/>
  <c r="AS943" i="1"/>
  <c r="AT943" i="1"/>
  <c r="AP944" i="1"/>
  <c r="AQ944" i="1"/>
  <c r="AR944" i="1"/>
  <c r="AS944" i="1"/>
  <c r="AT944" i="1"/>
  <c r="AP945" i="1"/>
  <c r="AQ945" i="1"/>
  <c r="AR945" i="1"/>
  <c r="AS945" i="1"/>
  <c r="AT945" i="1"/>
  <c r="AP946" i="1"/>
  <c r="AQ946" i="1"/>
  <c r="AR946" i="1"/>
  <c r="AS946" i="1"/>
  <c r="AT946" i="1"/>
  <c r="AP947" i="1"/>
  <c r="AQ947" i="1"/>
  <c r="AR947" i="1"/>
  <c r="AS947" i="1"/>
  <c r="AT947" i="1"/>
  <c r="AP948" i="1"/>
  <c r="AQ948" i="1"/>
  <c r="AR948" i="1"/>
  <c r="AS948" i="1"/>
  <c r="AT948" i="1"/>
  <c r="AP949" i="1"/>
  <c r="AQ949" i="1"/>
  <c r="AR949" i="1"/>
  <c r="AS949" i="1"/>
  <c r="AT949" i="1"/>
  <c r="AP950" i="1"/>
  <c r="AQ950" i="1"/>
  <c r="AR950" i="1"/>
  <c r="AS950" i="1"/>
  <c r="AT950" i="1"/>
  <c r="AP951" i="1"/>
  <c r="AQ951" i="1"/>
  <c r="AR951" i="1"/>
  <c r="AS951" i="1"/>
  <c r="AT951" i="1"/>
  <c r="AP952" i="1"/>
  <c r="AQ952" i="1"/>
  <c r="AR952" i="1"/>
  <c r="AS952" i="1"/>
  <c r="AT952" i="1"/>
  <c r="AP953" i="1"/>
  <c r="AQ953" i="1"/>
  <c r="AR953" i="1"/>
  <c r="AS953" i="1"/>
  <c r="AT953" i="1"/>
  <c r="AP954" i="1"/>
  <c r="AQ954" i="1"/>
  <c r="AR954" i="1"/>
  <c r="AS954" i="1"/>
  <c r="AT954" i="1"/>
  <c r="AP956" i="1"/>
  <c r="AQ956" i="1"/>
  <c r="AR956" i="1"/>
  <c r="AS956" i="1"/>
  <c r="AT956" i="1"/>
  <c r="AP957" i="1"/>
  <c r="AQ957" i="1"/>
  <c r="AR957" i="1"/>
  <c r="AS957" i="1"/>
  <c r="AT957" i="1"/>
  <c r="AP958" i="1"/>
  <c r="AQ958" i="1"/>
  <c r="AR958" i="1"/>
  <c r="AS958" i="1"/>
  <c r="AT958" i="1"/>
  <c r="AP959" i="1"/>
  <c r="AQ959" i="1"/>
  <c r="AR959" i="1"/>
  <c r="AS959" i="1"/>
  <c r="AT959" i="1"/>
  <c r="AP960" i="1"/>
  <c r="AQ960" i="1"/>
  <c r="AR960" i="1"/>
  <c r="AS960" i="1"/>
  <c r="AT960" i="1"/>
  <c r="AP961" i="1"/>
  <c r="AQ961" i="1"/>
  <c r="AR961" i="1"/>
  <c r="AS961" i="1"/>
  <c r="AT961" i="1"/>
  <c r="AP962" i="1"/>
  <c r="AQ962" i="1"/>
  <c r="AR962" i="1"/>
  <c r="AS962" i="1"/>
  <c r="AT962" i="1"/>
  <c r="AP963" i="1"/>
  <c r="AQ963" i="1"/>
  <c r="AR963" i="1"/>
  <c r="AS963" i="1"/>
  <c r="AT963" i="1"/>
  <c r="AP964" i="1"/>
  <c r="AQ964" i="1"/>
  <c r="AR964" i="1"/>
  <c r="AS964" i="1"/>
  <c r="AT964" i="1"/>
  <c r="AP965" i="1"/>
  <c r="AQ965" i="1"/>
  <c r="AR965" i="1"/>
  <c r="AS965" i="1"/>
  <c r="AT965" i="1"/>
  <c r="AP966" i="1"/>
  <c r="AQ966" i="1"/>
  <c r="AR966" i="1"/>
  <c r="AS966" i="1"/>
  <c r="AT966" i="1"/>
  <c r="AP967" i="1"/>
  <c r="AQ967" i="1"/>
  <c r="AR967" i="1"/>
  <c r="AS967" i="1"/>
  <c r="AT967" i="1"/>
  <c r="AP968" i="1"/>
  <c r="AQ968" i="1"/>
  <c r="AR968" i="1"/>
  <c r="AS968" i="1"/>
  <c r="AT968" i="1"/>
  <c r="AP969" i="1"/>
  <c r="AQ969" i="1"/>
  <c r="AR969" i="1"/>
  <c r="AS969" i="1"/>
  <c r="AT969" i="1"/>
  <c r="AP970" i="1"/>
  <c r="AQ970" i="1"/>
  <c r="AR970" i="1"/>
  <c r="AS970" i="1"/>
  <c r="AT970" i="1"/>
  <c r="AP971" i="1"/>
  <c r="AQ971" i="1"/>
  <c r="AR971" i="1"/>
  <c r="AS971" i="1"/>
  <c r="AT971" i="1"/>
  <c r="AP972" i="1"/>
  <c r="AQ972" i="1"/>
  <c r="AR972" i="1"/>
  <c r="AS972" i="1"/>
  <c r="AT972" i="1"/>
  <c r="AP973" i="1"/>
  <c r="AQ973" i="1"/>
  <c r="AR973" i="1"/>
  <c r="AS973" i="1"/>
  <c r="AT973" i="1"/>
  <c r="AP974" i="1"/>
  <c r="AQ974" i="1"/>
  <c r="AR974" i="1"/>
  <c r="AS974" i="1"/>
  <c r="AT974" i="1"/>
  <c r="AP975" i="1"/>
  <c r="AQ975" i="1"/>
  <c r="AR975" i="1"/>
  <c r="AS975" i="1"/>
  <c r="AT975" i="1"/>
  <c r="AP976" i="1"/>
  <c r="AQ976" i="1"/>
  <c r="AR976" i="1"/>
  <c r="AS976" i="1"/>
  <c r="AT976" i="1"/>
  <c r="AP977" i="1"/>
  <c r="AQ977" i="1"/>
  <c r="AR977" i="1"/>
  <c r="AS977" i="1"/>
  <c r="AT977" i="1"/>
  <c r="AP978" i="1"/>
  <c r="AQ978" i="1"/>
  <c r="AR978" i="1"/>
  <c r="AS978" i="1"/>
  <c r="AT978" i="1"/>
  <c r="AP979" i="1"/>
  <c r="AQ979" i="1"/>
  <c r="AR979" i="1"/>
  <c r="AS979" i="1"/>
  <c r="AT979" i="1"/>
  <c r="AP980" i="1"/>
  <c r="AQ980" i="1"/>
  <c r="AR980" i="1"/>
  <c r="AS980" i="1"/>
  <c r="AT980" i="1"/>
  <c r="AP981" i="1"/>
  <c r="AQ981" i="1"/>
  <c r="AR981" i="1"/>
  <c r="AS981" i="1"/>
  <c r="AT981" i="1"/>
  <c r="AP982" i="1"/>
  <c r="AQ982" i="1"/>
  <c r="AR982" i="1"/>
  <c r="AS982" i="1"/>
  <c r="AT982" i="1"/>
  <c r="AP983" i="1"/>
  <c r="AQ983" i="1"/>
  <c r="AR983" i="1"/>
  <c r="AS983" i="1"/>
  <c r="AT983" i="1"/>
  <c r="AP984" i="1"/>
  <c r="AQ984" i="1"/>
  <c r="AR984" i="1"/>
  <c r="AS984" i="1"/>
  <c r="AT984" i="1"/>
  <c r="AP985" i="1"/>
  <c r="AQ985" i="1"/>
  <c r="AR985" i="1"/>
  <c r="AS985" i="1"/>
  <c r="AT985" i="1"/>
  <c r="AP986" i="1"/>
  <c r="AQ986" i="1"/>
  <c r="AR986" i="1"/>
  <c r="AS986" i="1"/>
  <c r="AT986" i="1"/>
  <c r="AP987" i="1"/>
  <c r="AQ987" i="1"/>
  <c r="AR987" i="1"/>
  <c r="AS987" i="1"/>
  <c r="AT987" i="1"/>
  <c r="AP988" i="1"/>
  <c r="AQ988" i="1"/>
  <c r="AR988" i="1"/>
  <c r="AS988" i="1"/>
  <c r="AT988" i="1"/>
  <c r="AP989" i="1"/>
  <c r="AQ989" i="1"/>
  <c r="AR989" i="1"/>
  <c r="AS989" i="1"/>
  <c r="AT989" i="1"/>
  <c r="AP990" i="1"/>
  <c r="AQ990" i="1"/>
  <c r="AR990" i="1"/>
  <c r="AS990" i="1"/>
  <c r="AT990" i="1"/>
  <c r="AP991" i="1"/>
  <c r="AQ991" i="1"/>
  <c r="AR991" i="1"/>
  <c r="AS991" i="1"/>
  <c r="AT991" i="1"/>
  <c r="AP992" i="1"/>
  <c r="AQ992" i="1"/>
  <c r="AR992" i="1"/>
  <c r="AS992" i="1"/>
  <c r="AT992" i="1"/>
  <c r="AP993" i="1"/>
  <c r="AQ993" i="1"/>
  <c r="AR993" i="1"/>
  <c r="AS993" i="1"/>
  <c r="AT993" i="1"/>
  <c r="AP994" i="1"/>
  <c r="AQ994" i="1"/>
  <c r="AR994" i="1"/>
  <c r="AS994" i="1"/>
  <c r="AT994" i="1"/>
  <c r="AP995" i="1"/>
  <c r="AQ995" i="1"/>
  <c r="AR995" i="1"/>
  <c r="AS995" i="1"/>
  <c r="AT995" i="1"/>
  <c r="AP996" i="1"/>
  <c r="AQ996" i="1"/>
  <c r="AR996" i="1"/>
  <c r="AS996" i="1"/>
  <c r="AT996" i="1"/>
  <c r="AP997" i="1"/>
  <c r="AQ997" i="1"/>
  <c r="AR997" i="1"/>
  <c r="AS997" i="1"/>
  <c r="AT997" i="1"/>
  <c r="AP998" i="1"/>
  <c r="AQ998" i="1"/>
  <c r="AR998" i="1"/>
  <c r="AS998" i="1"/>
  <c r="AT998" i="1"/>
  <c r="AP999" i="1"/>
  <c r="AQ999" i="1"/>
  <c r="AR999" i="1"/>
  <c r="AS999" i="1"/>
  <c r="AT999" i="1"/>
  <c r="AP1000" i="1"/>
  <c r="AQ1000" i="1"/>
  <c r="AR1000" i="1"/>
  <c r="AS1000" i="1"/>
  <c r="AT1000" i="1"/>
  <c r="AP1001" i="1"/>
  <c r="AQ1001" i="1"/>
  <c r="AR1001" i="1"/>
  <c r="AS1001" i="1"/>
  <c r="AT1001" i="1"/>
  <c r="AP1002" i="1"/>
  <c r="AQ1002" i="1"/>
  <c r="AR1002" i="1"/>
  <c r="AS1002" i="1"/>
  <c r="AT1002" i="1"/>
  <c r="AP1003" i="1"/>
  <c r="AQ1003" i="1"/>
  <c r="AR1003" i="1"/>
  <c r="AS1003" i="1"/>
  <c r="AT1003" i="1"/>
  <c r="AP1004" i="1"/>
  <c r="AQ1004" i="1"/>
  <c r="AR1004" i="1"/>
  <c r="AS1004" i="1"/>
  <c r="AT1004" i="1"/>
  <c r="AP1005" i="1"/>
  <c r="AQ1005" i="1"/>
  <c r="AR1005" i="1"/>
  <c r="AS1005" i="1"/>
  <c r="AT1005" i="1"/>
  <c r="AP1006" i="1"/>
  <c r="AQ1006" i="1"/>
  <c r="AR1006" i="1"/>
  <c r="AS1006" i="1"/>
  <c r="AT1006" i="1"/>
  <c r="AP1007" i="1"/>
  <c r="AQ1007" i="1"/>
  <c r="AR1007" i="1"/>
  <c r="AS1007" i="1"/>
  <c r="AT1007" i="1"/>
  <c r="AP1008" i="1"/>
  <c r="AQ1008" i="1"/>
  <c r="AR1008" i="1"/>
  <c r="AS1008" i="1"/>
  <c r="AT1008" i="1"/>
  <c r="AP1009" i="1"/>
  <c r="AQ1009" i="1"/>
  <c r="AR1009" i="1"/>
  <c r="AS1009" i="1"/>
  <c r="AT1009" i="1"/>
  <c r="AP1010" i="1"/>
  <c r="AQ1010" i="1"/>
  <c r="AR1010" i="1"/>
  <c r="AS1010" i="1"/>
  <c r="AT1010" i="1"/>
  <c r="AP1011" i="1"/>
  <c r="AQ1011" i="1"/>
  <c r="AR1011" i="1"/>
  <c r="AS1011" i="1"/>
  <c r="AT1011" i="1"/>
  <c r="AP1012" i="1"/>
  <c r="AQ1012" i="1"/>
  <c r="AR1012" i="1"/>
  <c r="AS1012" i="1"/>
  <c r="AT1012" i="1"/>
  <c r="AP1013" i="1"/>
  <c r="AQ1013" i="1"/>
  <c r="AR1013" i="1"/>
  <c r="AS1013" i="1"/>
  <c r="AT1013" i="1"/>
  <c r="AP1014" i="1"/>
  <c r="AQ1014" i="1"/>
  <c r="AR1014" i="1"/>
  <c r="AS1014" i="1"/>
  <c r="AT1014" i="1"/>
  <c r="AP1015" i="1"/>
  <c r="AQ1015" i="1"/>
  <c r="AR1015" i="1"/>
  <c r="AS1015" i="1"/>
  <c r="AT1015" i="1"/>
  <c r="AP1016" i="1"/>
  <c r="AQ1016" i="1"/>
  <c r="AR1016" i="1"/>
  <c r="AS1016" i="1"/>
  <c r="AT1016" i="1"/>
  <c r="AP1017" i="1"/>
  <c r="AQ1017" i="1"/>
  <c r="AR1017" i="1"/>
  <c r="AS1017" i="1"/>
  <c r="AT1017" i="1"/>
  <c r="AP1018" i="1"/>
  <c r="AQ1018" i="1"/>
  <c r="AR1018" i="1"/>
  <c r="AS1018" i="1"/>
  <c r="AT1018" i="1"/>
  <c r="AP1019" i="1"/>
  <c r="AQ1019" i="1"/>
  <c r="AR1019" i="1"/>
  <c r="AS1019" i="1"/>
  <c r="AT1019" i="1"/>
  <c r="AP1020" i="1"/>
  <c r="AQ1020" i="1"/>
  <c r="AR1020" i="1"/>
  <c r="AS1020" i="1"/>
  <c r="AT1020" i="1"/>
  <c r="AP1021" i="1"/>
  <c r="AQ1021" i="1"/>
  <c r="AR1021" i="1"/>
  <c r="AS1021" i="1"/>
  <c r="AT1021" i="1"/>
  <c r="AP1022" i="1"/>
  <c r="AQ1022" i="1"/>
  <c r="AR1022" i="1"/>
  <c r="AS1022" i="1"/>
  <c r="AT1022" i="1"/>
  <c r="AP1023" i="1"/>
  <c r="AQ1023" i="1"/>
  <c r="AR1023" i="1"/>
  <c r="AS1023" i="1"/>
  <c r="AT1023" i="1"/>
  <c r="AP1024" i="1"/>
  <c r="AQ1024" i="1"/>
  <c r="AR1024" i="1"/>
  <c r="AS1024" i="1"/>
  <c r="AT1024" i="1"/>
  <c r="AP1025" i="1"/>
  <c r="AQ1025" i="1"/>
  <c r="AR1025" i="1"/>
  <c r="AS1025" i="1"/>
  <c r="AT1025" i="1"/>
  <c r="AP1026" i="1"/>
  <c r="AQ1026" i="1"/>
  <c r="AR1026" i="1"/>
  <c r="AS1026" i="1"/>
  <c r="AT1026" i="1"/>
  <c r="AP1027" i="1"/>
  <c r="AQ1027" i="1"/>
  <c r="AR1027" i="1"/>
  <c r="AS1027" i="1"/>
  <c r="AT1027" i="1"/>
  <c r="AP1028" i="1"/>
  <c r="AQ1028" i="1"/>
  <c r="AR1028" i="1"/>
  <c r="AS1028" i="1"/>
  <c r="AT1028" i="1"/>
  <c r="AP1029" i="1"/>
  <c r="AQ1029" i="1"/>
  <c r="AR1029" i="1"/>
  <c r="AS1029" i="1"/>
  <c r="AT1029" i="1"/>
  <c r="AP1030" i="1"/>
  <c r="AQ1030" i="1"/>
  <c r="AR1030" i="1"/>
  <c r="AS1030" i="1"/>
  <c r="AT1030" i="1"/>
  <c r="AP1031" i="1"/>
  <c r="AQ1031" i="1"/>
  <c r="AR1031" i="1"/>
  <c r="AS1031" i="1"/>
  <c r="AT1031" i="1"/>
  <c r="AP1032" i="1"/>
  <c r="AQ1032" i="1"/>
  <c r="AR1032" i="1"/>
  <c r="AS1032" i="1"/>
  <c r="AT1032" i="1"/>
  <c r="AP1033" i="1"/>
  <c r="AQ1033" i="1"/>
  <c r="AR1033" i="1"/>
  <c r="AS1033" i="1"/>
  <c r="AT1033" i="1"/>
  <c r="AP1034" i="1"/>
  <c r="AQ1034" i="1"/>
  <c r="AR1034" i="1"/>
  <c r="AS1034" i="1"/>
  <c r="AT1034" i="1"/>
  <c r="AP1035" i="1"/>
  <c r="AQ1035" i="1"/>
  <c r="AR1035" i="1"/>
  <c r="AS1035" i="1"/>
  <c r="AT1035" i="1"/>
  <c r="AP1036" i="1"/>
  <c r="AQ1036" i="1"/>
  <c r="AR1036" i="1"/>
  <c r="AS1036" i="1"/>
  <c r="AT1036" i="1"/>
  <c r="AP1037" i="1"/>
  <c r="AQ1037" i="1"/>
  <c r="AR1037" i="1"/>
  <c r="AS1037" i="1"/>
  <c r="AT1037" i="1"/>
  <c r="AP1038" i="1"/>
  <c r="AQ1038" i="1"/>
  <c r="AR1038" i="1"/>
  <c r="AS1038" i="1"/>
  <c r="AT1038" i="1"/>
  <c r="AP1039" i="1"/>
  <c r="AQ1039" i="1"/>
  <c r="AR1039" i="1"/>
  <c r="AS1039" i="1"/>
  <c r="AT1039" i="1"/>
  <c r="AP1040" i="1"/>
  <c r="AQ1040" i="1"/>
  <c r="AR1040" i="1"/>
  <c r="AS1040" i="1"/>
  <c r="AT1040" i="1"/>
  <c r="AP1041" i="1"/>
  <c r="AQ1041" i="1"/>
  <c r="AR1041" i="1"/>
  <c r="AS1041" i="1"/>
  <c r="AT1041" i="1"/>
  <c r="AP1042" i="1"/>
  <c r="AQ1042" i="1"/>
  <c r="AR1042" i="1"/>
  <c r="AS1042" i="1"/>
  <c r="AT1042" i="1"/>
  <c r="AP1043" i="1"/>
  <c r="AQ1043" i="1"/>
  <c r="AR1043" i="1"/>
  <c r="AS1043" i="1"/>
  <c r="AT1043" i="1"/>
  <c r="AP1044" i="1"/>
  <c r="AQ1044" i="1"/>
  <c r="AR1044" i="1"/>
  <c r="AS1044" i="1"/>
  <c r="AT1044" i="1"/>
  <c r="AP1045" i="1"/>
  <c r="AQ1045" i="1"/>
  <c r="AR1045" i="1"/>
  <c r="AS1045" i="1"/>
  <c r="AT1045" i="1"/>
  <c r="AP1046" i="1"/>
  <c r="AQ1046" i="1"/>
  <c r="AR1046" i="1"/>
  <c r="AS1046" i="1"/>
  <c r="AT1046" i="1"/>
  <c r="AP1047" i="1"/>
  <c r="AQ1047" i="1"/>
  <c r="AR1047" i="1"/>
  <c r="AS1047" i="1"/>
  <c r="AT1047" i="1"/>
  <c r="AP1048" i="1"/>
  <c r="AQ1048" i="1"/>
  <c r="AR1048" i="1"/>
  <c r="AS1048" i="1"/>
  <c r="AT1048" i="1"/>
  <c r="AP1049" i="1"/>
  <c r="AQ1049" i="1"/>
  <c r="AR1049" i="1"/>
  <c r="AS1049" i="1"/>
  <c r="AT1049" i="1"/>
  <c r="AP1050" i="1"/>
  <c r="AQ1050" i="1"/>
  <c r="AR1050" i="1"/>
  <c r="AS1050" i="1"/>
  <c r="AT1050" i="1"/>
  <c r="AP1051" i="1"/>
  <c r="AQ1051" i="1"/>
  <c r="AR1051" i="1"/>
  <c r="AS1051" i="1"/>
  <c r="AT1051" i="1"/>
  <c r="AP1052" i="1"/>
  <c r="AQ1052" i="1"/>
  <c r="AR1052" i="1"/>
  <c r="AS1052" i="1"/>
  <c r="AT1052" i="1"/>
  <c r="AP1053" i="1"/>
  <c r="AQ1053" i="1"/>
  <c r="AR1053" i="1"/>
  <c r="AS1053" i="1"/>
  <c r="AT1053" i="1"/>
  <c r="AP1054" i="1"/>
  <c r="AQ1054" i="1"/>
  <c r="AR1054" i="1"/>
  <c r="AS1054" i="1"/>
  <c r="AT1054" i="1"/>
  <c r="AP1055" i="1"/>
  <c r="AQ1055" i="1"/>
  <c r="AR1055" i="1"/>
  <c r="AS1055" i="1"/>
  <c r="AT1055" i="1"/>
  <c r="AP1056" i="1"/>
  <c r="AQ1056" i="1"/>
  <c r="AR1056" i="1"/>
  <c r="AS1056" i="1"/>
  <c r="AT1056" i="1"/>
  <c r="AP1057" i="1"/>
  <c r="AQ1057" i="1"/>
  <c r="AR1057" i="1"/>
  <c r="AS1057" i="1"/>
  <c r="AT1057" i="1"/>
  <c r="AP1058" i="1"/>
  <c r="AQ1058" i="1"/>
  <c r="AR1058" i="1"/>
  <c r="AS1058" i="1"/>
  <c r="AT1058" i="1"/>
  <c r="AP1059" i="1"/>
  <c r="AQ1059" i="1"/>
  <c r="AR1059" i="1"/>
  <c r="AS1059" i="1"/>
  <c r="AT1059" i="1"/>
  <c r="AP1060" i="1"/>
  <c r="AQ1060" i="1"/>
  <c r="AR1060" i="1"/>
  <c r="AS1060" i="1"/>
  <c r="AT1060" i="1"/>
  <c r="AP1061" i="1"/>
  <c r="AQ1061" i="1"/>
  <c r="AR1061" i="1"/>
  <c r="AS1061" i="1"/>
  <c r="AT1061" i="1"/>
  <c r="AP1062" i="1"/>
  <c r="AQ1062" i="1"/>
  <c r="AR1062" i="1"/>
  <c r="AS1062" i="1"/>
  <c r="AT1062" i="1"/>
  <c r="AP1063" i="1"/>
  <c r="AQ1063" i="1"/>
  <c r="AR1063" i="1"/>
  <c r="AS1063" i="1"/>
  <c r="AT1063" i="1"/>
  <c r="AP1064" i="1"/>
  <c r="AQ1064" i="1"/>
  <c r="AR1064" i="1"/>
  <c r="AS1064" i="1"/>
  <c r="AT1064" i="1"/>
  <c r="AP1065" i="1"/>
  <c r="AQ1065" i="1"/>
  <c r="AR1065" i="1"/>
  <c r="AS1065" i="1"/>
  <c r="AT1065" i="1"/>
  <c r="AP1066" i="1"/>
  <c r="AQ1066" i="1"/>
  <c r="AR1066" i="1"/>
  <c r="AS1066" i="1"/>
  <c r="AT1066" i="1"/>
  <c r="AP1067" i="1"/>
  <c r="AQ1067" i="1"/>
  <c r="AR1067" i="1"/>
  <c r="AS1067" i="1"/>
  <c r="AT1067" i="1"/>
  <c r="AP1068" i="1"/>
  <c r="AQ1068" i="1"/>
  <c r="AR1068" i="1"/>
  <c r="AS1068" i="1"/>
  <c r="AT1068" i="1"/>
  <c r="AP1069" i="1"/>
  <c r="AQ1069" i="1"/>
  <c r="AR1069" i="1"/>
  <c r="AS1069" i="1"/>
  <c r="AT1069" i="1"/>
  <c r="AP1070" i="1"/>
  <c r="AQ1070" i="1"/>
  <c r="AR1070" i="1"/>
  <c r="AS1070" i="1"/>
  <c r="AT1070" i="1"/>
  <c r="AP1071" i="1"/>
  <c r="AQ1071" i="1"/>
  <c r="AR1071" i="1"/>
  <c r="AS1071" i="1"/>
  <c r="AT1071" i="1"/>
  <c r="AP1072" i="1"/>
  <c r="AQ1072" i="1"/>
  <c r="AR1072" i="1"/>
  <c r="AS1072" i="1"/>
  <c r="AT1072" i="1"/>
  <c r="AP1073" i="1"/>
  <c r="AQ1073" i="1"/>
  <c r="AR1073" i="1"/>
  <c r="AS1073" i="1"/>
  <c r="AT1073" i="1"/>
  <c r="AP1074" i="1"/>
  <c r="AQ1074" i="1"/>
  <c r="AR1074" i="1"/>
  <c r="AS1074" i="1"/>
  <c r="AT1074" i="1"/>
  <c r="AP1075" i="1"/>
  <c r="AQ1075" i="1"/>
  <c r="AR1075" i="1"/>
  <c r="AS1075" i="1"/>
  <c r="AT1075" i="1"/>
  <c r="AP1076" i="1"/>
  <c r="AQ1076" i="1"/>
  <c r="AR1076" i="1"/>
  <c r="AS1076" i="1"/>
  <c r="AT1076" i="1"/>
  <c r="AP1077" i="1"/>
  <c r="AQ1077" i="1"/>
  <c r="AR1077" i="1"/>
  <c r="AS1077" i="1"/>
  <c r="AT1077" i="1"/>
  <c r="AP1078" i="1"/>
  <c r="AQ1078" i="1"/>
  <c r="AR1078" i="1"/>
  <c r="AS1078" i="1"/>
  <c r="AT1078" i="1"/>
  <c r="AP1079" i="1"/>
  <c r="AQ1079" i="1"/>
  <c r="AR1079" i="1"/>
  <c r="AS1079" i="1"/>
  <c r="AT1079" i="1"/>
  <c r="AP1080" i="1"/>
  <c r="AQ1080" i="1"/>
  <c r="AR1080" i="1"/>
  <c r="AS1080" i="1"/>
  <c r="AT1080" i="1"/>
  <c r="AP1081" i="1"/>
  <c r="AQ1081" i="1"/>
  <c r="AR1081" i="1"/>
  <c r="AS1081" i="1"/>
  <c r="AT1081" i="1"/>
  <c r="AP1082" i="1"/>
  <c r="AQ1082" i="1"/>
  <c r="AR1082" i="1"/>
  <c r="AS1082" i="1"/>
  <c r="AT1082" i="1"/>
  <c r="AP1083" i="1"/>
  <c r="AQ1083" i="1"/>
  <c r="AR1083" i="1"/>
  <c r="AS1083" i="1"/>
  <c r="AT1083" i="1"/>
  <c r="AP1084" i="1"/>
  <c r="AQ1084" i="1"/>
  <c r="AR1084" i="1"/>
  <c r="AS1084" i="1"/>
  <c r="AT1084" i="1"/>
  <c r="AP1085" i="1"/>
  <c r="AQ1085" i="1"/>
  <c r="AR1085" i="1"/>
  <c r="AS1085" i="1"/>
  <c r="AT1085" i="1"/>
  <c r="AP1086" i="1"/>
  <c r="AQ1086" i="1"/>
  <c r="AR1086" i="1"/>
  <c r="AS1086" i="1"/>
  <c r="AT1086" i="1"/>
  <c r="AP1087" i="1"/>
  <c r="AQ1087" i="1"/>
  <c r="AR1087" i="1"/>
  <c r="AS1087" i="1"/>
  <c r="AT1087" i="1"/>
  <c r="AP1088" i="1"/>
  <c r="AQ1088" i="1"/>
  <c r="AR1088" i="1"/>
  <c r="AS1088" i="1"/>
  <c r="AT1088" i="1"/>
  <c r="AP1089" i="1"/>
  <c r="AQ1089" i="1"/>
  <c r="AR1089" i="1"/>
  <c r="AS1089" i="1"/>
  <c r="AT1089" i="1"/>
  <c r="AP1090" i="1"/>
  <c r="AQ1090" i="1"/>
  <c r="AR1090" i="1"/>
  <c r="AS1090" i="1"/>
  <c r="AT1090" i="1"/>
  <c r="AP1091" i="1"/>
  <c r="AQ1091" i="1"/>
  <c r="AR1091" i="1"/>
  <c r="AS1091" i="1"/>
  <c r="AT1091" i="1"/>
  <c r="AP1092" i="1"/>
  <c r="AQ1092" i="1"/>
  <c r="AR1092" i="1"/>
  <c r="AS1092" i="1"/>
  <c r="AT1092" i="1"/>
  <c r="AP1093" i="1"/>
  <c r="AQ1093" i="1"/>
  <c r="AR1093" i="1"/>
  <c r="AS1093" i="1"/>
  <c r="AT1093" i="1"/>
  <c r="AP1094" i="1"/>
  <c r="AQ1094" i="1"/>
  <c r="AR1094" i="1"/>
  <c r="AS1094" i="1"/>
  <c r="AT1094" i="1"/>
  <c r="AP1095" i="1"/>
  <c r="AQ1095" i="1"/>
  <c r="AR1095" i="1"/>
  <c r="AS1095" i="1"/>
  <c r="AT1095" i="1"/>
  <c r="AP1096" i="1"/>
  <c r="AQ1096" i="1"/>
  <c r="AR1096" i="1"/>
  <c r="AS1096" i="1"/>
  <c r="AT1096" i="1"/>
  <c r="AP1097" i="1"/>
  <c r="AQ1097" i="1"/>
  <c r="AR1097" i="1"/>
  <c r="AS1097" i="1"/>
  <c r="AT1097" i="1"/>
  <c r="AP1098" i="1"/>
  <c r="AQ1098" i="1"/>
  <c r="AR1098" i="1"/>
  <c r="AS1098" i="1"/>
  <c r="AT1098" i="1"/>
  <c r="AP1099" i="1"/>
  <c r="AQ1099" i="1"/>
  <c r="AR1099" i="1"/>
  <c r="AS1099" i="1"/>
  <c r="AT1099" i="1"/>
  <c r="AP1100" i="1"/>
  <c r="AQ1100" i="1"/>
  <c r="AR1100" i="1"/>
  <c r="AS1100" i="1"/>
  <c r="AT1100" i="1"/>
  <c r="AP1101" i="1"/>
  <c r="AQ1101" i="1"/>
  <c r="AR1101" i="1"/>
  <c r="AS1101" i="1"/>
  <c r="AT1101" i="1"/>
  <c r="AP1102" i="1"/>
  <c r="AQ1102" i="1"/>
  <c r="AR1102" i="1"/>
  <c r="AS1102" i="1"/>
  <c r="AT1102" i="1"/>
  <c r="AP1103" i="1"/>
  <c r="AQ1103" i="1"/>
  <c r="AR1103" i="1"/>
  <c r="AS1103" i="1"/>
  <c r="AT1103" i="1"/>
  <c r="AP1104" i="1"/>
  <c r="AQ1104" i="1"/>
  <c r="AR1104" i="1"/>
  <c r="AS1104" i="1"/>
  <c r="AT1104" i="1"/>
  <c r="AP1105" i="1"/>
  <c r="AQ1105" i="1"/>
  <c r="AR1105" i="1"/>
  <c r="AS1105" i="1"/>
  <c r="AT1105" i="1"/>
  <c r="AP1106" i="1"/>
  <c r="AQ1106" i="1"/>
  <c r="AR1106" i="1"/>
  <c r="AS1106" i="1"/>
  <c r="AT1106" i="1"/>
  <c r="AP1107" i="1"/>
  <c r="AQ1107" i="1"/>
  <c r="AR1107" i="1"/>
  <c r="AS1107" i="1"/>
  <c r="AT1107" i="1"/>
  <c r="AP1108" i="1"/>
  <c r="AQ1108" i="1"/>
  <c r="AR1108" i="1"/>
  <c r="AS1108" i="1"/>
  <c r="AT1108" i="1"/>
  <c r="AP1109" i="1"/>
  <c r="AQ1109" i="1"/>
  <c r="AR1109" i="1"/>
  <c r="AS1109" i="1"/>
  <c r="AT1109" i="1"/>
  <c r="AP1110" i="1"/>
  <c r="AQ1110" i="1"/>
  <c r="AR1110" i="1"/>
  <c r="AS1110" i="1"/>
  <c r="AT1110" i="1"/>
  <c r="AP1111" i="1"/>
  <c r="AQ1111" i="1"/>
  <c r="AR1111" i="1"/>
  <c r="AS1111" i="1"/>
  <c r="AT1111" i="1"/>
  <c r="AP1112" i="1"/>
  <c r="AQ1112" i="1"/>
  <c r="AR1112" i="1"/>
  <c r="AS1112" i="1"/>
  <c r="AT1112" i="1"/>
  <c r="AP1113" i="1"/>
  <c r="AQ1113" i="1"/>
  <c r="AR1113" i="1"/>
  <c r="AS1113" i="1"/>
  <c r="AT1113" i="1"/>
  <c r="AP1114" i="1"/>
  <c r="AQ1114" i="1"/>
  <c r="AR1114" i="1"/>
  <c r="AS1114" i="1"/>
  <c r="AT1114" i="1"/>
  <c r="AP1115" i="1"/>
  <c r="AQ1115" i="1"/>
  <c r="AR1115" i="1"/>
  <c r="AS1115" i="1"/>
  <c r="AT1115" i="1"/>
  <c r="AP1116" i="1"/>
  <c r="AQ1116" i="1"/>
  <c r="AR1116" i="1"/>
  <c r="AS1116" i="1"/>
  <c r="AT1116" i="1"/>
  <c r="AP1117" i="1"/>
  <c r="AQ1117" i="1"/>
  <c r="AR1117" i="1"/>
  <c r="AS1117" i="1"/>
  <c r="AT1117" i="1"/>
  <c r="AP1118" i="1"/>
  <c r="AQ1118" i="1"/>
  <c r="AR1118" i="1"/>
  <c r="AS1118" i="1"/>
  <c r="AT1118" i="1"/>
  <c r="AP1119" i="1"/>
  <c r="AQ1119" i="1"/>
  <c r="AR1119" i="1"/>
  <c r="AS1119" i="1"/>
  <c r="AT1119" i="1"/>
  <c r="AP1120" i="1"/>
  <c r="AQ1120" i="1"/>
  <c r="AR1120" i="1"/>
  <c r="AS1120" i="1"/>
  <c r="AT1120" i="1"/>
  <c r="AP1121" i="1"/>
  <c r="AQ1121" i="1"/>
  <c r="AR1121" i="1"/>
  <c r="AS1121" i="1"/>
  <c r="AT1121" i="1"/>
  <c r="AP1122" i="1"/>
  <c r="AQ1122" i="1"/>
  <c r="AR1122" i="1"/>
  <c r="AS1122" i="1"/>
  <c r="AT1122" i="1"/>
  <c r="AP1123" i="1"/>
  <c r="AQ1123" i="1"/>
  <c r="AR1123" i="1"/>
  <c r="AS1123" i="1"/>
  <c r="AT1123" i="1"/>
  <c r="AP1124" i="1"/>
  <c r="AQ1124" i="1"/>
  <c r="AR1124" i="1"/>
  <c r="AS1124" i="1"/>
  <c r="AT1124" i="1"/>
  <c r="AP1125" i="1"/>
  <c r="AQ1125" i="1"/>
  <c r="AR1125" i="1"/>
  <c r="AS1125" i="1"/>
  <c r="AT1125" i="1"/>
  <c r="AP1126" i="1"/>
  <c r="AQ1126" i="1"/>
  <c r="AR1126" i="1"/>
  <c r="AS1126" i="1"/>
  <c r="AT1126" i="1"/>
  <c r="AP1127" i="1"/>
  <c r="AQ1127" i="1"/>
  <c r="AR1127" i="1"/>
  <c r="AS1127" i="1"/>
  <c r="AT1127" i="1"/>
  <c r="AP1128" i="1"/>
  <c r="AQ1128" i="1"/>
  <c r="AR1128" i="1"/>
  <c r="AS1128" i="1"/>
  <c r="AT1128" i="1"/>
  <c r="AP1129" i="1"/>
  <c r="AQ1129" i="1"/>
  <c r="AR1129" i="1"/>
  <c r="AS1129" i="1"/>
  <c r="AT1129" i="1"/>
  <c r="AP1130" i="1"/>
  <c r="AQ1130" i="1"/>
  <c r="AR1130" i="1"/>
  <c r="AS1130" i="1"/>
  <c r="AT1130" i="1"/>
  <c r="AP1131" i="1"/>
  <c r="AQ1131" i="1"/>
  <c r="AR1131" i="1"/>
  <c r="AS1131" i="1"/>
  <c r="AT1131" i="1"/>
  <c r="AP1132" i="1"/>
  <c r="AQ1132" i="1"/>
  <c r="AR1132" i="1"/>
  <c r="AS1132" i="1"/>
  <c r="AT1132" i="1"/>
  <c r="AP1133" i="1"/>
  <c r="AQ1133" i="1"/>
  <c r="AR1133" i="1"/>
  <c r="AS1133" i="1"/>
  <c r="AT1133" i="1"/>
  <c r="AP1134" i="1"/>
  <c r="AQ1134" i="1"/>
  <c r="AR1134" i="1"/>
  <c r="AS1134" i="1"/>
  <c r="AT1134" i="1"/>
  <c r="AP1135" i="1"/>
  <c r="AQ1135" i="1"/>
  <c r="AR1135" i="1"/>
  <c r="AS1135" i="1"/>
  <c r="AT1135" i="1"/>
  <c r="AP1136" i="1"/>
  <c r="AQ1136" i="1"/>
  <c r="AR1136" i="1"/>
  <c r="AS1136" i="1"/>
  <c r="AT1136" i="1"/>
  <c r="AP1137" i="1"/>
  <c r="AQ1137" i="1"/>
  <c r="AR1137" i="1"/>
  <c r="AS1137" i="1"/>
  <c r="AT1137" i="1"/>
  <c r="AP1138" i="1"/>
  <c r="AQ1138" i="1"/>
  <c r="AR1138" i="1"/>
  <c r="AS1138" i="1"/>
  <c r="AT1138" i="1"/>
  <c r="AP1139" i="1"/>
  <c r="AQ1139" i="1"/>
  <c r="AR1139" i="1"/>
  <c r="AS1139" i="1"/>
  <c r="AT1139" i="1"/>
  <c r="AP1140" i="1"/>
  <c r="AQ1140" i="1"/>
  <c r="AR1140" i="1"/>
  <c r="AS1140" i="1"/>
  <c r="AT1140" i="1"/>
  <c r="AP1141" i="1"/>
  <c r="AQ1141" i="1"/>
  <c r="AR1141" i="1"/>
  <c r="AS1141" i="1"/>
  <c r="AT1141" i="1"/>
  <c r="AP1142" i="1"/>
  <c r="AQ1142" i="1"/>
  <c r="AR1142" i="1"/>
  <c r="AS1142" i="1"/>
  <c r="AT1142" i="1"/>
  <c r="AP1143" i="1"/>
  <c r="AQ1143" i="1"/>
  <c r="AR1143" i="1"/>
  <c r="AS1143" i="1"/>
  <c r="AT1143" i="1"/>
  <c r="AP1144" i="1"/>
  <c r="AQ1144" i="1"/>
  <c r="AR1144" i="1"/>
  <c r="AS1144" i="1"/>
  <c r="AT1144" i="1"/>
  <c r="AP1145" i="1"/>
  <c r="AQ1145" i="1"/>
  <c r="AR1145" i="1"/>
  <c r="AS1145" i="1"/>
  <c r="AT1145" i="1"/>
  <c r="AP1146" i="1"/>
  <c r="AQ1146" i="1"/>
  <c r="AR1146" i="1"/>
  <c r="AS1146" i="1"/>
  <c r="AT1146" i="1"/>
  <c r="AP1147" i="1"/>
  <c r="AQ1147" i="1"/>
  <c r="AR1147" i="1"/>
  <c r="AS1147" i="1"/>
  <c r="AT1147" i="1"/>
  <c r="AP1148" i="1"/>
  <c r="AQ1148" i="1"/>
  <c r="AR1148" i="1"/>
  <c r="AS1148" i="1"/>
  <c r="AT1148" i="1"/>
  <c r="AP1149" i="1"/>
  <c r="AQ1149" i="1"/>
  <c r="AR1149" i="1"/>
  <c r="AS1149" i="1"/>
  <c r="AT1149" i="1"/>
  <c r="AP1150" i="1"/>
  <c r="AQ1150" i="1"/>
  <c r="AR1150" i="1"/>
  <c r="AS1150" i="1"/>
  <c r="AT1150" i="1"/>
  <c r="AP1151" i="1"/>
  <c r="AQ1151" i="1"/>
  <c r="AR1151" i="1"/>
  <c r="AS1151" i="1"/>
  <c r="AT1151" i="1"/>
  <c r="AP1152" i="1"/>
  <c r="AQ1152" i="1"/>
  <c r="AR1152" i="1"/>
  <c r="AS1152" i="1"/>
  <c r="AT1152" i="1"/>
  <c r="AP1153" i="1"/>
  <c r="AQ1153" i="1"/>
  <c r="AR1153" i="1"/>
  <c r="AS1153" i="1"/>
  <c r="AT1153" i="1"/>
  <c r="AP1154" i="1"/>
  <c r="AQ1154" i="1"/>
  <c r="AR1154" i="1"/>
  <c r="AS1154" i="1"/>
  <c r="AT1154" i="1"/>
  <c r="AP1155" i="1"/>
  <c r="AQ1155" i="1"/>
  <c r="AR1155" i="1"/>
  <c r="AS1155" i="1"/>
  <c r="AT1155" i="1"/>
  <c r="AP1156" i="1"/>
  <c r="AQ1156" i="1"/>
  <c r="AR1156" i="1"/>
  <c r="AS1156" i="1"/>
  <c r="AT1156" i="1"/>
  <c r="AP1157" i="1"/>
  <c r="AQ1157" i="1"/>
  <c r="AR1157" i="1"/>
  <c r="AS1157" i="1"/>
  <c r="AT1157" i="1"/>
  <c r="AP1158" i="1"/>
  <c r="AQ1158" i="1"/>
  <c r="AR1158" i="1"/>
  <c r="AS1158" i="1"/>
  <c r="AT1158" i="1"/>
  <c r="AP1159" i="1"/>
  <c r="AQ1159" i="1"/>
  <c r="AR1159" i="1"/>
  <c r="AS1159" i="1"/>
  <c r="AT1159" i="1"/>
  <c r="AP1160" i="1"/>
  <c r="AQ1160" i="1"/>
  <c r="AR1160" i="1"/>
  <c r="AS1160" i="1"/>
  <c r="AT1160" i="1"/>
  <c r="AP1161" i="1"/>
  <c r="AQ1161" i="1"/>
  <c r="AR1161" i="1"/>
  <c r="AS1161" i="1"/>
  <c r="AT1161" i="1"/>
  <c r="AP1162" i="1"/>
  <c r="AQ1162" i="1"/>
  <c r="AR1162" i="1"/>
  <c r="AS1162" i="1"/>
  <c r="AT1162" i="1"/>
  <c r="AP1163" i="1"/>
  <c r="AQ1163" i="1"/>
  <c r="AR1163" i="1"/>
  <c r="AS1163" i="1"/>
  <c r="AT1163" i="1"/>
  <c r="AP1164" i="1"/>
  <c r="AQ1164" i="1"/>
  <c r="AR1164" i="1"/>
  <c r="AS1164" i="1"/>
  <c r="AT1164" i="1"/>
  <c r="AP1165" i="1"/>
  <c r="AQ1165" i="1"/>
  <c r="AR1165" i="1"/>
  <c r="AS1165" i="1"/>
  <c r="AT1165" i="1"/>
  <c r="AP1166" i="1"/>
  <c r="AQ1166" i="1"/>
  <c r="AR1166" i="1"/>
  <c r="AS1166" i="1"/>
  <c r="AT1166" i="1"/>
  <c r="AP1167" i="1"/>
  <c r="AQ1167" i="1"/>
  <c r="AR1167" i="1"/>
  <c r="AS1167" i="1"/>
  <c r="AT1167" i="1"/>
  <c r="AP1168" i="1"/>
  <c r="AQ1168" i="1"/>
  <c r="AR1168" i="1"/>
  <c r="AS1168" i="1"/>
  <c r="AT1168" i="1"/>
  <c r="AP1169" i="1"/>
  <c r="AQ1169" i="1"/>
  <c r="AR1169" i="1"/>
  <c r="AS1169" i="1"/>
  <c r="AT1169" i="1"/>
  <c r="AP1170" i="1"/>
  <c r="AQ1170" i="1"/>
  <c r="AR1170" i="1"/>
  <c r="AS1170" i="1"/>
  <c r="AT1170" i="1"/>
  <c r="AP1171" i="1"/>
  <c r="AQ1171" i="1"/>
  <c r="AR1171" i="1"/>
  <c r="AS1171" i="1"/>
  <c r="AT1171" i="1"/>
  <c r="AP1173" i="1"/>
  <c r="AQ1173" i="1"/>
  <c r="AR1173" i="1"/>
  <c r="AS1173" i="1"/>
  <c r="AT1173" i="1"/>
  <c r="AP1174" i="1"/>
  <c r="AQ1174" i="1"/>
  <c r="AR1174" i="1"/>
  <c r="AS1174" i="1"/>
  <c r="AT1174" i="1"/>
  <c r="AP1175" i="1"/>
  <c r="AQ1175" i="1"/>
  <c r="AR1175" i="1"/>
  <c r="AS1175" i="1"/>
  <c r="AT1175" i="1"/>
  <c r="AP1176" i="1"/>
  <c r="AQ1176" i="1"/>
  <c r="AR1176" i="1"/>
  <c r="AS1176" i="1"/>
  <c r="AT1176" i="1"/>
  <c r="AP1177" i="1"/>
  <c r="AQ1177" i="1"/>
  <c r="AR1177" i="1"/>
  <c r="AS1177" i="1"/>
  <c r="AT1177" i="1"/>
  <c r="AP1178" i="1"/>
  <c r="AQ1178" i="1"/>
  <c r="AR1178" i="1"/>
  <c r="AS1178" i="1"/>
  <c r="AT1178" i="1"/>
  <c r="AP1179" i="1"/>
  <c r="AQ1179" i="1"/>
  <c r="AR1179" i="1"/>
  <c r="AS1179" i="1"/>
  <c r="AT1179" i="1"/>
  <c r="AP1180" i="1"/>
  <c r="AQ1180" i="1"/>
  <c r="AR1180" i="1"/>
  <c r="AS1180" i="1"/>
  <c r="AT1180" i="1"/>
  <c r="AP1181" i="1"/>
  <c r="AQ1181" i="1"/>
  <c r="AR1181" i="1"/>
  <c r="AS1181" i="1"/>
  <c r="AT1181" i="1"/>
  <c r="AP1182" i="1"/>
  <c r="AQ1182" i="1"/>
  <c r="AR1182" i="1"/>
  <c r="AS1182" i="1"/>
  <c r="AT1182" i="1"/>
  <c r="AP1183" i="1"/>
  <c r="AQ1183" i="1"/>
  <c r="AR1183" i="1"/>
  <c r="AS1183" i="1"/>
  <c r="AT1183" i="1"/>
  <c r="AP1184" i="1"/>
  <c r="AQ1184" i="1"/>
  <c r="AR1184" i="1"/>
  <c r="AS1184" i="1"/>
  <c r="AT1184" i="1"/>
  <c r="AP1185" i="1"/>
  <c r="AQ1185" i="1"/>
  <c r="AR1185" i="1"/>
  <c r="AS1185" i="1"/>
  <c r="AT1185" i="1"/>
  <c r="AP1186" i="1"/>
  <c r="AQ1186" i="1"/>
  <c r="AR1186" i="1"/>
  <c r="AS1186" i="1"/>
  <c r="AT1186" i="1"/>
  <c r="AP1187" i="1"/>
  <c r="AQ1187" i="1"/>
  <c r="AR1187" i="1"/>
  <c r="AS1187" i="1"/>
  <c r="AT1187" i="1"/>
  <c r="AP1188" i="1"/>
  <c r="AQ1188" i="1"/>
  <c r="AR1188" i="1"/>
  <c r="AS1188" i="1"/>
  <c r="AT1188" i="1"/>
  <c r="AP1189" i="1"/>
  <c r="AQ1189" i="1"/>
  <c r="AR1189" i="1"/>
  <c r="AS1189" i="1"/>
  <c r="AT1189" i="1"/>
  <c r="AP1190" i="1"/>
  <c r="AQ1190" i="1"/>
  <c r="AR1190" i="1"/>
  <c r="AS1190" i="1"/>
  <c r="AT1190" i="1"/>
  <c r="AP1191" i="1"/>
  <c r="AQ1191" i="1"/>
  <c r="AR1191" i="1"/>
  <c r="AS1191" i="1"/>
  <c r="AT1191" i="1"/>
  <c r="AP1192" i="1"/>
  <c r="AQ1192" i="1"/>
  <c r="AR1192" i="1"/>
  <c r="AS1192" i="1"/>
  <c r="AT1192" i="1"/>
  <c r="AP1193" i="1"/>
  <c r="AQ1193" i="1"/>
  <c r="AR1193" i="1"/>
  <c r="AS1193" i="1"/>
  <c r="AT1193" i="1"/>
  <c r="AP1194" i="1"/>
  <c r="AQ1194" i="1"/>
  <c r="AR1194" i="1"/>
  <c r="AS1194" i="1"/>
  <c r="AT1194" i="1"/>
  <c r="AP1195" i="1"/>
  <c r="AQ1195" i="1"/>
  <c r="AR1195" i="1"/>
  <c r="AS1195" i="1"/>
  <c r="AT1195" i="1"/>
  <c r="AP1197" i="1"/>
  <c r="AQ1197" i="1"/>
  <c r="AR1197" i="1"/>
  <c r="AS1197" i="1"/>
  <c r="AT1197" i="1"/>
  <c r="AP1198" i="1"/>
  <c r="AQ1198" i="1"/>
  <c r="AR1198" i="1"/>
  <c r="AS1198" i="1"/>
  <c r="AT1198" i="1"/>
  <c r="AP1199" i="1"/>
  <c r="AQ1199" i="1"/>
  <c r="AR1199" i="1"/>
  <c r="AS1199" i="1"/>
  <c r="AT1199" i="1"/>
  <c r="AP1200" i="1"/>
  <c r="AQ1200" i="1"/>
  <c r="AR1200" i="1"/>
  <c r="AS1200" i="1"/>
  <c r="AT1200" i="1"/>
  <c r="AP1201" i="1"/>
  <c r="AQ1201" i="1"/>
  <c r="AR1201" i="1"/>
  <c r="AS1201" i="1"/>
  <c r="AT1201" i="1"/>
  <c r="AP1202" i="1"/>
  <c r="AQ1202" i="1"/>
  <c r="AR1202" i="1"/>
  <c r="AS1202" i="1"/>
  <c r="AT1202" i="1"/>
  <c r="AP1203" i="1"/>
  <c r="AQ1203" i="1"/>
  <c r="AR1203" i="1"/>
  <c r="AS1203" i="1"/>
  <c r="AT1203" i="1"/>
  <c r="AP1204" i="1"/>
  <c r="AQ1204" i="1"/>
  <c r="AR1204" i="1"/>
  <c r="AS1204" i="1"/>
  <c r="AT1204" i="1"/>
  <c r="AP1205" i="1"/>
  <c r="AQ1205" i="1"/>
  <c r="AR1205" i="1"/>
  <c r="AS1205" i="1"/>
  <c r="AT1205" i="1"/>
  <c r="AP1206" i="1"/>
  <c r="AQ1206" i="1"/>
  <c r="AR1206" i="1"/>
  <c r="AS1206" i="1"/>
  <c r="AT1206" i="1"/>
  <c r="AP1207" i="1"/>
  <c r="AQ1207" i="1"/>
  <c r="AR1207" i="1"/>
  <c r="AS1207" i="1"/>
  <c r="AT1207" i="1"/>
  <c r="AP1208" i="1"/>
  <c r="AQ1208" i="1"/>
  <c r="AR1208" i="1"/>
  <c r="AS1208" i="1"/>
  <c r="AT1208" i="1"/>
  <c r="AP1209" i="1"/>
  <c r="AQ1209" i="1"/>
  <c r="AR1209" i="1"/>
  <c r="AS1209" i="1"/>
  <c r="AT1209" i="1"/>
  <c r="AP1210" i="1"/>
  <c r="AQ1210" i="1"/>
  <c r="AR1210" i="1"/>
  <c r="AS1210" i="1"/>
  <c r="AT1210" i="1"/>
  <c r="AP1211" i="1"/>
  <c r="AQ1211" i="1"/>
  <c r="AR1211" i="1"/>
  <c r="AS1211" i="1"/>
  <c r="AT1211" i="1"/>
  <c r="AP1212" i="1"/>
  <c r="AQ1212" i="1"/>
  <c r="AR1212" i="1"/>
  <c r="AS1212" i="1"/>
  <c r="AT1212" i="1"/>
  <c r="AP1213" i="1"/>
  <c r="AQ1213" i="1"/>
  <c r="AR1213" i="1"/>
  <c r="AS1213" i="1"/>
  <c r="AT1213" i="1"/>
  <c r="AP1214" i="1"/>
  <c r="AQ1214" i="1"/>
  <c r="AR1214" i="1"/>
  <c r="AS1214" i="1"/>
  <c r="AT1214" i="1"/>
  <c r="AP1215" i="1"/>
  <c r="AQ1215" i="1"/>
  <c r="AR1215" i="1"/>
  <c r="AS1215" i="1"/>
  <c r="AT1215" i="1"/>
  <c r="AP1216" i="1"/>
  <c r="AQ1216" i="1"/>
  <c r="AR1216" i="1"/>
  <c r="AS1216" i="1"/>
  <c r="AT1216" i="1"/>
  <c r="AP1217" i="1"/>
  <c r="AQ1217" i="1"/>
  <c r="AR1217" i="1"/>
  <c r="AS1217" i="1"/>
  <c r="AT1217" i="1"/>
  <c r="AP1218" i="1"/>
  <c r="AQ1218" i="1"/>
  <c r="AR1218" i="1"/>
  <c r="AS1218" i="1"/>
  <c r="AT1218" i="1"/>
  <c r="AP1219" i="1"/>
  <c r="AQ1219" i="1"/>
  <c r="AR1219" i="1"/>
  <c r="AS1219" i="1"/>
  <c r="AT1219" i="1"/>
  <c r="AP1221" i="1"/>
  <c r="AQ1221" i="1"/>
  <c r="AR1221" i="1"/>
  <c r="AS1221" i="1"/>
  <c r="AT1221" i="1"/>
  <c r="AP1222" i="1"/>
  <c r="AQ1222" i="1"/>
  <c r="AR1222" i="1"/>
  <c r="AS1222" i="1"/>
  <c r="AT1222" i="1"/>
  <c r="AP1223" i="1"/>
  <c r="AQ1223" i="1"/>
  <c r="AR1223" i="1"/>
  <c r="AS1223" i="1"/>
  <c r="AT1223" i="1"/>
  <c r="AP1224" i="1"/>
  <c r="AQ1224" i="1"/>
  <c r="AR1224" i="1"/>
  <c r="AS1224" i="1"/>
  <c r="AT1224" i="1"/>
  <c r="AP1225" i="1"/>
  <c r="AQ1225" i="1"/>
  <c r="AR1225" i="1"/>
  <c r="AS1225" i="1"/>
  <c r="AT1225" i="1"/>
  <c r="AP1226" i="1"/>
  <c r="AQ1226" i="1"/>
  <c r="AR1226" i="1"/>
  <c r="AS1226" i="1"/>
  <c r="AT1226" i="1"/>
  <c r="AP1227" i="1"/>
  <c r="AQ1227" i="1"/>
  <c r="AR1227" i="1"/>
  <c r="AS1227" i="1"/>
  <c r="AT1227" i="1"/>
  <c r="AP1228" i="1"/>
  <c r="AQ1228" i="1"/>
  <c r="AR1228" i="1"/>
  <c r="AS1228" i="1"/>
  <c r="AT1228" i="1"/>
  <c r="AP1229" i="1"/>
  <c r="AQ1229" i="1"/>
  <c r="AR1229" i="1"/>
  <c r="AS1229" i="1"/>
  <c r="AT1229" i="1"/>
  <c r="AP1230" i="1"/>
  <c r="AQ1230" i="1"/>
  <c r="AR1230" i="1"/>
  <c r="AS1230" i="1"/>
  <c r="AT1230" i="1"/>
  <c r="AP1231" i="1"/>
  <c r="AQ1231" i="1"/>
  <c r="AR1231" i="1"/>
  <c r="AS1231" i="1"/>
  <c r="AT1231" i="1"/>
  <c r="AP1232" i="1"/>
  <c r="AQ1232" i="1"/>
  <c r="AR1232" i="1"/>
  <c r="AS1232" i="1"/>
  <c r="AT1232" i="1"/>
  <c r="AP1233" i="1"/>
  <c r="AQ1233" i="1"/>
  <c r="AR1233" i="1"/>
  <c r="AS1233" i="1"/>
  <c r="AT1233" i="1"/>
  <c r="AP1234" i="1"/>
  <c r="AQ1234" i="1"/>
  <c r="AR1234" i="1"/>
  <c r="AS1234" i="1"/>
  <c r="AT1234" i="1"/>
  <c r="AP1235" i="1"/>
  <c r="AQ1235" i="1"/>
  <c r="AR1235" i="1"/>
  <c r="AS1235" i="1"/>
  <c r="AT1235" i="1"/>
  <c r="AP1236" i="1"/>
  <c r="AQ1236" i="1"/>
  <c r="AR1236" i="1"/>
  <c r="AS1236" i="1"/>
  <c r="AT1236" i="1"/>
  <c r="AP1237" i="1"/>
  <c r="AQ1237" i="1"/>
  <c r="AR1237" i="1"/>
  <c r="AS1237" i="1"/>
  <c r="AT1237" i="1"/>
  <c r="AP1238" i="1"/>
  <c r="AQ1238" i="1"/>
  <c r="AR1238" i="1"/>
  <c r="AS1238" i="1"/>
  <c r="AT1238" i="1"/>
  <c r="AP1239" i="1"/>
  <c r="AQ1239" i="1"/>
  <c r="AR1239" i="1"/>
  <c r="AS1239" i="1"/>
  <c r="AT1239" i="1"/>
  <c r="AP1240" i="1"/>
  <c r="AQ1240" i="1"/>
  <c r="AR1240" i="1"/>
  <c r="AS1240" i="1"/>
  <c r="AT1240" i="1"/>
  <c r="AP1241" i="1"/>
  <c r="AQ1241" i="1"/>
  <c r="AR1241" i="1"/>
  <c r="AS1241" i="1"/>
  <c r="AT1241" i="1"/>
  <c r="AP1242" i="1"/>
  <c r="AQ1242" i="1"/>
  <c r="AR1242" i="1"/>
  <c r="AS1242" i="1"/>
  <c r="AT1242" i="1"/>
  <c r="AP1243" i="1"/>
  <c r="AQ1243" i="1"/>
  <c r="AR1243" i="1"/>
  <c r="AS1243" i="1"/>
  <c r="AT1243" i="1"/>
  <c r="AP1245" i="1"/>
  <c r="AQ1245" i="1"/>
  <c r="AR1245" i="1"/>
  <c r="AS1245" i="1"/>
  <c r="AT1245" i="1"/>
  <c r="AP1246" i="1"/>
  <c r="AQ1246" i="1"/>
  <c r="AR1246" i="1"/>
  <c r="AS1246" i="1"/>
  <c r="AT1246" i="1"/>
  <c r="AP1247" i="1"/>
  <c r="AQ1247" i="1"/>
  <c r="AR1247" i="1"/>
  <c r="AS1247" i="1"/>
  <c r="AT1247" i="1"/>
  <c r="AP1248" i="1"/>
  <c r="AQ1248" i="1"/>
  <c r="AR1248" i="1"/>
  <c r="AS1248" i="1"/>
  <c r="AT1248" i="1"/>
  <c r="AP1249" i="1"/>
  <c r="AQ1249" i="1"/>
  <c r="AR1249" i="1"/>
  <c r="AS1249" i="1"/>
  <c r="AT1249" i="1"/>
  <c r="AP1250" i="1"/>
  <c r="AQ1250" i="1"/>
  <c r="AR1250" i="1"/>
  <c r="AS1250" i="1"/>
  <c r="AT1250" i="1"/>
  <c r="AP1251" i="1"/>
  <c r="AQ1251" i="1"/>
  <c r="AR1251" i="1"/>
  <c r="AS1251" i="1"/>
  <c r="AT1251" i="1"/>
  <c r="AP1252" i="1"/>
  <c r="AQ1252" i="1"/>
  <c r="AR1252" i="1"/>
  <c r="AS1252" i="1"/>
  <c r="AT1252" i="1"/>
  <c r="AP1253" i="1"/>
  <c r="AQ1253" i="1"/>
  <c r="AR1253" i="1"/>
  <c r="AS1253" i="1"/>
  <c r="AT1253" i="1"/>
  <c r="AP1254" i="1"/>
  <c r="AQ1254" i="1"/>
  <c r="AR1254" i="1"/>
  <c r="AS1254" i="1"/>
  <c r="AT1254" i="1"/>
  <c r="AP1255" i="1"/>
  <c r="AQ1255" i="1"/>
  <c r="AR1255" i="1"/>
  <c r="AS1255" i="1"/>
  <c r="AT1255" i="1"/>
  <c r="AP1256" i="1"/>
  <c r="AQ1256" i="1"/>
  <c r="AR1256" i="1"/>
  <c r="AS1256" i="1"/>
  <c r="AT1256" i="1"/>
  <c r="AP1257" i="1"/>
  <c r="AQ1257" i="1"/>
  <c r="AR1257" i="1"/>
  <c r="AS1257" i="1"/>
  <c r="AT1257" i="1"/>
  <c r="AP1258" i="1"/>
  <c r="AQ1258" i="1"/>
  <c r="AR1258" i="1"/>
  <c r="AS1258" i="1"/>
  <c r="AT1258" i="1"/>
  <c r="AP1259" i="1"/>
  <c r="AQ1259" i="1"/>
  <c r="AR1259" i="1"/>
  <c r="AS1259" i="1"/>
  <c r="AT1259" i="1"/>
  <c r="AP1260" i="1"/>
  <c r="AQ1260" i="1"/>
  <c r="AR1260" i="1"/>
  <c r="AS1260" i="1"/>
  <c r="AT1260" i="1"/>
  <c r="AP1261" i="1"/>
  <c r="AQ1261" i="1"/>
  <c r="AR1261" i="1"/>
  <c r="AS1261" i="1"/>
  <c r="AT1261" i="1"/>
  <c r="AP1262" i="1"/>
  <c r="AQ1262" i="1"/>
  <c r="AR1262" i="1"/>
  <c r="AS1262" i="1"/>
  <c r="AT1262" i="1"/>
  <c r="AP1263" i="1"/>
  <c r="AQ1263" i="1"/>
  <c r="AR1263" i="1"/>
  <c r="AS1263" i="1"/>
  <c r="AT1263" i="1"/>
  <c r="AP1264" i="1"/>
  <c r="AQ1264" i="1"/>
  <c r="AR1264" i="1"/>
  <c r="AS1264" i="1"/>
  <c r="AT1264" i="1"/>
  <c r="AP1265" i="1"/>
  <c r="AQ1265" i="1"/>
  <c r="AR1265" i="1"/>
  <c r="AS1265" i="1"/>
  <c r="AT1265" i="1"/>
  <c r="AP1266" i="1"/>
  <c r="AQ1266" i="1"/>
  <c r="AR1266" i="1"/>
  <c r="AS1266" i="1"/>
  <c r="AT1266" i="1"/>
  <c r="AP1267" i="1"/>
  <c r="AQ1267" i="1"/>
  <c r="AR1267" i="1"/>
  <c r="AS1267" i="1"/>
  <c r="AT1267" i="1"/>
  <c r="AP1268" i="1"/>
  <c r="AQ1268" i="1"/>
  <c r="AR1268" i="1"/>
  <c r="AS1268" i="1"/>
  <c r="AT1268" i="1"/>
  <c r="AP1269" i="1"/>
  <c r="AQ1269" i="1"/>
  <c r="AR1269" i="1"/>
  <c r="AS1269" i="1"/>
  <c r="AT1269" i="1"/>
  <c r="AP1270" i="1"/>
  <c r="AQ1270" i="1"/>
  <c r="AR1270" i="1"/>
  <c r="AS1270" i="1"/>
  <c r="AT1270" i="1"/>
  <c r="AP1271" i="1"/>
  <c r="AQ1271" i="1"/>
  <c r="AR1271" i="1"/>
  <c r="AS1271" i="1"/>
  <c r="AT1271" i="1"/>
  <c r="AP1272" i="1"/>
  <c r="AQ1272" i="1"/>
  <c r="AR1272" i="1"/>
  <c r="AS1272" i="1"/>
  <c r="AT1272" i="1"/>
  <c r="AP1273" i="1"/>
  <c r="AQ1273" i="1"/>
  <c r="AR1273" i="1"/>
  <c r="AS1273" i="1"/>
  <c r="AT1273" i="1"/>
  <c r="AP1274" i="1"/>
  <c r="AQ1274" i="1"/>
  <c r="AR1274" i="1"/>
  <c r="AS1274" i="1"/>
  <c r="AT1274" i="1"/>
  <c r="AP1275" i="1"/>
  <c r="AQ1275" i="1"/>
  <c r="AR1275" i="1"/>
  <c r="AS1275" i="1"/>
  <c r="AT1275" i="1"/>
  <c r="AP1276" i="1"/>
  <c r="AQ1276" i="1"/>
  <c r="AR1276" i="1"/>
  <c r="AS1276" i="1"/>
  <c r="AT1276" i="1"/>
  <c r="AP1277" i="1"/>
  <c r="AQ1277" i="1"/>
  <c r="AR1277" i="1"/>
  <c r="AS1277" i="1"/>
  <c r="AT1277" i="1"/>
  <c r="AP1278" i="1"/>
  <c r="AQ1278" i="1"/>
  <c r="AR1278" i="1"/>
  <c r="AS1278" i="1"/>
  <c r="AT1278" i="1"/>
  <c r="AP1279" i="1"/>
  <c r="AQ1279" i="1"/>
  <c r="AR1279" i="1"/>
  <c r="AS1279" i="1"/>
  <c r="AT1279" i="1"/>
  <c r="AP1280" i="1"/>
  <c r="AQ1280" i="1"/>
  <c r="AR1280" i="1"/>
  <c r="AS1280" i="1"/>
  <c r="AT1280" i="1"/>
  <c r="AP1281" i="1"/>
  <c r="AQ1281" i="1"/>
  <c r="AR1281" i="1"/>
  <c r="AS1281" i="1"/>
  <c r="AT1281" i="1"/>
  <c r="AP1282" i="1"/>
  <c r="AQ1282" i="1"/>
  <c r="AR1282" i="1"/>
  <c r="AS1282" i="1"/>
  <c r="AT1282" i="1"/>
  <c r="AP1283" i="1"/>
  <c r="AQ1283" i="1"/>
  <c r="AR1283" i="1"/>
  <c r="AS1283" i="1"/>
  <c r="AT1283" i="1"/>
  <c r="AP1284" i="1"/>
  <c r="AQ1284" i="1"/>
  <c r="AR1284" i="1"/>
  <c r="AS1284" i="1"/>
  <c r="AT1284" i="1"/>
  <c r="AP1285" i="1"/>
  <c r="AQ1285" i="1"/>
  <c r="AR1285" i="1"/>
  <c r="AS1285" i="1"/>
  <c r="AT1285" i="1"/>
  <c r="AP1286" i="1"/>
  <c r="AQ1286" i="1"/>
  <c r="AR1286" i="1"/>
  <c r="AS1286" i="1"/>
  <c r="AT1286" i="1"/>
  <c r="AP1287" i="1"/>
  <c r="AQ1287" i="1"/>
  <c r="AR1287" i="1"/>
  <c r="AS1287" i="1"/>
  <c r="AT1287" i="1"/>
  <c r="AP1288" i="1"/>
  <c r="AQ1288" i="1"/>
  <c r="AR1288" i="1"/>
  <c r="AS1288" i="1"/>
  <c r="AT1288" i="1"/>
  <c r="AP1289" i="1"/>
  <c r="AQ1289" i="1"/>
  <c r="AR1289" i="1"/>
  <c r="AS1289" i="1"/>
  <c r="AT1289" i="1"/>
  <c r="AP1290" i="1"/>
  <c r="AQ1290" i="1"/>
  <c r="AR1290" i="1"/>
  <c r="AS1290" i="1"/>
  <c r="AT1290" i="1"/>
  <c r="AP1291" i="1"/>
  <c r="AQ1291" i="1"/>
  <c r="AR1291" i="1"/>
  <c r="AS1291" i="1"/>
  <c r="AT1291" i="1"/>
  <c r="AP1292" i="1"/>
  <c r="AQ1292" i="1"/>
  <c r="AR1292" i="1"/>
  <c r="AS1292" i="1"/>
  <c r="AT1292" i="1"/>
  <c r="AP1293" i="1"/>
  <c r="AQ1293" i="1"/>
  <c r="AR1293" i="1"/>
  <c r="AS1293" i="1"/>
  <c r="AT1293" i="1"/>
  <c r="AP1294" i="1"/>
  <c r="AQ1294" i="1"/>
  <c r="AR1294" i="1"/>
  <c r="AS1294" i="1"/>
  <c r="AT1294" i="1"/>
  <c r="AP1295" i="1"/>
  <c r="AQ1295" i="1"/>
  <c r="AR1295" i="1"/>
  <c r="AS1295" i="1"/>
  <c r="AT1295" i="1"/>
  <c r="AP1296" i="1"/>
  <c r="AQ1296" i="1"/>
  <c r="AR1296" i="1"/>
  <c r="AS1296" i="1"/>
  <c r="AT1296" i="1"/>
  <c r="AP1297" i="1"/>
  <c r="AQ1297" i="1"/>
  <c r="AR1297" i="1"/>
  <c r="AS1297" i="1"/>
  <c r="AT1297" i="1"/>
  <c r="AP1298" i="1"/>
  <c r="AQ1298" i="1"/>
  <c r="AR1298" i="1"/>
  <c r="AS1298" i="1"/>
  <c r="AT1298" i="1"/>
  <c r="AP1299" i="1"/>
  <c r="AQ1299" i="1"/>
  <c r="AR1299" i="1"/>
  <c r="AS1299" i="1"/>
  <c r="AT1299" i="1"/>
  <c r="AP1300" i="1"/>
  <c r="AQ1300" i="1"/>
  <c r="AR1300" i="1"/>
  <c r="AS1300" i="1"/>
  <c r="AT1300" i="1"/>
  <c r="AP1301" i="1"/>
  <c r="AQ1301" i="1"/>
  <c r="AR1301" i="1"/>
  <c r="AS1301" i="1"/>
  <c r="AT1301" i="1"/>
  <c r="AP1302" i="1"/>
  <c r="AQ1302" i="1"/>
  <c r="AR1302" i="1"/>
  <c r="AS1302" i="1"/>
  <c r="AT1302" i="1"/>
  <c r="AP1303" i="1"/>
  <c r="AQ1303" i="1"/>
  <c r="AR1303" i="1"/>
  <c r="AS1303" i="1"/>
  <c r="AT1303" i="1"/>
  <c r="AP1304" i="1"/>
  <c r="AQ1304" i="1"/>
  <c r="AR1304" i="1"/>
  <c r="AS1304" i="1"/>
  <c r="AT1304" i="1"/>
  <c r="AP1305" i="1"/>
  <c r="AQ1305" i="1"/>
  <c r="AR1305" i="1"/>
  <c r="AS1305" i="1"/>
  <c r="AT1305" i="1"/>
  <c r="AP1306" i="1"/>
  <c r="AQ1306" i="1"/>
  <c r="AR1306" i="1"/>
  <c r="AS1306" i="1"/>
  <c r="AT1306" i="1"/>
  <c r="AP1307" i="1"/>
  <c r="AQ1307" i="1"/>
  <c r="AR1307" i="1"/>
  <c r="AS1307" i="1"/>
  <c r="AT1307" i="1"/>
  <c r="AP1308" i="1"/>
  <c r="AQ1308" i="1"/>
  <c r="AR1308" i="1"/>
  <c r="AS1308" i="1"/>
  <c r="AT1308" i="1"/>
  <c r="AP1309" i="1"/>
  <c r="AQ1309" i="1"/>
  <c r="AR1309" i="1"/>
  <c r="AS1309" i="1"/>
  <c r="AT1309" i="1"/>
  <c r="AP1310" i="1"/>
  <c r="AQ1310" i="1"/>
  <c r="AR1310" i="1"/>
  <c r="AS1310" i="1"/>
  <c r="AT1310" i="1"/>
  <c r="AP1311" i="1"/>
  <c r="AQ1311" i="1"/>
  <c r="AR1311" i="1"/>
  <c r="AS1311" i="1"/>
  <c r="AT1311" i="1"/>
  <c r="AP1312" i="1"/>
  <c r="AQ1312" i="1"/>
  <c r="AR1312" i="1"/>
  <c r="AS1312" i="1"/>
  <c r="AT1312" i="1"/>
  <c r="AP1313" i="1"/>
  <c r="AQ1313" i="1"/>
  <c r="AR1313" i="1"/>
  <c r="AS1313" i="1"/>
  <c r="AT1313" i="1"/>
  <c r="AP1314" i="1"/>
  <c r="AQ1314" i="1"/>
  <c r="AR1314" i="1"/>
  <c r="AS1314" i="1"/>
  <c r="AT1314" i="1"/>
  <c r="AP1315" i="1"/>
  <c r="AQ1315" i="1"/>
  <c r="AR1315" i="1"/>
  <c r="AS1315" i="1"/>
  <c r="AT1315" i="1"/>
  <c r="AP1316" i="1"/>
  <c r="AQ1316" i="1"/>
  <c r="AR1316" i="1"/>
  <c r="AS1316" i="1"/>
  <c r="AT1316" i="1"/>
  <c r="AP1317" i="1"/>
  <c r="AQ1317" i="1"/>
  <c r="AR1317" i="1"/>
  <c r="AS1317" i="1"/>
  <c r="AT1317" i="1"/>
  <c r="AP1318" i="1"/>
  <c r="AQ1318" i="1"/>
  <c r="AR1318" i="1"/>
  <c r="AS1318" i="1"/>
  <c r="AT1318" i="1"/>
  <c r="AP1319" i="1"/>
  <c r="AQ1319" i="1"/>
  <c r="AR1319" i="1"/>
  <c r="AS1319" i="1"/>
  <c r="AT1319" i="1"/>
  <c r="AP1320" i="1"/>
  <c r="AQ1320" i="1"/>
  <c r="AR1320" i="1"/>
  <c r="AS1320" i="1"/>
  <c r="AT1320" i="1"/>
  <c r="AP1321" i="1"/>
  <c r="AQ1321" i="1"/>
  <c r="AR1321" i="1"/>
  <c r="AS1321" i="1"/>
  <c r="AT1321" i="1"/>
  <c r="AP1322" i="1"/>
  <c r="AQ1322" i="1"/>
  <c r="AR1322" i="1"/>
  <c r="AS1322" i="1"/>
  <c r="AT1322" i="1"/>
  <c r="AP1323" i="1"/>
  <c r="AQ1323" i="1"/>
  <c r="AR1323" i="1"/>
  <c r="AS1323" i="1"/>
  <c r="AT1323" i="1"/>
  <c r="AP1324" i="1"/>
  <c r="AQ1324" i="1"/>
  <c r="AR1324" i="1"/>
  <c r="AS1324" i="1"/>
  <c r="AT1324" i="1"/>
  <c r="AP1325" i="1"/>
  <c r="AQ1325" i="1"/>
  <c r="AR1325" i="1"/>
  <c r="AS1325" i="1"/>
  <c r="AT1325" i="1"/>
  <c r="AP1326" i="1"/>
  <c r="AQ1326" i="1"/>
  <c r="AR1326" i="1"/>
  <c r="AS1326" i="1"/>
  <c r="AT1326" i="1"/>
  <c r="AP1327" i="1"/>
  <c r="AQ1327" i="1"/>
  <c r="AR1327" i="1"/>
  <c r="AS1327" i="1"/>
  <c r="AT1327" i="1"/>
  <c r="AP1328" i="1"/>
  <c r="AQ1328" i="1"/>
  <c r="AR1328" i="1"/>
  <c r="AS1328" i="1"/>
  <c r="AT1328" i="1"/>
  <c r="AP1329" i="1"/>
  <c r="AQ1329" i="1"/>
  <c r="AR1329" i="1"/>
  <c r="AS1329" i="1"/>
  <c r="AT1329" i="1"/>
  <c r="AP1330" i="1"/>
  <c r="AQ1330" i="1"/>
  <c r="AR1330" i="1"/>
  <c r="AS1330" i="1"/>
  <c r="AT1330" i="1"/>
  <c r="AP1331" i="1"/>
  <c r="AQ1331" i="1"/>
  <c r="AR1331" i="1"/>
  <c r="AS1331" i="1"/>
  <c r="AT1331" i="1"/>
  <c r="AP1332" i="1"/>
  <c r="AQ1332" i="1"/>
  <c r="AR1332" i="1"/>
  <c r="AS1332" i="1"/>
  <c r="AT1332" i="1"/>
  <c r="AP1333" i="1"/>
  <c r="AQ1333" i="1"/>
  <c r="AR1333" i="1"/>
  <c r="AS1333" i="1"/>
  <c r="AT1333" i="1"/>
  <c r="AP1334" i="1"/>
  <c r="AQ1334" i="1"/>
  <c r="AR1334" i="1"/>
  <c r="AS1334" i="1"/>
  <c r="AT1334" i="1"/>
  <c r="AP1335" i="1"/>
  <c r="AQ1335" i="1"/>
  <c r="AR1335" i="1"/>
  <c r="AS1335" i="1"/>
  <c r="AT1335" i="1"/>
  <c r="AP1336" i="1"/>
  <c r="AQ1336" i="1"/>
  <c r="AR1336" i="1"/>
  <c r="AS1336" i="1"/>
  <c r="AT1336" i="1"/>
  <c r="AP1337" i="1"/>
  <c r="AQ1337" i="1"/>
  <c r="AR1337" i="1"/>
  <c r="AS1337" i="1"/>
  <c r="AT1337" i="1"/>
  <c r="AP1338" i="1"/>
  <c r="AQ1338" i="1"/>
  <c r="AR1338" i="1"/>
  <c r="AS1338" i="1"/>
  <c r="AT1338" i="1"/>
  <c r="AP1339" i="1"/>
  <c r="AQ1339" i="1"/>
  <c r="AR1339" i="1"/>
  <c r="AS1339" i="1"/>
  <c r="AT1339" i="1"/>
  <c r="AP1341" i="1"/>
  <c r="AQ1341" i="1"/>
  <c r="AR1341" i="1"/>
  <c r="AS1341" i="1"/>
  <c r="AT1341" i="1"/>
  <c r="AP1342" i="1"/>
  <c r="AQ1342" i="1"/>
  <c r="AR1342" i="1"/>
  <c r="AS1342" i="1"/>
  <c r="AT1342" i="1"/>
  <c r="AP1343" i="1"/>
  <c r="AQ1343" i="1"/>
  <c r="AR1343" i="1"/>
  <c r="AS1343" i="1"/>
  <c r="AT1343" i="1"/>
  <c r="AP1344" i="1"/>
  <c r="AQ1344" i="1"/>
  <c r="AR1344" i="1"/>
  <c r="AS1344" i="1"/>
  <c r="AT1344" i="1"/>
  <c r="AP1345" i="1"/>
  <c r="AQ1345" i="1"/>
  <c r="AR1345" i="1"/>
  <c r="AS1345" i="1"/>
  <c r="AT1345" i="1"/>
  <c r="AP1346" i="1"/>
  <c r="AQ1346" i="1"/>
  <c r="AR1346" i="1"/>
  <c r="AS1346" i="1"/>
  <c r="AT1346" i="1"/>
  <c r="AP1347" i="1"/>
  <c r="AQ1347" i="1"/>
  <c r="AR1347" i="1"/>
  <c r="AS1347" i="1"/>
  <c r="AT1347" i="1"/>
  <c r="AP1348" i="1"/>
  <c r="AQ1348" i="1"/>
  <c r="AR1348" i="1"/>
  <c r="AS1348" i="1"/>
  <c r="AT1348" i="1"/>
  <c r="AP1349" i="1"/>
  <c r="AQ1349" i="1"/>
  <c r="AR1349" i="1"/>
  <c r="AS1349" i="1"/>
  <c r="AT1349" i="1"/>
  <c r="AP1350" i="1"/>
  <c r="AQ1350" i="1"/>
  <c r="AR1350" i="1"/>
  <c r="AS1350" i="1"/>
  <c r="AT1350" i="1"/>
  <c r="AP1351" i="1"/>
  <c r="AQ1351" i="1"/>
  <c r="AR1351" i="1"/>
  <c r="AS1351" i="1"/>
  <c r="AT1351" i="1"/>
  <c r="AP1352" i="1"/>
  <c r="AQ1352" i="1"/>
  <c r="AR1352" i="1"/>
  <c r="AS1352" i="1"/>
  <c r="AT1352" i="1"/>
  <c r="AP1353" i="1"/>
  <c r="AQ1353" i="1"/>
  <c r="AR1353" i="1"/>
  <c r="AS1353" i="1"/>
  <c r="AT1353" i="1"/>
  <c r="AP1354" i="1"/>
  <c r="AQ1354" i="1"/>
  <c r="AR1354" i="1"/>
  <c r="AS1354" i="1"/>
  <c r="AT1354" i="1"/>
  <c r="AP1355" i="1"/>
  <c r="AQ1355" i="1"/>
  <c r="AR1355" i="1"/>
  <c r="AS1355" i="1"/>
  <c r="AT1355" i="1"/>
  <c r="AP1356" i="1"/>
  <c r="AQ1356" i="1"/>
  <c r="AR1356" i="1"/>
  <c r="AS1356" i="1"/>
  <c r="AT1356" i="1"/>
  <c r="AP1357" i="1"/>
  <c r="AQ1357" i="1"/>
  <c r="AR1357" i="1"/>
  <c r="AS1357" i="1"/>
  <c r="AT1357" i="1"/>
  <c r="AP1358" i="1"/>
  <c r="AQ1358" i="1"/>
  <c r="AR1358" i="1"/>
  <c r="AS1358" i="1"/>
  <c r="AT1358" i="1"/>
  <c r="AP1359" i="1"/>
  <c r="AQ1359" i="1"/>
  <c r="AR1359" i="1"/>
  <c r="AS1359" i="1"/>
  <c r="AT1359" i="1"/>
  <c r="AP1360" i="1"/>
  <c r="AQ1360" i="1"/>
  <c r="AR1360" i="1"/>
  <c r="AS1360" i="1"/>
  <c r="AT1360" i="1"/>
  <c r="AP1361" i="1"/>
  <c r="AQ1361" i="1"/>
  <c r="AR1361" i="1"/>
  <c r="AS1361" i="1"/>
  <c r="AT1361" i="1"/>
  <c r="AP1362" i="1"/>
  <c r="AQ1362" i="1"/>
  <c r="AR1362" i="1"/>
  <c r="AS1362" i="1"/>
  <c r="AT1362" i="1"/>
  <c r="AP1363" i="1"/>
  <c r="AQ1363" i="1"/>
  <c r="AR1363" i="1"/>
  <c r="AS1363" i="1"/>
  <c r="AT1363" i="1"/>
  <c r="AP1364" i="1"/>
  <c r="AQ1364" i="1"/>
  <c r="AR1364" i="1"/>
  <c r="AS1364" i="1"/>
  <c r="AT1364" i="1"/>
  <c r="AP1365" i="1"/>
  <c r="AQ1365" i="1"/>
  <c r="AR1365" i="1"/>
  <c r="AS1365" i="1"/>
  <c r="AT1365" i="1"/>
  <c r="AP1366" i="1"/>
  <c r="AQ1366" i="1"/>
  <c r="AR1366" i="1"/>
  <c r="AS1366" i="1"/>
  <c r="AT1366" i="1"/>
  <c r="AP1367" i="1"/>
  <c r="AQ1367" i="1"/>
  <c r="AR1367" i="1"/>
  <c r="AS1367" i="1"/>
  <c r="AT1367" i="1"/>
  <c r="AP1368" i="1"/>
  <c r="AQ1368" i="1"/>
  <c r="AR1368" i="1"/>
  <c r="AS1368" i="1"/>
  <c r="AT1368" i="1"/>
  <c r="AP1369" i="1"/>
  <c r="AQ1369" i="1"/>
  <c r="AR1369" i="1"/>
  <c r="AS1369" i="1"/>
  <c r="AT1369" i="1"/>
  <c r="AP1370" i="1"/>
  <c r="AQ1370" i="1"/>
  <c r="AR1370" i="1"/>
  <c r="AS1370" i="1"/>
  <c r="AT1370" i="1"/>
  <c r="AP1371" i="1"/>
  <c r="AQ1371" i="1"/>
  <c r="AR1371" i="1"/>
  <c r="AS1371" i="1"/>
  <c r="AT1371" i="1"/>
  <c r="AP1372" i="1"/>
  <c r="AQ1372" i="1"/>
  <c r="AR1372" i="1"/>
  <c r="AS1372" i="1"/>
  <c r="AT1372" i="1"/>
  <c r="AP1373" i="1"/>
  <c r="AQ1373" i="1"/>
  <c r="AR1373" i="1"/>
  <c r="AS1373" i="1"/>
  <c r="AT1373" i="1"/>
  <c r="AP1374" i="1"/>
  <c r="AQ1374" i="1"/>
  <c r="AR1374" i="1"/>
  <c r="AS1374" i="1"/>
  <c r="AT1374" i="1"/>
  <c r="AP1375" i="1"/>
  <c r="AQ1375" i="1"/>
  <c r="AR1375" i="1"/>
  <c r="AS1375" i="1"/>
  <c r="AT1375" i="1"/>
  <c r="AP1376" i="1"/>
  <c r="AQ1376" i="1"/>
  <c r="AR1376" i="1"/>
  <c r="AS1376" i="1"/>
  <c r="AT1376" i="1"/>
  <c r="AP1377" i="1"/>
  <c r="AQ1377" i="1"/>
  <c r="AR1377" i="1"/>
  <c r="AS1377" i="1"/>
  <c r="AT1377" i="1"/>
  <c r="AP1378" i="1"/>
  <c r="AQ1378" i="1"/>
  <c r="AR1378" i="1"/>
  <c r="AS1378" i="1"/>
  <c r="AT1378" i="1"/>
  <c r="AP1379" i="1"/>
  <c r="AQ1379" i="1"/>
  <c r="AR1379" i="1"/>
  <c r="AS1379" i="1"/>
  <c r="AT1379" i="1"/>
  <c r="AP1380" i="1"/>
  <c r="AQ1380" i="1"/>
  <c r="AR1380" i="1"/>
  <c r="AS1380" i="1"/>
  <c r="AT1380" i="1"/>
  <c r="AP1381" i="1"/>
  <c r="AQ1381" i="1"/>
  <c r="AR1381" i="1"/>
  <c r="AS1381" i="1"/>
  <c r="AT1381" i="1"/>
  <c r="AP1382" i="1"/>
  <c r="AQ1382" i="1"/>
  <c r="AR1382" i="1"/>
  <c r="AS1382" i="1"/>
  <c r="AT1382" i="1"/>
  <c r="AP1383" i="1"/>
  <c r="AQ1383" i="1"/>
  <c r="AR1383" i="1"/>
  <c r="AS1383" i="1"/>
  <c r="AT1383" i="1"/>
  <c r="AP1384" i="1"/>
  <c r="AQ1384" i="1"/>
  <c r="AR1384" i="1"/>
  <c r="AS1384" i="1"/>
  <c r="AT1384" i="1"/>
  <c r="AP1385" i="1"/>
  <c r="AQ1385" i="1"/>
  <c r="AR1385" i="1"/>
  <c r="AS1385" i="1"/>
  <c r="AT1385" i="1"/>
  <c r="AP1386" i="1"/>
  <c r="AQ1386" i="1"/>
  <c r="AR1386" i="1"/>
  <c r="AS1386" i="1"/>
  <c r="AT1386" i="1"/>
  <c r="AP1387" i="1"/>
  <c r="AQ1387" i="1"/>
  <c r="AR1387" i="1"/>
  <c r="AS1387" i="1"/>
  <c r="AT1387" i="1"/>
  <c r="AP1388" i="1"/>
  <c r="AQ1388" i="1"/>
  <c r="AR1388" i="1"/>
  <c r="AS1388" i="1"/>
  <c r="AT1388" i="1"/>
  <c r="AP1389" i="1"/>
  <c r="AQ1389" i="1"/>
  <c r="AR1389" i="1"/>
  <c r="AS1389" i="1"/>
  <c r="AT1389" i="1"/>
  <c r="AP1390" i="1"/>
  <c r="AQ1390" i="1"/>
  <c r="AR1390" i="1"/>
  <c r="AS1390" i="1"/>
  <c r="AT1390" i="1"/>
  <c r="AP1391" i="1"/>
  <c r="AQ1391" i="1"/>
  <c r="AR1391" i="1"/>
  <c r="AS1391" i="1"/>
  <c r="AT1391" i="1"/>
  <c r="AP1392" i="1"/>
  <c r="AQ1392" i="1"/>
  <c r="AR1392" i="1"/>
  <c r="AS1392" i="1"/>
  <c r="AT1392" i="1"/>
  <c r="AP1393" i="1"/>
  <c r="AQ1393" i="1"/>
  <c r="AR1393" i="1"/>
  <c r="AS1393" i="1"/>
  <c r="AT1393" i="1"/>
  <c r="AP1394" i="1"/>
  <c r="AQ1394" i="1"/>
  <c r="AR1394" i="1"/>
  <c r="AS1394" i="1"/>
  <c r="AT1394" i="1"/>
  <c r="AP1395" i="1"/>
  <c r="AQ1395" i="1"/>
  <c r="AR1395" i="1"/>
  <c r="AS1395" i="1"/>
  <c r="AT1395" i="1"/>
  <c r="AP1396" i="1"/>
  <c r="AQ1396" i="1"/>
  <c r="AR1396" i="1"/>
  <c r="AS1396" i="1"/>
  <c r="AT1396" i="1"/>
  <c r="AP1397" i="1"/>
  <c r="AQ1397" i="1"/>
  <c r="AR1397" i="1"/>
  <c r="AS1397" i="1"/>
  <c r="AT1397" i="1"/>
  <c r="AP1398" i="1"/>
  <c r="AQ1398" i="1"/>
  <c r="AR1398" i="1"/>
  <c r="AS1398" i="1"/>
  <c r="AT1398" i="1"/>
  <c r="AP1399" i="1"/>
  <c r="AQ1399" i="1"/>
  <c r="AR1399" i="1"/>
  <c r="AS1399" i="1"/>
  <c r="AT1399" i="1"/>
  <c r="AP1400" i="1"/>
  <c r="AQ1400" i="1"/>
  <c r="AR1400" i="1"/>
  <c r="AS1400" i="1"/>
  <c r="AT1400" i="1"/>
  <c r="AP1401" i="1"/>
  <c r="AQ1401" i="1"/>
  <c r="AR1401" i="1"/>
  <c r="AS1401" i="1"/>
  <c r="AT1401" i="1"/>
  <c r="AP1402" i="1"/>
  <c r="AQ1402" i="1"/>
  <c r="AR1402" i="1"/>
  <c r="AS1402" i="1"/>
  <c r="AT1402" i="1"/>
  <c r="AP1403" i="1"/>
  <c r="AQ1403" i="1"/>
  <c r="AR1403" i="1"/>
  <c r="AS1403" i="1"/>
  <c r="AT1403" i="1"/>
  <c r="AP1404" i="1"/>
  <c r="AQ1404" i="1"/>
  <c r="AR1404" i="1"/>
  <c r="AS1404" i="1"/>
  <c r="AT1404" i="1"/>
  <c r="AP1405" i="1"/>
  <c r="AQ1405" i="1"/>
  <c r="AR1405" i="1"/>
  <c r="AS1405" i="1"/>
  <c r="AT1405" i="1"/>
  <c r="AP1406" i="1"/>
  <c r="AQ1406" i="1"/>
  <c r="AR1406" i="1"/>
  <c r="AS1406" i="1"/>
  <c r="AT1406" i="1"/>
  <c r="AP1407" i="1"/>
  <c r="AQ1407" i="1"/>
  <c r="AR1407" i="1"/>
  <c r="AS1407" i="1"/>
  <c r="AT1407" i="1"/>
  <c r="AP1408" i="1"/>
  <c r="AQ1408" i="1"/>
  <c r="AR1408" i="1"/>
  <c r="AS1408" i="1"/>
  <c r="AT1408" i="1"/>
  <c r="AP1409" i="1"/>
  <c r="AQ1409" i="1"/>
  <c r="AR1409" i="1"/>
  <c r="AS1409" i="1"/>
  <c r="AT1409" i="1"/>
  <c r="AP1410" i="1"/>
  <c r="AQ1410" i="1"/>
  <c r="AR1410" i="1"/>
  <c r="AS1410" i="1"/>
  <c r="AT1410" i="1"/>
  <c r="AP1411" i="1"/>
  <c r="AQ1411" i="1"/>
  <c r="AR1411" i="1"/>
  <c r="AS1411" i="1"/>
  <c r="AT1411" i="1"/>
  <c r="AP1412" i="1"/>
  <c r="AQ1412" i="1"/>
  <c r="AR1412" i="1"/>
  <c r="AS1412" i="1"/>
  <c r="AT1412" i="1"/>
  <c r="AP1413" i="1"/>
  <c r="AQ1413" i="1"/>
  <c r="AR1413" i="1"/>
  <c r="AS1413" i="1"/>
  <c r="AT1413" i="1"/>
  <c r="AP1414" i="1"/>
  <c r="AQ1414" i="1"/>
  <c r="AR1414" i="1"/>
  <c r="AS1414" i="1"/>
  <c r="AT1414" i="1"/>
  <c r="AP1415" i="1"/>
  <c r="AQ1415" i="1"/>
  <c r="AR1415" i="1"/>
  <c r="AS1415" i="1"/>
  <c r="AT1415" i="1"/>
  <c r="AP1416" i="1"/>
  <c r="AQ1416" i="1"/>
  <c r="AR1416" i="1"/>
  <c r="AS1416" i="1"/>
  <c r="AT1416" i="1"/>
  <c r="AP1417" i="1"/>
  <c r="AQ1417" i="1"/>
  <c r="AR1417" i="1"/>
  <c r="AS1417" i="1"/>
  <c r="AT1417" i="1"/>
  <c r="AP1418" i="1"/>
  <c r="AQ1418" i="1"/>
  <c r="AR1418" i="1"/>
  <c r="AS1418" i="1"/>
  <c r="AT1418" i="1"/>
  <c r="AP1419" i="1"/>
  <c r="AQ1419" i="1"/>
  <c r="AR1419" i="1"/>
  <c r="AS1419" i="1"/>
  <c r="AT1419" i="1"/>
  <c r="AP1420" i="1"/>
  <c r="AQ1420" i="1"/>
  <c r="AR1420" i="1"/>
  <c r="AS1420" i="1"/>
  <c r="AT1420" i="1"/>
  <c r="AP1421" i="1"/>
  <c r="AQ1421" i="1"/>
  <c r="AR1421" i="1"/>
  <c r="AS1421" i="1"/>
  <c r="AT1421" i="1"/>
  <c r="AP1422" i="1"/>
  <c r="AQ1422" i="1"/>
  <c r="AR1422" i="1"/>
  <c r="AS1422" i="1"/>
  <c r="AT1422" i="1"/>
  <c r="AP1423" i="1"/>
  <c r="AQ1423" i="1"/>
  <c r="AR1423" i="1"/>
  <c r="AS1423" i="1"/>
  <c r="AT1423" i="1"/>
  <c r="AP1424" i="1"/>
  <c r="AQ1424" i="1"/>
  <c r="AR1424" i="1"/>
  <c r="AS1424" i="1"/>
  <c r="AT1424" i="1"/>
  <c r="AP1425" i="1"/>
  <c r="AQ1425" i="1"/>
  <c r="AR1425" i="1"/>
  <c r="AS1425" i="1"/>
  <c r="AT1425" i="1"/>
  <c r="AP1426" i="1"/>
  <c r="AQ1426" i="1"/>
  <c r="AR1426" i="1"/>
  <c r="AS1426" i="1"/>
  <c r="AT1426" i="1"/>
  <c r="AP1427" i="1"/>
  <c r="AQ1427" i="1"/>
  <c r="AR1427" i="1"/>
  <c r="AS1427" i="1"/>
  <c r="AT1427" i="1"/>
  <c r="AP1428" i="1"/>
  <c r="AQ1428" i="1"/>
  <c r="AR1428" i="1"/>
  <c r="AS1428" i="1"/>
  <c r="AT1428" i="1"/>
  <c r="AP1429" i="1"/>
  <c r="AQ1429" i="1"/>
  <c r="AR1429" i="1"/>
  <c r="AS1429" i="1"/>
  <c r="AT1429" i="1"/>
  <c r="AP1430" i="1"/>
  <c r="AQ1430" i="1"/>
  <c r="AR1430" i="1"/>
  <c r="AS1430" i="1"/>
  <c r="AT1430" i="1"/>
  <c r="AP1431" i="1"/>
  <c r="AQ1431" i="1"/>
  <c r="AR1431" i="1"/>
  <c r="AS1431" i="1"/>
  <c r="AT1431" i="1"/>
  <c r="AP1432" i="1"/>
  <c r="AQ1432" i="1"/>
  <c r="AR1432" i="1"/>
  <c r="AS1432" i="1"/>
  <c r="AT1432" i="1"/>
  <c r="AP1433" i="1"/>
  <c r="AQ1433" i="1"/>
  <c r="AR1433" i="1"/>
  <c r="AS1433" i="1"/>
  <c r="AT1433" i="1"/>
  <c r="AP1434" i="1"/>
  <c r="AQ1434" i="1"/>
  <c r="AR1434" i="1"/>
  <c r="AS1434" i="1"/>
  <c r="AT1434" i="1"/>
  <c r="AP1435" i="1"/>
  <c r="AQ1435" i="1"/>
  <c r="AR1435" i="1"/>
  <c r="AS1435" i="1"/>
  <c r="AT1435" i="1"/>
  <c r="AP1436" i="1"/>
  <c r="AQ1436" i="1"/>
  <c r="AR1436" i="1"/>
  <c r="AS1436" i="1"/>
  <c r="AT1436" i="1"/>
  <c r="AP1437" i="1"/>
  <c r="AQ1437" i="1"/>
  <c r="AR1437" i="1"/>
  <c r="AS1437" i="1"/>
  <c r="AT1437" i="1"/>
  <c r="AP1438" i="1"/>
  <c r="AQ1438" i="1"/>
  <c r="AR1438" i="1"/>
  <c r="AS1438" i="1"/>
  <c r="AT1438" i="1"/>
  <c r="AP1439" i="1"/>
  <c r="AQ1439" i="1"/>
  <c r="AR1439" i="1"/>
  <c r="AS1439" i="1"/>
  <c r="AT1439" i="1"/>
  <c r="AP1440" i="1"/>
  <c r="AQ1440" i="1"/>
  <c r="AR1440" i="1"/>
  <c r="AS1440" i="1"/>
  <c r="AT1440" i="1"/>
  <c r="AP1441" i="1"/>
  <c r="AQ1441" i="1"/>
  <c r="AR1441" i="1"/>
  <c r="AS1441" i="1"/>
  <c r="AT1441" i="1"/>
  <c r="AP1442" i="1"/>
  <c r="AQ1442" i="1"/>
  <c r="AR1442" i="1"/>
  <c r="AS1442" i="1"/>
  <c r="AT1442" i="1"/>
  <c r="AP1443" i="1"/>
  <c r="AQ1443" i="1"/>
  <c r="AR1443" i="1"/>
  <c r="AS1443" i="1"/>
  <c r="AT1443" i="1"/>
  <c r="AP1444" i="1"/>
  <c r="AQ1444" i="1"/>
  <c r="AR1444" i="1"/>
  <c r="AS1444" i="1"/>
  <c r="AT1444" i="1"/>
  <c r="AP1445" i="1"/>
  <c r="AQ1445" i="1"/>
  <c r="AR1445" i="1"/>
  <c r="AS1445" i="1"/>
  <c r="AT1445" i="1"/>
  <c r="AP1446" i="1"/>
  <c r="AQ1446" i="1"/>
  <c r="AR1446" i="1"/>
  <c r="AS1446" i="1"/>
  <c r="AT1446" i="1"/>
  <c r="AP1447" i="1"/>
  <c r="AQ1447" i="1"/>
  <c r="AR1447" i="1"/>
  <c r="AS1447" i="1"/>
  <c r="AT1447" i="1"/>
  <c r="AP1448" i="1"/>
  <c r="AQ1448" i="1"/>
  <c r="AR1448" i="1"/>
  <c r="AS1448" i="1"/>
  <c r="AT1448" i="1"/>
  <c r="AP1449" i="1"/>
  <c r="AQ1449" i="1"/>
  <c r="AR1449" i="1"/>
  <c r="AS1449" i="1"/>
  <c r="AT1449" i="1"/>
  <c r="AP1450" i="1"/>
  <c r="AQ1450" i="1"/>
  <c r="AR1450" i="1"/>
  <c r="AS1450" i="1"/>
  <c r="AT1450" i="1"/>
  <c r="AP1451" i="1"/>
  <c r="AQ1451" i="1"/>
  <c r="AR1451" i="1"/>
  <c r="AS1451" i="1"/>
  <c r="AT1451" i="1"/>
  <c r="AP1452" i="1"/>
  <c r="AQ1452" i="1"/>
  <c r="AR1452" i="1"/>
  <c r="AS1452" i="1"/>
  <c r="AT1452" i="1"/>
  <c r="AP1453" i="1"/>
  <c r="AQ1453" i="1"/>
  <c r="AR1453" i="1"/>
  <c r="AS1453" i="1"/>
  <c r="AT1453" i="1"/>
  <c r="AP1454" i="1"/>
  <c r="AQ1454" i="1"/>
  <c r="AR1454" i="1"/>
  <c r="AS1454" i="1"/>
  <c r="AT1454" i="1"/>
  <c r="AP1455" i="1"/>
  <c r="AQ1455" i="1"/>
  <c r="AR1455" i="1"/>
  <c r="AS1455" i="1"/>
  <c r="AT1455" i="1"/>
  <c r="AP1456" i="1"/>
  <c r="AQ1456" i="1"/>
  <c r="AR1456" i="1"/>
  <c r="AS1456" i="1"/>
  <c r="AT1456" i="1"/>
  <c r="AP1457" i="1"/>
  <c r="AQ1457" i="1"/>
  <c r="AR1457" i="1"/>
  <c r="AS1457" i="1"/>
  <c r="AT1457" i="1"/>
  <c r="AP1458" i="1"/>
  <c r="AQ1458" i="1"/>
  <c r="AR1458" i="1"/>
  <c r="AS1458" i="1"/>
  <c r="AT1458" i="1"/>
  <c r="AP1459" i="1"/>
  <c r="AQ1459" i="1"/>
  <c r="AR1459" i="1"/>
  <c r="AS1459" i="1"/>
  <c r="AT1459" i="1"/>
  <c r="AP1460" i="1"/>
  <c r="AQ1460" i="1"/>
  <c r="AR1460" i="1"/>
  <c r="AS1460" i="1"/>
  <c r="AT1460" i="1"/>
  <c r="AP1461" i="1"/>
  <c r="AQ1461" i="1"/>
  <c r="AR1461" i="1"/>
  <c r="AS1461" i="1"/>
  <c r="AT1461" i="1"/>
  <c r="AP1462" i="1"/>
  <c r="AQ1462" i="1"/>
  <c r="AR1462" i="1"/>
  <c r="AS1462" i="1"/>
  <c r="AT1462" i="1"/>
  <c r="AP1463" i="1"/>
  <c r="AQ1463" i="1"/>
  <c r="AR1463" i="1"/>
  <c r="AS1463" i="1"/>
  <c r="AT1463" i="1"/>
  <c r="AP1464" i="1"/>
  <c r="AQ1464" i="1"/>
  <c r="AR1464" i="1"/>
  <c r="AS1464" i="1"/>
  <c r="AT1464" i="1"/>
  <c r="AP1465" i="1"/>
  <c r="AQ1465" i="1"/>
  <c r="AR1465" i="1"/>
  <c r="AS1465" i="1"/>
  <c r="AT1465" i="1"/>
  <c r="AP1466" i="1"/>
  <c r="AQ1466" i="1"/>
  <c r="AR1466" i="1"/>
  <c r="AS1466" i="1"/>
  <c r="AT1466" i="1"/>
  <c r="AP1467" i="1"/>
  <c r="AQ1467" i="1"/>
  <c r="AR1467" i="1"/>
  <c r="AS1467" i="1"/>
  <c r="AT1467" i="1"/>
  <c r="AP1468" i="1"/>
  <c r="AQ1468" i="1"/>
  <c r="AR1468" i="1"/>
  <c r="AS1468" i="1"/>
  <c r="AT1468" i="1"/>
  <c r="AP1469" i="1"/>
  <c r="AQ1469" i="1"/>
  <c r="AR1469" i="1"/>
  <c r="AS1469" i="1"/>
  <c r="AT1469" i="1"/>
  <c r="AP1470" i="1"/>
  <c r="AQ1470" i="1"/>
  <c r="AR1470" i="1"/>
  <c r="AS1470" i="1"/>
  <c r="AT1470" i="1"/>
  <c r="AP1471" i="1"/>
  <c r="AQ1471" i="1"/>
  <c r="AR1471" i="1"/>
  <c r="AS1471" i="1"/>
  <c r="AT1471" i="1"/>
  <c r="AP1472" i="1"/>
  <c r="AQ1472" i="1"/>
  <c r="AR1472" i="1"/>
  <c r="AS1472" i="1"/>
  <c r="AT1472" i="1"/>
  <c r="AP1473" i="1"/>
  <c r="AQ1473" i="1"/>
  <c r="AR1473" i="1"/>
  <c r="AS1473" i="1"/>
  <c r="AT1473" i="1"/>
  <c r="AP1474" i="1"/>
  <c r="AQ1474" i="1"/>
  <c r="AR1474" i="1"/>
  <c r="AS1474" i="1"/>
  <c r="AT1474" i="1"/>
  <c r="AP1475" i="1"/>
  <c r="AQ1475" i="1"/>
  <c r="AR1475" i="1"/>
  <c r="AS1475" i="1"/>
  <c r="AT1475" i="1"/>
  <c r="AP1476" i="1"/>
  <c r="AQ1476" i="1"/>
  <c r="AR1476" i="1"/>
  <c r="AS1476" i="1"/>
  <c r="AT1476" i="1"/>
  <c r="AP1477" i="1"/>
  <c r="AQ1477" i="1"/>
  <c r="AR1477" i="1"/>
  <c r="AS1477" i="1"/>
  <c r="AT1477" i="1"/>
  <c r="AP1478" i="1"/>
  <c r="AQ1478" i="1"/>
  <c r="AR1478" i="1"/>
  <c r="AS1478" i="1"/>
  <c r="AT1478" i="1"/>
  <c r="AP1479" i="1"/>
  <c r="AQ1479" i="1"/>
  <c r="AR1479" i="1"/>
  <c r="AS1479" i="1"/>
  <c r="AT1479" i="1"/>
  <c r="AP1480" i="1"/>
  <c r="AQ1480" i="1"/>
  <c r="AR1480" i="1"/>
  <c r="AS1480" i="1"/>
  <c r="AT1480" i="1"/>
  <c r="AP1481" i="1"/>
  <c r="AQ1481" i="1"/>
  <c r="AR1481" i="1"/>
  <c r="AS1481" i="1"/>
  <c r="AT1481" i="1"/>
  <c r="AP1482" i="1"/>
  <c r="AQ1482" i="1"/>
  <c r="AR1482" i="1"/>
  <c r="AS1482" i="1"/>
  <c r="AT1482" i="1"/>
  <c r="AP1483" i="1"/>
  <c r="AQ1483" i="1"/>
  <c r="AR1483" i="1"/>
  <c r="AS1483" i="1"/>
  <c r="AT1483" i="1"/>
  <c r="AP1484" i="1"/>
  <c r="AQ1484" i="1"/>
  <c r="AR1484" i="1"/>
  <c r="AS1484" i="1"/>
  <c r="AT1484" i="1"/>
  <c r="AP1485" i="1"/>
  <c r="AQ1485" i="1"/>
  <c r="AR1485" i="1"/>
  <c r="AS1485" i="1"/>
  <c r="AT1485" i="1"/>
  <c r="AP1486" i="1"/>
  <c r="AQ1486" i="1"/>
  <c r="AR1486" i="1"/>
  <c r="AS1486" i="1"/>
  <c r="AT1486" i="1"/>
  <c r="AP1487" i="1"/>
  <c r="AQ1487" i="1"/>
  <c r="AR1487" i="1"/>
  <c r="AS1487" i="1"/>
  <c r="AT1487" i="1"/>
  <c r="AP1488" i="1"/>
  <c r="AQ1488" i="1"/>
  <c r="AR1488" i="1"/>
  <c r="AS1488" i="1"/>
  <c r="AT1488" i="1"/>
  <c r="AP1489" i="1"/>
  <c r="AQ1489" i="1"/>
  <c r="AR1489" i="1"/>
  <c r="AS1489" i="1"/>
  <c r="AT1489" i="1"/>
  <c r="AP1490" i="1"/>
  <c r="AQ1490" i="1"/>
  <c r="AR1490" i="1"/>
  <c r="AS1490" i="1"/>
  <c r="AT1490" i="1"/>
  <c r="AP1491" i="1"/>
  <c r="AQ1491" i="1"/>
  <c r="AR1491" i="1"/>
  <c r="AS1491" i="1"/>
  <c r="AT1491" i="1"/>
  <c r="AP1492" i="1"/>
  <c r="AQ1492" i="1"/>
  <c r="AR1492" i="1"/>
  <c r="AS1492" i="1"/>
  <c r="AT1492" i="1"/>
  <c r="AP1493" i="1"/>
  <c r="AQ1493" i="1"/>
  <c r="AR1493" i="1"/>
  <c r="AS1493" i="1"/>
  <c r="AT1493" i="1"/>
  <c r="AP1494" i="1"/>
  <c r="AQ1494" i="1"/>
  <c r="AR1494" i="1"/>
  <c r="AS1494" i="1"/>
  <c r="AT1494" i="1"/>
  <c r="AP1495" i="1"/>
  <c r="AQ1495" i="1"/>
  <c r="AR1495" i="1"/>
  <c r="AS1495" i="1"/>
  <c r="AT1495" i="1"/>
  <c r="AP1496" i="1"/>
  <c r="AQ1496" i="1"/>
  <c r="AR1496" i="1"/>
  <c r="AS1496" i="1"/>
  <c r="AT1496" i="1"/>
  <c r="AP1497" i="1"/>
  <c r="AQ1497" i="1"/>
  <c r="AR1497" i="1"/>
  <c r="AS1497" i="1"/>
  <c r="AT1497" i="1"/>
  <c r="AP1498" i="1"/>
  <c r="AQ1498" i="1"/>
  <c r="AR1498" i="1"/>
  <c r="AS1498" i="1"/>
  <c r="AT1498" i="1"/>
  <c r="AP1499" i="1"/>
  <c r="AQ1499" i="1"/>
  <c r="AR1499" i="1"/>
  <c r="AS1499" i="1"/>
  <c r="AT1499" i="1"/>
  <c r="AP1500" i="1"/>
  <c r="AQ1500" i="1"/>
  <c r="AR1500" i="1"/>
  <c r="AS1500" i="1"/>
  <c r="AT1500" i="1"/>
  <c r="AP1501" i="1"/>
  <c r="AQ1501" i="1"/>
  <c r="AR1501" i="1"/>
  <c r="AS1501" i="1"/>
  <c r="AT1501" i="1"/>
  <c r="AP1502" i="1"/>
  <c r="AQ1502" i="1"/>
  <c r="AR1502" i="1"/>
  <c r="AS1502" i="1"/>
  <c r="AT1502" i="1"/>
  <c r="AP1503" i="1"/>
  <c r="AQ1503" i="1"/>
  <c r="AR1503" i="1"/>
  <c r="AS1503" i="1"/>
  <c r="AT1503" i="1"/>
  <c r="AP1504" i="1"/>
  <c r="AQ1504" i="1"/>
  <c r="AR1504" i="1"/>
  <c r="AS1504" i="1"/>
  <c r="AT1504" i="1"/>
  <c r="AP1505" i="1"/>
  <c r="AQ1505" i="1"/>
  <c r="AR1505" i="1"/>
  <c r="AS1505" i="1"/>
  <c r="AT1505" i="1"/>
  <c r="AP1506" i="1"/>
  <c r="AQ1506" i="1"/>
  <c r="AR1506" i="1"/>
  <c r="AS1506" i="1"/>
  <c r="AT1506" i="1"/>
  <c r="AP1507" i="1"/>
  <c r="AQ1507" i="1"/>
  <c r="AR1507" i="1"/>
  <c r="AS1507" i="1"/>
  <c r="AT1507" i="1"/>
  <c r="AP1508" i="1"/>
  <c r="AQ1508" i="1"/>
  <c r="AR1508" i="1"/>
  <c r="AS1508" i="1"/>
  <c r="AT1508" i="1"/>
  <c r="AP1509" i="1"/>
  <c r="AQ1509" i="1"/>
  <c r="AR1509" i="1"/>
  <c r="AS1509" i="1"/>
  <c r="AT1509" i="1"/>
  <c r="AP1510" i="1"/>
  <c r="AQ1510" i="1"/>
  <c r="AR1510" i="1"/>
  <c r="AS1510" i="1"/>
  <c r="AT1510" i="1"/>
  <c r="AP1511" i="1"/>
  <c r="AQ1511" i="1"/>
  <c r="AR1511" i="1"/>
  <c r="AS1511" i="1"/>
  <c r="AT1511" i="1"/>
  <c r="AP1512" i="1"/>
  <c r="AQ1512" i="1"/>
  <c r="AR1512" i="1"/>
  <c r="AS1512" i="1"/>
  <c r="AT1512" i="1"/>
  <c r="AP1513" i="1"/>
  <c r="AQ1513" i="1"/>
  <c r="AR1513" i="1"/>
  <c r="AS1513" i="1"/>
  <c r="AT1513" i="1"/>
  <c r="AP1514" i="1"/>
  <c r="AQ1514" i="1"/>
  <c r="AR1514" i="1"/>
  <c r="AS1514" i="1"/>
  <c r="AT1514" i="1"/>
  <c r="AP1515" i="1"/>
  <c r="AQ1515" i="1"/>
  <c r="AR1515" i="1"/>
  <c r="AS1515" i="1"/>
  <c r="AT1515" i="1"/>
  <c r="AP1516" i="1"/>
  <c r="AQ1516" i="1"/>
  <c r="AR1516" i="1"/>
  <c r="AS1516" i="1"/>
  <c r="AT1516" i="1"/>
  <c r="AP1517" i="1"/>
  <c r="AQ1517" i="1"/>
  <c r="AR1517" i="1"/>
  <c r="AS1517" i="1"/>
  <c r="AT1517" i="1"/>
  <c r="AP1518" i="1"/>
  <c r="AQ1518" i="1"/>
  <c r="AR1518" i="1"/>
  <c r="AS1518" i="1"/>
  <c r="AT1518" i="1"/>
  <c r="AP1519" i="1"/>
  <c r="AQ1519" i="1"/>
  <c r="AR1519" i="1"/>
  <c r="AS1519" i="1"/>
  <c r="AT1519" i="1"/>
  <c r="AP1520" i="1"/>
  <c r="AQ1520" i="1"/>
  <c r="AR1520" i="1"/>
  <c r="AS1520" i="1"/>
  <c r="AT1520" i="1"/>
  <c r="AP1521" i="1"/>
  <c r="AQ1521" i="1"/>
  <c r="AR1521" i="1"/>
  <c r="AS1521" i="1"/>
  <c r="AT1521" i="1"/>
  <c r="AP1522" i="1"/>
  <c r="AQ1522" i="1"/>
  <c r="AR1522" i="1"/>
  <c r="AS1522" i="1"/>
  <c r="AT1522" i="1"/>
  <c r="AP1523" i="1"/>
  <c r="AQ1523" i="1"/>
  <c r="AR1523" i="1"/>
  <c r="AS1523" i="1"/>
  <c r="AT1523" i="1"/>
  <c r="AP1524" i="1"/>
  <c r="AQ1524" i="1"/>
  <c r="AR1524" i="1"/>
  <c r="AS1524" i="1"/>
  <c r="AT1524" i="1"/>
  <c r="AP1525" i="1"/>
  <c r="AQ1525" i="1"/>
  <c r="AR1525" i="1"/>
  <c r="AS1525" i="1"/>
  <c r="AT1525" i="1"/>
  <c r="AP1526" i="1"/>
  <c r="AQ1526" i="1"/>
  <c r="AR1526" i="1"/>
  <c r="AS1526" i="1"/>
  <c r="AT1526" i="1"/>
  <c r="AP1527" i="1"/>
  <c r="AQ1527" i="1"/>
  <c r="AR1527" i="1"/>
  <c r="AS1527" i="1"/>
  <c r="AT1527" i="1"/>
  <c r="AP1528" i="1"/>
  <c r="AQ1528" i="1"/>
  <c r="AR1528" i="1"/>
  <c r="AS1528" i="1"/>
  <c r="AT1528" i="1"/>
  <c r="AP1529" i="1"/>
  <c r="AQ1529" i="1"/>
  <c r="AR1529" i="1"/>
  <c r="AS1529" i="1"/>
  <c r="AT1529" i="1"/>
  <c r="AP1530" i="1"/>
  <c r="AQ1530" i="1"/>
  <c r="AR1530" i="1"/>
  <c r="AS1530" i="1"/>
  <c r="AT1530" i="1"/>
  <c r="AP1531" i="1"/>
  <c r="AQ1531" i="1"/>
  <c r="AR1531" i="1"/>
  <c r="AS1531" i="1"/>
  <c r="AT1531" i="1"/>
  <c r="AP1533" i="1"/>
  <c r="AQ1533" i="1"/>
  <c r="AR1533" i="1"/>
  <c r="AS1533" i="1"/>
  <c r="AT1533" i="1"/>
  <c r="AP1534" i="1"/>
  <c r="AQ1534" i="1"/>
  <c r="AR1534" i="1"/>
  <c r="AS1534" i="1"/>
  <c r="AT1534" i="1"/>
  <c r="AP1535" i="1"/>
  <c r="AQ1535" i="1"/>
  <c r="AR1535" i="1"/>
  <c r="AS1535" i="1"/>
  <c r="AT1535" i="1"/>
  <c r="AP1536" i="1"/>
  <c r="AQ1536" i="1"/>
  <c r="AR1536" i="1"/>
  <c r="AS1536" i="1"/>
  <c r="AT1536" i="1"/>
  <c r="AP1537" i="1"/>
  <c r="AQ1537" i="1"/>
  <c r="AR1537" i="1"/>
  <c r="AS1537" i="1"/>
  <c r="AT1537" i="1"/>
  <c r="AP1538" i="1"/>
  <c r="AQ1538" i="1"/>
  <c r="AR1538" i="1"/>
  <c r="AS1538" i="1"/>
  <c r="AT1538" i="1"/>
  <c r="AP1539" i="1"/>
  <c r="AQ1539" i="1"/>
  <c r="AR1539" i="1"/>
  <c r="AS1539" i="1"/>
  <c r="AT1539" i="1"/>
  <c r="AP1540" i="1"/>
  <c r="AQ1540" i="1"/>
  <c r="AR1540" i="1"/>
  <c r="AS1540" i="1"/>
  <c r="AT1540" i="1"/>
  <c r="AP1541" i="1"/>
  <c r="AQ1541" i="1"/>
  <c r="AR1541" i="1"/>
  <c r="AS1541" i="1"/>
  <c r="AT1541" i="1"/>
  <c r="AP1542" i="1"/>
  <c r="AQ1542" i="1"/>
  <c r="AR1542" i="1"/>
  <c r="AS1542" i="1"/>
  <c r="AT1542" i="1"/>
  <c r="AP1543" i="1"/>
  <c r="AQ1543" i="1"/>
  <c r="AR1543" i="1"/>
  <c r="AS1543" i="1"/>
  <c r="AT1543" i="1"/>
  <c r="AP1544" i="1"/>
  <c r="AQ1544" i="1"/>
  <c r="AR1544" i="1"/>
  <c r="AS1544" i="1"/>
  <c r="AT1544" i="1"/>
  <c r="AP1545" i="1"/>
  <c r="AQ1545" i="1"/>
  <c r="AR1545" i="1"/>
  <c r="AS1545" i="1"/>
  <c r="AT1545" i="1"/>
  <c r="AP1546" i="1"/>
  <c r="AQ1546" i="1"/>
  <c r="AR1546" i="1"/>
  <c r="AS1546" i="1"/>
  <c r="AT1546" i="1"/>
  <c r="AP1547" i="1"/>
  <c r="AQ1547" i="1"/>
  <c r="AR1547" i="1"/>
  <c r="AS1547" i="1"/>
  <c r="AT1547" i="1"/>
  <c r="AP1548" i="1"/>
  <c r="AQ1548" i="1"/>
  <c r="AR1548" i="1"/>
  <c r="AS1548" i="1"/>
  <c r="AT1548" i="1"/>
  <c r="AP1549" i="1"/>
  <c r="AQ1549" i="1"/>
  <c r="AR1549" i="1"/>
  <c r="AS1549" i="1"/>
  <c r="AT1549" i="1"/>
  <c r="AP1550" i="1"/>
  <c r="AQ1550" i="1"/>
  <c r="AR1550" i="1"/>
  <c r="AS1550" i="1"/>
  <c r="AT1550" i="1"/>
  <c r="AP1551" i="1"/>
  <c r="AQ1551" i="1"/>
  <c r="AR1551" i="1"/>
  <c r="AS1551" i="1"/>
  <c r="AT1551" i="1"/>
  <c r="AP1552" i="1"/>
  <c r="AQ1552" i="1"/>
  <c r="AR1552" i="1"/>
  <c r="AS1552" i="1"/>
  <c r="AT1552" i="1"/>
  <c r="AP1553" i="1"/>
  <c r="AQ1553" i="1"/>
  <c r="AR1553" i="1"/>
  <c r="AS1553" i="1"/>
  <c r="AT1553" i="1"/>
  <c r="AP1554" i="1"/>
  <c r="AQ1554" i="1"/>
  <c r="AR1554" i="1"/>
  <c r="AS1554" i="1"/>
  <c r="AT1554" i="1"/>
  <c r="AP1555" i="1"/>
  <c r="AQ1555" i="1"/>
  <c r="AR1555" i="1"/>
  <c r="AS1555" i="1"/>
  <c r="AT1555" i="1"/>
  <c r="AP1556" i="1"/>
  <c r="AQ1556" i="1"/>
  <c r="AR1556" i="1"/>
  <c r="AS1556" i="1"/>
  <c r="AT1556" i="1"/>
  <c r="AP1557" i="1"/>
  <c r="AQ1557" i="1"/>
  <c r="AR1557" i="1"/>
  <c r="AS1557" i="1"/>
  <c r="AT1557" i="1"/>
  <c r="AP1558" i="1"/>
  <c r="AQ1558" i="1"/>
  <c r="AR1558" i="1"/>
  <c r="AS1558" i="1"/>
  <c r="AT1558" i="1"/>
  <c r="AP1559" i="1"/>
  <c r="AQ1559" i="1"/>
  <c r="AR1559" i="1"/>
  <c r="AS1559" i="1"/>
  <c r="AT1559" i="1"/>
  <c r="AP1560" i="1"/>
  <c r="AQ1560" i="1"/>
  <c r="AR1560" i="1"/>
  <c r="AS1560" i="1"/>
  <c r="AT1560" i="1"/>
  <c r="AP1561" i="1"/>
  <c r="AQ1561" i="1"/>
  <c r="AR1561" i="1"/>
  <c r="AS1561" i="1"/>
  <c r="AT1561" i="1"/>
  <c r="AP1562" i="1"/>
  <c r="AQ1562" i="1"/>
  <c r="AR1562" i="1"/>
  <c r="AS1562" i="1"/>
  <c r="AT1562" i="1"/>
  <c r="AP1563" i="1"/>
  <c r="AQ1563" i="1"/>
  <c r="AR1563" i="1"/>
  <c r="AS1563" i="1"/>
  <c r="AT1563" i="1"/>
  <c r="AP1564" i="1"/>
  <c r="AQ1564" i="1"/>
  <c r="AR1564" i="1"/>
  <c r="AS1564" i="1"/>
  <c r="AT1564" i="1"/>
  <c r="AP1565" i="1"/>
  <c r="AQ1565" i="1"/>
  <c r="AR1565" i="1"/>
  <c r="AS1565" i="1"/>
  <c r="AT1565" i="1"/>
  <c r="AP1566" i="1"/>
  <c r="AQ1566" i="1"/>
  <c r="AR1566" i="1"/>
  <c r="AS1566" i="1"/>
  <c r="AT1566" i="1"/>
  <c r="AP1567" i="1"/>
  <c r="AQ1567" i="1"/>
  <c r="AR1567" i="1"/>
  <c r="AS1567" i="1"/>
  <c r="AT1567" i="1"/>
  <c r="AP1568" i="1"/>
  <c r="AQ1568" i="1"/>
  <c r="AR1568" i="1"/>
  <c r="AS1568" i="1"/>
  <c r="AT1568" i="1"/>
  <c r="AP1569" i="1"/>
  <c r="AQ1569" i="1"/>
  <c r="AR1569" i="1"/>
  <c r="AS1569" i="1"/>
  <c r="AT1569" i="1"/>
  <c r="AP1570" i="1"/>
  <c r="AQ1570" i="1"/>
  <c r="AR1570" i="1"/>
  <c r="AS1570" i="1"/>
  <c r="AT1570" i="1"/>
  <c r="AP1571" i="1"/>
  <c r="AQ1571" i="1"/>
  <c r="AR1571" i="1"/>
  <c r="AS1571" i="1"/>
  <c r="AT1571" i="1"/>
  <c r="AP1572" i="1"/>
  <c r="AQ1572" i="1"/>
  <c r="AR1572" i="1"/>
  <c r="AS1572" i="1"/>
  <c r="AT1572" i="1"/>
  <c r="AP1573" i="1"/>
  <c r="AQ1573" i="1"/>
  <c r="AR1573" i="1"/>
  <c r="AS1573" i="1"/>
  <c r="AT1573" i="1"/>
  <c r="AP1574" i="1"/>
  <c r="AQ1574" i="1"/>
  <c r="AR1574" i="1"/>
  <c r="AS1574" i="1"/>
  <c r="AT1574" i="1"/>
  <c r="AP1575" i="1"/>
  <c r="AQ1575" i="1"/>
  <c r="AR1575" i="1"/>
  <c r="AS1575" i="1"/>
  <c r="AT1575" i="1"/>
  <c r="AP1576" i="1"/>
  <c r="AQ1576" i="1"/>
  <c r="AR1576" i="1"/>
  <c r="AS1576" i="1"/>
  <c r="AT1576" i="1"/>
  <c r="AP1577" i="1"/>
  <c r="AQ1577" i="1"/>
  <c r="AR1577" i="1"/>
  <c r="AS1577" i="1"/>
  <c r="AT1577" i="1"/>
  <c r="AP1578" i="1"/>
  <c r="AQ1578" i="1"/>
  <c r="AR1578" i="1"/>
  <c r="AS1578" i="1"/>
  <c r="AT1578" i="1"/>
  <c r="AP1579" i="1"/>
  <c r="AQ1579" i="1"/>
  <c r="AR1579" i="1"/>
  <c r="AS1579" i="1"/>
  <c r="AT1579" i="1"/>
  <c r="AP1580" i="1"/>
  <c r="AQ1580" i="1"/>
  <c r="AR1580" i="1"/>
  <c r="AS1580" i="1"/>
  <c r="AT1580" i="1"/>
  <c r="AP1581" i="1"/>
  <c r="AQ1581" i="1"/>
  <c r="AR1581" i="1"/>
  <c r="AS1581" i="1"/>
  <c r="AT1581" i="1"/>
  <c r="AP1583" i="1"/>
  <c r="AQ1583" i="1"/>
  <c r="AR1583" i="1"/>
  <c r="AS1583" i="1"/>
  <c r="AT1583" i="1"/>
  <c r="AP1584" i="1"/>
  <c r="AQ1584" i="1"/>
  <c r="AR1584" i="1"/>
  <c r="AS1584" i="1"/>
  <c r="AT1584" i="1"/>
  <c r="AP1585" i="1"/>
  <c r="AQ1585" i="1"/>
  <c r="AR1585" i="1"/>
  <c r="AS1585" i="1"/>
  <c r="AT1585" i="1"/>
  <c r="AP1586" i="1"/>
  <c r="AQ1586" i="1"/>
  <c r="AR1586" i="1"/>
  <c r="AS1586" i="1"/>
  <c r="AT1586" i="1"/>
  <c r="AP1587" i="1"/>
  <c r="AQ1587" i="1"/>
  <c r="AR1587" i="1"/>
  <c r="AS1587" i="1"/>
  <c r="AT1587" i="1"/>
  <c r="AP1588" i="1"/>
  <c r="AQ1588" i="1"/>
  <c r="AR1588" i="1"/>
  <c r="AS1588" i="1"/>
  <c r="AT1588" i="1"/>
  <c r="AP1589" i="1"/>
  <c r="AQ1589" i="1"/>
  <c r="AR1589" i="1"/>
  <c r="AS1589" i="1"/>
  <c r="AT1589" i="1"/>
  <c r="AP1590" i="1"/>
  <c r="AQ1590" i="1"/>
  <c r="AR1590" i="1"/>
  <c r="AS1590" i="1"/>
  <c r="AT1590" i="1"/>
  <c r="AP1591" i="1"/>
  <c r="AQ1591" i="1"/>
  <c r="AR1591" i="1"/>
  <c r="AS1591" i="1"/>
  <c r="AT1591" i="1"/>
  <c r="AP1592" i="1"/>
  <c r="AQ1592" i="1"/>
  <c r="AR1592" i="1"/>
  <c r="AS1592" i="1"/>
  <c r="AT1592" i="1"/>
  <c r="AP1593" i="1"/>
  <c r="AQ1593" i="1"/>
  <c r="AR1593" i="1"/>
  <c r="AS1593" i="1"/>
  <c r="AT1593" i="1"/>
  <c r="AP1594" i="1"/>
  <c r="AQ1594" i="1"/>
  <c r="AR1594" i="1"/>
  <c r="AS1594" i="1"/>
  <c r="AT1594" i="1"/>
  <c r="AP1595" i="1"/>
  <c r="AQ1595" i="1"/>
  <c r="AR1595" i="1"/>
  <c r="AS1595" i="1"/>
  <c r="AT1595" i="1"/>
  <c r="AP1596" i="1"/>
  <c r="AQ1596" i="1"/>
  <c r="AR1596" i="1"/>
  <c r="AS1596" i="1"/>
  <c r="AT1596" i="1"/>
  <c r="AP1597" i="1"/>
  <c r="AQ1597" i="1"/>
  <c r="AR1597" i="1"/>
  <c r="AS1597" i="1"/>
  <c r="AT1597" i="1"/>
  <c r="AP1598" i="1"/>
  <c r="AQ1598" i="1"/>
  <c r="AR1598" i="1"/>
  <c r="AS1598" i="1"/>
  <c r="AT1598" i="1"/>
  <c r="AP1599" i="1"/>
  <c r="AQ1599" i="1"/>
  <c r="AR1599" i="1"/>
  <c r="AS1599" i="1"/>
  <c r="AT1599" i="1"/>
  <c r="AP1600" i="1"/>
  <c r="AQ1600" i="1"/>
  <c r="AR1600" i="1"/>
  <c r="AS1600" i="1"/>
  <c r="AT1600" i="1"/>
  <c r="AP1601" i="1"/>
  <c r="AQ1601" i="1"/>
  <c r="AR1601" i="1"/>
  <c r="AS1601" i="1"/>
  <c r="AT1601" i="1"/>
  <c r="AP1602" i="1"/>
  <c r="AQ1602" i="1"/>
  <c r="AR1602" i="1"/>
  <c r="AS1602" i="1"/>
  <c r="AT1602" i="1"/>
  <c r="AP1603" i="1"/>
  <c r="AQ1603" i="1"/>
  <c r="AR1603" i="1"/>
  <c r="AS1603" i="1"/>
  <c r="AT1603" i="1"/>
  <c r="AP1604" i="1"/>
  <c r="AQ1604" i="1"/>
  <c r="AR1604" i="1"/>
  <c r="AS1604" i="1"/>
  <c r="AT1604" i="1"/>
  <c r="AP1605" i="1"/>
  <c r="AQ1605" i="1"/>
  <c r="AR1605" i="1"/>
  <c r="AS1605" i="1"/>
  <c r="AT1605" i="1"/>
  <c r="AP1606" i="1"/>
  <c r="AQ1606" i="1"/>
  <c r="AR1606" i="1"/>
  <c r="AS1606" i="1"/>
  <c r="AT1606" i="1"/>
  <c r="AP1607" i="1"/>
  <c r="AQ1607" i="1"/>
  <c r="AR1607" i="1"/>
  <c r="AS1607" i="1"/>
  <c r="AT1607" i="1"/>
  <c r="AP1608" i="1"/>
  <c r="AQ1608" i="1"/>
  <c r="AR1608" i="1"/>
  <c r="AS1608" i="1"/>
  <c r="AT1608" i="1"/>
  <c r="AP1609" i="1"/>
  <c r="AQ1609" i="1"/>
  <c r="AR1609" i="1"/>
  <c r="AS1609" i="1"/>
  <c r="AT1609" i="1"/>
  <c r="AP1610" i="1"/>
  <c r="AQ1610" i="1"/>
  <c r="AR1610" i="1"/>
  <c r="AS1610" i="1"/>
  <c r="AT1610" i="1"/>
  <c r="AP1611" i="1"/>
  <c r="AQ1611" i="1"/>
  <c r="AR1611" i="1"/>
  <c r="AS1611" i="1"/>
  <c r="AT1611" i="1"/>
  <c r="AP1612" i="1"/>
  <c r="AQ1612" i="1"/>
  <c r="AR1612" i="1"/>
  <c r="AS1612" i="1"/>
  <c r="AT1612" i="1"/>
  <c r="AP1613" i="1"/>
  <c r="AQ1613" i="1"/>
  <c r="AR1613" i="1"/>
  <c r="AS1613" i="1"/>
  <c r="AT1613" i="1"/>
  <c r="AP1614" i="1"/>
  <c r="AQ1614" i="1"/>
  <c r="AR1614" i="1"/>
  <c r="AS1614" i="1"/>
  <c r="AT1614" i="1"/>
  <c r="AP1615" i="1"/>
  <c r="AQ1615" i="1"/>
  <c r="AR1615" i="1"/>
  <c r="AS1615" i="1"/>
  <c r="AT1615" i="1"/>
  <c r="AP1616" i="1"/>
  <c r="AQ1616" i="1"/>
  <c r="AR1616" i="1"/>
  <c r="AS1616" i="1"/>
  <c r="AT1616" i="1"/>
  <c r="AP1617" i="1"/>
  <c r="AQ1617" i="1"/>
  <c r="AR1617" i="1"/>
  <c r="AS1617" i="1"/>
  <c r="AT1617" i="1"/>
  <c r="AP1618" i="1"/>
  <c r="AQ1618" i="1"/>
  <c r="AR1618" i="1"/>
  <c r="AS1618" i="1"/>
  <c r="AT1618" i="1"/>
  <c r="AP1619" i="1"/>
  <c r="AQ1619" i="1"/>
  <c r="AR1619" i="1"/>
  <c r="AS1619" i="1"/>
  <c r="AT1619" i="1"/>
  <c r="AP1620" i="1"/>
  <c r="AQ1620" i="1"/>
  <c r="AR1620" i="1"/>
  <c r="AS1620" i="1"/>
  <c r="AT1620" i="1"/>
  <c r="AP1621" i="1"/>
  <c r="AQ1621" i="1"/>
  <c r="AR1621" i="1"/>
  <c r="AS1621" i="1"/>
  <c r="AT1621" i="1"/>
  <c r="AP1622" i="1"/>
  <c r="AQ1622" i="1"/>
  <c r="AR1622" i="1"/>
  <c r="AS1622" i="1"/>
  <c r="AT1622" i="1"/>
  <c r="AP1623" i="1"/>
  <c r="AQ1623" i="1"/>
  <c r="AR1623" i="1"/>
  <c r="AS1623" i="1"/>
  <c r="AT1623" i="1"/>
  <c r="AP1624" i="1"/>
  <c r="AQ1624" i="1"/>
  <c r="AR1624" i="1"/>
  <c r="AS1624" i="1"/>
  <c r="AT1624" i="1"/>
  <c r="AP1625" i="1"/>
  <c r="AQ1625" i="1"/>
  <c r="AR1625" i="1"/>
  <c r="AS1625" i="1"/>
  <c r="AT1625" i="1"/>
  <c r="AP1626" i="1"/>
  <c r="AQ1626" i="1"/>
  <c r="AR1626" i="1"/>
  <c r="AS1626" i="1"/>
  <c r="AT1626" i="1"/>
  <c r="AP1627" i="1"/>
  <c r="AQ1627" i="1"/>
  <c r="AR1627" i="1"/>
  <c r="AS1627" i="1"/>
  <c r="AT1627" i="1"/>
  <c r="AP1628" i="1"/>
  <c r="AQ1628" i="1"/>
  <c r="AR1628" i="1"/>
  <c r="AS1628" i="1"/>
  <c r="AT1628" i="1"/>
  <c r="AP1629" i="1"/>
  <c r="AQ1629" i="1"/>
  <c r="AR1629" i="1"/>
  <c r="AS1629" i="1"/>
  <c r="AT1629" i="1"/>
  <c r="AP1630" i="1"/>
  <c r="AQ1630" i="1"/>
  <c r="AR1630" i="1"/>
  <c r="AS1630" i="1"/>
  <c r="AT1630" i="1"/>
  <c r="AP1632" i="1"/>
  <c r="AQ1632" i="1"/>
  <c r="AR1632" i="1"/>
  <c r="AS1632" i="1"/>
  <c r="AT1632" i="1"/>
  <c r="AP1633" i="1"/>
  <c r="AQ1633" i="1"/>
  <c r="AR1633" i="1"/>
  <c r="AS1633" i="1"/>
  <c r="AT1633" i="1"/>
  <c r="AP1634" i="1"/>
  <c r="AQ1634" i="1"/>
  <c r="AR1634" i="1"/>
  <c r="AS1634" i="1"/>
  <c r="AT1634" i="1"/>
  <c r="AP1635" i="1"/>
  <c r="AQ1635" i="1"/>
  <c r="AR1635" i="1"/>
  <c r="AS1635" i="1"/>
  <c r="AT1635" i="1"/>
  <c r="AP1636" i="1"/>
  <c r="AQ1636" i="1"/>
  <c r="AR1636" i="1"/>
  <c r="AS1636" i="1"/>
  <c r="AT1636" i="1"/>
  <c r="AP1637" i="1"/>
  <c r="AQ1637" i="1"/>
  <c r="AR1637" i="1"/>
  <c r="AS1637" i="1"/>
  <c r="AT1637" i="1"/>
  <c r="AP1638" i="1"/>
  <c r="AQ1638" i="1"/>
  <c r="AR1638" i="1"/>
  <c r="AS1638" i="1"/>
  <c r="AT1638" i="1"/>
  <c r="AP1639" i="1"/>
  <c r="AQ1639" i="1"/>
  <c r="AR1639" i="1"/>
  <c r="AS1639" i="1"/>
  <c r="AT1639" i="1"/>
  <c r="AP1640" i="1"/>
  <c r="AQ1640" i="1"/>
  <c r="AR1640" i="1"/>
  <c r="AS1640" i="1"/>
  <c r="AT1640" i="1"/>
  <c r="AP1641" i="1"/>
  <c r="AQ1641" i="1"/>
  <c r="AR1641" i="1"/>
  <c r="AS1641" i="1"/>
  <c r="AT1641" i="1"/>
  <c r="AP1642" i="1"/>
  <c r="AQ1642" i="1"/>
  <c r="AR1642" i="1"/>
  <c r="AS1642" i="1"/>
  <c r="AT1642" i="1"/>
  <c r="AP1643" i="1"/>
  <c r="AQ1643" i="1"/>
  <c r="AR1643" i="1"/>
  <c r="AS1643" i="1"/>
  <c r="AT1643" i="1"/>
  <c r="AP1644" i="1"/>
  <c r="AQ1644" i="1"/>
  <c r="AR1644" i="1"/>
  <c r="AS1644" i="1"/>
  <c r="AT1644" i="1"/>
  <c r="AP1645" i="1"/>
  <c r="AQ1645" i="1"/>
  <c r="AR1645" i="1"/>
  <c r="AS1645" i="1"/>
  <c r="AT1645" i="1"/>
  <c r="AP1646" i="1"/>
  <c r="AQ1646" i="1"/>
  <c r="AR1646" i="1"/>
  <c r="AS1646" i="1"/>
  <c r="AT1646" i="1"/>
  <c r="AP1647" i="1"/>
  <c r="AQ1647" i="1"/>
  <c r="AR1647" i="1"/>
  <c r="AS1647" i="1"/>
  <c r="AT1647" i="1"/>
  <c r="AP1648" i="1"/>
  <c r="AQ1648" i="1"/>
  <c r="AR1648" i="1"/>
  <c r="AS1648" i="1"/>
  <c r="AT1648" i="1"/>
  <c r="AP1649" i="1"/>
  <c r="AQ1649" i="1"/>
  <c r="AR1649" i="1"/>
  <c r="AS1649" i="1"/>
  <c r="AT1649" i="1"/>
  <c r="AP1650" i="1"/>
  <c r="AQ1650" i="1"/>
  <c r="AR1650" i="1"/>
  <c r="AS1650" i="1"/>
  <c r="AT1650" i="1"/>
  <c r="AP1651" i="1"/>
  <c r="AQ1651" i="1"/>
  <c r="AR1651" i="1"/>
  <c r="AS1651" i="1"/>
  <c r="AT1651" i="1"/>
  <c r="AP1652" i="1"/>
  <c r="AQ1652" i="1"/>
  <c r="AR1652" i="1"/>
  <c r="AS1652" i="1"/>
  <c r="AT1652" i="1"/>
  <c r="AP1653" i="1"/>
  <c r="AQ1653" i="1"/>
  <c r="AR1653" i="1"/>
  <c r="AS1653" i="1"/>
  <c r="AT1653" i="1"/>
  <c r="AP1654" i="1"/>
  <c r="AQ1654" i="1"/>
  <c r="AR1654" i="1"/>
  <c r="AS1654" i="1"/>
  <c r="AT1654" i="1"/>
  <c r="AP1655" i="1"/>
  <c r="AQ1655" i="1"/>
  <c r="AR1655" i="1"/>
  <c r="AS1655" i="1"/>
  <c r="AT1655" i="1"/>
  <c r="AP1656" i="1"/>
  <c r="AQ1656" i="1"/>
  <c r="AR1656" i="1"/>
  <c r="AS1656" i="1"/>
  <c r="AT1656" i="1"/>
  <c r="AP1657" i="1"/>
  <c r="AQ1657" i="1"/>
  <c r="AR1657" i="1"/>
  <c r="AS1657" i="1"/>
  <c r="AT1657" i="1"/>
  <c r="AP1658" i="1"/>
  <c r="AQ1658" i="1"/>
  <c r="AR1658" i="1"/>
  <c r="AS1658" i="1"/>
  <c r="AT1658" i="1"/>
  <c r="AP1659" i="1"/>
  <c r="AQ1659" i="1"/>
  <c r="AR1659" i="1"/>
  <c r="AS1659" i="1"/>
  <c r="AT1659" i="1"/>
  <c r="AP1660" i="1"/>
  <c r="AQ1660" i="1"/>
  <c r="AR1660" i="1"/>
  <c r="AS1660" i="1"/>
  <c r="AT1660" i="1"/>
  <c r="AP1661" i="1"/>
  <c r="AQ1661" i="1"/>
  <c r="AR1661" i="1"/>
  <c r="AS1661" i="1"/>
  <c r="AT1661" i="1"/>
  <c r="AP1662" i="1"/>
  <c r="AQ1662" i="1"/>
  <c r="AR1662" i="1"/>
  <c r="AS1662" i="1"/>
  <c r="AT1662" i="1"/>
  <c r="AP1663" i="1"/>
  <c r="AQ1663" i="1"/>
  <c r="AR1663" i="1"/>
  <c r="AS1663" i="1"/>
  <c r="AT1663" i="1"/>
  <c r="AP1664" i="1"/>
  <c r="AQ1664" i="1"/>
  <c r="AR1664" i="1"/>
  <c r="AS1664" i="1"/>
  <c r="AT1664" i="1"/>
  <c r="AP1665" i="1"/>
  <c r="AQ1665" i="1"/>
  <c r="AR1665" i="1"/>
  <c r="AS1665" i="1"/>
  <c r="AT1665" i="1"/>
  <c r="AP1666" i="1"/>
  <c r="AQ1666" i="1"/>
  <c r="AR1666" i="1"/>
  <c r="AS1666" i="1"/>
  <c r="AT1666" i="1"/>
  <c r="AP1667" i="1"/>
  <c r="AQ1667" i="1"/>
  <c r="AR1667" i="1"/>
  <c r="AS1667" i="1"/>
  <c r="AT1667" i="1"/>
  <c r="AP1668" i="1"/>
  <c r="AQ1668" i="1"/>
  <c r="AR1668" i="1"/>
  <c r="AS1668" i="1"/>
  <c r="AT1668" i="1"/>
  <c r="AP1669" i="1"/>
  <c r="AQ1669" i="1"/>
  <c r="AR1669" i="1"/>
  <c r="AS1669" i="1"/>
  <c r="AT1669" i="1"/>
  <c r="AP1670" i="1"/>
  <c r="AQ1670" i="1"/>
  <c r="AR1670" i="1"/>
  <c r="AS1670" i="1"/>
  <c r="AT1670" i="1"/>
  <c r="AP1671" i="1"/>
  <c r="AQ1671" i="1"/>
  <c r="AR1671" i="1"/>
  <c r="AS1671" i="1"/>
  <c r="AT1671" i="1"/>
  <c r="AP1672" i="1"/>
  <c r="AQ1672" i="1"/>
  <c r="AR1672" i="1"/>
  <c r="AS1672" i="1"/>
  <c r="AT1672" i="1"/>
  <c r="AP1673" i="1"/>
  <c r="AQ1673" i="1"/>
  <c r="AR1673" i="1"/>
  <c r="AS1673" i="1"/>
  <c r="AT1673" i="1"/>
  <c r="AP1674" i="1"/>
  <c r="AQ1674" i="1"/>
  <c r="AR1674" i="1"/>
  <c r="AS1674" i="1"/>
  <c r="AT1674" i="1"/>
  <c r="AP1675" i="1"/>
  <c r="AQ1675" i="1"/>
  <c r="AR1675" i="1"/>
  <c r="AS1675" i="1"/>
  <c r="AT1675" i="1"/>
  <c r="AP1676" i="1"/>
  <c r="AQ1676" i="1"/>
  <c r="AR1676" i="1"/>
  <c r="AS1676" i="1"/>
  <c r="AT1676" i="1"/>
  <c r="AP1677" i="1"/>
  <c r="AQ1677" i="1"/>
  <c r="AR1677" i="1"/>
  <c r="AS1677" i="1"/>
  <c r="AT1677" i="1"/>
  <c r="AP1678" i="1"/>
  <c r="AQ1678" i="1"/>
  <c r="AR1678" i="1"/>
  <c r="AS1678" i="1"/>
  <c r="AT1678" i="1"/>
  <c r="AP1679" i="1"/>
  <c r="AQ1679" i="1"/>
  <c r="AR1679" i="1"/>
  <c r="AS1679" i="1"/>
  <c r="AT1679" i="1"/>
  <c r="AP1680" i="1"/>
  <c r="AQ1680" i="1"/>
  <c r="AR1680" i="1"/>
  <c r="AS1680" i="1"/>
  <c r="AT1680" i="1"/>
  <c r="AP1681" i="1"/>
  <c r="AQ1681" i="1"/>
  <c r="AR1681" i="1"/>
  <c r="AS1681" i="1"/>
  <c r="AT1681" i="1"/>
  <c r="AP1682" i="1"/>
  <c r="AQ1682" i="1"/>
  <c r="AR1682" i="1"/>
  <c r="AS1682" i="1"/>
  <c r="AT1682" i="1"/>
  <c r="AP1683" i="1"/>
  <c r="AQ1683" i="1"/>
  <c r="AR1683" i="1"/>
  <c r="AS1683" i="1"/>
  <c r="AT1683" i="1"/>
  <c r="AP1684" i="1"/>
  <c r="AQ1684" i="1"/>
  <c r="AR1684" i="1"/>
  <c r="AS1684" i="1"/>
  <c r="AT1684" i="1"/>
  <c r="AP1685" i="1"/>
  <c r="AQ1685" i="1"/>
  <c r="AR1685" i="1"/>
  <c r="AS1685" i="1"/>
  <c r="AT1685" i="1"/>
  <c r="AP1686" i="1"/>
  <c r="AQ1686" i="1"/>
  <c r="AR1686" i="1"/>
  <c r="AS1686" i="1"/>
  <c r="AT1686" i="1"/>
  <c r="AP1687" i="1"/>
  <c r="AQ1687" i="1"/>
  <c r="AR1687" i="1"/>
  <c r="AS1687" i="1"/>
  <c r="AT1687" i="1"/>
  <c r="AP1688" i="1"/>
  <c r="AQ1688" i="1"/>
  <c r="AR1688" i="1"/>
  <c r="AS1688" i="1"/>
  <c r="AT1688" i="1"/>
  <c r="AP1689" i="1"/>
  <c r="AQ1689" i="1"/>
  <c r="AR1689" i="1"/>
  <c r="AS1689" i="1"/>
  <c r="AT1689" i="1"/>
  <c r="AP1690" i="1"/>
  <c r="AQ1690" i="1"/>
  <c r="AR1690" i="1"/>
  <c r="AS1690" i="1"/>
  <c r="AT1690" i="1"/>
  <c r="AP1691" i="1"/>
  <c r="AQ1691" i="1"/>
  <c r="AR1691" i="1"/>
  <c r="AS1691" i="1"/>
  <c r="AT1691" i="1"/>
  <c r="AP1692" i="1"/>
  <c r="AQ1692" i="1"/>
  <c r="AR1692" i="1"/>
  <c r="AS1692" i="1"/>
  <c r="AT1692" i="1"/>
  <c r="AP1693" i="1"/>
  <c r="AQ1693" i="1"/>
  <c r="AR1693" i="1"/>
  <c r="AS1693" i="1"/>
  <c r="AT1693" i="1"/>
  <c r="AP1694" i="1"/>
  <c r="AQ1694" i="1"/>
  <c r="AR1694" i="1"/>
  <c r="AS1694" i="1"/>
  <c r="AT1694" i="1"/>
  <c r="AP1695" i="1"/>
  <c r="AQ1695" i="1"/>
  <c r="AR1695" i="1"/>
  <c r="AS1695" i="1"/>
  <c r="AT1695" i="1"/>
  <c r="AP1696" i="1"/>
  <c r="AQ1696" i="1"/>
  <c r="AR1696" i="1"/>
  <c r="AS1696" i="1"/>
  <c r="AT1696" i="1"/>
  <c r="AP1697" i="1"/>
  <c r="AQ1697" i="1"/>
  <c r="AR1697" i="1"/>
  <c r="AS1697" i="1"/>
  <c r="AT1697" i="1"/>
  <c r="AP1698" i="1"/>
  <c r="AQ1698" i="1"/>
  <c r="AR1698" i="1"/>
  <c r="AS1698" i="1"/>
  <c r="AT1698" i="1"/>
  <c r="AP1699" i="1"/>
  <c r="AQ1699" i="1"/>
  <c r="AR1699" i="1"/>
  <c r="AS1699" i="1"/>
  <c r="AT1699" i="1"/>
  <c r="AP1700" i="1"/>
  <c r="AQ1700" i="1"/>
  <c r="AR1700" i="1"/>
  <c r="AS1700" i="1"/>
  <c r="AT1700" i="1"/>
  <c r="AP1701" i="1"/>
  <c r="AQ1701" i="1"/>
  <c r="AR1701" i="1"/>
  <c r="AS1701" i="1"/>
  <c r="AT1701" i="1"/>
  <c r="AP1702" i="1"/>
  <c r="AQ1702" i="1"/>
  <c r="AR1702" i="1"/>
  <c r="AS1702" i="1"/>
  <c r="AT1702" i="1"/>
  <c r="AP1703" i="1"/>
  <c r="AQ1703" i="1"/>
  <c r="AR1703" i="1"/>
  <c r="AS1703" i="1"/>
  <c r="AT1703" i="1"/>
  <c r="AP1704" i="1"/>
  <c r="AQ1704" i="1"/>
  <c r="AR1704" i="1"/>
  <c r="AS1704" i="1"/>
  <c r="AT1704" i="1"/>
  <c r="AP1705" i="1"/>
  <c r="AQ1705" i="1"/>
  <c r="AR1705" i="1"/>
  <c r="AS1705" i="1"/>
  <c r="AT1705" i="1"/>
  <c r="AP1706" i="1"/>
  <c r="AQ1706" i="1"/>
  <c r="AR1706" i="1"/>
  <c r="AS1706" i="1"/>
  <c r="AT1706" i="1"/>
  <c r="AP1707" i="1"/>
  <c r="AQ1707" i="1"/>
  <c r="AR1707" i="1"/>
  <c r="AS1707" i="1"/>
  <c r="AT1707" i="1"/>
  <c r="AP1708" i="1"/>
  <c r="AQ1708" i="1"/>
  <c r="AR1708" i="1"/>
  <c r="AS1708" i="1"/>
  <c r="AT1708" i="1"/>
  <c r="AP1709" i="1"/>
  <c r="AQ1709" i="1"/>
  <c r="AR1709" i="1"/>
  <c r="AS1709" i="1"/>
  <c r="AT1709" i="1"/>
  <c r="AP1710" i="1"/>
  <c r="AQ1710" i="1"/>
  <c r="AR1710" i="1"/>
  <c r="AS1710" i="1"/>
  <c r="AT1710" i="1"/>
  <c r="AP1711" i="1"/>
  <c r="AQ1711" i="1"/>
  <c r="AR1711" i="1"/>
  <c r="AS1711" i="1"/>
  <c r="AT1711" i="1"/>
  <c r="AP1712" i="1"/>
  <c r="AQ1712" i="1"/>
  <c r="AR1712" i="1"/>
  <c r="AS1712" i="1"/>
  <c r="AT1712" i="1"/>
  <c r="AP1713" i="1"/>
  <c r="AQ1713" i="1"/>
  <c r="AR1713" i="1"/>
  <c r="AS1713" i="1"/>
  <c r="AT1713" i="1"/>
  <c r="AP1714" i="1"/>
  <c r="AQ1714" i="1"/>
  <c r="AR1714" i="1"/>
  <c r="AS1714" i="1"/>
  <c r="AT1714" i="1"/>
  <c r="AP1715" i="1"/>
  <c r="AQ1715" i="1"/>
  <c r="AR1715" i="1"/>
  <c r="AS1715" i="1"/>
  <c r="AT1715" i="1"/>
  <c r="AP1716" i="1"/>
  <c r="AQ1716" i="1"/>
  <c r="AR1716" i="1"/>
  <c r="AS1716" i="1"/>
  <c r="AT1716" i="1"/>
  <c r="AP1717" i="1"/>
  <c r="AQ1717" i="1"/>
  <c r="AR1717" i="1"/>
  <c r="AS1717" i="1"/>
  <c r="AT1717" i="1"/>
  <c r="AP1718" i="1"/>
  <c r="AQ1718" i="1"/>
  <c r="AR1718" i="1"/>
  <c r="AS1718" i="1"/>
  <c r="AT1718" i="1"/>
  <c r="AP1719" i="1"/>
  <c r="AQ1719" i="1"/>
  <c r="AR1719" i="1"/>
  <c r="AS1719" i="1"/>
  <c r="AT1719" i="1"/>
  <c r="AP1720" i="1"/>
  <c r="AQ1720" i="1"/>
  <c r="AR1720" i="1"/>
  <c r="AS1720" i="1"/>
  <c r="AT1720" i="1"/>
  <c r="AP1721" i="1"/>
  <c r="AQ1721" i="1"/>
  <c r="AR1721" i="1"/>
  <c r="AS1721" i="1"/>
  <c r="AT1721" i="1"/>
  <c r="AP1722" i="1"/>
  <c r="AQ1722" i="1"/>
  <c r="AR1722" i="1"/>
  <c r="AS1722" i="1"/>
  <c r="AT1722" i="1"/>
  <c r="AP1723" i="1"/>
  <c r="AQ1723" i="1"/>
  <c r="AR1723" i="1"/>
  <c r="AS1723" i="1"/>
  <c r="AT1723" i="1"/>
  <c r="AP1724" i="1"/>
  <c r="AQ1724" i="1"/>
  <c r="AR1724" i="1"/>
  <c r="AS1724" i="1"/>
  <c r="AT1724" i="1"/>
  <c r="AP1725" i="1"/>
  <c r="AQ1725" i="1"/>
  <c r="AR1725" i="1"/>
  <c r="AS1725" i="1"/>
  <c r="AT1725" i="1"/>
  <c r="AP1726" i="1"/>
  <c r="AQ1726" i="1"/>
  <c r="AR1726" i="1"/>
  <c r="AS1726" i="1"/>
  <c r="AT1726" i="1"/>
  <c r="AP1727" i="1"/>
  <c r="AQ1727" i="1"/>
  <c r="AR1727" i="1"/>
  <c r="AS1727" i="1"/>
  <c r="AT1727" i="1"/>
  <c r="AP1728" i="1"/>
  <c r="AQ1728" i="1"/>
  <c r="AR1728" i="1"/>
  <c r="AS1728" i="1"/>
  <c r="AT1728" i="1"/>
  <c r="AP1729" i="1"/>
  <c r="AQ1729" i="1"/>
  <c r="AR1729" i="1"/>
  <c r="AS1729" i="1"/>
  <c r="AT1729" i="1"/>
  <c r="AP1730" i="1"/>
  <c r="AQ1730" i="1"/>
  <c r="AR1730" i="1"/>
  <c r="AS1730" i="1"/>
  <c r="AT1730" i="1"/>
  <c r="AP1731" i="1"/>
  <c r="AQ1731" i="1"/>
  <c r="AR1731" i="1"/>
  <c r="AS1731" i="1"/>
  <c r="AT1731" i="1"/>
  <c r="AP1732" i="1"/>
  <c r="AQ1732" i="1"/>
  <c r="AR1732" i="1"/>
  <c r="AS1732" i="1"/>
  <c r="AT1732" i="1"/>
  <c r="AP1733" i="1"/>
  <c r="AQ1733" i="1"/>
  <c r="AR1733" i="1"/>
  <c r="AS1733" i="1"/>
  <c r="AT1733" i="1"/>
  <c r="AP1734" i="1"/>
  <c r="AQ1734" i="1"/>
  <c r="AR1734" i="1"/>
  <c r="AS1734" i="1"/>
  <c r="AT1734" i="1"/>
  <c r="AP1735" i="1"/>
  <c r="AQ1735" i="1"/>
  <c r="AR1735" i="1"/>
  <c r="AS1735" i="1"/>
  <c r="AT1735" i="1"/>
  <c r="AP1736" i="1"/>
  <c r="AQ1736" i="1"/>
  <c r="AR1736" i="1"/>
  <c r="AS1736" i="1"/>
  <c r="AT1736" i="1"/>
  <c r="AP1737" i="1"/>
  <c r="AQ1737" i="1"/>
  <c r="AR1737" i="1"/>
  <c r="AS1737" i="1"/>
  <c r="AT1737" i="1"/>
  <c r="AP1738" i="1"/>
  <c r="AQ1738" i="1"/>
  <c r="AR1738" i="1"/>
  <c r="AS1738" i="1"/>
  <c r="AT1738" i="1"/>
  <c r="AP1739" i="1"/>
  <c r="AQ1739" i="1"/>
  <c r="AR1739" i="1"/>
  <c r="AS1739" i="1"/>
  <c r="AT1739" i="1"/>
  <c r="AP1740" i="1"/>
  <c r="AQ1740" i="1"/>
  <c r="AR1740" i="1"/>
  <c r="AS1740" i="1"/>
  <c r="AT1740" i="1"/>
  <c r="AP1741" i="1"/>
  <c r="AQ1741" i="1"/>
  <c r="AR1741" i="1"/>
  <c r="AS1741" i="1"/>
  <c r="AT1741" i="1"/>
  <c r="AP1742" i="1"/>
  <c r="AQ1742" i="1"/>
  <c r="AR1742" i="1"/>
  <c r="AS1742" i="1"/>
  <c r="AT1742" i="1"/>
  <c r="AP1743" i="1"/>
  <c r="AQ1743" i="1"/>
  <c r="AR1743" i="1"/>
  <c r="AS1743" i="1"/>
  <c r="AT1743" i="1"/>
  <c r="AP1744" i="1"/>
  <c r="AQ1744" i="1"/>
  <c r="AR1744" i="1"/>
  <c r="AS1744" i="1"/>
  <c r="AT1744" i="1"/>
  <c r="AP1745" i="1"/>
  <c r="AQ1745" i="1"/>
  <c r="AR1745" i="1"/>
  <c r="AS1745" i="1"/>
  <c r="AT1745" i="1"/>
  <c r="AP1746" i="1"/>
  <c r="AQ1746" i="1"/>
  <c r="AR1746" i="1"/>
  <c r="AS1746" i="1"/>
  <c r="AT1746" i="1"/>
  <c r="AP1747" i="1"/>
  <c r="AQ1747" i="1"/>
  <c r="AR1747" i="1"/>
  <c r="AS1747" i="1"/>
  <c r="AT1747" i="1"/>
  <c r="AP1748" i="1"/>
  <c r="AQ1748" i="1"/>
  <c r="AR1748" i="1"/>
  <c r="AS1748" i="1"/>
  <c r="AT1748" i="1"/>
  <c r="AP1749" i="1"/>
  <c r="AQ1749" i="1"/>
  <c r="AR1749" i="1"/>
  <c r="AS1749" i="1"/>
  <c r="AT1749" i="1"/>
  <c r="AP1750" i="1"/>
  <c r="AQ1750" i="1"/>
  <c r="AR1750" i="1"/>
  <c r="AS1750" i="1"/>
  <c r="AT1750" i="1"/>
  <c r="AP1751" i="1"/>
  <c r="AQ1751" i="1"/>
  <c r="AR1751" i="1"/>
  <c r="AS1751" i="1"/>
  <c r="AT1751" i="1"/>
  <c r="AP1752" i="1"/>
  <c r="AQ1752" i="1"/>
  <c r="AR1752" i="1"/>
  <c r="AS1752" i="1"/>
  <c r="AT1752" i="1"/>
  <c r="AP1753" i="1"/>
  <c r="AQ1753" i="1"/>
  <c r="AR1753" i="1"/>
  <c r="AS1753" i="1"/>
  <c r="AT1753" i="1"/>
  <c r="AP1754" i="1"/>
  <c r="AQ1754" i="1"/>
  <c r="AR1754" i="1"/>
  <c r="AS1754" i="1"/>
  <c r="AT1754" i="1"/>
  <c r="AP1755" i="1"/>
  <c r="AQ1755" i="1"/>
  <c r="AR1755" i="1"/>
  <c r="AS1755" i="1"/>
  <c r="AT1755" i="1"/>
  <c r="AP1756" i="1"/>
  <c r="AQ1756" i="1"/>
  <c r="AR1756" i="1"/>
  <c r="AS1756" i="1"/>
  <c r="AT1756" i="1"/>
  <c r="AP1757" i="1"/>
  <c r="AQ1757" i="1"/>
  <c r="AR1757" i="1"/>
  <c r="AS1757" i="1"/>
  <c r="AT1757" i="1"/>
  <c r="AP1758" i="1"/>
  <c r="AQ1758" i="1"/>
  <c r="AR1758" i="1"/>
  <c r="AS1758" i="1"/>
  <c r="AT1758" i="1"/>
  <c r="AP1759" i="1"/>
  <c r="AQ1759" i="1"/>
  <c r="AR1759" i="1"/>
  <c r="AS1759" i="1"/>
  <c r="AT1759" i="1"/>
  <c r="AP1760" i="1"/>
  <c r="AQ1760" i="1"/>
  <c r="AR1760" i="1"/>
  <c r="AS1760" i="1"/>
  <c r="AT1760" i="1"/>
  <c r="AP1761" i="1"/>
  <c r="AQ1761" i="1"/>
  <c r="AR1761" i="1"/>
  <c r="AS1761" i="1"/>
  <c r="AT1761" i="1"/>
  <c r="AP1762" i="1"/>
  <c r="AQ1762" i="1"/>
  <c r="AR1762" i="1"/>
  <c r="AS1762" i="1"/>
  <c r="AT1762" i="1"/>
  <c r="AP1763" i="1"/>
  <c r="AQ1763" i="1"/>
  <c r="AR1763" i="1"/>
  <c r="AS1763" i="1"/>
  <c r="AT1763" i="1"/>
  <c r="AP1764" i="1"/>
  <c r="AQ1764" i="1"/>
  <c r="AR1764" i="1"/>
  <c r="AS1764" i="1"/>
  <c r="AT1764" i="1"/>
  <c r="AP1765" i="1"/>
  <c r="AQ1765" i="1"/>
  <c r="AR1765" i="1"/>
  <c r="AS1765" i="1"/>
  <c r="AT1765" i="1"/>
  <c r="AP1766" i="1"/>
  <c r="AQ1766" i="1"/>
  <c r="AR1766" i="1"/>
  <c r="AS1766" i="1"/>
  <c r="AT1766" i="1"/>
  <c r="AP1767" i="1"/>
  <c r="AQ1767" i="1"/>
  <c r="AR1767" i="1"/>
  <c r="AS1767" i="1"/>
  <c r="AT1767" i="1"/>
  <c r="AP1768" i="1"/>
  <c r="AQ1768" i="1"/>
  <c r="AR1768" i="1"/>
  <c r="AS1768" i="1"/>
  <c r="AT1768" i="1"/>
  <c r="AP1769" i="1"/>
  <c r="AQ1769" i="1"/>
  <c r="AR1769" i="1"/>
  <c r="AS1769" i="1"/>
  <c r="AT1769" i="1"/>
  <c r="AP1770" i="1"/>
  <c r="AQ1770" i="1"/>
  <c r="AR1770" i="1"/>
  <c r="AS1770" i="1"/>
  <c r="AT1770" i="1"/>
  <c r="AP1771" i="1"/>
  <c r="AQ1771" i="1"/>
  <c r="AR1771" i="1"/>
  <c r="AS1771" i="1"/>
  <c r="AT1771" i="1"/>
  <c r="AP1772" i="1"/>
  <c r="AQ1772" i="1"/>
  <c r="AR1772" i="1"/>
  <c r="AS1772" i="1"/>
  <c r="AT1772" i="1"/>
  <c r="AP1773" i="1"/>
  <c r="AQ1773" i="1"/>
  <c r="AR1773" i="1"/>
  <c r="AS1773" i="1"/>
  <c r="AT1773" i="1"/>
  <c r="AP1774" i="1"/>
  <c r="AQ1774" i="1"/>
  <c r="AR1774" i="1"/>
  <c r="AS1774" i="1"/>
  <c r="AT1774" i="1"/>
  <c r="AP1775" i="1"/>
  <c r="AQ1775" i="1"/>
  <c r="AR1775" i="1"/>
  <c r="AS1775" i="1"/>
  <c r="AT1775" i="1"/>
  <c r="AP1777" i="1"/>
  <c r="AQ1777" i="1"/>
  <c r="AR1777" i="1"/>
  <c r="AS1777" i="1"/>
  <c r="AT1777" i="1"/>
  <c r="AP1778" i="1"/>
  <c r="AQ1778" i="1"/>
  <c r="AR1778" i="1"/>
  <c r="AS1778" i="1"/>
  <c r="AT1778" i="1"/>
  <c r="AP1779" i="1"/>
  <c r="AQ1779" i="1"/>
  <c r="AR1779" i="1"/>
  <c r="AS1779" i="1"/>
  <c r="AT1779" i="1"/>
  <c r="AP1780" i="1"/>
  <c r="AQ1780" i="1"/>
  <c r="AR1780" i="1"/>
  <c r="AS1780" i="1"/>
  <c r="AT1780" i="1"/>
  <c r="AP1781" i="1"/>
  <c r="AQ1781" i="1"/>
  <c r="AR1781" i="1"/>
  <c r="AS1781" i="1"/>
  <c r="AT1781" i="1"/>
  <c r="AP1782" i="1"/>
  <c r="AQ1782" i="1"/>
  <c r="AR1782" i="1"/>
  <c r="AS1782" i="1"/>
  <c r="AT1782" i="1"/>
  <c r="AP1783" i="1"/>
  <c r="AQ1783" i="1"/>
  <c r="AR1783" i="1"/>
  <c r="AS1783" i="1"/>
  <c r="AT1783" i="1"/>
  <c r="AP1784" i="1"/>
  <c r="AQ1784" i="1"/>
  <c r="AR1784" i="1"/>
  <c r="AS1784" i="1"/>
  <c r="AT1784" i="1"/>
  <c r="AP1785" i="1"/>
  <c r="AQ1785" i="1"/>
  <c r="AR1785" i="1"/>
  <c r="AS1785" i="1"/>
  <c r="AT1785" i="1"/>
  <c r="AP1786" i="1"/>
  <c r="AQ1786" i="1"/>
  <c r="AR1786" i="1"/>
  <c r="AS1786" i="1"/>
  <c r="AT1786" i="1"/>
  <c r="AP1787" i="1"/>
  <c r="AQ1787" i="1"/>
  <c r="AR1787" i="1"/>
  <c r="AS1787" i="1"/>
  <c r="AT1787" i="1"/>
  <c r="AP1788" i="1"/>
  <c r="AQ1788" i="1"/>
  <c r="AR1788" i="1"/>
  <c r="AS1788" i="1"/>
  <c r="AT1788" i="1"/>
  <c r="AP1789" i="1"/>
  <c r="AQ1789" i="1"/>
  <c r="AR1789" i="1"/>
  <c r="AS1789" i="1"/>
  <c r="AT1789" i="1"/>
  <c r="AP1790" i="1"/>
  <c r="AQ1790" i="1"/>
  <c r="AR1790" i="1"/>
  <c r="AS1790" i="1"/>
  <c r="AT1790" i="1"/>
  <c r="AP1791" i="1"/>
  <c r="AQ1791" i="1"/>
  <c r="AR1791" i="1"/>
  <c r="AS1791" i="1"/>
  <c r="AT1791" i="1"/>
  <c r="AP1792" i="1"/>
  <c r="AQ1792" i="1"/>
  <c r="AR1792" i="1"/>
  <c r="AS1792" i="1"/>
  <c r="AT1792" i="1"/>
  <c r="AP1793" i="1"/>
  <c r="AQ1793" i="1"/>
  <c r="AR1793" i="1"/>
  <c r="AS1793" i="1"/>
  <c r="AT1793" i="1"/>
  <c r="AP1794" i="1"/>
  <c r="AQ1794" i="1"/>
  <c r="AR1794" i="1"/>
  <c r="AS1794" i="1"/>
  <c r="AT1794" i="1"/>
  <c r="AP1795" i="1"/>
  <c r="AQ1795" i="1"/>
  <c r="AR1795" i="1"/>
  <c r="AS1795" i="1"/>
  <c r="AT1795" i="1"/>
  <c r="AP1796" i="1"/>
  <c r="AQ1796" i="1"/>
  <c r="AR1796" i="1"/>
  <c r="AS1796" i="1"/>
  <c r="AT1796" i="1"/>
  <c r="AP1797" i="1"/>
  <c r="AQ1797" i="1"/>
  <c r="AR1797" i="1"/>
  <c r="AS1797" i="1"/>
  <c r="AT1797" i="1"/>
  <c r="AP1798" i="1"/>
  <c r="AQ1798" i="1"/>
  <c r="AR1798" i="1"/>
  <c r="AS1798" i="1"/>
  <c r="AT1798" i="1"/>
  <c r="AP1799" i="1"/>
  <c r="AQ1799" i="1"/>
  <c r="AR1799" i="1"/>
  <c r="AS1799" i="1"/>
  <c r="AT1799" i="1"/>
  <c r="AP1800" i="1"/>
  <c r="AQ1800" i="1"/>
  <c r="AR1800" i="1"/>
  <c r="AS1800" i="1"/>
  <c r="AT1800" i="1"/>
  <c r="AP1801" i="1"/>
  <c r="AQ1801" i="1"/>
  <c r="AR1801" i="1"/>
  <c r="AS1801" i="1"/>
  <c r="AT1801" i="1"/>
  <c r="AP1802" i="1"/>
  <c r="AQ1802" i="1"/>
  <c r="AR1802" i="1"/>
  <c r="AS1802" i="1"/>
  <c r="AT1802" i="1"/>
  <c r="AP1803" i="1"/>
  <c r="AQ1803" i="1"/>
  <c r="AR1803" i="1"/>
  <c r="AS1803" i="1"/>
  <c r="AT1803" i="1"/>
  <c r="AP1804" i="1"/>
  <c r="AQ1804" i="1"/>
  <c r="AR1804" i="1"/>
  <c r="AS1804" i="1"/>
  <c r="AT1804" i="1"/>
  <c r="AP1805" i="1"/>
  <c r="AQ1805" i="1"/>
  <c r="AR1805" i="1"/>
  <c r="AS1805" i="1"/>
  <c r="AT1805" i="1"/>
  <c r="AP1806" i="1"/>
  <c r="AQ1806" i="1"/>
  <c r="AR1806" i="1"/>
  <c r="AS1806" i="1"/>
  <c r="AT1806" i="1"/>
  <c r="AP1807" i="1"/>
  <c r="AQ1807" i="1"/>
  <c r="AR1807" i="1"/>
  <c r="AS1807" i="1"/>
  <c r="AT1807" i="1"/>
  <c r="AP1808" i="1"/>
  <c r="AQ1808" i="1"/>
  <c r="AR1808" i="1"/>
  <c r="AS1808" i="1"/>
  <c r="AT1808" i="1"/>
  <c r="AP1809" i="1"/>
  <c r="AQ1809" i="1"/>
  <c r="AR1809" i="1"/>
  <c r="AS1809" i="1"/>
  <c r="AT1809" i="1"/>
  <c r="AP1810" i="1"/>
  <c r="AQ1810" i="1"/>
  <c r="AR1810" i="1"/>
  <c r="AS1810" i="1"/>
  <c r="AT1810" i="1"/>
  <c r="AP1811" i="1"/>
  <c r="AQ1811" i="1"/>
  <c r="AR1811" i="1"/>
  <c r="AS1811" i="1"/>
  <c r="AT1811" i="1"/>
  <c r="AP1812" i="1"/>
  <c r="AQ1812" i="1"/>
  <c r="AR1812" i="1"/>
  <c r="AS1812" i="1"/>
  <c r="AT1812" i="1"/>
  <c r="AP1813" i="1"/>
  <c r="AQ1813" i="1"/>
  <c r="AR1813" i="1"/>
  <c r="AS1813" i="1"/>
  <c r="AT1813" i="1"/>
  <c r="AP1814" i="1"/>
  <c r="AQ1814" i="1"/>
  <c r="AR1814" i="1"/>
  <c r="AS1814" i="1"/>
  <c r="AT1814" i="1"/>
  <c r="AP1815" i="1"/>
  <c r="AQ1815" i="1"/>
  <c r="AR1815" i="1"/>
  <c r="AS1815" i="1"/>
  <c r="AT1815" i="1"/>
  <c r="AP1816" i="1"/>
  <c r="AQ1816" i="1"/>
  <c r="AR1816" i="1"/>
  <c r="AS1816" i="1"/>
  <c r="AT1816" i="1"/>
  <c r="AP1817" i="1"/>
  <c r="AQ1817" i="1"/>
  <c r="AR1817" i="1"/>
  <c r="AS1817" i="1"/>
  <c r="AT1817" i="1"/>
  <c r="AP1818" i="1"/>
  <c r="AQ1818" i="1"/>
  <c r="AR1818" i="1"/>
  <c r="AS1818" i="1"/>
  <c r="AT1818" i="1"/>
  <c r="AP1819" i="1"/>
  <c r="AQ1819" i="1"/>
  <c r="AR1819" i="1"/>
  <c r="AS1819" i="1"/>
  <c r="AT1819" i="1"/>
  <c r="AP1820" i="1"/>
  <c r="AQ1820" i="1"/>
  <c r="AR1820" i="1"/>
  <c r="AS1820" i="1"/>
  <c r="AT1820" i="1"/>
  <c r="AP1821" i="1"/>
  <c r="AQ1821" i="1"/>
  <c r="AR1821" i="1"/>
  <c r="AS1821" i="1"/>
  <c r="AT1821" i="1"/>
  <c r="AP1822" i="1"/>
  <c r="AQ1822" i="1"/>
  <c r="AR1822" i="1"/>
  <c r="AS1822" i="1"/>
  <c r="AT1822" i="1"/>
  <c r="AP1823" i="1"/>
  <c r="AQ1823" i="1"/>
  <c r="AR1823" i="1"/>
  <c r="AS1823" i="1"/>
  <c r="AT1823" i="1"/>
  <c r="AP1825" i="1"/>
  <c r="AQ1825" i="1"/>
  <c r="AR1825" i="1"/>
  <c r="AS1825" i="1"/>
  <c r="AT1825" i="1"/>
  <c r="AP1826" i="1"/>
  <c r="AQ1826" i="1"/>
  <c r="AR1826" i="1"/>
  <c r="AS1826" i="1"/>
  <c r="AT1826" i="1"/>
  <c r="AP1827" i="1"/>
  <c r="AQ1827" i="1"/>
  <c r="AR1827" i="1"/>
  <c r="AS1827" i="1"/>
  <c r="AT1827" i="1"/>
  <c r="AP1828" i="1"/>
  <c r="AQ1828" i="1"/>
  <c r="AR1828" i="1"/>
  <c r="AS1828" i="1"/>
  <c r="AT1828" i="1"/>
  <c r="AP1829" i="1"/>
  <c r="AQ1829" i="1"/>
  <c r="AR1829" i="1"/>
  <c r="AS1829" i="1"/>
  <c r="AT1829" i="1"/>
  <c r="AP1830" i="1"/>
  <c r="AQ1830" i="1"/>
  <c r="AR1830" i="1"/>
  <c r="AS1830" i="1"/>
  <c r="AT1830" i="1"/>
  <c r="AP1831" i="1"/>
  <c r="AQ1831" i="1"/>
  <c r="AR1831" i="1"/>
  <c r="AS1831" i="1"/>
  <c r="AT1831" i="1"/>
  <c r="AP1832" i="1"/>
  <c r="AQ1832" i="1"/>
  <c r="AR1832" i="1"/>
  <c r="AS1832" i="1"/>
  <c r="AT1832" i="1"/>
  <c r="AP1833" i="1"/>
  <c r="AQ1833" i="1"/>
  <c r="AR1833" i="1"/>
  <c r="AS1833" i="1"/>
  <c r="AT1833" i="1"/>
  <c r="AP1834" i="1"/>
  <c r="AQ1834" i="1"/>
  <c r="AR1834" i="1"/>
  <c r="AS1834" i="1"/>
  <c r="AT1834" i="1"/>
  <c r="AP1835" i="1"/>
  <c r="AQ1835" i="1"/>
  <c r="AR1835" i="1"/>
  <c r="AS1835" i="1"/>
  <c r="AT1835" i="1"/>
  <c r="AP1836" i="1"/>
  <c r="AQ1836" i="1"/>
  <c r="AR1836" i="1"/>
  <c r="AS1836" i="1"/>
  <c r="AT1836" i="1"/>
  <c r="AP1837" i="1"/>
  <c r="AQ1837" i="1"/>
  <c r="AR1837" i="1"/>
  <c r="AS1837" i="1"/>
  <c r="AT1837" i="1"/>
  <c r="AP1838" i="1"/>
  <c r="AQ1838" i="1"/>
  <c r="AR1838" i="1"/>
  <c r="AS1838" i="1"/>
  <c r="AT1838" i="1"/>
  <c r="AP1839" i="1"/>
  <c r="AQ1839" i="1"/>
  <c r="AR1839" i="1"/>
  <c r="AS1839" i="1"/>
  <c r="AT1839" i="1"/>
  <c r="AP1840" i="1"/>
  <c r="AQ1840" i="1"/>
  <c r="AR1840" i="1"/>
  <c r="AS1840" i="1"/>
  <c r="AT1840" i="1"/>
  <c r="AP1841" i="1"/>
  <c r="AQ1841" i="1"/>
  <c r="AR1841" i="1"/>
  <c r="AS1841" i="1"/>
  <c r="AT1841" i="1"/>
  <c r="AP1842" i="1"/>
  <c r="AQ1842" i="1"/>
  <c r="AR1842" i="1"/>
  <c r="AS1842" i="1"/>
  <c r="AT1842" i="1"/>
  <c r="AP1843" i="1"/>
  <c r="AQ1843" i="1"/>
  <c r="AR1843" i="1"/>
  <c r="AS1843" i="1"/>
  <c r="AT1843" i="1"/>
  <c r="AP1844" i="1"/>
  <c r="AQ1844" i="1"/>
  <c r="AR1844" i="1"/>
  <c r="AS1844" i="1"/>
  <c r="AT1844" i="1"/>
  <c r="AP1845" i="1"/>
  <c r="AQ1845" i="1"/>
  <c r="AR1845" i="1"/>
  <c r="AS1845" i="1"/>
  <c r="AT1845" i="1"/>
  <c r="AP1846" i="1"/>
  <c r="AQ1846" i="1"/>
  <c r="AR1846" i="1"/>
  <c r="AS1846" i="1"/>
  <c r="AT1846" i="1"/>
  <c r="AP1847" i="1"/>
  <c r="AQ1847" i="1"/>
  <c r="AR1847" i="1"/>
  <c r="AS1847" i="1"/>
  <c r="AT1847" i="1"/>
  <c r="AP1848" i="1"/>
  <c r="AQ1848" i="1"/>
  <c r="AR1848" i="1"/>
  <c r="AS1848" i="1"/>
  <c r="AT1848" i="1"/>
  <c r="AP1849" i="1"/>
  <c r="AQ1849" i="1"/>
  <c r="AR1849" i="1"/>
  <c r="AS1849" i="1"/>
  <c r="AT1849" i="1"/>
  <c r="AP1850" i="1"/>
  <c r="AQ1850" i="1"/>
  <c r="AR1850" i="1"/>
  <c r="AS1850" i="1"/>
  <c r="AT1850" i="1"/>
  <c r="AP1851" i="1"/>
  <c r="AQ1851" i="1"/>
  <c r="AR1851" i="1"/>
  <c r="AS1851" i="1"/>
  <c r="AT1851" i="1"/>
  <c r="AP1852" i="1"/>
  <c r="AQ1852" i="1"/>
  <c r="AR1852" i="1"/>
  <c r="AS1852" i="1"/>
  <c r="AT1852" i="1"/>
  <c r="AP1853" i="1"/>
  <c r="AQ1853" i="1"/>
  <c r="AR1853" i="1"/>
  <c r="AS1853" i="1"/>
  <c r="AT1853" i="1"/>
  <c r="AP1854" i="1"/>
  <c r="AQ1854" i="1"/>
  <c r="AR1854" i="1"/>
  <c r="AS1854" i="1"/>
  <c r="AT1854" i="1"/>
  <c r="AP1855" i="1"/>
  <c r="AQ1855" i="1"/>
  <c r="AR1855" i="1"/>
  <c r="AS1855" i="1"/>
  <c r="AT1855" i="1"/>
  <c r="AP1856" i="1"/>
  <c r="AQ1856" i="1"/>
  <c r="AR1856" i="1"/>
  <c r="AS1856" i="1"/>
  <c r="AT1856" i="1"/>
  <c r="AP1857" i="1"/>
  <c r="AQ1857" i="1"/>
  <c r="AR1857" i="1"/>
  <c r="AS1857" i="1"/>
  <c r="AT1857" i="1"/>
  <c r="AP1858" i="1"/>
  <c r="AQ1858" i="1"/>
  <c r="AR1858" i="1"/>
  <c r="AS1858" i="1"/>
  <c r="AT1858" i="1"/>
  <c r="AP1859" i="1"/>
  <c r="AQ1859" i="1"/>
  <c r="AR1859" i="1"/>
  <c r="AS1859" i="1"/>
  <c r="AT1859" i="1"/>
  <c r="AP1860" i="1"/>
  <c r="AQ1860" i="1"/>
  <c r="AR1860" i="1"/>
  <c r="AS1860" i="1"/>
  <c r="AT1860" i="1"/>
  <c r="AP1861" i="1"/>
  <c r="AQ1861" i="1"/>
  <c r="AR1861" i="1"/>
  <c r="AS1861" i="1"/>
  <c r="AT1861" i="1"/>
  <c r="AP1862" i="1"/>
  <c r="AQ1862" i="1"/>
  <c r="AR1862" i="1"/>
  <c r="AS1862" i="1"/>
  <c r="AT1862" i="1"/>
  <c r="AP1863" i="1"/>
  <c r="AQ1863" i="1"/>
  <c r="AR1863" i="1"/>
  <c r="AS1863" i="1"/>
  <c r="AT1863" i="1"/>
  <c r="AP1864" i="1"/>
  <c r="AQ1864" i="1"/>
  <c r="AR1864" i="1"/>
  <c r="AS1864" i="1"/>
  <c r="AT1864" i="1"/>
  <c r="AP1865" i="1"/>
  <c r="AQ1865" i="1"/>
  <c r="AR1865" i="1"/>
  <c r="AS1865" i="1"/>
  <c r="AT1865" i="1"/>
  <c r="AP1866" i="1"/>
  <c r="AQ1866" i="1"/>
  <c r="AR1866" i="1"/>
  <c r="AS1866" i="1"/>
  <c r="AT1866" i="1"/>
  <c r="AP1867" i="1"/>
  <c r="AQ1867" i="1"/>
  <c r="AR1867" i="1"/>
  <c r="AS1867" i="1"/>
  <c r="AT1867" i="1"/>
  <c r="AP1868" i="1"/>
  <c r="AQ1868" i="1"/>
  <c r="AR1868" i="1"/>
  <c r="AS1868" i="1"/>
  <c r="AT1868" i="1"/>
  <c r="AP1869" i="1"/>
  <c r="AQ1869" i="1"/>
  <c r="AR1869" i="1"/>
  <c r="AS1869" i="1"/>
  <c r="AT1869" i="1"/>
  <c r="AP1870" i="1"/>
  <c r="AQ1870" i="1"/>
  <c r="AR1870" i="1"/>
  <c r="AS1870" i="1"/>
  <c r="AT1870" i="1"/>
  <c r="AP1871" i="1"/>
  <c r="AQ1871" i="1"/>
  <c r="AR1871" i="1"/>
  <c r="AS1871" i="1"/>
  <c r="AT1871" i="1"/>
  <c r="AP1872" i="1"/>
  <c r="AQ1872" i="1"/>
  <c r="AR1872" i="1"/>
  <c r="AS1872" i="1"/>
  <c r="AT1872" i="1"/>
  <c r="AP1873" i="1"/>
  <c r="AQ1873" i="1"/>
  <c r="AR1873" i="1"/>
  <c r="AS1873" i="1"/>
  <c r="AT1873" i="1"/>
  <c r="AP1874" i="1"/>
  <c r="AQ1874" i="1"/>
  <c r="AR1874" i="1"/>
  <c r="AS1874" i="1"/>
  <c r="AT1874" i="1"/>
  <c r="AP1875" i="1"/>
  <c r="AQ1875" i="1"/>
  <c r="AR1875" i="1"/>
  <c r="AS1875" i="1"/>
  <c r="AT1875" i="1"/>
  <c r="AP1876" i="1"/>
  <c r="AQ1876" i="1"/>
  <c r="AR1876" i="1"/>
  <c r="AS1876" i="1"/>
  <c r="AT1876" i="1"/>
  <c r="AP1877" i="1"/>
  <c r="AQ1877" i="1"/>
  <c r="AR1877" i="1"/>
  <c r="AS1877" i="1"/>
  <c r="AT1877" i="1"/>
  <c r="AP1878" i="1"/>
  <c r="AQ1878" i="1"/>
  <c r="AR1878" i="1"/>
  <c r="AS1878" i="1"/>
  <c r="AT1878" i="1"/>
  <c r="AP1879" i="1"/>
  <c r="AQ1879" i="1"/>
  <c r="AR1879" i="1"/>
  <c r="AS1879" i="1"/>
  <c r="AT1879" i="1"/>
  <c r="AP1880" i="1"/>
  <c r="AQ1880" i="1"/>
  <c r="AR1880" i="1"/>
  <c r="AS1880" i="1"/>
  <c r="AT1880" i="1"/>
  <c r="AP1881" i="1"/>
  <c r="AQ1881" i="1"/>
  <c r="AR1881" i="1"/>
  <c r="AS1881" i="1"/>
  <c r="AT1881" i="1"/>
  <c r="AP1882" i="1"/>
  <c r="AQ1882" i="1"/>
  <c r="AR1882" i="1"/>
  <c r="AS1882" i="1"/>
  <c r="AT1882" i="1"/>
  <c r="AP1883" i="1"/>
  <c r="AQ1883" i="1"/>
  <c r="AR1883" i="1"/>
  <c r="AS1883" i="1"/>
  <c r="AT1883" i="1"/>
  <c r="AP1884" i="1"/>
  <c r="AQ1884" i="1"/>
  <c r="AR1884" i="1"/>
  <c r="AS1884" i="1"/>
  <c r="AT1884" i="1"/>
  <c r="AP1885" i="1"/>
  <c r="AQ1885" i="1"/>
  <c r="AR1885" i="1"/>
  <c r="AS1885" i="1"/>
  <c r="AT1885" i="1"/>
  <c r="AP1886" i="1"/>
  <c r="AQ1886" i="1"/>
  <c r="AR1886" i="1"/>
  <c r="AS1886" i="1"/>
  <c r="AT1886" i="1"/>
  <c r="AP1887" i="1"/>
  <c r="AQ1887" i="1"/>
  <c r="AR1887" i="1"/>
  <c r="AS1887" i="1"/>
  <c r="AT1887" i="1"/>
  <c r="AP1888" i="1"/>
  <c r="AQ1888" i="1"/>
  <c r="AR1888" i="1"/>
  <c r="AS1888" i="1"/>
  <c r="AT1888" i="1"/>
  <c r="AP1889" i="1"/>
  <c r="AQ1889" i="1"/>
  <c r="AR1889" i="1"/>
  <c r="AS1889" i="1"/>
  <c r="AT1889" i="1"/>
  <c r="AP1890" i="1"/>
  <c r="AQ1890" i="1"/>
  <c r="AR1890" i="1"/>
  <c r="AS1890" i="1"/>
  <c r="AT1890" i="1"/>
  <c r="AP1891" i="1"/>
  <c r="AQ1891" i="1"/>
  <c r="AR1891" i="1"/>
  <c r="AS1891" i="1"/>
  <c r="AT1891" i="1"/>
  <c r="AP1892" i="1"/>
  <c r="AQ1892" i="1"/>
  <c r="AR1892" i="1"/>
  <c r="AS1892" i="1"/>
  <c r="AT1892" i="1"/>
  <c r="AP1893" i="1"/>
  <c r="AQ1893" i="1"/>
  <c r="AR1893" i="1"/>
  <c r="AS1893" i="1"/>
  <c r="AT1893" i="1"/>
  <c r="AP1894" i="1"/>
  <c r="AQ1894" i="1"/>
  <c r="AR1894" i="1"/>
  <c r="AS1894" i="1"/>
  <c r="AT1894" i="1"/>
  <c r="AP1895" i="1"/>
  <c r="AQ1895" i="1"/>
  <c r="AR1895" i="1"/>
  <c r="AS1895" i="1"/>
  <c r="AT1895" i="1"/>
  <c r="AP1896" i="1"/>
  <c r="AQ1896" i="1"/>
  <c r="AR1896" i="1"/>
  <c r="AS1896" i="1"/>
  <c r="AT1896" i="1"/>
  <c r="AP1898" i="1"/>
  <c r="AQ1898" i="1"/>
  <c r="AR1898" i="1"/>
  <c r="AS1898" i="1"/>
  <c r="AT1898" i="1"/>
  <c r="AP1899" i="1"/>
  <c r="AQ1899" i="1"/>
  <c r="AR1899" i="1"/>
  <c r="AS1899" i="1"/>
  <c r="AT1899" i="1"/>
  <c r="AP1900" i="1"/>
  <c r="AQ1900" i="1"/>
  <c r="AR1900" i="1"/>
  <c r="AS1900" i="1"/>
  <c r="AT1900" i="1"/>
  <c r="AP1901" i="1"/>
  <c r="AQ1901" i="1"/>
  <c r="AR1901" i="1"/>
  <c r="AS1901" i="1"/>
  <c r="AT1901" i="1"/>
  <c r="AP1902" i="1"/>
  <c r="AQ1902" i="1"/>
  <c r="AR1902" i="1"/>
  <c r="AS1902" i="1"/>
  <c r="AT1902" i="1"/>
  <c r="AP1903" i="1"/>
  <c r="AQ1903" i="1"/>
  <c r="AR1903" i="1"/>
  <c r="AS1903" i="1"/>
  <c r="AT1903" i="1"/>
  <c r="AP1904" i="1"/>
  <c r="AQ1904" i="1"/>
  <c r="AR1904" i="1"/>
  <c r="AS1904" i="1"/>
  <c r="AT1904" i="1"/>
  <c r="AP1905" i="1"/>
  <c r="AQ1905" i="1"/>
  <c r="AR1905" i="1"/>
  <c r="AS1905" i="1"/>
  <c r="AT1905" i="1"/>
  <c r="AP1906" i="1"/>
  <c r="AQ1906" i="1"/>
  <c r="AR1906" i="1"/>
  <c r="AS1906" i="1"/>
  <c r="AT1906" i="1"/>
  <c r="AP1907" i="1"/>
  <c r="AQ1907" i="1"/>
  <c r="AR1907" i="1"/>
  <c r="AS1907" i="1"/>
  <c r="AT1907" i="1"/>
  <c r="AP1908" i="1"/>
  <c r="AQ1908" i="1"/>
  <c r="AR1908" i="1"/>
  <c r="AS1908" i="1"/>
  <c r="AT1908" i="1"/>
  <c r="AP1909" i="1"/>
  <c r="AQ1909" i="1"/>
  <c r="AR1909" i="1"/>
  <c r="AS1909" i="1"/>
  <c r="AT1909" i="1"/>
  <c r="AP1910" i="1"/>
  <c r="AQ1910" i="1"/>
  <c r="AR1910" i="1"/>
  <c r="AS1910" i="1"/>
  <c r="AT1910" i="1"/>
  <c r="AP1911" i="1"/>
  <c r="AQ1911" i="1"/>
  <c r="AR1911" i="1"/>
  <c r="AS1911" i="1"/>
  <c r="AT1911" i="1"/>
  <c r="AP1912" i="1"/>
  <c r="AQ1912" i="1"/>
  <c r="AR1912" i="1"/>
  <c r="AS1912" i="1"/>
  <c r="AT1912" i="1"/>
  <c r="AP1913" i="1"/>
  <c r="AQ1913" i="1"/>
  <c r="AR1913" i="1"/>
  <c r="AS1913" i="1"/>
  <c r="AT1913" i="1"/>
  <c r="AP1914" i="1"/>
  <c r="AQ1914" i="1"/>
  <c r="AR1914" i="1"/>
  <c r="AS1914" i="1"/>
  <c r="AT1914" i="1"/>
  <c r="AP1915" i="1"/>
  <c r="AQ1915" i="1"/>
  <c r="AR1915" i="1"/>
  <c r="AS1915" i="1"/>
  <c r="AT1915" i="1"/>
  <c r="AP1916" i="1"/>
  <c r="AQ1916" i="1"/>
  <c r="AR1916" i="1"/>
  <c r="AS1916" i="1"/>
  <c r="AT1916" i="1"/>
  <c r="AP1917" i="1"/>
  <c r="AQ1917" i="1"/>
  <c r="AR1917" i="1"/>
  <c r="AS1917" i="1"/>
  <c r="AT1917" i="1"/>
  <c r="AP1918" i="1"/>
  <c r="AQ1918" i="1"/>
  <c r="AR1918" i="1"/>
  <c r="AS1918" i="1"/>
  <c r="AT1918" i="1"/>
  <c r="AP1919" i="1"/>
  <c r="AQ1919" i="1"/>
  <c r="AR1919" i="1"/>
  <c r="AS1919" i="1"/>
  <c r="AT1919" i="1"/>
  <c r="AP1920" i="1"/>
  <c r="AQ1920" i="1"/>
  <c r="AR1920" i="1"/>
  <c r="AS1920" i="1"/>
  <c r="AT1920" i="1"/>
  <c r="AP1921" i="1"/>
  <c r="AQ1921" i="1"/>
  <c r="AR1921" i="1"/>
  <c r="AS1921" i="1"/>
  <c r="AT1921" i="1"/>
  <c r="AP1922" i="1"/>
  <c r="AQ1922" i="1"/>
  <c r="AR1922" i="1"/>
  <c r="AS1922" i="1"/>
  <c r="AT1922" i="1"/>
  <c r="AP1923" i="1"/>
  <c r="AQ1923" i="1"/>
  <c r="AR1923" i="1"/>
  <c r="AS1923" i="1"/>
  <c r="AT1923" i="1"/>
  <c r="AP1924" i="1"/>
  <c r="AQ1924" i="1"/>
  <c r="AR1924" i="1"/>
  <c r="AS1924" i="1"/>
  <c r="AT1924" i="1"/>
  <c r="AP1925" i="1"/>
  <c r="AQ1925" i="1"/>
  <c r="AR1925" i="1"/>
  <c r="AS1925" i="1"/>
  <c r="AT1925" i="1"/>
  <c r="AP1926" i="1"/>
  <c r="AQ1926" i="1"/>
  <c r="AR1926" i="1"/>
  <c r="AS1926" i="1"/>
  <c r="AT1926" i="1"/>
  <c r="AP1927" i="1"/>
  <c r="AQ1927" i="1"/>
  <c r="AR1927" i="1"/>
  <c r="AS1927" i="1"/>
  <c r="AT1927" i="1"/>
  <c r="AP1928" i="1"/>
  <c r="AQ1928" i="1"/>
  <c r="AR1928" i="1"/>
  <c r="AS1928" i="1"/>
  <c r="AT1928" i="1"/>
  <c r="AP1929" i="1"/>
  <c r="AQ1929" i="1"/>
  <c r="AR1929" i="1"/>
  <c r="AS1929" i="1"/>
  <c r="AT1929" i="1"/>
  <c r="AP1930" i="1"/>
  <c r="AQ1930" i="1"/>
  <c r="AR1930" i="1"/>
  <c r="AS1930" i="1"/>
  <c r="AT1930" i="1"/>
  <c r="AP1931" i="1"/>
  <c r="AQ1931" i="1"/>
  <c r="AR1931" i="1"/>
  <c r="AS1931" i="1"/>
  <c r="AT1931" i="1"/>
  <c r="AP1932" i="1"/>
  <c r="AQ1932" i="1"/>
  <c r="AR1932" i="1"/>
  <c r="AS1932" i="1"/>
  <c r="AT1932" i="1"/>
  <c r="AP1933" i="1"/>
  <c r="AQ1933" i="1"/>
  <c r="AR1933" i="1"/>
  <c r="AS1933" i="1"/>
  <c r="AT1933" i="1"/>
  <c r="AP1934" i="1"/>
  <c r="AQ1934" i="1"/>
  <c r="AR1934" i="1"/>
  <c r="AS1934" i="1"/>
  <c r="AT1934" i="1"/>
  <c r="AP1935" i="1"/>
  <c r="AQ1935" i="1"/>
  <c r="AR1935" i="1"/>
  <c r="AS1935" i="1"/>
  <c r="AT1935" i="1"/>
  <c r="AP1936" i="1"/>
  <c r="AQ1936" i="1"/>
  <c r="AR1936" i="1"/>
  <c r="AS1936" i="1"/>
  <c r="AT1936" i="1"/>
  <c r="AP1937" i="1"/>
  <c r="AQ1937" i="1"/>
  <c r="AR1937" i="1"/>
  <c r="AS1937" i="1"/>
  <c r="AT1937" i="1"/>
  <c r="AP1938" i="1"/>
  <c r="AQ1938" i="1"/>
  <c r="AR1938" i="1"/>
  <c r="AS1938" i="1"/>
  <c r="AT1938" i="1"/>
  <c r="AP1939" i="1"/>
  <c r="AQ1939" i="1"/>
  <c r="AR1939" i="1"/>
  <c r="AS1939" i="1"/>
  <c r="AT1939" i="1"/>
  <c r="AP1940" i="1"/>
  <c r="AQ1940" i="1"/>
  <c r="AR1940" i="1"/>
  <c r="AS1940" i="1"/>
  <c r="AT1940" i="1"/>
  <c r="AP1941" i="1"/>
  <c r="AQ1941" i="1"/>
  <c r="AR1941" i="1"/>
  <c r="AS1941" i="1"/>
  <c r="AT1941" i="1"/>
  <c r="AP1942" i="1"/>
  <c r="AQ1942" i="1"/>
  <c r="AR1942" i="1"/>
  <c r="AS1942" i="1"/>
  <c r="AT1942" i="1"/>
  <c r="AP1943" i="1"/>
  <c r="AQ1943" i="1"/>
  <c r="AR1943" i="1"/>
  <c r="AS1943" i="1"/>
  <c r="AT1943" i="1"/>
  <c r="AP1944" i="1"/>
  <c r="AQ1944" i="1"/>
  <c r="AR1944" i="1"/>
  <c r="AS1944" i="1"/>
  <c r="AT1944" i="1"/>
  <c r="AP1945" i="1"/>
  <c r="AQ1945" i="1"/>
  <c r="AR1945" i="1"/>
  <c r="AS1945" i="1"/>
  <c r="AT1945" i="1"/>
  <c r="AP1946" i="1"/>
  <c r="AQ1946" i="1"/>
  <c r="AR1946" i="1"/>
  <c r="AS1946" i="1"/>
  <c r="AT1946" i="1"/>
  <c r="AP1947" i="1"/>
  <c r="AQ1947" i="1"/>
  <c r="AR1947" i="1"/>
  <c r="AS1947" i="1"/>
  <c r="AT1947" i="1"/>
  <c r="AP1948" i="1"/>
  <c r="AQ1948" i="1"/>
  <c r="AR1948" i="1"/>
  <c r="AS1948" i="1"/>
  <c r="AT1948" i="1"/>
  <c r="AP1949" i="1"/>
  <c r="AQ1949" i="1"/>
  <c r="AR1949" i="1"/>
  <c r="AS1949" i="1"/>
  <c r="AT1949" i="1"/>
  <c r="AP1950" i="1"/>
  <c r="AQ1950" i="1"/>
  <c r="AR1950" i="1"/>
  <c r="AS1950" i="1"/>
  <c r="AT1950" i="1"/>
  <c r="AP1951" i="1"/>
  <c r="AQ1951" i="1"/>
  <c r="AR1951" i="1"/>
  <c r="AS1951" i="1"/>
  <c r="AT1951" i="1"/>
  <c r="AP1952" i="1"/>
  <c r="AQ1952" i="1"/>
  <c r="AR1952" i="1"/>
  <c r="AS1952" i="1"/>
  <c r="AT1952" i="1"/>
  <c r="AP1953" i="1"/>
  <c r="AQ1953" i="1"/>
  <c r="AR1953" i="1"/>
  <c r="AS1953" i="1"/>
  <c r="AT1953" i="1"/>
  <c r="AP1954" i="1"/>
  <c r="AQ1954" i="1"/>
  <c r="AR1954" i="1"/>
  <c r="AS1954" i="1"/>
  <c r="AT1954" i="1"/>
  <c r="AP1955" i="1"/>
  <c r="AQ1955" i="1"/>
  <c r="AR1955" i="1"/>
  <c r="AS1955" i="1"/>
  <c r="AT1955" i="1"/>
  <c r="AP1956" i="1"/>
  <c r="AQ1956" i="1"/>
  <c r="AR1956" i="1"/>
  <c r="AS1956" i="1"/>
  <c r="AT1956" i="1"/>
  <c r="AP1957" i="1"/>
  <c r="AQ1957" i="1"/>
  <c r="AR1957" i="1"/>
  <c r="AS1957" i="1"/>
  <c r="AT1957" i="1"/>
  <c r="AP1958" i="1"/>
  <c r="AQ1958" i="1"/>
  <c r="AR1958" i="1"/>
  <c r="AS1958" i="1"/>
  <c r="AT1958" i="1"/>
  <c r="AP1959" i="1"/>
  <c r="AQ1959" i="1"/>
  <c r="AR1959" i="1"/>
  <c r="AS1959" i="1"/>
  <c r="AT1959" i="1"/>
  <c r="AP1960" i="1"/>
  <c r="AQ1960" i="1"/>
  <c r="AR1960" i="1"/>
  <c r="AS1960" i="1"/>
  <c r="AT1960" i="1"/>
  <c r="AP1961" i="1"/>
  <c r="AQ1961" i="1"/>
  <c r="AR1961" i="1"/>
  <c r="AS1961" i="1"/>
  <c r="AT1961" i="1"/>
  <c r="AP1962" i="1"/>
  <c r="AQ1962" i="1"/>
  <c r="AR1962" i="1"/>
  <c r="AS1962" i="1"/>
  <c r="AT1962" i="1"/>
  <c r="AP1963" i="1"/>
  <c r="AQ1963" i="1"/>
  <c r="AR1963" i="1"/>
  <c r="AS1963" i="1"/>
  <c r="AT1963" i="1"/>
  <c r="AP1964" i="1"/>
  <c r="AQ1964" i="1"/>
  <c r="AR1964" i="1"/>
  <c r="AS1964" i="1"/>
  <c r="AT1964" i="1"/>
  <c r="AP1965" i="1"/>
  <c r="AQ1965" i="1"/>
  <c r="AR1965" i="1"/>
  <c r="AS1965" i="1"/>
  <c r="AT1965" i="1"/>
  <c r="AP1966" i="1"/>
  <c r="AQ1966" i="1"/>
  <c r="AR1966" i="1"/>
  <c r="AS1966" i="1"/>
  <c r="AT1966" i="1"/>
  <c r="AP1967" i="1"/>
  <c r="AQ1967" i="1"/>
  <c r="AR1967" i="1"/>
  <c r="AS1967" i="1"/>
  <c r="AT1967" i="1"/>
  <c r="AP1968" i="1"/>
  <c r="AQ1968" i="1"/>
  <c r="AR1968" i="1"/>
  <c r="AS1968" i="1"/>
  <c r="AT1968" i="1"/>
  <c r="AP1969" i="1"/>
  <c r="AQ1969" i="1"/>
  <c r="AR1969" i="1"/>
  <c r="AS1969" i="1"/>
  <c r="AT1969" i="1"/>
  <c r="AP1970" i="1"/>
  <c r="AQ1970" i="1"/>
  <c r="AR1970" i="1"/>
  <c r="AS1970" i="1"/>
  <c r="AT1970" i="1"/>
  <c r="AP1971" i="1"/>
  <c r="AQ1971" i="1"/>
  <c r="AR1971" i="1"/>
  <c r="AS1971" i="1"/>
  <c r="AT1971" i="1"/>
  <c r="AP1972" i="1"/>
  <c r="AQ1972" i="1"/>
  <c r="AR1972" i="1"/>
  <c r="AS1972" i="1"/>
  <c r="AT1972" i="1"/>
  <c r="AP1973" i="1"/>
  <c r="AQ1973" i="1"/>
  <c r="AR1973" i="1"/>
  <c r="AS1973" i="1"/>
  <c r="AT1973" i="1"/>
  <c r="AP1974" i="1"/>
  <c r="AQ1974" i="1"/>
  <c r="AR1974" i="1"/>
  <c r="AS1974" i="1"/>
  <c r="AT1974" i="1"/>
  <c r="AP1975" i="1"/>
  <c r="AQ1975" i="1"/>
  <c r="AR1975" i="1"/>
  <c r="AS1975" i="1"/>
  <c r="AT1975" i="1"/>
  <c r="AP1976" i="1"/>
  <c r="AQ1976" i="1"/>
  <c r="AR1976" i="1"/>
  <c r="AS1976" i="1"/>
  <c r="AT1976" i="1"/>
  <c r="AP1977" i="1"/>
  <c r="AQ1977" i="1"/>
  <c r="AR1977" i="1"/>
  <c r="AS1977" i="1"/>
  <c r="AT1977" i="1"/>
  <c r="AP1978" i="1"/>
  <c r="AQ1978" i="1"/>
  <c r="AR1978" i="1"/>
  <c r="AS1978" i="1"/>
  <c r="AT1978" i="1"/>
  <c r="AP1979" i="1"/>
  <c r="AQ1979" i="1"/>
  <c r="AR1979" i="1"/>
  <c r="AS1979" i="1"/>
  <c r="AT1979" i="1"/>
  <c r="AP1980" i="1"/>
  <c r="AQ1980" i="1"/>
  <c r="AR1980" i="1"/>
  <c r="AS1980" i="1"/>
  <c r="AT1980" i="1"/>
  <c r="AP1981" i="1"/>
  <c r="AQ1981" i="1"/>
  <c r="AR1981" i="1"/>
  <c r="AS1981" i="1"/>
  <c r="AT1981" i="1"/>
  <c r="AP1982" i="1"/>
  <c r="AQ1982" i="1"/>
  <c r="AR1982" i="1"/>
  <c r="AS1982" i="1"/>
  <c r="AT1982" i="1"/>
  <c r="AP1983" i="1"/>
  <c r="AQ1983" i="1"/>
  <c r="AR1983" i="1"/>
  <c r="AS1983" i="1"/>
  <c r="AT1983" i="1"/>
  <c r="AP1984" i="1"/>
  <c r="AQ1984" i="1"/>
  <c r="AR1984" i="1"/>
  <c r="AS1984" i="1"/>
  <c r="AT1984" i="1"/>
  <c r="AP1985" i="1"/>
  <c r="AQ1985" i="1"/>
  <c r="AR1985" i="1"/>
  <c r="AS1985" i="1"/>
  <c r="AT1985" i="1"/>
  <c r="AP1986" i="1"/>
  <c r="AQ1986" i="1"/>
  <c r="AR1986" i="1"/>
  <c r="AS1986" i="1"/>
  <c r="AT1986" i="1"/>
  <c r="AP1987" i="1"/>
  <c r="AQ1987" i="1"/>
  <c r="AR1987" i="1"/>
  <c r="AS1987" i="1"/>
  <c r="AT1987" i="1"/>
  <c r="AP1988" i="1"/>
  <c r="AQ1988" i="1"/>
  <c r="AR1988" i="1"/>
  <c r="AS1988" i="1"/>
  <c r="AT1988" i="1"/>
  <c r="AP1989" i="1"/>
  <c r="AQ1989" i="1"/>
  <c r="AR1989" i="1"/>
  <c r="AS1989" i="1"/>
  <c r="AT1989" i="1"/>
  <c r="AP1990" i="1"/>
  <c r="AQ1990" i="1"/>
  <c r="AR1990" i="1"/>
  <c r="AS1990" i="1"/>
  <c r="AT1990" i="1"/>
  <c r="AP1991" i="1"/>
  <c r="AQ1991" i="1"/>
  <c r="AR1991" i="1"/>
  <c r="AS1991" i="1"/>
  <c r="AT1991" i="1"/>
  <c r="AP1992" i="1"/>
  <c r="AQ1992" i="1"/>
  <c r="AR1992" i="1"/>
  <c r="AS1992" i="1"/>
  <c r="AT1992" i="1"/>
  <c r="AP1993" i="1"/>
  <c r="AQ1993" i="1"/>
  <c r="AR1993" i="1"/>
  <c r="AS1993" i="1"/>
  <c r="AT1993" i="1"/>
  <c r="AP1994" i="1"/>
  <c r="AQ1994" i="1"/>
  <c r="AR1994" i="1"/>
  <c r="AS1994" i="1"/>
  <c r="AT1994" i="1"/>
  <c r="AP1996" i="1"/>
  <c r="AQ1996" i="1"/>
  <c r="AR1996" i="1"/>
  <c r="AS1996" i="1"/>
  <c r="AT1996" i="1"/>
  <c r="AP1997" i="1"/>
  <c r="AQ1997" i="1"/>
  <c r="AR1997" i="1"/>
  <c r="AS1997" i="1"/>
  <c r="AT1997" i="1"/>
  <c r="AP1998" i="1"/>
  <c r="AQ1998" i="1"/>
  <c r="AR1998" i="1"/>
  <c r="AS1998" i="1"/>
  <c r="AT1998" i="1"/>
  <c r="AP1999" i="1"/>
  <c r="AQ1999" i="1"/>
  <c r="AR1999" i="1"/>
  <c r="AS1999" i="1"/>
  <c r="AT1999" i="1"/>
  <c r="AP2000" i="1"/>
  <c r="AQ2000" i="1"/>
  <c r="AR2000" i="1"/>
  <c r="AS2000" i="1"/>
  <c r="AT2000" i="1"/>
  <c r="AP2001" i="1"/>
  <c r="AQ2001" i="1"/>
  <c r="AR2001" i="1"/>
  <c r="AS2001" i="1"/>
  <c r="AT2001" i="1"/>
  <c r="AP2002" i="1"/>
  <c r="AQ2002" i="1"/>
  <c r="AR2002" i="1"/>
  <c r="AS2002" i="1"/>
  <c r="AT2002" i="1"/>
  <c r="AP2003" i="1"/>
  <c r="AQ2003" i="1"/>
  <c r="AR2003" i="1"/>
  <c r="AS2003" i="1"/>
  <c r="AT2003" i="1"/>
  <c r="AP2004" i="1"/>
  <c r="AQ2004" i="1"/>
  <c r="AR2004" i="1"/>
  <c r="AS2004" i="1"/>
  <c r="AT2004" i="1"/>
  <c r="AP2005" i="1"/>
  <c r="AQ2005" i="1"/>
  <c r="AR2005" i="1"/>
  <c r="AS2005" i="1"/>
  <c r="AT2005" i="1"/>
  <c r="AP2006" i="1"/>
  <c r="AQ2006" i="1"/>
  <c r="AR2006" i="1"/>
  <c r="AS2006" i="1"/>
  <c r="AT2006" i="1"/>
  <c r="AP2007" i="1"/>
  <c r="AQ2007" i="1"/>
  <c r="AR2007" i="1"/>
  <c r="AS2007" i="1"/>
  <c r="AT2007" i="1"/>
  <c r="AP2008" i="1"/>
  <c r="AQ2008" i="1"/>
  <c r="AR2008" i="1"/>
  <c r="AS2008" i="1"/>
  <c r="AT2008" i="1"/>
  <c r="AP2009" i="1"/>
  <c r="AQ2009" i="1"/>
  <c r="AR2009" i="1"/>
  <c r="AS2009" i="1"/>
  <c r="AT2009" i="1"/>
  <c r="AP2010" i="1"/>
  <c r="AQ2010" i="1"/>
  <c r="AR2010" i="1"/>
  <c r="AS2010" i="1"/>
  <c r="AT2010" i="1"/>
  <c r="AP2011" i="1"/>
  <c r="AQ2011" i="1"/>
  <c r="AR2011" i="1"/>
  <c r="AS2011" i="1"/>
  <c r="AT2011" i="1"/>
  <c r="AP2012" i="1"/>
  <c r="AQ2012" i="1"/>
  <c r="AR2012" i="1"/>
  <c r="AS2012" i="1"/>
  <c r="AT2012" i="1"/>
  <c r="AP2013" i="1"/>
  <c r="AQ2013" i="1"/>
  <c r="AR2013" i="1"/>
  <c r="AS2013" i="1"/>
  <c r="AT2013" i="1"/>
  <c r="AP2014" i="1"/>
  <c r="AQ2014" i="1"/>
  <c r="AR2014" i="1"/>
  <c r="AS2014" i="1"/>
  <c r="AT2014" i="1"/>
  <c r="AP2015" i="1"/>
  <c r="AQ2015" i="1"/>
  <c r="AR2015" i="1"/>
  <c r="AS2015" i="1"/>
  <c r="AT2015" i="1"/>
  <c r="AP2016" i="1"/>
  <c r="AQ2016" i="1"/>
  <c r="AR2016" i="1"/>
  <c r="AS2016" i="1"/>
  <c r="AT2016" i="1"/>
  <c r="AP2017" i="1"/>
  <c r="AQ2017" i="1"/>
  <c r="AR2017" i="1"/>
  <c r="AS2017" i="1"/>
  <c r="AT2017" i="1"/>
  <c r="AP2018" i="1"/>
  <c r="AQ2018" i="1"/>
  <c r="AR2018" i="1"/>
  <c r="AS2018" i="1"/>
  <c r="AT2018" i="1"/>
  <c r="AP2019" i="1"/>
  <c r="AQ2019" i="1"/>
  <c r="AR2019" i="1"/>
  <c r="AS2019" i="1"/>
  <c r="AT2019" i="1"/>
  <c r="AP2020" i="1"/>
  <c r="AQ2020" i="1"/>
  <c r="AR2020" i="1"/>
  <c r="AS2020" i="1"/>
  <c r="AT2020" i="1"/>
  <c r="AP2021" i="1"/>
  <c r="AQ2021" i="1"/>
  <c r="AR2021" i="1"/>
  <c r="AS2021" i="1"/>
  <c r="AT2021" i="1"/>
  <c r="AP2022" i="1"/>
  <c r="AQ2022" i="1"/>
  <c r="AR2022" i="1"/>
  <c r="AS2022" i="1"/>
  <c r="AT2022" i="1"/>
  <c r="AP2023" i="1"/>
  <c r="AQ2023" i="1"/>
  <c r="AR2023" i="1"/>
  <c r="AS2023" i="1"/>
  <c r="AT2023" i="1"/>
  <c r="AP2024" i="1"/>
  <c r="AQ2024" i="1"/>
  <c r="AR2024" i="1"/>
  <c r="AS2024" i="1"/>
  <c r="AT2024" i="1"/>
  <c r="AP2025" i="1"/>
  <c r="AQ2025" i="1"/>
  <c r="AR2025" i="1"/>
  <c r="AS2025" i="1"/>
  <c r="AT2025" i="1"/>
  <c r="AP2026" i="1"/>
  <c r="AQ2026" i="1"/>
  <c r="AR2026" i="1"/>
  <c r="AS2026" i="1"/>
  <c r="AT2026" i="1"/>
  <c r="AP2027" i="1"/>
  <c r="AQ2027" i="1"/>
  <c r="AR2027" i="1"/>
  <c r="AS2027" i="1"/>
  <c r="AT2027" i="1"/>
  <c r="AP2028" i="1"/>
  <c r="AQ2028" i="1"/>
  <c r="AR2028" i="1"/>
  <c r="AS2028" i="1"/>
  <c r="AT2028" i="1"/>
  <c r="AP2029" i="1"/>
  <c r="AQ2029" i="1"/>
  <c r="AR2029" i="1"/>
  <c r="AS2029" i="1"/>
  <c r="AT2029" i="1"/>
  <c r="AP2030" i="1"/>
  <c r="AQ2030" i="1"/>
  <c r="AR2030" i="1"/>
  <c r="AS2030" i="1"/>
  <c r="AT2030" i="1"/>
  <c r="AP2031" i="1"/>
  <c r="AQ2031" i="1"/>
  <c r="AR2031" i="1"/>
  <c r="AS2031" i="1"/>
  <c r="AT2031" i="1"/>
  <c r="AP2032" i="1"/>
  <c r="AQ2032" i="1"/>
  <c r="AR2032" i="1"/>
  <c r="AS2032" i="1"/>
  <c r="AT2032" i="1"/>
  <c r="AP2033" i="1"/>
  <c r="AQ2033" i="1"/>
  <c r="AR2033" i="1"/>
  <c r="AS2033" i="1"/>
  <c r="AT2033" i="1"/>
  <c r="AP2034" i="1"/>
  <c r="AQ2034" i="1"/>
  <c r="AR2034" i="1"/>
  <c r="AS2034" i="1"/>
  <c r="AT2034" i="1"/>
  <c r="AP2035" i="1"/>
  <c r="AQ2035" i="1"/>
  <c r="AR2035" i="1"/>
  <c r="AS2035" i="1"/>
  <c r="AT2035" i="1"/>
  <c r="AP2036" i="1"/>
  <c r="AQ2036" i="1"/>
  <c r="AR2036" i="1"/>
  <c r="AS2036" i="1"/>
  <c r="AT2036" i="1"/>
  <c r="AP2037" i="1"/>
  <c r="AQ2037" i="1"/>
  <c r="AR2037" i="1"/>
  <c r="AS2037" i="1"/>
  <c r="AT2037" i="1"/>
  <c r="AP2038" i="1"/>
  <c r="AQ2038" i="1"/>
  <c r="AR2038" i="1"/>
  <c r="AS2038" i="1"/>
  <c r="AT2038" i="1"/>
  <c r="AP2039" i="1"/>
  <c r="AQ2039" i="1"/>
  <c r="AR2039" i="1"/>
  <c r="AS2039" i="1"/>
  <c r="AT2039" i="1"/>
  <c r="AP2040" i="1"/>
  <c r="AQ2040" i="1"/>
  <c r="AR2040" i="1"/>
  <c r="AS2040" i="1"/>
  <c r="AT2040" i="1"/>
  <c r="AP2041" i="1"/>
  <c r="AQ2041" i="1"/>
  <c r="AR2041" i="1"/>
  <c r="AS2041" i="1"/>
  <c r="AT2041" i="1"/>
  <c r="AP2042" i="1"/>
  <c r="AQ2042" i="1"/>
  <c r="AR2042" i="1"/>
  <c r="AS2042" i="1"/>
  <c r="AT2042" i="1"/>
  <c r="AP2043" i="1"/>
  <c r="AQ2043" i="1"/>
  <c r="AR2043" i="1"/>
  <c r="AS2043" i="1"/>
  <c r="AT2043" i="1"/>
  <c r="AP2044" i="1"/>
  <c r="AQ2044" i="1"/>
  <c r="AR2044" i="1"/>
  <c r="AS2044" i="1"/>
  <c r="AT2044" i="1"/>
  <c r="AP2045" i="1"/>
  <c r="AQ2045" i="1"/>
  <c r="AR2045" i="1"/>
  <c r="AS2045" i="1"/>
  <c r="AT2045" i="1"/>
  <c r="AP2046" i="1"/>
  <c r="AQ2046" i="1"/>
  <c r="AR2046" i="1"/>
  <c r="AS2046" i="1"/>
  <c r="AT2046" i="1"/>
  <c r="AP2047" i="1"/>
  <c r="AQ2047" i="1"/>
  <c r="AR2047" i="1"/>
  <c r="AS2047" i="1"/>
  <c r="AT2047" i="1"/>
  <c r="AP2048" i="1"/>
  <c r="AQ2048" i="1"/>
  <c r="AR2048" i="1"/>
  <c r="AS2048" i="1"/>
  <c r="AT2048" i="1"/>
  <c r="AP2049" i="1"/>
  <c r="AQ2049" i="1"/>
  <c r="AR2049" i="1"/>
  <c r="AS2049" i="1"/>
  <c r="AT2049" i="1"/>
  <c r="AP2050" i="1"/>
  <c r="AQ2050" i="1"/>
  <c r="AR2050" i="1"/>
  <c r="AS2050" i="1"/>
  <c r="AT2050" i="1"/>
  <c r="AP2051" i="1"/>
  <c r="AQ2051" i="1"/>
  <c r="AR2051" i="1"/>
  <c r="AS2051" i="1"/>
  <c r="AT2051" i="1"/>
  <c r="AP2052" i="1"/>
  <c r="AQ2052" i="1"/>
  <c r="AR2052" i="1"/>
  <c r="AS2052" i="1"/>
  <c r="AT2052" i="1"/>
  <c r="AP2053" i="1"/>
  <c r="AQ2053" i="1"/>
  <c r="AR2053" i="1"/>
  <c r="AS2053" i="1"/>
  <c r="AT2053" i="1"/>
  <c r="AP2054" i="1"/>
  <c r="AQ2054" i="1"/>
  <c r="AR2054" i="1"/>
  <c r="AS2054" i="1"/>
  <c r="AT2054" i="1"/>
  <c r="AP2055" i="1"/>
  <c r="AQ2055" i="1"/>
  <c r="AR2055" i="1"/>
  <c r="AS2055" i="1"/>
  <c r="AT2055" i="1"/>
  <c r="AP2056" i="1"/>
  <c r="AQ2056" i="1"/>
  <c r="AR2056" i="1"/>
  <c r="AS2056" i="1"/>
  <c r="AT2056" i="1"/>
  <c r="AP2057" i="1"/>
  <c r="AQ2057" i="1"/>
  <c r="AR2057" i="1"/>
  <c r="AS2057" i="1"/>
  <c r="AT2057" i="1"/>
  <c r="AP2058" i="1"/>
  <c r="AQ2058" i="1"/>
  <c r="AR2058" i="1"/>
  <c r="AS2058" i="1"/>
  <c r="AT2058" i="1"/>
  <c r="AP2059" i="1"/>
  <c r="AQ2059" i="1"/>
  <c r="AR2059" i="1"/>
  <c r="AS2059" i="1"/>
  <c r="AT2059" i="1"/>
  <c r="AP2060" i="1"/>
  <c r="AQ2060" i="1"/>
  <c r="AR2060" i="1"/>
  <c r="AS2060" i="1"/>
  <c r="AT2060" i="1"/>
  <c r="AP2061" i="1"/>
  <c r="AQ2061" i="1"/>
  <c r="AR2061" i="1"/>
  <c r="AS2061" i="1"/>
  <c r="AT2061" i="1"/>
  <c r="AP2062" i="1"/>
  <c r="AQ2062" i="1"/>
  <c r="AR2062" i="1"/>
  <c r="AS2062" i="1"/>
  <c r="AT2062" i="1"/>
  <c r="AP2063" i="1"/>
  <c r="AQ2063" i="1"/>
  <c r="AR2063" i="1"/>
  <c r="AS2063" i="1"/>
  <c r="AT2063" i="1"/>
  <c r="AP2064" i="1"/>
  <c r="AQ2064" i="1"/>
  <c r="AR2064" i="1"/>
  <c r="AS2064" i="1"/>
  <c r="AT2064" i="1"/>
  <c r="AP2065" i="1"/>
  <c r="AQ2065" i="1"/>
  <c r="AR2065" i="1"/>
  <c r="AS2065" i="1"/>
  <c r="AT2065" i="1"/>
  <c r="AP2066" i="1"/>
  <c r="AQ2066" i="1"/>
  <c r="AR2066" i="1"/>
  <c r="AS2066" i="1"/>
  <c r="AT2066" i="1"/>
  <c r="AP2067" i="1"/>
  <c r="AQ2067" i="1"/>
  <c r="AR2067" i="1"/>
  <c r="AS2067" i="1"/>
  <c r="AT2067" i="1"/>
  <c r="AP2068" i="1"/>
  <c r="AQ2068" i="1"/>
  <c r="AR2068" i="1"/>
  <c r="AS2068" i="1"/>
  <c r="AT2068" i="1"/>
  <c r="AP2069" i="1"/>
  <c r="AQ2069" i="1"/>
  <c r="AR2069" i="1"/>
  <c r="AS2069" i="1"/>
  <c r="AT2069" i="1"/>
  <c r="AP2070" i="1"/>
  <c r="AQ2070" i="1"/>
  <c r="AR2070" i="1"/>
  <c r="AS2070" i="1"/>
  <c r="AT2070" i="1"/>
  <c r="AP2071" i="1"/>
  <c r="AQ2071" i="1"/>
  <c r="AR2071" i="1"/>
  <c r="AS2071" i="1"/>
  <c r="AT2071" i="1"/>
  <c r="AP2072" i="1"/>
  <c r="AQ2072" i="1"/>
  <c r="AR2072" i="1"/>
  <c r="AS2072" i="1"/>
  <c r="AT2072" i="1"/>
  <c r="AP2073" i="1"/>
  <c r="AQ2073" i="1"/>
  <c r="AR2073" i="1"/>
  <c r="AS2073" i="1"/>
  <c r="AT2073" i="1"/>
  <c r="AP2074" i="1"/>
  <c r="AQ2074" i="1"/>
  <c r="AR2074" i="1"/>
  <c r="AS2074" i="1"/>
  <c r="AT2074" i="1"/>
  <c r="AP2075" i="1"/>
  <c r="AQ2075" i="1"/>
  <c r="AR2075" i="1"/>
  <c r="AS2075" i="1"/>
  <c r="AT2075" i="1"/>
  <c r="AP2076" i="1"/>
  <c r="AQ2076" i="1"/>
  <c r="AR2076" i="1"/>
  <c r="AS2076" i="1"/>
  <c r="AT2076" i="1"/>
  <c r="AP2077" i="1"/>
  <c r="AQ2077" i="1"/>
  <c r="AR2077" i="1"/>
  <c r="AS2077" i="1"/>
  <c r="AT2077" i="1"/>
  <c r="AP2078" i="1"/>
  <c r="AQ2078" i="1"/>
  <c r="AR2078" i="1"/>
  <c r="AS2078" i="1"/>
  <c r="AT2078" i="1"/>
  <c r="AP2079" i="1"/>
  <c r="AQ2079" i="1"/>
  <c r="AR2079" i="1"/>
  <c r="AS2079" i="1"/>
  <c r="AT2079" i="1"/>
  <c r="AP2080" i="1"/>
  <c r="AQ2080" i="1"/>
  <c r="AR2080" i="1"/>
  <c r="AS2080" i="1"/>
  <c r="AT2080" i="1"/>
  <c r="AP2081" i="1"/>
  <c r="AQ2081" i="1"/>
  <c r="AR2081" i="1"/>
  <c r="AS2081" i="1"/>
  <c r="AT2081" i="1"/>
  <c r="AP2082" i="1"/>
  <c r="AQ2082" i="1"/>
  <c r="AR2082" i="1"/>
  <c r="AS2082" i="1"/>
  <c r="AT2082" i="1"/>
  <c r="AP2083" i="1"/>
  <c r="AQ2083" i="1"/>
  <c r="AR2083" i="1"/>
  <c r="AS2083" i="1"/>
  <c r="AT2083" i="1"/>
  <c r="AP2084" i="1"/>
  <c r="AQ2084" i="1"/>
  <c r="AR2084" i="1"/>
  <c r="AS2084" i="1"/>
  <c r="AT2084" i="1"/>
  <c r="AP2085" i="1"/>
  <c r="AQ2085" i="1"/>
  <c r="AR2085" i="1"/>
  <c r="AS2085" i="1"/>
  <c r="AT2085" i="1"/>
  <c r="AP2086" i="1"/>
  <c r="AQ2086" i="1"/>
  <c r="AR2086" i="1"/>
  <c r="AS2086" i="1"/>
  <c r="AT2086" i="1"/>
  <c r="AP2087" i="1"/>
  <c r="AQ2087" i="1"/>
  <c r="AR2087" i="1"/>
  <c r="AS2087" i="1"/>
  <c r="AT2087" i="1"/>
  <c r="AP2088" i="1"/>
  <c r="AQ2088" i="1"/>
  <c r="AR2088" i="1"/>
  <c r="AS2088" i="1"/>
  <c r="AT2088" i="1"/>
  <c r="AP2089" i="1"/>
  <c r="AQ2089" i="1"/>
  <c r="AR2089" i="1"/>
  <c r="AS2089" i="1"/>
  <c r="AT2089" i="1"/>
  <c r="AP2090" i="1"/>
  <c r="AQ2090" i="1"/>
  <c r="AR2090" i="1"/>
  <c r="AS2090" i="1"/>
  <c r="AT2090" i="1"/>
  <c r="AP2091" i="1"/>
  <c r="AQ2091" i="1"/>
  <c r="AR2091" i="1"/>
  <c r="AS2091" i="1"/>
  <c r="AT2091" i="1"/>
  <c r="AP2092" i="1"/>
  <c r="AQ2092" i="1"/>
  <c r="AR2092" i="1"/>
  <c r="AS2092" i="1"/>
  <c r="AT2092" i="1"/>
  <c r="AP2093" i="1"/>
  <c r="AQ2093" i="1"/>
  <c r="AR2093" i="1"/>
  <c r="AS2093" i="1"/>
  <c r="AT2093" i="1"/>
  <c r="AP2094" i="1"/>
  <c r="AQ2094" i="1"/>
  <c r="AR2094" i="1"/>
  <c r="AS2094" i="1"/>
  <c r="AT2094" i="1"/>
  <c r="AP2095" i="1"/>
  <c r="AQ2095" i="1"/>
  <c r="AR2095" i="1"/>
  <c r="AS2095" i="1"/>
  <c r="AT2095" i="1"/>
  <c r="AP2096" i="1"/>
  <c r="AQ2096" i="1"/>
  <c r="AR2096" i="1"/>
  <c r="AS2096" i="1"/>
  <c r="AT2096" i="1"/>
  <c r="AP2097" i="1"/>
  <c r="AQ2097" i="1"/>
  <c r="AR2097" i="1"/>
  <c r="AS2097" i="1"/>
  <c r="AT2097" i="1"/>
  <c r="AP2098" i="1"/>
  <c r="AQ2098" i="1"/>
  <c r="AR2098" i="1"/>
  <c r="AS2098" i="1"/>
  <c r="AT2098" i="1"/>
  <c r="AP2099" i="1"/>
  <c r="AQ2099" i="1"/>
  <c r="AR2099" i="1"/>
  <c r="AS2099" i="1"/>
  <c r="AT2099" i="1"/>
  <c r="AP2100" i="1"/>
  <c r="AQ2100" i="1"/>
  <c r="AR2100" i="1"/>
  <c r="AS2100" i="1"/>
  <c r="AT2100" i="1"/>
  <c r="AP2101" i="1"/>
  <c r="AQ2101" i="1"/>
  <c r="AR2101" i="1"/>
  <c r="AS2101" i="1"/>
  <c r="AT2101" i="1"/>
  <c r="AP2102" i="1"/>
  <c r="AQ2102" i="1"/>
  <c r="AR2102" i="1"/>
  <c r="AS2102" i="1"/>
  <c r="AT2102" i="1"/>
  <c r="AP2103" i="1"/>
  <c r="AQ2103" i="1"/>
  <c r="AR2103" i="1"/>
  <c r="AS2103" i="1"/>
  <c r="AT2103" i="1"/>
  <c r="AP2104" i="1"/>
  <c r="AQ2104" i="1"/>
  <c r="AR2104" i="1"/>
  <c r="AS2104" i="1"/>
  <c r="AT2104" i="1"/>
  <c r="AP2105" i="1"/>
  <c r="AQ2105" i="1"/>
  <c r="AR2105" i="1"/>
  <c r="AS2105" i="1"/>
  <c r="AT2105" i="1"/>
  <c r="AP2106" i="1"/>
  <c r="AQ2106" i="1"/>
  <c r="AR2106" i="1"/>
  <c r="AS2106" i="1"/>
  <c r="AT2106" i="1"/>
  <c r="AP2107" i="1"/>
  <c r="AQ2107" i="1"/>
  <c r="AR2107" i="1"/>
  <c r="AS2107" i="1"/>
  <c r="AT2107" i="1"/>
  <c r="AP2108" i="1"/>
  <c r="AQ2108" i="1"/>
  <c r="AR2108" i="1"/>
  <c r="AS2108" i="1"/>
  <c r="AT2108" i="1"/>
  <c r="AP2109" i="1"/>
  <c r="AQ2109" i="1"/>
  <c r="AR2109" i="1"/>
  <c r="AS2109" i="1"/>
  <c r="AT2109" i="1"/>
  <c r="AP2110" i="1"/>
  <c r="AQ2110" i="1"/>
  <c r="AR2110" i="1"/>
  <c r="AS2110" i="1"/>
  <c r="AT2110" i="1"/>
  <c r="AP2111" i="1"/>
  <c r="AQ2111" i="1"/>
  <c r="AR2111" i="1"/>
  <c r="AS2111" i="1"/>
  <c r="AT2111" i="1"/>
  <c r="AP2112" i="1"/>
  <c r="AQ2112" i="1"/>
  <c r="AR2112" i="1"/>
  <c r="AS2112" i="1"/>
  <c r="AT2112" i="1"/>
  <c r="AP2113" i="1"/>
  <c r="AQ2113" i="1"/>
  <c r="AR2113" i="1"/>
  <c r="AS2113" i="1"/>
  <c r="AT2113" i="1"/>
  <c r="AP2114" i="1"/>
  <c r="AQ2114" i="1"/>
  <c r="AR2114" i="1"/>
  <c r="AS2114" i="1"/>
  <c r="AT2114" i="1"/>
  <c r="AP2115" i="1"/>
  <c r="AQ2115" i="1"/>
  <c r="AR2115" i="1"/>
  <c r="AS2115" i="1"/>
  <c r="AT2115" i="1"/>
  <c r="AR2116" i="1"/>
  <c r="AS2116" i="1"/>
  <c r="AT2116" i="1"/>
  <c r="AP2117" i="1"/>
  <c r="AQ2117" i="1"/>
  <c r="AR2117" i="1"/>
  <c r="AS2117" i="1"/>
  <c r="AT2117" i="1"/>
  <c r="AT19" i="1"/>
  <c r="AS19" i="1"/>
  <c r="AR19" i="1"/>
  <c r="AQ19" i="1"/>
  <c r="AD22" i="10" l="1"/>
  <c r="AB22" i="10" s="1"/>
  <c r="AA21" i="10"/>
  <c r="AC21" i="10"/>
  <c r="I1995" i="1"/>
  <c r="I1897" i="1"/>
  <c r="I1776" i="1"/>
  <c r="I1631" i="1"/>
  <c r="I1172" i="1"/>
  <c r="I955" i="1"/>
  <c r="I210" i="1"/>
  <c r="I17" i="1"/>
  <c r="AC22" i="10" l="1"/>
  <c r="AA22" i="10"/>
  <c r="Z1" i="12"/>
  <c r="AR210" i="1"/>
  <c r="AS210" i="1"/>
  <c r="AP210" i="1"/>
  <c r="AQ210" i="1"/>
  <c r="AP1776" i="1"/>
  <c r="AQ1776" i="1"/>
  <c r="AR1776" i="1"/>
  <c r="AS1776" i="1"/>
  <c r="AQ1631" i="1"/>
  <c r="AS1631" i="1"/>
  <c r="AT1631" i="1"/>
  <c r="AR1631" i="1"/>
  <c r="AP1631" i="1"/>
  <c r="AQ955" i="1"/>
  <c r="AR955" i="1"/>
  <c r="AP955" i="1"/>
  <c r="AS955" i="1"/>
  <c r="AT955" i="1"/>
  <c r="AS1897" i="1"/>
  <c r="AP1897" i="1"/>
  <c r="AT1897" i="1"/>
  <c r="AQ1897" i="1"/>
  <c r="AR1897" i="1"/>
  <c r="AP1172" i="1"/>
  <c r="AS1172" i="1"/>
  <c r="AQ1172" i="1"/>
  <c r="AR1172" i="1"/>
  <c r="AQ1995" i="1"/>
  <c r="AR1995" i="1"/>
  <c r="AS1995" i="1"/>
  <c r="AP1995" i="1"/>
  <c r="AT1995" i="1"/>
  <c r="AU15" i="1"/>
  <c r="AP19" i="1"/>
  <c r="Z2" i="12" l="1"/>
  <c r="AB2" i="12" s="1"/>
  <c r="AT1776" i="1"/>
  <c r="AT1172" i="1"/>
  <c r="AT210" i="1"/>
  <c r="AP2119" i="1"/>
  <c r="AQ2119" i="1"/>
  <c r="AR2119" i="1"/>
  <c r="AS2119" i="1"/>
  <c r="AP2120" i="1"/>
  <c r="AQ2120" i="1"/>
  <c r="AR2120" i="1"/>
  <c r="AS2120" i="1"/>
  <c r="AP2121" i="1"/>
  <c r="AQ2121" i="1"/>
  <c r="AR2121" i="1"/>
  <c r="AS2121" i="1"/>
  <c r="AP2122" i="1"/>
  <c r="AQ2122" i="1"/>
  <c r="AR2122" i="1"/>
  <c r="AS2122" i="1"/>
  <c r="AT2122" i="1"/>
  <c r="AP2123" i="1"/>
  <c r="AQ2123" i="1"/>
  <c r="AR2123" i="1"/>
  <c r="AS2123" i="1"/>
  <c r="AT2123" i="1"/>
  <c r="AP2124" i="1"/>
  <c r="AQ2124" i="1"/>
  <c r="AR2124" i="1"/>
  <c r="AS2124" i="1"/>
  <c r="AT2124" i="1"/>
  <c r="AP2125" i="1"/>
  <c r="AQ2125" i="1"/>
  <c r="AR2125" i="1"/>
  <c r="AS2125" i="1"/>
  <c r="AT2125" i="1"/>
  <c r="AP2126" i="1"/>
  <c r="AQ2126" i="1"/>
  <c r="AR2126" i="1"/>
  <c r="AS2126" i="1"/>
  <c r="AT2126" i="1"/>
  <c r="AP2127" i="1"/>
  <c r="AQ2127" i="1"/>
  <c r="AR2127" i="1"/>
  <c r="AS2127" i="1"/>
  <c r="AT2127" i="1"/>
  <c r="AP2128" i="1"/>
  <c r="AQ2128" i="1"/>
  <c r="AR2128" i="1"/>
  <c r="AS2128" i="1"/>
  <c r="AT2128" i="1"/>
  <c r="AP2129" i="1"/>
  <c r="AQ2129" i="1"/>
  <c r="AR2129" i="1"/>
  <c r="AS2129" i="1"/>
  <c r="AT2129" i="1"/>
  <c r="AP2130" i="1"/>
  <c r="AQ2130" i="1"/>
  <c r="AR2130" i="1"/>
  <c r="AS2130" i="1"/>
  <c r="AT2130" i="1"/>
  <c r="AP2131" i="1"/>
  <c r="AQ2131" i="1"/>
  <c r="AR2131" i="1"/>
  <c r="AS2131" i="1"/>
  <c r="AT2131" i="1"/>
  <c r="AP2132" i="1"/>
  <c r="AQ2132" i="1"/>
  <c r="AR2132" i="1"/>
  <c r="AS2132" i="1"/>
  <c r="AT2132" i="1"/>
  <c r="AP2133" i="1"/>
  <c r="AQ2133" i="1"/>
  <c r="AR2133" i="1"/>
  <c r="AS2133" i="1"/>
  <c r="AT2133" i="1"/>
  <c r="AP2134" i="1"/>
  <c r="AQ2134" i="1"/>
  <c r="AR2134" i="1"/>
  <c r="AS2134" i="1"/>
  <c r="AT2134" i="1"/>
  <c r="AP2135" i="1"/>
  <c r="AQ2135" i="1"/>
  <c r="AR2135" i="1"/>
  <c r="AS2135" i="1"/>
  <c r="AT2135" i="1"/>
  <c r="AP2136" i="1"/>
  <c r="AQ2136" i="1"/>
  <c r="AR2136" i="1"/>
  <c r="AS2136" i="1"/>
  <c r="AT2136" i="1"/>
  <c r="AP2137" i="1"/>
  <c r="AQ2137" i="1"/>
  <c r="AR2137" i="1"/>
  <c r="AS2137" i="1"/>
  <c r="AT2137" i="1"/>
  <c r="AP2138" i="1"/>
  <c r="AQ2138" i="1"/>
  <c r="AR2138" i="1"/>
  <c r="AS2138" i="1"/>
  <c r="AT2138" i="1"/>
  <c r="AP2139" i="1"/>
  <c r="AQ2139" i="1"/>
  <c r="AR2139" i="1"/>
  <c r="AS2139" i="1"/>
  <c r="AT2139" i="1"/>
  <c r="AP2140" i="1"/>
  <c r="AQ2140" i="1"/>
  <c r="AR2140" i="1"/>
  <c r="AS2140" i="1"/>
  <c r="AT2140" i="1"/>
  <c r="AP2141" i="1"/>
  <c r="AQ2141" i="1"/>
  <c r="AR2141" i="1"/>
  <c r="AS2141" i="1"/>
  <c r="AT2141" i="1"/>
  <c r="AP2142" i="1"/>
  <c r="AQ2142" i="1"/>
  <c r="AR2142" i="1"/>
  <c r="AS2142" i="1"/>
  <c r="AT2142" i="1"/>
  <c r="AP2143" i="1"/>
  <c r="AQ2143" i="1"/>
  <c r="AR2143" i="1"/>
  <c r="AS2143" i="1"/>
  <c r="AT2143" i="1"/>
  <c r="AP2144" i="1"/>
  <c r="AQ2144" i="1"/>
  <c r="AR2144" i="1"/>
  <c r="AS2144" i="1"/>
  <c r="AT2144" i="1"/>
  <c r="AP2145" i="1"/>
  <c r="AQ2145" i="1"/>
  <c r="AR2145" i="1"/>
  <c r="AS2145" i="1"/>
  <c r="AT2145" i="1"/>
  <c r="AP2146" i="1"/>
  <c r="AQ2146" i="1"/>
  <c r="AR2146" i="1"/>
  <c r="AS2146" i="1"/>
  <c r="AT2146" i="1"/>
  <c r="AP2147" i="1"/>
  <c r="AQ2147" i="1"/>
  <c r="AR2147" i="1"/>
  <c r="AS2147" i="1"/>
  <c r="AT2147" i="1"/>
  <c r="AP2148" i="1"/>
  <c r="AQ2148" i="1"/>
  <c r="AR2148" i="1"/>
  <c r="AS2148" i="1"/>
  <c r="AT2148" i="1"/>
  <c r="AP2149" i="1"/>
  <c r="AQ2149" i="1"/>
  <c r="AR2149" i="1"/>
  <c r="AS2149" i="1"/>
  <c r="AT2149" i="1"/>
  <c r="AP2150" i="1"/>
  <c r="AQ2150" i="1"/>
  <c r="AR2150" i="1"/>
  <c r="AS2150" i="1"/>
  <c r="AT2150" i="1"/>
  <c r="AP2151" i="1"/>
  <c r="AQ2151" i="1"/>
  <c r="AR2151" i="1"/>
  <c r="AS2151" i="1"/>
  <c r="AT2151" i="1"/>
  <c r="AP2152" i="1"/>
  <c r="AQ2152" i="1"/>
  <c r="AR2152" i="1"/>
  <c r="AS2152" i="1"/>
  <c r="AT2152" i="1"/>
  <c r="AP2153" i="1"/>
  <c r="AQ2153" i="1"/>
  <c r="AR2153" i="1"/>
  <c r="AS2153" i="1"/>
  <c r="AT2153" i="1"/>
  <c r="AP2154" i="1"/>
  <c r="AQ2154" i="1"/>
  <c r="AR2154" i="1"/>
  <c r="AS2154" i="1"/>
  <c r="AT2154" i="1"/>
  <c r="AP2155" i="1"/>
  <c r="AQ2155" i="1"/>
  <c r="AR2155" i="1"/>
  <c r="AS2155" i="1"/>
  <c r="AT2155" i="1"/>
  <c r="AP2156" i="1"/>
  <c r="AQ2156" i="1"/>
  <c r="AR2156" i="1"/>
  <c r="AS2156" i="1"/>
  <c r="AT2156" i="1"/>
  <c r="AP2157" i="1"/>
  <c r="AQ2157" i="1"/>
  <c r="AR2157" i="1"/>
  <c r="AS2157" i="1"/>
  <c r="AT2157" i="1"/>
  <c r="AP2158" i="1"/>
  <c r="AQ2158" i="1"/>
  <c r="AR2158" i="1"/>
  <c r="AS2158" i="1"/>
  <c r="AT2158" i="1"/>
  <c r="AP2159" i="1"/>
  <c r="AQ2159" i="1"/>
  <c r="AR2159" i="1"/>
  <c r="AS2159" i="1"/>
  <c r="AT2159" i="1"/>
  <c r="AP2160" i="1"/>
  <c r="AQ2160" i="1"/>
  <c r="AR2160" i="1"/>
  <c r="AS2160" i="1"/>
  <c r="AT2160" i="1"/>
  <c r="AP2161" i="1"/>
  <c r="AQ2161" i="1"/>
  <c r="AR2161" i="1"/>
  <c r="AS2161" i="1"/>
  <c r="AT2161" i="1"/>
  <c r="AP2162" i="1"/>
  <c r="AQ2162" i="1"/>
  <c r="AR2162" i="1"/>
  <c r="AS2162" i="1"/>
  <c r="AT2162" i="1"/>
  <c r="AP2163" i="1"/>
  <c r="AQ2163" i="1"/>
  <c r="AR2163" i="1"/>
  <c r="AS2163" i="1"/>
  <c r="AT2163" i="1"/>
  <c r="AP2164" i="1"/>
  <c r="AQ2164" i="1"/>
  <c r="AR2164" i="1"/>
  <c r="AS2164" i="1"/>
  <c r="AT2164" i="1"/>
  <c r="AP2165" i="1"/>
  <c r="AQ2165" i="1"/>
  <c r="AR2165" i="1"/>
  <c r="AS2165" i="1"/>
  <c r="AT2165" i="1"/>
  <c r="AP2166" i="1"/>
  <c r="AQ2166" i="1"/>
  <c r="AR2166" i="1"/>
  <c r="AS2166" i="1"/>
  <c r="AT2166" i="1"/>
  <c r="AP2167" i="1"/>
  <c r="AQ2167" i="1"/>
  <c r="AR2167" i="1"/>
  <c r="AS2167" i="1"/>
  <c r="AT2167" i="1"/>
  <c r="AP2168" i="1"/>
  <c r="AQ2168" i="1"/>
  <c r="AR2168" i="1"/>
  <c r="AS2168" i="1"/>
  <c r="AT2168" i="1"/>
  <c r="AP2169" i="1"/>
  <c r="AQ2169" i="1"/>
  <c r="AR2169" i="1"/>
  <c r="AS2169" i="1"/>
  <c r="AT2169" i="1"/>
  <c r="AP2170" i="1"/>
  <c r="AQ2170" i="1"/>
  <c r="AR2170" i="1"/>
  <c r="AS2170" i="1"/>
  <c r="AT2170" i="1"/>
  <c r="AP2171" i="1"/>
  <c r="AQ2171" i="1"/>
  <c r="AR2171" i="1"/>
  <c r="AS2171" i="1"/>
  <c r="AT2171" i="1"/>
  <c r="AP2172" i="1"/>
  <c r="AQ2172" i="1"/>
  <c r="AR2172" i="1"/>
  <c r="AS2172" i="1"/>
  <c r="AT2172" i="1"/>
  <c r="AP2173" i="1"/>
  <c r="AQ2173" i="1"/>
  <c r="AR2173" i="1"/>
  <c r="AS2173" i="1"/>
  <c r="AT2173" i="1"/>
  <c r="AP2174" i="1"/>
  <c r="AQ2174" i="1"/>
  <c r="AR2174" i="1"/>
  <c r="AS2174" i="1"/>
  <c r="AT2174" i="1"/>
  <c r="AP2175" i="1"/>
  <c r="AQ2175" i="1"/>
  <c r="AR2175" i="1"/>
  <c r="AS2175" i="1"/>
  <c r="AT2175" i="1"/>
  <c r="AP2176" i="1"/>
  <c r="AQ2176" i="1"/>
  <c r="AR2176" i="1"/>
  <c r="AS2176" i="1"/>
  <c r="AT2176" i="1"/>
  <c r="AP2177" i="1"/>
  <c r="AQ2177" i="1"/>
  <c r="AR2177" i="1"/>
  <c r="AS2177" i="1"/>
  <c r="AT2177" i="1"/>
  <c r="AP2178" i="1"/>
  <c r="AQ2178" i="1"/>
  <c r="AR2178" i="1"/>
  <c r="AS2178" i="1"/>
  <c r="AT2178" i="1"/>
  <c r="AP2179" i="1"/>
  <c r="AQ2179" i="1"/>
  <c r="AR2179" i="1"/>
  <c r="AS2179" i="1"/>
  <c r="AT2179" i="1"/>
  <c r="AP2180" i="1"/>
  <c r="AQ2180" i="1"/>
  <c r="AR2180" i="1"/>
  <c r="AS2180" i="1"/>
  <c r="AT2180" i="1"/>
  <c r="AP2181" i="1"/>
  <c r="AQ2181" i="1"/>
  <c r="AR2181" i="1"/>
  <c r="AS2181" i="1"/>
  <c r="AT2181" i="1"/>
  <c r="AP2182" i="1"/>
  <c r="AQ2182" i="1"/>
  <c r="AR2182" i="1"/>
  <c r="AS2182" i="1"/>
  <c r="AT2182" i="1"/>
  <c r="AP2183" i="1"/>
  <c r="AQ2183" i="1"/>
  <c r="AR2183" i="1"/>
  <c r="AS2183" i="1"/>
  <c r="AT2183" i="1"/>
  <c r="AP2184" i="1"/>
  <c r="AQ2184" i="1"/>
  <c r="AR2184" i="1"/>
  <c r="AS2184" i="1"/>
  <c r="AT2184" i="1"/>
  <c r="AP2185" i="1"/>
  <c r="AQ2185" i="1"/>
  <c r="AR2185" i="1"/>
  <c r="AS2185" i="1"/>
  <c r="AT2185" i="1"/>
  <c r="AP2186" i="1"/>
  <c r="AQ2186" i="1"/>
  <c r="AR2186" i="1"/>
  <c r="AS2186" i="1"/>
  <c r="AT2186" i="1"/>
  <c r="AP2187" i="1"/>
  <c r="AQ2187" i="1"/>
  <c r="AR2187" i="1"/>
  <c r="AS2187" i="1"/>
  <c r="AT2187" i="1"/>
  <c r="AP2188" i="1"/>
  <c r="AQ2188" i="1"/>
  <c r="AR2188" i="1"/>
  <c r="AS2188" i="1"/>
  <c r="AT2188" i="1"/>
  <c r="AP2189" i="1"/>
  <c r="AQ2189" i="1"/>
  <c r="AR2189" i="1"/>
  <c r="AS2189" i="1"/>
  <c r="AT2189" i="1"/>
  <c r="AP2190" i="1"/>
  <c r="AQ2190" i="1"/>
  <c r="AR2190" i="1"/>
  <c r="AS2190" i="1"/>
  <c r="AT2190" i="1"/>
  <c r="AP2191" i="1"/>
  <c r="AQ2191" i="1"/>
  <c r="AR2191" i="1"/>
  <c r="AS2191" i="1"/>
  <c r="AT2191" i="1"/>
  <c r="AP2192" i="1"/>
  <c r="AQ2192" i="1"/>
  <c r="AR2192" i="1"/>
  <c r="AS2192" i="1"/>
  <c r="AT2192" i="1"/>
  <c r="AP2193" i="1"/>
  <c r="AQ2193" i="1"/>
  <c r="AR2193" i="1"/>
  <c r="AS2193" i="1"/>
  <c r="AT2193" i="1"/>
  <c r="AP2194" i="1"/>
  <c r="AQ2194" i="1"/>
  <c r="AR2194" i="1"/>
  <c r="AS2194" i="1"/>
  <c r="AT2194" i="1"/>
  <c r="AP2195" i="1"/>
  <c r="AQ2195" i="1"/>
  <c r="AR2195" i="1"/>
  <c r="AS2195" i="1"/>
  <c r="AT2195" i="1"/>
  <c r="AP2196" i="1"/>
  <c r="AQ2196" i="1"/>
  <c r="AR2196" i="1"/>
  <c r="AS2196" i="1"/>
  <c r="AT2196" i="1"/>
  <c r="AP2197" i="1"/>
  <c r="AQ2197" i="1"/>
  <c r="AR2197" i="1"/>
  <c r="AS2197" i="1"/>
  <c r="AT2197" i="1"/>
  <c r="AP2198" i="1"/>
  <c r="AQ2198" i="1"/>
  <c r="AR2198" i="1"/>
  <c r="AS2198" i="1"/>
  <c r="AT2198" i="1"/>
  <c r="AP2199" i="1"/>
  <c r="AQ2199" i="1"/>
  <c r="AR2199" i="1"/>
  <c r="AS2199" i="1"/>
  <c r="AT2199" i="1"/>
  <c r="AP2200" i="1"/>
  <c r="AQ2200" i="1"/>
  <c r="AR2200" i="1"/>
  <c r="AS2200" i="1"/>
  <c r="AT2200" i="1"/>
  <c r="AP2201" i="1"/>
  <c r="AQ2201" i="1"/>
  <c r="AR2201" i="1"/>
  <c r="AS2201" i="1"/>
  <c r="AT2201" i="1"/>
  <c r="AP2202" i="1"/>
  <c r="AQ2202" i="1"/>
  <c r="AR2202" i="1"/>
  <c r="AS2202" i="1"/>
  <c r="AT2202" i="1"/>
  <c r="AP2203" i="1"/>
  <c r="AQ2203" i="1"/>
  <c r="AR2203" i="1"/>
  <c r="AS2203" i="1"/>
  <c r="AT2203" i="1"/>
  <c r="AP2204" i="1"/>
  <c r="AQ2204" i="1"/>
  <c r="AR2204" i="1"/>
  <c r="AS2204" i="1"/>
  <c r="AT2204" i="1"/>
  <c r="AP2205" i="1"/>
  <c r="AQ2205" i="1"/>
  <c r="AR2205" i="1"/>
  <c r="AS2205" i="1"/>
  <c r="AT2205" i="1"/>
  <c r="AP2206" i="1"/>
  <c r="AQ2206" i="1"/>
  <c r="AR2206" i="1"/>
  <c r="AS2206" i="1"/>
  <c r="AT2206" i="1"/>
  <c r="AP2207" i="1"/>
  <c r="AQ2207" i="1"/>
  <c r="AR2207" i="1"/>
  <c r="AS2207" i="1"/>
  <c r="AT2207" i="1"/>
  <c r="AP2208" i="1"/>
  <c r="AQ2208" i="1"/>
  <c r="AR2208" i="1"/>
  <c r="AS2208" i="1"/>
  <c r="AT2208" i="1"/>
  <c r="AP2209" i="1"/>
  <c r="AQ2209" i="1"/>
  <c r="AR2209" i="1"/>
  <c r="AS2209" i="1"/>
  <c r="AT2209" i="1"/>
  <c r="AP2210" i="1"/>
  <c r="AQ2210" i="1"/>
  <c r="AR2210" i="1"/>
  <c r="AS2210" i="1"/>
  <c r="AT2210" i="1"/>
  <c r="AP2211" i="1"/>
  <c r="AQ2211" i="1"/>
  <c r="AR2211" i="1"/>
  <c r="AS2211" i="1"/>
  <c r="AT2211" i="1"/>
  <c r="AP2212" i="1"/>
  <c r="AQ2212" i="1"/>
  <c r="AR2212" i="1"/>
  <c r="AS2212" i="1"/>
  <c r="AT2212" i="1"/>
  <c r="AP2213" i="1"/>
  <c r="AQ2213" i="1"/>
  <c r="AR2213" i="1"/>
  <c r="AS2213" i="1"/>
  <c r="AT2213" i="1"/>
  <c r="AP2214" i="1"/>
  <c r="AQ2214" i="1"/>
  <c r="AR2214" i="1"/>
  <c r="AS2214" i="1"/>
  <c r="AT2214" i="1"/>
  <c r="AP2215" i="1"/>
  <c r="AQ2215" i="1"/>
  <c r="AR2215" i="1"/>
  <c r="AS2215" i="1"/>
  <c r="AT2215" i="1"/>
  <c r="AP2216" i="1"/>
  <c r="AQ2216" i="1"/>
  <c r="AR2216" i="1"/>
  <c r="AS2216" i="1"/>
  <c r="AT2216" i="1"/>
  <c r="AP2217" i="1"/>
  <c r="AQ2217" i="1"/>
  <c r="AR2217" i="1"/>
  <c r="AS2217" i="1"/>
  <c r="AT2217" i="1"/>
  <c r="AP2218" i="1"/>
  <c r="AQ2218" i="1"/>
  <c r="AR2218" i="1"/>
  <c r="AS2218" i="1"/>
  <c r="AT2218" i="1"/>
  <c r="AP2219" i="1"/>
  <c r="AQ2219" i="1"/>
  <c r="AR2219" i="1"/>
  <c r="AS2219" i="1"/>
  <c r="AT2219" i="1"/>
  <c r="AP2220" i="1"/>
  <c r="AQ2220" i="1"/>
  <c r="AR2220" i="1"/>
  <c r="AS2220" i="1"/>
  <c r="AT2220" i="1"/>
  <c r="AP2221" i="1"/>
  <c r="AQ2221" i="1"/>
  <c r="AR2221" i="1"/>
  <c r="AS2221" i="1"/>
  <c r="AT2221" i="1"/>
  <c r="AP2222" i="1"/>
  <c r="AQ2222" i="1"/>
  <c r="AR2222" i="1"/>
  <c r="AS2222" i="1"/>
  <c r="AT2222" i="1"/>
  <c r="AP2223" i="1"/>
  <c r="AQ2223" i="1"/>
  <c r="AR2223" i="1"/>
  <c r="AS2223" i="1"/>
  <c r="AT2223" i="1"/>
  <c r="AP2224" i="1"/>
  <c r="AQ2224" i="1"/>
  <c r="AR2224" i="1"/>
  <c r="AS2224" i="1"/>
  <c r="AT2224" i="1"/>
  <c r="AP2225" i="1"/>
  <c r="AQ2225" i="1"/>
  <c r="AR2225" i="1"/>
  <c r="AS2225" i="1"/>
  <c r="AT2225" i="1"/>
  <c r="AP2226" i="1"/>
  <c r="AQ2226" i="1"/>
  <c r="AR2226" i="1"/>
  <c r="AS2226" i="1"/>
  <c r="AT2226" i="1"/>
  <c r="AP2227" i="1"/>
  <c r="AQ2227" i="1"/>
  <c r="AR2227" i="1"/>
  <c r="AS2227" i="1"/>
  <c r="AT2227" i="1"/>
  <c r="AP2228" i="1"/>
  <c r="AQ2228" i="1"/>
  <c r="AR2228" i="1"/>
  <c r="AS2228" i="1"/>
  <c r="AT2228" i="1"/>
  <c r="AP2229" i="1"/>
  <c r="AQ2229" i="1"/>
  <c r="AR2229" i="1"/>
  <c r="AS2229" i="1"/>
  <c r="AT2229" i="1"/>
  <c r="AP2230" i="1"/>
  <c r="AQ2230" i="1"/>
  <c r="AR2230" i="1"/>
  <c r="AS2230" i="1"/>
  <c r="AT2230" i="1"/>
  <c r="AP2231" i="1"/>
  <c r="AQ2231" i="1"/>
  <c r="AR2231" i="1"/>
  <c r="AS2231" i="1"/>
  <c r="AT2231" i="1"/>
  <c r="AP2232" i="1"/>
  <c r="AQ2232" i="1"/>
  <c r="AR2232" i="1"/>
  <c r="AS2232" i="1"/>
  <c r="AT2232" i="1"/>
  <c r="AP2233" i="1"/>
  <c r="AQ2233" i="1"/>
  <c r="AR2233" i="1"/>
  <c r="AS2233" i="1"/>
  <c r="AT2233" i="1"/>
  <c r="AP2234" i="1"/>
  <c r="AQ2234" i="1"/>
  <c r="AR2234" i="1"/>
  <c r="AS2234" i="1"/>
  <c r="AT2234" i="1"/>
  <c r="AP2235" i="1"/>
  <c r="AQ2235" i="1"/>
  <c r="AR2235" i="1"/>
  <c r="AS2235" i="1"/>
  <c r="AT2235" i="1"/>
  <c r="AP2236" i="1"/>
  <c r="AQ2236" i="1"/>
  <c r="AR2236" i="1"/>
  <c r="AS2236" i="1"/>
  <c r="AT2236" i="1"/>
  <c r="AP2237" i="1"/>
  <c r="AQ2237" i="1"/>
  <c r="AR2237" i="1"/>
  <c r="AS2237" i="1"/>
  <c r="AT2237" i="1"/>
  <c r="AP2238" i="1"/>
  <c r="AQ2238" i="1"/>
  <c r="AR2238" i="1"/>
  <c r="AS2238" i="1"/>
  <c r="AT2238" i="1"/>
  <c r="AP2239" i="1"/>
  <c r="AQ2239" i="1"/>
  <c r="AR2239" i="1"/>
  <c r="AS2239" i="1"/>
  <c r="AT2239" i="1"/>
  <c r="AP2240" i="1"/>
  <c r="AQ2240" i="1"/>
  <c r="AR2240" i="1"/>
  <c r="AS2240" i="1"/>
  <c r="AT2240" i="1"/>
  <c r="AP2241" i="1"/>
  <c r="AQ2241" i="1"/>
  <c r="AR2241" i="1"/>
  <c r="AS2241" i="1"/>
  <c r="AT2241" i="1"/>
  <c r="AP2242" i="1"/>
  <c r="AQ2242" i="1"/>
  <c r="AR2242" i="1"/>
  <c r="AS2242" i="1"/>
  <c r="AT2242" i="1"/>
  <c r="AP2243" i="1"/>
  <c r="AQ2243" i="1"/>
  <c r="AR2243" i="1"/>
  <c r="AS2243" i="1"/>
  <c r="AT2243" i="1"/>
  <c r="AP2244" i="1"/>
  <c r="AQ2244" i="1"/>
  <c r="AR2244" i="1"/>
  <c r="AS2244" i="1"/>
  <c r="AT2244" i="1"/>
  <c r="AP2245" i="1"/>
  <c r="AQ2245" i="1"/>
  <c r="AR2245" i="1"/>
  <c r="AS2245" i="1"/>
  <c r="AT2245" i="1"/>
  <c r="AP2246" i="1"/>
  <c r="AQ2246" i="1"/>
  <c r="AR2246" i="1"/>
  <c r="AS2246" i="1"/>
  <c r="AT2246" i="1"/>
  <c r="AP2247" i="1"/>
  <c r="AQ2247" i="1"/>
  <c r="AR2247" i="1"/>
  <c r="AS2247" i="1"/>
  <c r="AT2247" i="1"/>
  <c r="AP2248" i="1"/>
  <c r="AQ2248" i="1"/>
  <c r="AR2248" i="1"/>
  <c r="AS2248" i="1"/>
  <c r="AT2248" i="1"/>
  <c r="AP2249" i="1"/>
  <c r="AQ2249" i="1"/>
  <c r="AR2249" i="1"/>
  <c r="AS2249" i="1"/>
  <c r="AT2249" i="1"/>
  <c r="AP2250" i="1"/>
  <c r="AQ2250" i="1"/>
  <c r="AR2250" i="1"/>
  <c r="AS2250" i="1"/>
  <c r="AT2250" i="1"/>
  <c r="AP2251" i="1"/>
  <c r="AQ2251" i="1"/>
  <c r="AR2251" i="1"/>
  <c r="AS2251" i="1"/>
  <c r="AT2251" i="1"/>
  <c r="AP2252" i="1"/>
  <c r="AQ2252" i="1"/>
  <c r="AR2252" i="1"/>
  <c r="AS2252" i="1"/>
  <c r="AT2252" i="1"/>
  <c r="AP2253" i="1"/>
  <c r="AQ2253" i="1"/>
  <c r="AR2253" i="1"/>
  <c r="AS2253" i="1"/>
  <c r="AT2253" i="1"/>
  <c r="AP2254" i="1"/>
  <c r="AQ2254" i="1"/>
  <c r="AR2254" i="1"/>
  <c r="AS2254" i="1"/>
  <c r="AT2254" i="1"/>
  <c r="AP2255" i="1"/>
  <c r="AQ2255" i="1"/>
  <c r="AR2255" i="1"/>
  <c r="AS2255" i="1"/>
  <c r="AT2255" i="1"/>
  <c r="AP2256" i="1"/>
  <c r="AQ2256" i="1"/>
  <c r="AR2256" i="1"/>
  <c r="AS2256" i="1"/>
  <c r="AT2256" i="1"/>
  <c r="AP2257" i="1"/>
  <c r="AQ2257" i="1"/>
  <c r="AR2257" i="1"/>
  <c r="AS2257" i="1"/>
  <c r="AT2257" i="1"/>
  <c r="AP2258" i="1"/>
  <c r="AQ2258" i="1"/>
  <c r="AR2258" i="1"/>
  <c r="AS2258" i="1"/>
  <c r="AT2258" i="1"/>
  <c r="AP2259" i="1"/>
  <c r="AQ2259" i="1"/>
  <c r="AR2259" i="1"/>
  <c r="AS2259" i="1"/>
  <c r="AT2259" i="1"/>
  <c r="AP2260" i="1"/>
  <c r="AQ2260" i="1"/>
  <c r="AR2260" i="1"/>
  <c r="AS2260" i="1"/>
  <c r="AT2260" i="1"/>
  <c r="AP2261" i="1"/>
  <c r="AQ2261" i="1"/>
  <c r="AR2261" i="1"/>
  <c r="AS2261" i="1"/>
  <c r="AT2261" i="1"/>
  <c r="AP2262" i="1"/>
  <c r="AQ2262" i="1"/>
  <c r="AR2262" i="1"/>
  <c r="AS2262" i="1"/>
  <c r="AT2262" i="1"/>
  <c r="AP2263" i="1"/>
  <c r="AQ2263" i="1"/>
  <c r="AR2263" i="1"/>
  <c r="AS2263" i="1"/>
  <c r="AT2263" i="1"/>
  <c r="AP2264" i="1"/>
  <c r="AQ2264" i="1"/>
  <c r="AR2264" i="1"/>
  <c r="AS2264" i="1"/>
  <c r="AT2264" i="1"/>
  <c r="AP2265" i="1"/>
  <c r="AQ2265" i="1"/>
  <c r="AR2265" i="1"/>
  <c r="AS2265" i="1"/>
  <c r="AT2265" i="1"/>
  <c r="AP2266" i="1"/>
  <c r="AQ2266" i="1"/>
  <c r="AR2266" i="1"/>
  <c r="AS2266" i="1"/>
  <c r="AT2266" i="1"/>
  <c r="AP2267" i="1"/>
  <c r="AQ2267" i="1"/>
  <c r="AR2267" i="1"/>
  <c r="AS2267" i="1"/>
  <c r="AT2267" i="1"/>
  <c r="AP2268" i="1"/>
  <c r="AQ2268" i="1"/>
  <c r="AR2268" i="1"/>
  <c r="AS2268" i="1"/>
  <c r="AT2268" i="1"/>
  <c r="AP2269" i="1"/>
  <c r="AQ2269" i="1"/>
  <c r="AR2269" i="1"/>
  <c r="AS2269" i="1"/>
  <c r="AT2269" i="1"/>
  <c r="AP2270" i="1"/>
  <c r="AQ2270" i="1"/>
  <c r="AR2270" i="1"/>
  <c r="AS2270" i="1"/>
  <c r="AT2270" i="1"/>
  <c r="AP2271" i="1"/>
  <c r="AQ2271" i="1"/>
  <c r="AR2271" i="1"/>
  <c r="AS2271" i="1"/>
  <c r="AT2271" i="1"/>
  <c r="AP2272" i="1"/>
  <c r="AQ2272" i="1"/>
  <c r="AR2272" i="1"/>
  <c r="AS2272" i="1"/>
  <c r="AT2272" i="1"/>
  <c r="AP2273" i="1"/>
  <c r="AQ2273" i="1"/>
  <c r="AR2273" i="1"/>
  <c r="AS2273" i="1"/>
  <c r="AT2273" i="1"/>
  <c r="AP2274" i="1"/>
  <c r="AQ2274" i="1"/>
  <c r="AR2274" i="1"/>
  <c r="AS2274" i="1"/>
  <c r="AT2274" i="1"/>
  <c r="AP2275" i="1"/>
  <c r="AQ2275" i="1"/>
  <c r="AR2275" i="1"/>
  <c r="AS2275" i="1"/>
  <c r="AT2275" i="1"/>
  <c r="AP2276" i="1"/>
  <c r="AQ2276" i="1"/>
  <c r="AR2276" i="1"/>
  <c r="AS2276" i="1"/>
  <c r="AT2276" i="1"/>
  <c r="AP2277" i="1"/>
  <c r="AQ2277" i="1"/>
  <c r="AR2277" i="1"/>
  <c r="AS2277" i="1"/>
  <c r="AT2277" i="1"/>
  <c r="AP2278" i="1"/>
  <c r="AQ2278" i="1"/>
  <c r="AR2278" i="1"/>
  <c r="AS2278" i="1"/>
  <c r="AT2278" i="1"/>
  <c r="AP2279" i="1"/>
  <c r="AQ2279" i="1"/>
  <c r="AR2279" i="1"/>
  <c r="AS2279" i="1"/>
  <c r="AT2279" i="1"/>
  <c r="AP2280" i="1"/>
  <c r="AQ2280" i="1"/>
  <c r="AR2280" i="1"/>
  <c r="AS2280" i="1"/>
  <c r="AT2280" i="1"/>
  <c r="AP2281" i="1"/>
  <c r="AQ2281" i="1"/>
  <c r="AR2281" i="1"/>
  <c r="AS2281" i="1"/>
  <c r="AT2281" i="1"/>
  <c r="AP2282" i="1"/>
  <c r="AQ2282" i="1"/>
  <c r="AR2282" i="1"/>
  <c r="AS2282" i="1"/>
  <c r="AT2282" i="1"/>
  <c r="AP2283" i="1"/>
  <c r="AQ2283" i="1"/>
  <c r="AR2283" i="1"/>
  <c r="AS2283" i="1"/>
  <c r="AT2283" i="1"/>
  <c r="AP2284" i="1"/>
  <c r="AQ2284" i="1"/>
  <c r="AR2284" i="1"/>
  <c r="AS2284" i="1"/>
  <c r="AT2284" i="1"/>
  <c r="AP2285" i="1"/>
  <c r="AQ2285" i="1"/>
  <c r="AR2285" i="1"/>
  <c r="AS2285" i="1"/>
  <c r="AT2285" i="1"/>
  <c r="AP2286" i="1"/>
  <c r="AQ2286" i="1"/>
  <c r="AR2286" i="1"/>
  <c r="AS2286" i="1"/>
  <c r="AT2286" i="1"/>
  <c r="AP2287" i="1"/>
  <c r="AQ2287" i="1"/>
  <c r="AR2287" i="1"/>
  <c r="AS2287" i="1"/>
  <c r="AT2287" i="1"/>
  <c r="AP2288" i="1"/>
  <c r="AQ2288" i="1"/>
  <c r="AR2288" i="1"/>
  <c r="AS2288" i="1"/>
  <c r="AT2288" i="1"/>
  <c r="AP2289" i="1"/>
  <c r="AQ2289" i="1"/>
  <c r="AR2289" i="1"/>
  <c r="AS2289" i="1"/>
  <c r="AT2289" i="1"/>
  <c r="AP2290" i="1"/>
  <c r="AQ2290" i="1"/>
  <c r="AR2290" i="1"/>
  <c r="AS2290" i="1"/>
  <c r="AT2290" i="1"/>
  <c r="AP2291" i="1"/>
  <c r="AQ2291" i="1"/>
  <c r="AR2291" i="1"/>
  <c r="AS2291" i="1"/>
  <c r="AT2291" i="1"/>
  <c r="AP2292" i="1"/>
  <c r="AQ2292" i="1"/>
  <c r="AR2292" i="1"/>
  <c r="AS2292" i="1"/>
  <c r="AT2292" i="1"/>
  <c r="AP2293" i="1"/>
  <c r="AQ2293" i="1"/>
  <c r="AR2293" i="1"/>
  <c r="AS2293" i="1"/>
  <c r="AT2293" i="1"/>
  <c r="AP2294" i="1"/>
  <c r="AQ2294" i="1"/>
  <c r="AR2294" i="1"/>
  <c r="AS2294" i="1"/>
  <c r="AT2294" i="1"/>
  <c r="AP2295" i="1"/>
  <c r="AQ2295" i="1"/>
  <c r="AR2295" i="1"/>
  <c r="AS2295" i="1"/>
  <c r="AT2295" i="1"/>
  <c r="AP2296" i="1"/>
  <c r="AQ2296" i="1"/>
  <c r="AR2296" i="1"/>
  <c r="AS2296" i="1"/>
  <c r="AT2296" i="1"/>
  <c r="AP2297" i="1"/>
  <c r="AQ2297" i="1"/>
  <c r="AR2297" i="1"/>
  <c r="AS2297" i="1"/>
  <c r="AT2297" i="1"/>
  <c r="AP2298" i="1"/>
  <c r="AQ2298" i="1"/>
  <c r="AR2298" i="1"/>
  <c r="AS2298" i="1"/>
  <c r="AT2298" i="1"/>
  <c r="AP2299" i="1"/>
  <c r="AQ2299" i="1"/>
  <c r="AR2299" i="1"/>
  <c r="AS2299" i="1"/>
  <c r="AT2299" i="1"/>
  <c r="AP2300" i="1"/>
  <c r="AQ2300" i="1"/>
  <c r="AR2300" i="1"/>
  <c r="AS2300" i="1"/>
  <c r="AT2300" i="1"/>
  <c r="AP2301" i="1"/>
  <c r="AQ2301" i="1"/>
  <c r="AR2301" i="1"/>
  <c r="AS2301" i="1"/>
  <c r="AT2301" i="1"/>
  <c r="AP2302" i="1"/>
  <c r="AQ2302" i="1"/>
  <c r="AR2302" i="1"/>
  <c r="AS2302" i="1"/>
  <c r="AT2302" i="1"/>
  <c r="AP2303" i="1"/>
  <c r="AQ2303" i="1"/>
  <c r="AR2303" i="1"/>
  <c r="AS2303" i="1"/>
  <c r="AT2303" i="1"/>
  <c r="AP2304" i="1"/>
  <c r="AQ2304" i="1"/>
  <c r="AR2304" i="1"/>
  <c r="AS2304" i="1"/>
  <c r="AT2304" i="1"/>
  <c r="AP2305" i="1"/>
  <c r="AQ2305" i="1"/>
  <c r="AR2305" i="1"/>
  <c r="AS2305" i="1"/>
  <c r="AT2305" i="1"/>
  <c r="AP2306" i="1"/>
  <c r="AQ2306" i="1"/>
  <c r="AR2306" i="1"/>
  <c r="AS2306" i="1"/>
  <c r="AT2306" i="1"/>
  <c r="AP2307" i="1"/>
  <c r="AQ2307" i="1"/>
  <c r="AR2307" i="1"/>
  <c r="AS2307" i="1"/>
  <c r="AT2307" i="1"/>
  <c r="AP2308" i="1"/>
  <c r="AQ2308" i="1"/>
  <c r="AR2308" i="1"/>
  <c r="AS2308" i="1"/>
  <c r="AT2308" i="1"/>
  <c r="AP2309" i="1"/>
  <c r="AQ2309" i="1"/>
  <c r="AR2309" i="1"/>
  <c r="AS2309" i="1"/>
  <c r="AT2309" i="1"/>
  <c r="AP2310" i="1"/>
  <c r="AQ2310" i="1"/>
  <c r="AR2310" i="1"/>
  <c r="AS2310" i="1"/>
  <c r="AT2310" i="1"/>
  <c r="AP2311" i="1"/>
  <c r="AQ2311" i="1"/>
  <c r="AR2311" i="1"/>
  <c r="AS2311" i="1"/>
  <c r="AT2311" i="1"/>
  <c r="AP2312" i="1"/>
  <c r="AQ2312" i="1"/>
  <c r="AR2312" i="1"/>
  <c r="AS2312" i="1"/>
  <c r="AT2312" i="1"/>
  <c r="AP2313" i="1"/>
  <c r="AQ2313" i="1"/>
  <c r="AR2313" i="1"/>
  <c r="AS2313" i="1"/>
  <c r="AT2313" i="1"/>
  <c r="AP2314" i="1"/>
  <c r="AQ2314" i="1"/>
  <c r="AR2314" i="1"/>
  <c r="AS2314" i="1"/>
  <c r="AT2314" i="1"/>
  <c r="AP2315" i="1"/>
  <c r="AQ2315" i="1"/>
  <c r="AR2315" i="1"/>
  <c r="AS2315" i="1"/>
  <c r="AT2315" i="1"/>
  <c r="AP2316" i="1"/>
  <c r="AQ2316" i="1"/>
  <c r="AR2316" i="1"/>
  <c r="AS2316" i="1"/>
  <c r="AT2316" i="1"/>
  <c r="AP2317" i="1"/>
  <c r="AQ2317" i="1"/>
  <c r="AR2317" i="1"/>
  <c r="AS2317" i="1"/>
  <c r="AT2317" i="1"/>
  <c r="AP2318" i="1"/>
  <c r="AQ2318" i="1"/>
  <c r="AR2318" i="1"/>
  <c r="AS2318" i="1"/>
  <c r="AT2318" i="1"/>
  <c r="AP2319" i="1"/>
  <c r="AQ2319" i="1"/>
  <c r="AR2319" i="1"/>
  <c r="AS2319" i="1"/>
  <c r="AT2319" i="1"/>
  <c r="AP2320" i="1"/>
  <c r="AQ2320" i="1"/>
  <c r="AR2320" i="1"/>
  <c r="AS2320" i="1"/>
  <c r="AT2320" i="1"/>
  <c r="AP2321" i="1"/>
  <c r="AQ2321" i="1"/>
  <c r="AR2321" i="1"/>
  <c r="AS2321" i="1"/>
  <c r="AT2321" i="1"/>
  <c r="AP2322" i="1"/>
  <c r="AQ2322" i="1"/>
  <c r="AR2322" i="1"/>
  <c r="AS2322" i="1"/>
  <c r="AT2322" i="1"/>
  <c r="AP2323" i="1"/>
  <c r="AQ2323" i="1"/>
  <c r="AR2323" i="1"/>
  <c r="AS2323" i="1"/>
  <c r="AT2323" i="1"/>
  <c r="AP2324" i="1"/>
  <c r="AQ2324" i="1"/>
  <c r="AR2324" i="1"/>
  <c r="AS2324" i="1"/>
  <c r="AT2324" i="1"/>
  <c r="AP2325" i="1"/>
  <c r="AQ2325" i="1"/>
  <c r="AR2325" i="1"/>
  <c r="AS2325" i="1"/>
  <c r="AT2325" i="1"/>
  <c r="AP2326" i="1"/>
  <c r="AQ2326" i="1"/>
  <c r="AR2326" i="1"/>
  <c r="AS2326" i="1"/>
  <c r="AT2326" i="1"/>
  <c r="AP2327" i="1"/>
  <c r="AQ2327" i="1"/>
  <c r="AR2327" i="1"/>
  <c r="AS2327" i="1"/>
  <c r="AT2327" i="1"/>
  <c r="AP2328" i="1"/>
  <c r="AQ2328" i="1"/>
  <c r="AR2328" i="1"/>
  <c r="AS2328" i="1"/>
  <c r="AT2328" i="1"/>
  <c r="AP2329" i="1"/>
  <c r="AQ2329" i="1"/>
  <c r="AR2329" i="1"/>
  <c r="AS2329" i="1"/>
  <c r="AT2329" i="1"/>
  <c r="AP2330" i="1"/>
  <c r="AQ2330" i="1"/>
  <c r="AR2330" i="1"/>
  <c r="AS2330" i="1"/>
  <c r="AT2330" i="1"/>
  <c r="AP2331" i="1"/>
  <c r="AQ2331" i="1"/>
  <c r="AR2331" i="1"/>
  <c r="AS2331" i="1"/>
  <c r="AT2331" i="1"/>
  <c r="AP2332" i="1"/>
  <c r="AQ2332" i="1"/>
  <c r="AR2332" i="1"/>
  <c r="AS2332" i="1"/>
  <c r="AT2332" i="1"/>
  <c r="AP2333" i="1"/>
  <c r="AQ2333" i="1"/>
  <c r="AR2333" i="1"/>
  <c r="AS2333" i="1"/>
  <c r="AT2333" i="1"/>
  <c r="AP2334" i="1"/>
  <c r="AQ2334" i="1"/>
  <c r="AR2334" i="1"/>
  <c r="AS2334" i="1"/>
  <c r="AT2334" i="1"/>
  <c r="AP2335" i="1"/>
  <c r="AQ2335" i="1"/>
  <c r="AR2335" i="1"/>
  <c r="AS2335" i="1"/>
  <c r="AT2335" i="1"/>
  <c r="AP2336" i="1"/>
  <c r="AQ2336" i="1"/>
  <c r="AR2336" i="1"/>
  <c r="AS2336" i="1"/>
  <c r="AT2336" i="1"/>
  <c r="AP2337" i="1"/>
  <c r="AQ2337" i="1"/>
  <c r="AR2337" i="1"/>
  <c r="AS2337" i="1"/>
  <c r="AT2337" i="1"/>
  <c r="AP2338" i="1"/>
  <c r="AQ2338" i="1"/>
  <c r="AR2338" i="1"/>
  <c r="AS2338" i="1"/>
  <c r="AT2338" i="1"/>
  <c r="AP2339" i="1"/>
  <c r="AQ2339" i="1"/>
  <c r="AR2339" i="1"/>
  <c r="AS2339" i="1"/>
  <c r="AT2339" i="1"/>
  <c r="AP2340" i="1"/>
  <c r="AQ2340" i="1"/>
  <c r="AR2340" i="1"/>
  <c r="AS2340" i="1"/>
  <c r="AT2340" i="1"/>
  <c r="AP2341" i="1"/>
  <c r="AQ2341" i="1"/>
  <c r="AR2341" i="1"/>
  <c r="AS2341" i="1"/>
  <c r="AT2341" i="1"/>
  <c r="AP2342" i="1"/>
  <c r="AQ2342" i="1"/>
  <c r="AR2342" i="1"/>
  <c r="AS2342" i="1"/>
  <c r="AT2342" i="1"/>
  <c r="AP2343" i="1"/>
  <c r="AQ2343" i="1"/>
  <c r="AR2343" i="1"/>
  <c r="AS2343" i="1"/>
  <c r="AT2343" i="1"/>
  <c r="AP2344" i="1"/>
  <c r="AQ2344" i="1"/>
  <c r="AR2344" i="1"/>
  <c r="AS2344" i="1"/>
  <c r="AT2344" i="1"/>
  <c r="AP2345" i="1"/>
  <c r="AQ2345" i="1"/>
  <c r="AR2345" i="1"/>
  <c r="AS2345" i="1"/>
  <c r="AT2345" i="1"/>
  <c r="AP2346" i="1"/>
  <c r="AQ2346" i="1"/>
  <c r="AR2346" i="1"/>
  <c r="AS2346" i="1"/>
  <c r="AT2346" i="1"/>
  <c r="AP2347" i="1"/>
  <c r="AQ2347" i="1"/>
  <c r="AR2347" i="1"/>
  <c r="AS2347" i="1"/>
  <c r="AT2347" i="1"/>
  <c r="AP2348" i="1"/>
  <c r="AQ2348" i="1"/>
  <c r="AR2348" i="1"/>
  <c r="AS2348" i="1"/>
  <c r="AT2348" i="1"/>
  <c r="AP2349" i="1"/>
  <c r="AQ2349" i="1"/>
  <c r="AR2349" i="1"/>
  <c r="AS2349" i="1"/>
  <c r="AT2349" i="1"/>
  <c r="AP2350" i="1"/>
  <c r="AQ2350" i="1"/>
  <c r="AR2350" i="1"/>
  <c r="AS2350" i="1"/>
  <c r="AT2350" i="1"/>
  <c r="AP2351" i="1"/>
  <c r="AQ2351" i="1"/>
  <c r="AR2351" i="1"/>
  <c r="AS2351" i="1"/>
  <c r="AT2351" i="1"/>
  <c r="AP2352" i="1"/>
  <c r="AQ2352" i="1"/>
  <c r="AR2352" i="1"/>
  <c r="AS2352" i="1"/>
  <c r="AT2352" i="1"/>
  <c r="AP2353" i="1"/>
  <c r="AQ2353" i="1"/>
  <c r="AR2353" i="1"/>
  <c r="AS2353" i="1"/>
  <c r="AT2353" i="1"/>
  <c r="AP2354" i="1"/>
  <c r="AQ2354" i="1"/>
  <c r="AR2354" i="1"/>
  <c r="AS2354" i="1"/>
  <c r="AT2354" i="1"/>
  <c r="AP2355" i="1"/>
  <c r="AQ2355" i="1"/>
  <c r="AR2355" i="1"/>
  <c r="AS2355" i="1"/>
  <c r="AT2355" i="1"/>
  <c r="AP2356" i="1"/>
  <c r="AQ2356" i="1"/>
  <c r="AR2356" i="1"/>
  <c r="AS2356" i="1"/>
  <c r="AT2356" i="1"/>
  <c r="AP2357" i="1"/>
  <c r="AQ2357" i="1"/>
  <c r="AR2357" i="1"/>
  <c r="AS2357" i="1"/>
  <c r="AT2357" i="1"/>
  <c r="AP2358" i="1"/>
  <c r="AQ2358" i="1"/>
  <c r="AR2358" i="1"/>
  <c r="AS2358" i="1"/>
  <c r="AT2358" i="1"/>
  <c r="AP2359" i="1"/>
  <c r="AQ2359" i="1"/>
  <c r="AR2359" i="1"/>
  <c r="AS2359" i="1"/>
  <c r="AT2359" i="1"/>
  <c r="AP2360" i="1"/>
  <c r="AQ2360" i="1"/>
  <c r="AR2360" i="1"/>
  <c r="AS2360" i="1"/>
  <c r="AT2360" i="1"/>
  <c r="AP2361" i="1"/>
  <c r="AQ2361" i="1"/>
  <c r="AR2361" i="1"/>
  <c r="AS2361" i="1"/>
  <c r="AT2361" i="1"/>
  <c r="AP2362" i="1"/>
  <c r="AQ2362" i="1"/>
  <c r="AR2362" i="1"/>
  <c r="AS2362" i="1"/>
  <c r="AT2362" i="1"/>
  <c r="AP2363" i="1"/>
  <c r="AQ2363" i="1"/>
  <c r="AR2363" i="1"/>
  <c r="AS2363" i="1"/>
  <c r="AT2363" i="1"/>
  <c r="AP2364" i="1"/>
  <c r="AQ2364" i="1"/>
  <c r="AR2364" i="1"/>
  <c r="AS2364" i="1"/>
  <c r="AT2364" i="1"/>
  <c r="AP2365" i="1"/>
  <c r="AQ2365" i="1"/>
  <c r="AR2365" i="1"/>
  <c r="AS2365" i="1"/>
  <c r="AT2365" i="1"/>
  <c r="AP2366" i="1"/>
  <c r="AQ2366" i="1"/>
  <c r="AR2366" i="1"/>
  <c r="AS2366" i="1"/>
  <c r="AT2366" i="1"/>
  <c r="AP2367" i="1"/>
  <c r="AQ2367" i="1"/>
  <c r="AR2367" i="1"/>
  <c r="AS2367" i="1"/>
  <c r="AT2367" i="1"/>
  <c r="AP2368" i="1"/>
  <c r="AQ2368" i="1"/>
  <c r="AR2368" i="1"/>
  <c r="AS2368" i="1"/>
  <c r="AT2368" i="1"/>
  <c r="AP2369" i="1"/>
  <c r="AQ2369" i="1"/>
  <c r="AR2369" i="1"/>
  <c r="AS2369" i="1"/>
  <c r="AT2369" i="1"/>
  <c r="AP2370" i="1"/>
  <c r="AQ2370" i="1"/>
  <c r="AR2370" i="1"/>
  <c r="AS2370" i="1"/>
  <c r="AT2370" i="1"/>
  <c r="AP2371" i="1"/>
  <c r="AQ2371" i="1"/>
  <c r="AR2371" i="1"/>
  <c r="AS2371" i="1"/>
  <c r="AT2371" i="1"/>
  <c r="AP2372" i="1"/>
  <c r="AQ2372" i="1"/>
  <c r="AR2372" i="1"/>
  <c r="AS2372" i="1"/>
  <c r="AT2372" i="1"/>
  <c r="AP2373" i="1"/>
  <c r="AQ2373" i="1"/>
  <c r="AR2373" i="1"/>
  <c r="AS2373" i="1"/>
  <c r="AT2373" i="1"/>
  <c r="AP2374" i="1"/>
  <c r="AQ2374" i="1"/>
  <c r="AR2374" i="1"/>
  <c r="AS2374" i="1"/>
  <c r="AT2374" i="1"/>
  <c r="AP2375" i="1"/>
  <c r="AQ2375" i="1"/>
  <c r="AR2375" i="1"/>
  <c r="AS2375" i="1"/>
  <c r="AT2375" i="1"/>
  <c r="AP2376" i="1"/>
  <c r="AQ2376" i="1"/>
  <c r="AR2376" i="1"/>
  <c r="AS2376" i="1"/>
  <c r="AT2376" i="1"/>
  <c r="AP2377" i="1"/>
  <c r="AQ2377" i="1"/>
  <c r="AR2377" i="1"/>
  <c r="AS2377" i="1"/>
  <c r="AT2377" i="1"/>
  <c r="AP2378" i="1"/>
  <c r="AQ2378" i="1"/>
  <c r="AR2378" i="1"/>
  <c r="AS2378" i="1"/>
  <c r="AT2378" i="1"/>
  <c r="AP2379" i="1"/>
  <c r="AQ2379" i="1"/>
  <c r="AR2379" i="1"/>
  <c r="AS2379" i="1"/>
  <c r="AT2379" i="1"/>
  <c r="AP2380" i="1"/>
  <c r="AQ2380" i="1"/>
  <c r="AR2380" i="1"/>
  <c r="AS2380" i="1"/>
  <c r="AT2380" i="1"/>
  <c r="AP2381" i="1"/>
  <c r="AQ2381" i="1"/>
  <c r="AR2381" i="1"/>
  <c r="AS2381" i="1"/>
  <c r="AT2381" i="1"/>
  <c r="AP2382" i="1"/>
  <c r="AQ2382" i="1"/>
  <c r="AR2382" i="1"/>
  <c r="AS2382" i="1"/>
  <c r="AT2382" i="1"/>
  <c r="AP2383" i="1"/>
  <c r="AQ2383" i="1"/>
  <c r="AR2383" i="1"/>
  <c r="AS2383" i="1"/>
  <c r="AT2383" i="1"/>
  <c r="AP2384" i="1"/>
  <c r="AQ2384" i="1"/>
  <c r="AR2384" i="1"/>
  <c r="AS2384" i="1"/>
  <c r="AT2384" i="1"/>
  <c r="AP2385" i="1"/>
  <c r="AQ2385" i="1"/>
  <c r="AR2385" i="1"/>
  <c r="AS2385" i="1"/>
  <c r="AT2385" i="1"/>
  <c r="AP2386" i="1"/>
  <c r="AQ2386" i="1"/>
  <c r="AR2386" i="1"/>
  <c r="AS2386" i="1"/>
  <c r="AT2386" i="1"/>
  <c r="AP2387" i="1"/>
  <c r="AQ2387" i="1"/>
  <c r="AR2387" i="1"/>
  <c r="AS2387" i="1"/>
  <c r="AT2387" i="1"/>
  <c r="AP2388" i="1"/>
  <c r="AQ2388" i="1"/>
  <c r="AR2388" i="1"/>
  <c r="AS2388" i="1"/>
  <c r="AT2388" i="1"/>
  <c r="AP2389" i="1"/>
  <c r="AQ2389" i="1"/>
  <c r="AR2389" i="1"/>
  <c r="AS2389" i="1"/>
  <c r="AT2389" i="1"/>
  <c r="AP2390" i="1"/>
  <c r="AQ2390" i="1"/>
  <c r="AR2390" i="1"/>
  <c r="AS2390" i="1"/>
  <c r="AT2390" i="1"/>
  <c r="AP2391" i="1"/>
  <c r="AQ2391" i="1"/>
  <c r="AR2391" i="1"/>
  <c r="AS2391" i="1"/>
  <c r="AT2391" i="1"/>
  <c r="AP2392" i="1"/>
  <c r="AQ2392" i="1"/>
  <c r="AR2392" i="1"/>
  <c r="AS2392" i="1"/>
  <c r="AT2392" i="1"/>
  <c r="AP2393" i="1"/>
  <c r="AQ2393" i="1"/>
  <c r="AR2393" i="1"/>
  <c r="AS2393" i="1"/>
  <c r="AT2393" i="1"/>
  <c r="AP2394" i="1"/>
  <c r="AQ2394" i="1"/>
  <c r="AR2394" i="1"/>
  <c r="AS2394" i="1"/>
  <c r="AT2394" i="1"/>
  <c r="AP2395" i="1"/>
  <c r="AQ2395" i="1"/>
  <c r="AR2395" i="1"/>
  <c r="AS2395" i="1"/>
  <c r="AT2395" i="1"/>
  <c r="AP2396" i="1"/>
  <c r="AQ2396" i="1"/>
  <c r="AR2396" i="1"/>
  <c r="AS2396" i="1"/>
  <c r="AT2396" i="1"/>
  <c r="AP2397" i="1"/>
  <c r="AQ2397" i="1"/>
  <c r="AR2397" i="1"/>
  <c r="AS2397" i="1"/>
  <c r="AT2397" i="1"/>
  <c r="AP2398" i="1"/>
  <c r="AQ2398" i="1"/>
  <c r="AR2398" i="1"/>
  <c r="AS2398" i="1"/>
  <c r="AT2398" i="1"/>
  <c r="AP2399" i="1"/>
  <c r="AQ2399" i="1"/>
  <c r="AR2399" i="1"/>
  <c r="AS2399" i="1"/>
  <c r="AT2399" i="1"/>
  <c r="AP2400" i="1"/>
  <c r="AQ2400" i="1"/>
  <c r="AR2400" i="1"/>
  <c r="AS2400" i="1"/>
  <c r="AT2400" i="1"/>
  <c r="AP2401" i="1"/>
  <c r="AQ2401" i="1"/>
  <c r="AR2401" i="1"/>
  <c r="AS2401" i="1"/>
  <c r="AT2401" i="1"/>
  <c r="AP2402" i="1"/>
  <c r="AQ2402" i="1"/>
  <c r="AR2402" i="1"/>
  <c r="AS2402" i="1"/>
  <c r="AT2402" i="1"/>
  <c r="AP2403" i="1"/>
  <c r="AQ2403" i="1"/>
  <c r="AR2403" i="1"/>
  <c r="AS2403" i="1"/>
  <c r="AT2403" i="1"/>
  <c r="AP2404" i="1"/>
  <c r="AQ2404" i="1"/>
  <c r="AR2404" i="1"/>
  <c r="AS2404" i="1"/>
  <c r="AT2404" i="1"/>
  <c r="AP2405" i="1"/>
  <c r="AQ2405" i="1"/>
  <c r="AR2405" i="1"/>
  <c r="AS2405" i="1"/>
  <c r="AT2405" i="1"/>
  <c r="AP2406" i="1"/>
  <c r="AQ2406" i="1"/>
  <c r="AR2406" i="1"/>
  <c r="AS2406" i="1"/>
  <c r="AT2406" i="1"/>
  <c r="AP2407" i="1"/>
  <c r="AQ2407" i="1"/>
  <c r="AR2407" i="1"/>
  <c r="AS2407" i="1"/>
  <c r="AT2407" i="1"/>
  <c r="AP2408" i="1"/>
  <c r="AQ2408" i="1"/>
  <c r="AR2408" i="1"/>
  <c r="AS2408" i="1"/>
  <c r="AT2408" i="1"/>
  <c r="AP2409" i="1"/>
  <c r="AQ2409" i="1"/>
  <c r="AR2409" i="1"/>
  <c r="AS2409" i="1"/>
  <c r="AT2409" i="1"/>
  <c r="AP2410" i="1"/>
  <c r="AQ2410" i="1"/>
  <c r="AR2410" i="1"/>
  <c r="AS2410" i="1"/>
  <c r="AT2410" i="1"/>
  <c r="AP2411" i="1"/>
  <c r="AQ2411" i="1"/>
  <c r="AR2411" i="1"/>
  <c r="AS2411" i="1"/>
  <c r="AT2411" i="1"/>
  <c r="AP2412" i="1"/>
  <c r="AQ2412" i="1"/>
  <c r="AR2412" i="1"/>
  <c r="AS2412" i="1"/>
  <c r="AT2412" i="1"/>
  <c r="AP2413" i="1"/>
  <c r="AQ2413" i="1"/>
  <c r="AR2413" i="1"/>
  <c r="AS2413" i="1"/>
  <c r="AT2413" i="1"/>
  <c r="AP2414" i="1"/>
  <c r="AQ2414" i="1"/>
  <c r="AR2414" i="1"/>
  <c r="AS2414" i="1"/>
  <c r="AT2414" i="1"/>
  <c r="AP2415" i="1"/>
  <c r="AQ2415" i="1"/>
  <c r="AR2415" i="1"/>
  <c r="AS2415" i="1"/>
  <c r="AT2415" i="1"/>
  <c r="AP2416" i="1"/>
  <c r="AQ2416" i="1"/>
  <c r="AR2416" i="1"/>
  <c r="AS2416" i="1"/>
  <c r="AT2416" i="1"/>
  <c r="AP2417" i="1"/>
  <c r="AQ2417" i="1"/>
  <c r="AR2417" i="1"/>
  <c r="AS2417" i="1"/>
  <c r="AT2417" i="1"/>
  <c r="AP2418" i="1"/>
  <c r="AQ2418" i="1"/>
  <c r="AR2418" i="1"/>
  <c r="AS2418" i="1"/>
  <c r="AT2418" i="1"/>
  <c r="AP2419" i="1"/>
  <c r="AQ2419" i="1"/>
  <c r="AR2419" i="1"/>
  <c r="AS2419" i="1"/>
  <c r="AT2419" i="1"/>
  <c r="AP2420" i="1"/>
  <c r="AQ2420" i="1"/>
  <c r="AR2420" i="1"/>
  <c r="AS2420" i="1"/>
  <c r="AT2420" i="1"/>
  <c r="AP2421" i="1"/>
  <c r="AQ2421" i="1"/>
  <c r="AR2421" i="1"/>
  <c r="AS2421" i="1"/>
  <c r="AT2421" i="1"/>
  <c r="AP2422" i="1"/>
  <c r="AQ2422" i="1"/>
  <c r="AR2422" i="1"/>
  <c r="AS2422" i="1"/>
  <c r="AT2422" i="1"/>
  <c r="AP2423" i="1"/>
  <c r="AQ2423" i="1"/>
  <c r="AR2423" i="1"/>
  <c r="AS2423" i="1"/>
  <c r="AT2423" i="1"/>
  <c r="AP2424" i="1"/>
  <c r="AQ2424" i="1"/>
  <c r="AR2424" i="1"/>
  <c r="AS2424" i="1"/>
  <c r="AT2424" i="1"/>
  <c r="AP2425" i="1"/>
  <c r="AQ2425" i="1"/>
  <c r="AR2425" i="1"/>
  <c r="AS2425" i="1"/>
  <c r="AT2425" i="1"/>
  <c r="AP2426" i="1"/>
  <c r="AQ2426" i="1"/>
  <c r="AR2426" i="1"/>
  <c r="AS2426" i="1"/>
  <c r="AT2426" i="1"/>
  <c r="AP2427" i="1"/>
  <c r="AQ2427" i="1"/>
  <c r="AR2427" i="1"/>
  <c r="AS2427" i="1"/>
  <c r="AT2427" i="1"/>
  <c r="AP2428" i="1"/>
  <c r="AQ2428" i="1"/>
  <c r="AR2428" i="1"/>
  <c r="AS2428" i="1"/>
  <c r="AT2428" i="1"/>
  <c r="AP2429" i="1"/>
  <c r="AQ2429" i="1"/>
  <c r="AR2429" i="1"/>
  <c r="AS2429" i="1"/>
  <c r="AT2429" i="1"/>
  <c r="AP2430" i="1"/>
  <c r="AQ2430" i="1"/>
  <c r="AR2430" i="1"/>
  <c r="AS2430" i="1"/>
  <c r="AT2430" i="1"/>
  <c r="AP2431" i="1"/>
  <c r="AQ2431" i="1"/>
  <c r="AR2431" i="1"/>
  <c r="AS2431" i="1"/>
  <c r="AT2431" i="1"/>
  <c r="AP2432" i="1"/>
  <c r="AQ2432" i="1"/>
  <c r="AR2432" i="1"/>
  <c r="AS2432" i="1"/>
  <c r="AT2432" i="1"/>
  <c r="AP2433" i="1"/>
  <c r="AQ2433" i="1"/>
  <c r="AR2433" i="1"/>
  <c r="AS2433" i="1"/>
  <c r="AT2433" i="1"/>
  <c r="AP2434" i="1"/>
  <c r="AQ2434" i="1"/>
  <c r="AR2434" i="1"/>
  <c r="AS2434" i="1"/>
  <c r="AT2434" i="1"/>
  <c r="AP2435" i="1"/>
  <c r="AQ2435" i="1"/>
  <c r="AR2435" i="1"/>
  <c r="AS2435" i="1"/>
  <c r="AT2435" i="1"/>
  <c r="AP2436" i="1"/>
  <c r="AQ2436" i="1"/>
  <c r="AR2436" i="1"/>
  <c r="AS2436" i="1"/>
  <c r="AT2436" i="1"/>
  <c r="AP2437" i="1"/>
  <c r="AQ2437" i="1"/>
  <c r="AR2437" i="1"/>
  <c r="AS2437" i="1"/>
  <c r="AT2437" i="1"/>
  <c r="AP2438" i="1"/>
  <c r="AQ2438" i="1"/>
  <c r="AR2438" i="1"/>
  <c r="AS2438" i="1"/>
  <c r="AT2438" i="1"/>
  <c r="AP2439" i="1"/>
  <c r="AQ2439" i="1"/>
  <c r="AR2439" i="1"/>
  <c r="AS2439" i="1"/>
  <c r="AT2439" i="1"/>
  <c r="AP2440" i="1"/>
  <c r="AQ2440" i="1"/>
  <c r="AR2440" i="1"/>
  <c r="AS2440" i="1"/>
  <c r="AT2440" i="1"/>
  <c r="AP2441" i="1"/>
  <c r="AQ2441" i="1"/>
  <c r="AR2441" i="1"/>
  <c r="AS2441" i="1"/>
  <c r="AT2441" i="1"/>
  <c r="AP2442" i="1"/>
  <c r="AQ2442" i="1"/>
  <c r="AR2442" i="1"/>
  <c r="AS2442" i="1"/>
  <c r="AT2442" i="1"/>
  <c r="AP2443" i="1"/>
  <c r="AQ2443" i="1"/>
  <c r="AR2443" i="1"/>
  <c r="AS2443" i="1"/>
  <c r="AT2443" i="1"/>
  <c r="AP2444" i="1"/>
  <c r="AQ2444" i="1"/>
  <c r="AR2444" i="1"/>
  <c r="AS2444" i="1"/>
  <c r="AT2444" i="1"/>
  <c r="AP2445" i="1"/>
  <c r="AQ2445" i="1"/>
  <c r="AR2445" i="1"/>
  <c r="AS2445" i="1"/>
  <c r="AT2445" i="1"/>
  <c r="AP2446" i="1"/>
  <c r="AQ2446" i="1"/>
  <c r="AR2446" i="1"/>
  <c r="AS2446" i="1"/>
  <c r="AT2446" i="1"/>
  <c r="AP2447" i="1"/>
  <c r="AQ2447" i="1"/>
  <c r="AR2447" i="1"/>
  <c r="AS2447" i="1"/>
  <c r="AT2447" i="1"/>
  <c r="AP2448" i="1"/>
  <c r="AQ2448" i="1"/>
  <c r="AR2448" i="1"/>
  <c r="AS2448" i="1"/>
  <c r="AT2448" i="1"/>
  <c r="AP2449" i="1"/>
  <c r="AQ2449" i="1"/>
  <c r="AR2449" i="1"/>
  <c r="AS2449" i="1"/>
  <c r="AT2449" i="1"/>
  <c r="AP2450" i="1"/>
  <c r="AQ2450" i="1"/>
  <c r="AR2450" i="1"/>
  <c r="AS2450" i="1"/>
  <c r="AT2450" i="1"/>
  <c r="AP2451" i="1"/>
  <c r="AQ2451" i="1"/>
  <c r="AR2451" i="1"/>
  <c r="AS2451" i="1"/>
  <c r="AT2451" i="1"/>
  <c r="AP2452" i="1"/>
  <c r="AQ2452" i="1"/>
  <c r="AR2452" i="1"/>
  <c r="AS2452" i="1"/>
  <c r="AT2452" i="1"/>
  <c r="AP2453" i="1"/>
  <c r="AQ2453" i="1"/>
  <c r="AR2453" i="1"/>
  <c r="AS2453" i="1"/>
  <c r="AT2453" i="1"/>
  <c r="AP2454" i="1"/>
  <c r="AQ2454" i="1"/>
  <c r="AR2454" i="1"/>
  <c r="AS2454" i="1"/>
  <c r="AT2454" i="1"/>
  <c r="AP2455" i="1"/>
  <c r="AQ2455" i="1"/>
  <c r="AR2455" i="1"/>
  <c r="AS2455" i="1"/>
  <c r="AT2455" i="1"/>
  <c r="AP2456" i="1"/>
  <c r="AQ2456" i="1"/>
  <c r="AR2456" i="1"/>
  <c r="AS2456" i="1"/>
  <c r="AT2456" i="1"/>
  <c r="AP2457" i="1"/>
  <c r="AQ2457" i="1"/>
  <c r="AR2457" i="1"/>
  <c r="AS2457" i="1"/>
  <c r="AT2457" i="1"/>
  <c r="AP2458" i="1"/>
  <c r="AQ2458" i="1"/>
  <c r="AR2458" i="1"/>
  <c r="AS2458" i="1"/>
  <c r="AT2458" i="1"/>
  <c r="AP2459" i="1"/>
  <c r="AQ2459" i="1"/>
  <c r="AR2459" i="1"/>
  <c r="AS2459" i="1"/>
  <c r="AT2459" i="1"/>
  <c r="AP2460" i="1"/>
  <c r="AQ2460" i="1"/>
  <c r="AR2460" i="1"/>
  <c r="AS2460" i="1"/>
  <c r="AT2460" i="1"/>
  <c r="AP2461" i="1"/>
  <c r="AQ2461" i="1"/>
  <c r="AR2461" i="1"/>
  <c r="AS2461" i="1"/>
  <c r="AT2461" i="1"/>
  <c r="AP2462" i="1"/>
  <c r="AQ2462" i="1"/>
  <c r="AR2462" i="1"/>
  <c r="AS2462" i="1"/>
  <c r="AT2462" i="1"/>
  <c r="AP2463" i="1"/>
  <c r="AQ2463" i="1"/>
  <c r="AR2463" i="1"/>
  <c r="AS2463" i="1"/>
  <c r="AT2463" i="1"/>
  <c r="AP2464" i="1"/>
  <c r="AQ2464" i="1"/>
  <c r="AR2464" i="1"/>
  <c r="AS2464" i="1"/>
  <c r="AT2464" i="1"/>
  <c r="AP2465" i="1"/>
  <c r="AQ2465" i="1"/>
  <c r="AR2465" i="1"/>
  <c r="AS2465" i="1"/>
  <c r="AT2465" i="1"/>
  <c r="AP2466" i="1"/>
  <c r="AQ2466" i="1"/>
  <c r="AR2466" i="1"/>
  <c r="AS2466" i="1"/>
  <c r="AT2466" i="1"/>
  <c r="AP2467" i="1"/>
  <c r="AQ2467" i="1"/>
  <c r="AR2467" i="1"/>
  <c r="AS2467" i="1"/>
  <c r="AT2467" i="1"/>
  <c r="AP2468" i="1"/>
  <c r="AQ2468" i="1"/>
  <c r="AR2468" i="1"/>
  <c r="AS2468" i="1"/>
  <c r="AT2468" i="1"/>
  <c r="AP2469" i="1"/>
  <c r="AQ2469" i="1"/>
  <c r="AR2469" i="1"/>
  <c r="AS2469" i="1"/>
  <c r="AT2469" i="1"/>
  <c r="AP2470" i="1"/>
  <c r="AQ2470" i="1"/>
  <c r="AR2470" i="1"/>
  <c r="AS2470" i="1"/>
  <c r="AT2470" i="1"/>
  <c r="AP2471" i="1"/>
  <c r="AQ2471" i="1"/>
  <c r="AR2471" i="1"/>
  <c r="AS2471" i="1"/>
  <c r="AT2471" i="1"/>
  <c r="AP2472" i="1"/>
  <c r="AQ2472" i="1"/>
  <c r="AR2472" i="1"/>
  <c r="AS2472" i="1"/>
  <c r="AT2472" i="1"/>
  <c r="AP2473" i="1"/>
  <c r="AQ2473" i="1"/>
  <c r="AR2473" i="1"/>
  <c r="AS2473" i="1"/>
  <c r="AT2473" i="1"/>
  <c r="AP2474" i="1"/>
  <c r="AQ2474" i="1"/>
  <c r="AR2474" i="1"/>
  <c r="AS2474" i="1"/>
  <c r="AT2474" i="1"/>
  <c r="AP2475" i="1"/>
  <c r="AQ2475" i="1"/>
  <c r="AR2475" i="1"/>
  <c r="AS2475" i="1"/>
  <c r="AT2475" i="1"/>
  <c r="AP2476" i="1"/>
  <c r="AQ2476" i="1"/>
  <c r="AR2476" i="1"/>
  <c r="AS2476" i="1"/>
  <c r="AT2476" i="1"/>
  <c r="AP2477" i="1"/>
  <c r="AQ2477" i="1"/>
  <c r="AR2477" i="1"/>
  <c r="AS2477" i="1"/>
  <c r="AT2477" i="1"/>
  <c r="AP2478" i="1"/>
  <c r="AQ2478" i="1"/>
  <c r="AR2478" i="1"/>
  <c r="AS2478" i="1"/>
  <c r="AT2478" i="1"/>
  <c r="AP2479" i="1"/>
  <c r="AQ2479" i="1"/>
  <c r="AR2479" i="1"/>
  <c r="AS2479" i="1"/>
  <c r="AT2479" i="1"/>
  <c r="AP2480" i="1"/>
  <c r="AQ2480" i="1"/>
  <c r="AR2480" i="1"/>
  <c r="AS2480" i="1"/>
  <c r="AT2480" i="1"/>
  <c r="AP2481" i="1"/>
  <c r="AQ2481" i="1"/>
  <c r="AR2481" i="1"/>
  <c r="AS2481" i="1"/>
  <c r="AT2481" i="1"/>
  <c r="AP2482" i="1"/>
  <c r="AQ2482" i="1"/>
  <c r="AR2482" i="1"/>
  <c r="AS2482" i="1"/>
  <c r="AT2482" i="1"/>
  <c r="AP2483" i="1"/>
  <c r="AQ2483" i="1"/>
  <c r="AR2483" i="1"/>
  <c r="AS2483" i="1"/>
  <c r="AT2483" i="1"/>
  <c r="AP2484" i="1"/>
  <c r="AQ2484" i="1"/>
  <c r="AR2484" i="1"/>
  <c r="AS2484" i="1"/>
  <c r="AT2484" i="1"/>
  <c r="AP2485" i="1"/>
  <c r="AQ2485" i="1"/>
  <c r="AR2485" i="1"/>
  <c r="AS2485" i="1"/>
  <c r="AT2485" i="1"/>
  <c r="AP2486" i="1"/>
  <c r="AQ2486" i="1"/>
  <c r="AR2486" i="1"/>
  <c r="AS2486" i="1"/>
  <c r="AT2486" i="1"/>
  <c r="AP2487" i="1"/>
  <c r="AQ2487" i="1"/>
  <c r="AR2487" i="1"/>
  <c r="AS2487" i="1"/>
  <c r="AT2487" i="1"/>
  <c r="AP2488" i="1"/>
  <c r="AQ2488" i="1"/>
  <c r="AR2488" i="1"/>
  <c r="AS2488" i="1"/>
  <c r="AT2488" i="1"/>
  <c r="AP2489" i="1"/>
  <c r="AQ2489" i="1"/>
  <c r="AR2489" i="1"/>
  <c r="AS2489" i="1"/>
  <c r="AT2489" i="1"/>
  <c r="AP2490" i="1"/>
  <c r="AQ2490" i="1"/>
  <c r="AR2490" i="1"/>
  <c r="AS2490" i="1"/>
  <c r="AT2490" i="1"/>
  <c r="AP2491" i="1"/>
  <c r="AQ2491" i="1"/>
  <c r="AR2491" i="1"/>
  <c r="AS2491" i="1"/>
  <c r="AT2491" i="1"/>
  <c r="AP2492" i="1"/>
  <c r="AQ2492" i="1"/>
  <c r="AR2492" i="1"/>
  <c r="AS2492" i="1"/>
  <c r="AT2492" i="1"/>
  <c r="AP2493" i="1"/>
  <c r="AQ2493" i="1"/>
  <c r="AR2493" i="1"/>
  <c r="AS2493" i="1"/>
  <c r="AT2493" i="1"/>
  <c r="AP2494" i="1"/>
  <c r="AQ2494" i="1"/>
  <c r="AR2494" i="1"/>
  <c r="AS2494" i="1"/>
  <c r="AT2494" i="1"/>
  <c r="AP2495" i="1"/>
  <c r="AQ2495" i="1"/>
  <c r="AR2495" i="1"/>
  <c r="AS2495" i="1"/>
  <c r="AT2495" i="1"/>
  <c r="AP2496" i="1"/>
  <c r="AQ2496" i="1"/>
  <c r="AR2496" i="1"/>
  <c r="AS2496" i="1"/>
  <c r="AT2496" i="1"/>
  <c r="AP2497" i="1"/>
  <c r="AQ2497" i="1"/>
  <c r="AR2497" i="1"/>
  <c r="AS2497" i="1"/>
  <c r="AT2497" i="1"/>
  <c r="AP2498" i="1"/>
  <c r="AQ2498" i="1"/>
  <c r="AR2498" i="1"/>
  <c r="AS2498" i="1"/>
  <c r="AT2498" i="1"/>
  <c r="AP2499" i="1"/>
  <c r="AQ2499" i="1"/>
  <c r="AR2499" i="1"/>
  <c r="AS2499" i="1"/>
  <c r="AT2499" i="1"/>
  <c r="AP2500" i="1"/>
  <c r="AQ2500" i="1"/>
  <c r="AR2500" i="1"/>
  <c r="AS2500" i="1"/>
  <c r="AT2500" i="1"/>
  <c r="AP2501" i="1"/>
  <c r="AQ2501" i="1"/>
  <c r="AR2501" i="1"/>
  <c r="AS2501" i="1"/>
  <c r="AT2501" i="1"/>
  <c r="AP2502" i="1"/>
  <c r="AQ2502" i="1"/>
  <c r="AR2502" i="1"/>
  <c r="AS2502" i="1"/>
  <c r="AT2502" i="1"/>
  <c r="AP2503" i="1"/>
  <c r="AQ2503" i="1"/>
  <c r="AR2503" i="1"/>
  <c r="AS2503" i="1"/>
  <c r="AT2503" i="1"/>
  <c r="AP2504" i="1"/>
  <c r="AQ2504" i="1"/>
  <c r="AR2504" i="1"/>
  <c r="AS2504" i="1"/>
  <c r="AT2504" i="1"/>
  <c r="AP2505" i="1"/>
  <c r="AQ2505" i="1"/>
  <c r="AR2505" i="1"/>
  <c r="AS2505" i="1"/>
  <c r="AT2505" i="1"/>
  <c r="AP2506" i="1"/>
  <c r="AQ2506" i="1"/>
  <c r="AR2506" i="1"/>
  <c r="AS2506" i="1"/>
  <c r="AT2506" i="1"/>
  <c r="AP2507" i="1"/>
  <c r="AQ2507" i="1"/>
  <c r="AR2507" i="1"/>
  <c r="AS2507" i="1"/>
  <c r="AT2507" i="1"/>
  <c r="AP2508" i="1"/>
  <c r="AQ2508" i="1"/>
  <c r="AR2508" i="1"/>
  <c r="AS2508" i="1"/>
  <c r="AT2508" i="1"/>
  <c r="AP2509" i="1"/>
  <c r="AQ2509" i="1"/>
  <c r="AR2509" i="1"/>
  <c r="AS2509" i="1"/>
  <c r="AT2509" i="1"/>
  <c r="AP2510" i="1"/>
  <c r="AQ2510" i="1"/>
  <c r="AR2510" i="1"/>
  <c r="AS2510" i="1"/>
  <c r="AT2510" i="1"/>
  <c r="AP2511" i="1"/>
  <c r="AQ2511" i="1"/>
  <c r="AR2511" i="1"/>
  <c r="AS2511" i="1"/>
  <c r="AT2511" i="1"/>
  <c r="AP2512" i="1"/>
  <c r="AQ2512" i="1"/>
  <c r="AR2512" i="1"/>
  <c r="AS2512" i="1"/>
  <c r="AT2512" i="1"/>
  <c r="AP2513" i="1"/>
  <c r="AQ2513" i="1"/>
  <c r="AR2513" i="1"/>
  <c r="AS2513" i="1"/>
  <c r="AT2513" i="1"/>
  <c r="AP2514" i="1"/>
  <c r="AQ2514" i="1"/>
  <c r="AR2514" i="1"/>
  <c r="AS2514" i="1"/>
  <c r="AT2514" i="1"/>
  <c r="AP2515" i="1"/>
  <c r="AQ2515" i="1"/>
  <c r="AR2515" i="1"/>
  <c r="AS2515" i="1"/>
  <c r="AT2515" i="1"/>
  <c r="AP2516" i="1"/>
  <c r="AQ2516" i="1"/>
  <c r="AR2516" i="1"/>
  <c r="AS2516" i="1"/>
  <c r="AT2516" i="1"/>
  <c r="AP2517" i="1"/>
  <c r="AQ2517" i="1"/>
  <c r="AR2517" i="1"/>
  <c r="AS2517" i="1"/>
  <c r="AT2517" i="1"/>
  <c r="AP2518" i="1"/>
  <c r="AQ2518" i="1"/>
  <c r="AR2518" i="1"/>
  <c r="AS2518" i="1"/>
  <c r="AT2518" i="1"/>
  <c r="AP2519" i="1"/>
  <c r="AQ2519" i="1"/>
  <c r="AR2519" i="1"/>
  <c r="AS2519" i="1"/>
  <c r="AT2519" i="1"/>
  <c r="AP2520" i="1"/>
  <c r="AQ2520" i="1"/>
  <c r="AR2520" i="1"/>
  <c r="AS2520" i="1"/>
  <c r="AT2520" i="1"/>
  <c r="AP2521" i="1"/>
  <c r="AQ2521" i="1"/>
  <c r="AR2521" i="1"/>
  <c r="AS2521" i="1"/>
  <c r="AT2521" i="1"/>
  <c r="AP2522" i="1"/>
  <c r="AQ2522" i="1"/>
  <c r="AR2522" i="1"/>
  <c r="AS2522" i="1"/>
  <c r="AT2522" i="1"/>
  <c r="AP2523" i="1"/>
  <c r="AQ2523" i="1"/>
  <c r="AR2523" i="1"/>
  <c r="AS2523" i="1"/>
  <c r="AT2523" i="1"/>
  <c r="AP2524" i="1"/>
  <c r="AQ2524" i="1"/>
  <c r="AR2524" i="1"/>
  <c r="AS2524" i="1"/>
  <c r="AT2524" i="1"/>
  <c r="AP2525" i="1"/>
  <c r="AQ2525" i="1"/>
  <c r="AR2525" i="1"/>
  <c r="AS2525" i="1"/>
  <c r="AT2525" i="1"/>
  <c r="AP2526" i="1"/>
  <c r="AQ2526" i="1"/>
  <c r="AR2526" i="1"/>
  <c r="AS2526" i="1"/>
  <c r="AT2526" i="1"/>
  <c r="AP2527" i="1"/>
  <c r="AQ2527" i="1"/>
  <c r="AR2527" i="1"/>
  <c r="AS2527" i="1"/>
  <c r="AT2527" i="1"/>
  <c r="AP2528" i="1"/>
  <c r="AQ2528" i="1"/>
  <c r="AR2528" i="1"/>
  <c r="AS2528" i="1"/>
  <c r="AT2528" i="1"/>
  <c r="AP2529" i="1"/>
  <c r="AQ2529" i="1"/>
  <c r="AR2529" i="1"/>
  <c r="AS2529" i="1"/>
  <c r="AT2529" i="1"/>
  <c r="AP2530" i="1"/>
  <c r="AQ2530" i="1"/>
  <c r="AR2530" i="1"/>
  <c r="AS2530" i="1"/>
  <c r="AT2530" i="1"/>
  <c r="AP2531" i="1"/>
  <c r="AQ2531" i="1"/>
  <c r="AR2531" i="1"/>
  <c r="AS2531" i="1"/>
  <c r="AT2531" i="1"/>
  <c r="AP2532" i="1"/>
  <c r="AQ2532" i="1"/>
  <c r="AR2532" i="1"/>
  <c r="AS2532" i="1"/>
  <c r="AT2532" i="1"/>
  <c r="AP2533" i="1"/>
  <c r="AQ2533" i="1"/>
  <c r="AR2533" i="1"/>
  <c r="AS2533" i="1"/>
  <c r="AT2533" i="1"/>
  <c r="AP2534" i="1"/>
  <c r="AQ2534" i="1"/>
  <c r="AR2534" i="1"/>
  <c r="AS2534" i="1"/>
  <c r="AT2534" i="1"/>
  <c r="AP2535" i="1"/>
  <c r="AQ2535" i="1"/>
  <c r="AR2535" i="1"/>
  <c r="AS2535" i="1"/>
  <c r="AT2535" i="1"/>
  <c r="AP2536" i="1"/>
  <c r="AQ2536" i="1"/>
  <c r="AR2536" i="1"/>
  <c r="AS2536" i="1"/>
  <c r="AT2536" i="1"/>
  <c r="AP2537" i="1"/>
  <c r="AQ2537" i="1"/>
  <c r="AR2537" i="1"/>
  <c r="AS2537" i="1"/>
  <c r="AT2537" i="1"/>
  <c r="AP2538" i="1"/>
  <c r="AQ2538" i="1"/>
  <c r="AR2538" i="1"/>
  <c r="AS2538" i="1"/>
  <c r="AT2538" i="1"/>
  <c r="AP2539" i="1"/>
  <c r="AQ2539" i="1"/>
  <c r="AR2539" i="1"/>
  <c r="AS2539" i="1"/>
  <c r="AT2539" i="1"/>
  <c r="AP2540" i="1"/>
  <c r="AQ2540" i="1"/>
  <c r="AR2540" i="1"/>
  <c r="AS2540" i="1"/>
  <c r="AT2540" i="1"/>
  <c r="AP2541" i="1"/>
  <c r="AQ2541" i="1"/>
  <c r="AR2541" i="1"/>
  <c r="AS2541" i="1"/>
  <c r="AT2541" i="1"/>
  <c r="AP2542" i="1"/>
  <c r="AQ2542" i="1"/>
  <c r="AR2542" i="1"/>
  <c r="AS2542" i="1"/>
  <c r="AT2542" i="1"/>
  <c r="AP2543" i="1"/>
  <c r="AQ2543" i="1"/>
  <c r="AR2543" i="1"/>
  <c r="AS2543" i="1"/>
  <c r="AT2543" i="1"/>
  <c r="AP2544" i="1"/>
  <c r="AQ2544" i="1"/>
  <c r="AR2544" i="1"/>
  <c r="AS2544" i="1"/>
  <c r="AT2544" i="1"/>
  <c r="AP2545" i="1"/>
  <c r="AQ2545" i="1"/>
  <c r="AR2545" i="1"/>
  <c r="AS2545" i="1"/>
  <c r="AT2545" i="1"/>
  <c r="AP2546" i="1"/>
  <c r="AQ2546" i="1"/>
  <c r="AR2546" i="1"/>
  <c r="AS2546" i="1"/>
  <c r="AT2546" i="1"/>
  <c r="AP2547" i="1"/>
  <c r="AQ2547" i="1"/>
  <c r="AR2547" i="1"/>
  <c r="AS2547" i="1"/>
  <c r="AT2547" i="1"/>
  <c r="AP2548" i="1"/>
  <c r="AQ2548" i="1"/>
  <c r="AR2548" i="1"/>
  <c r="AS2548" i="1"/>
  <c r="AT2548" i="1"/>
  <c r="AP2549" i="1"/>
  <c r="AQ2549" i="1"/>
  <c r="AR2549" i="1"/>
  <c r="AS2549" i="1"/>
  <c r="AT2549" i="1"/>
  <c r="AP2550" i="1"/>
  <c r="AQ2550" i="1"/>
  <c r="AR2550" i="1"/>
  <c r="AS2550" i="1"/>
  <c r="AT2550" i="1"/>
  <c r="AP2551" i="1"/>
  <c r="AQ2551" i="1"/>
  <c r="AR2551" i="1"/>
  <c r="AS2551" i="1"/>
  <c r="AT2551" i="1"/>
  <c r="AP2552" i="1"/>
  <c r="AQ2552" i="1"/>
  <c r="AR2552" i="1"/>
  <c r="AS2552" i="1"/>
  <c r="AT2552" i="1"/>
  <c r="AP2553" i="1"/>
  <c r="AQ2553" i="1"/>
  <c r="AR2553" i="1"/>
  <c r="AS2553" i="1"/>
  <c r="AT2553" i="1"/>
  <c r="AP2554" i="1"/>
  <c r="AQ2554" i="1"/>
  <c r="AR2554" i="1"/>
  <c r="AS2554" i="1"/>
  <c r="AT2554" i="1"/>
  <c r="AP2555" i="1"/>
  <c r="AQ2555" i="1"/>
  <c r="AR2555" i="1"/>
  <c r="AS2555" i="1"/>
  <c r="AT2555" i="1"/>
  <c r="AP2556" i="1"/>
  <c r="AQ2556" i="1"/>
  <c r="AR2556" i="1"/>
  <c r="AS2556" i="1"/>
  <c r="AT2556" i="1"/>
  <c r="AP2557" i="1"/>
  <c r="AQ2557" i="1"/>
  <c r="AR2557" i="1"/>
  <c r="AS2557" i="1"/>
  <c r="AT2557" i="1"/>
  <c r="AP2558" i="1"/>
  <c r="AQ2558" i="1"/>
  <c r="AR2558" i="1"/>
  <c r="AS2558" i="1"/>
  <c r="AT2558" i="1"/>
  <c r="AP2559" i="1"/>
  <c r="AQ2559" i="1"/>
  <c r="AR2559" i="1"/>
  <c r="AS2559" i="1"/>
  <c r="AT2559" i="1"/>
  <c r="AP2560" i="1"/>
  <c r="AQ2560" i="1"/>
  <c r="AR2560" i="1"/>
  <c r="AS2560" i="1"/>
  <c r="AT2560" i="1"/>
  <c r="AP2561" i="1"/>
  <c r="AQ2561" i="1"/>
  <c r="AR2561" i="1"/>
  <c r="AS2561" i="1"/>
  <c r="AT2561" i="1"/>
  <c r="AP2562" i="1"/>
  <c r="AQ2562" i="1"/>
  <c r="AR2562" i="1"/>
  <c r="AS2562" i="1"/>
  <c r="AT2562" i="1"/>
  <c r="AP2563" i="1"/>
  <c r="AQ2563" i="1"/>
  <c r="AR2563" i="1"/>
  <c r="AS2563" i="1"/>
  <c r="AT2563" i="1"/>
  <c r="AP2564" i="1"/>
  <c r="AQ2564" i="1"/>
  <c r="AR2564" i="1"/>
  <c r="AS2564" i="1"/>
  <c r="AT2564" i="1"/>
  <c r="AP2565" i="1"/>
  <c r="AQ2565" i="1"/>
  <c r="AR2565" i="1"/>
  <c r="AS2565" i="1"/>
  <c r="AT2565" i="1"/>
  <c r="AP2566" i="1"/>
  <c r="AQ2566" i="1"/>
  <c r="AR2566" i="1"/>
  <c r="AS2566" i="1"/>
  <c r="AT2566" i="1"/>
  <c r="AP2567" i="1"/>
  <c r="AQ2567" i="1"/>
  <c r="AR2567" i="1"/>
  <c r="AS2567" i="1"/>
  <c r="AT2567" i="1"/>
  <c r="AP2568" i="1"/>
  <c r="AQ2568" i="1"/>
  <c r="AR2568" i="1"/>
  <c r="AS2568" i="1"/>
  <c r="AT2568" i="1"/>
  <c r="AP2569" i="1"/>
  <c r="AQ2569" i="1"/>
  <c r="AR2569" i="1"/>
  <c r="AS2569" i="1"/>
  <c r="AT2569" i="1"/>
  <c r="AP2570" i="1"/>
  <c r="AQ2570" i="1"/>
  <c r="AR2570" i="1"/>
  <c r="AS2570" i="1"/>
  <c r="AT2570" i="1"/>
  <c r="AP2571" i="1"/>
  <c r="AQ2571" i="1"/>
  <c r="AR2571" i="1"/>
  <c r="AS2571" i="1"/>
  <c r="AT2571" i="1"/>
  <c r="AP2572" i="1"/>
  <c r="AQ2572" i="1"/>
  <c r="AR2572" i="1"/>
  <c r="AS2572" i="1"/>
  <c r="AT2572" i="1"/>
  <c r="AP2573" i="1"/>
  <c r="AQ2573" i="1"/>
  <c r="AR2573" i="1"/>
  <c r="AS2573" i="1"/>
  <c r="AT2573" i="1"/>
  <c r="AP2574" i="1"/>
  <c r="AQ2574" i="1"/>
  <c r="AR2574" i="1"/>
  <c r="AS2574" i="1"/>
  <c r="AT2574" i="1"/>
  <c r="AP2575" i="1"/>
  <c r="AQ2575" i="1"/>
  <c r="AR2575" i="1"/>
  <c r="AS2575" i="1"/>
  <c r="AT2575" i="1"/>
  <c r="AP2576" i="1"/>
  <c r="AQ2576" i="1"/>
  <c r="AR2576" i="1"/>
  <c r="AS2576" i="1"/>
  <c r="AT2576" i="1"/>
  <c r="AP2577" i="1"/>
  <c r="AQ2577" i="1"/>
  <c r="AR2577" i="1"/>
  <c r="AS2577" i="1"/>
  <c r="AT2577" i="1"/>
  <c r="AP2578" i="1"/>
  <c r="AQ2578" i="1"/>
  <c r="AR2578" i="1"/>
  <c r="AS2578" i="1"/>
  <c r="AT2578" i="1"/>
  <c r="AP2579" i="1"/>
  <c r="AQ2579" i="1"/>
  <c r="AR2579" i="1"/>
  <c r="AS2579" i="1"/>
  <c r="AT2579" i="1"/>
  <c r="AP2580" i="1"/>
  <c r="AQ2580" i="1"/>
  <c r="AR2580" i="1"/>
  <c r="AS2580" i="1"/>
  <c r="AT2580" i="1"/>
  <c r="AP2581" i="1"/>
  <c r="AQ2581" i="1"/>
  <c r="AR2581" i="1"/>
  <c r="AS2581" i="1"/>
  <c r="AT2581" i="1"/>
  <c r="AP2582" i="1"/>
  <c r="AQ2582" i="1"/>
  <c r="AR2582" i="1"/>
  <c r="AS2582" i="1"/>
  <c r="AT2582" i="1"/>
  <c r="AP2583" i="1"/>
  <c r="AQ2583" i="1"/>
  <c r="AR2583" i="1"/>
  <c r="AS2583" i="1"/>
  <c r="AT2583" i="1"/>
  <c r="AP2584" i="1"/>
  <c r="AQ2584" i="1"/>
  <c r="AR2584" i="1"/>
  <c r="AS2584" i="1"/>
  <c r="AT2584" i="1"/>
  <c r="AP2585" i="1"/>
  <c r="AQ2585" i="1"/>
  <c r="AR2585" i="1"/>
  <c r="AS2585" i="1"/>
  <c r="AT2585" i="1"/>
  <c r="AP2586" i="1"/>
  <c r="AQ2586" i="1"/>
  <c r="AR2586" i="1"/>
  <c r="AS2586" i="1"/>
  <c r="AT2586" i="1"/>
  <c r="AP2587" i="1"/>
  <c r="AQ2587" i="1"/>
  <c r="AR2587" i="1"/>
  <c r="AS2587" i="1"/>
  <c r="AT2587" i="1"/>
  <c r="AP2588" i="1"/>
  <c r="AQ2588" i="1"/>
  <c r="AR2588" i="1"/>
  <c r="AS2588" i="1"/>
  <c r="AT2588" i="1"/>
  <c r="AP2589" i="1"/>
  <c r="AQ2589" i="1"/>
  <c r="AR2589" i="1"/>
  <c r="AS2589" i="1"/>
  <c r="AT2589" i="1"/>
  <c r="AP2590" i="1"/>
  <c r="AQ2590" i="1"/>
  <c r="AR2590" i="1"/>
  <c r="AS2590" i="1"/>
  <c r="AT2590" i="1"/>
  <c r="AP2591" i="1"/>
  <c r="AQ2591" i="1"/>
  <c r="AR2591" i="1"/>
  <c r="AS2591" i="1"/>
  <c r="AT2591" i="1"/>
  <c r="AP2592" i="1"/>
  <c r="AQ2592" i="1"/>
  <c r="AR2592" i="1"/>
  <c r="AS2592" i="1"/>
  <c r="AT2592" i="1"/>
  <c r="AP2593" i="1"/>
  <c r="AQ2593" i="1"/>
  <c r="AR2593" i="1"/>
  <c r="AS2593" i="1"/>
  <c r="AT2593" i="1"/>
  <c r="AP2594" i="1"/>
  <c r="AQ2594" i="1"/>
  <c r="AR2594" i="1"/>
  <c r="AS2594" i="1"/>
  <c r="AT2594" i="1"/>
  <c r="AP2595" i="1"/>
  <c r="AQ2595" i="1"/>
  <c r="AR2595" i="1"/>
  <c r="AS2595" i="1"/>
  <c r="AT2595" i="1"/>
  <c r="AP2596" i="1"/>
  <c r="AQ2596" i="1"/>
  <c r="AR2596" i="1"/>
  <c r="AS2596" i="1"/>
  <c r="AT2596" i="1"/>
  <c r="AP2597" i="1"/>
  <c r="AQ2597" i="1"/>
  <c r="AR2597" i="1"/>
  <c r="AS2597" i="1"/>
  <c r="AT2597" i="1"/>
  <c r="AP2598" i="1"/>
  <c r="AQ2598" i="1"/>
  <c r="AR2598" i="1"/>
  <c r="AS2598" i="1"/>
  <c r="AT2598" i="1"/>
  <c r="AP2599" i="1"/>
  <c r="AQ2599" i="1"/>
  <c r="AR2599" i="1"/>
  <c r="AS2599" i="1"/>
  <c r="AT2599" i="1"/>
  <c r="AP2600" i="1"/>
  <c r="AQ2600" i="1"/>
  <c r="AR2600" i="1"/>
  <c r="AS2600" i="1"/>
  <c r="AT2600" i="1"/>
  <c r="AP2601" i="1"/>
  <c r="AQ2601" i="1"/>
  <c r="AR2601" i="1"/>
  <c r="AS2601" i="1"/>
  <c r="AT2601" i="1"/>
  <c r="AS11" i="1"/>
  <c r="AG2" i="12" l="1"/>
  <c r="AI2" i="12"/>
  <c r="AF2" i="12"/>
  <c r="AH2" i="12"/>
  <c r="Z3" i="12"/>
  <c r="AT2121" i="1"/>
  <c r="AT2120" i="1"/>
  <c r="AT2119" i="1"/>
  <c r="J15" i="1"/>
  <c r="C14" i="1"/>
  <c r="Y2" i="12" l="1"/>
  <c r="Z4" i="12"/>
  <c r="AG3" i="12"/>
  <c r="AB3" i="12"/>
  <c r="AF3" i="12" s="1"/>
  <c r="AH3" i="12"/>
  <c r="AI3" i="12"/>
  <c r="N1922" i="1"/>
  <c r="L1922" i="1"/>
  <c r="C1922" i="1"/>
  <c r="D1922" i="1" s="1"/>
  <c r="A1922" i="1"/>
  <c r="A1921" i="1"/>
  <c r="AG1920" i="1"/>
  <c r="Z1920" i="1"/>
  <c r="K1920" i="1"/>
  <c r="J1920" i="1"/>
  <c r="A1920" i="1"/>
  <c r="AG1919" i="1"/>
  <c r="Z1919" i="1"/>
  <c r="K1919" i="1"/>
  <c r="J1919" i="1"/>
  <c r="A1919" i="1"/>
  <c r="AG1918" i="1"/>
  <c r="Z1918" i="1"/>
  <c r="K1918" i="1"/>
  <c r="J1918" i="1"/>
  <c r="A1918" i="1"/>
  <c r="AG1917" i="1"/>
  <c r="Z1917" i="1"/>
  <c r="K1917" i="1"/>
  <c r="J1917" i="1"/>
  <c r="A1917" i="1"/>
  <c r="AG1916" i="1"/>
  <c r="Z1916" i="1"/>
  <c r="K1916" i="1"/>
  <c r="J1916" i="1"/>
  <c r="A1916" i="1"/>
  <c r="AG1915" i="1"/>
  <c r="Z1915" i="1"/>
  <c r="K1915" i="1"/>
  <c r="J1915" i="1"/>
  <c r="A1915" i="1"/>
  <c r="AG1914" i="1"/>
  <c r="Z1914" i="1"/>
  <c r="K1914" i="1"/>
  <c r="J1914" i="1"/>
  <c r="A1914" i="1"/>
  <c r="AG1913" i="1"/>
  <c r="Z1913" i="1"/>
  <c r="K1913" i="1"/>
  <c r="J1913" i="1"/>
  <c r="A1913" i="1"/>
  <c r="AG1912" i="1"/>
  <c r="Z1912" i="1"/>
  <c r="K1912" i="1"/>
  <c r="J1912" i="1"/>
  <c r="A1912" i="1"/>
  <c r="AG1911" i="1"/>
  <c r="Z1911" i="1"/>
  <c r="K1911" i="1"/>
  <c r="J1911" i="1"/>
  <c r="A1911" i="1"/>
  <c r="AG1910" i="1"/>
  <c r="Z1910" i="1"/>
  <c r="K1910" i="1"/>
  <c r="J1910" i="1"/>
  <c r="A1910" i="1"/>
  <c r="AG1909" i="1"/>
  <c r="Z1909" i="1"/>
  <c r="K1909" i="1"/>
  <c r="J1909" i="1"/>
  <c r="A1909" i="1"/>
  <c r="AG1908" i="1"/>
  <c r="Z1908" i="1"/>
  <c r="K1908" i="1"/>
  <c r="J1908" i="1"/>
  <c r="A1908" i="1"/>
  <c r="AG1907" i="1"/>
  <c r="Z1907" i="1"/>
  <c r="K1907" i="1"/>
  <c r="J1907" i="1"/>
  <c r="A1907" i="1"/>
  <c r="AG1906" i="1"/>
  <c r="Z1906" i="1"/>
  <c r="K1906" i="1"/>
  <c r="J1906" i="1"/>
  <c r="A1906" i="1"/>
  <c r="AG1905" i="1"/>
  <c r="Z1905" i="1"/>
  <c r="K1905" i="1"/>
  <c r="J1905" i="1"/>
  <c r="A1905" i="1"/>
  <c r="AG1904" i="1"/>
  <c r="Z1904" i="1"/>
  <c r="K1904" i="1"/>
  <c r="J1904" i="1"/>
  <c r="A1904" i="1"/>
  <c r="AG1903" i="1"/>
  <c r="Z1903" i="1"/>
  <c r="K1903" i="1"/>
  <c r="J1903" i="1"/>
  <c r="A1903" i="1"/>
  <c r="AG1902" i="1"/>
  <c r="Z1902" i="1"/>
  <c r="K1902" i="1"/>
  <c r="J1902" i="1"/>
  <c r="A1902" i="1"/>
  <c r="AG1901" i="1"/>
  <c r="Z1901" i="1"/>
  <c r="K1901" i="1"/>
  <c r="J1901" i="1"/>
  <c r="A1901" i="1"/>
  <c r="AG1900" i="1"/>
  <c r="Z1900" i="1"/>
  <c r="M1900" i="1"/>
  <c r="A1900" i="1"/>
  <c r="A1899" i="1"/>
  <c r="Y3" i="12" l="1"/>
  <c r="AB4" i="12"/>
  <c r="AF4" i="12" s="1"/>
  <c r="Z5" i="12"/>
  <c r="AG4" i="12"/>
  <c r="AH4" i="12"/>
  <c r="AI4" i="12"/>
  <c r="S1920" i="1"/>
  <c r="S1919" i="1"/>
  <c r="S1918" i="1"/>
  <c r="S1917" i="1"/>
  <c r="S1916" i="1"/>
  <c r="S1915" i="1"/>
  <c r="S1914" i="1"/>
  <c r="S1913" i="1"/>
  <c r="S1912" i="1"/>
  <c r="S1911" i="1"/>
  <c r="S1910" i="1"/>
  <c r="S1909" i="1"/>
  <c r="S1908" i="1"/>
  <c r="S1907" i="1"/>
  <c r="S1906" i="1"/>
  <c r="S1905" i="1"/>
  <c r="S1904" i="1"/>
  <c r="S1903" i="1"/>
  <c r="S1902" i="1"/>
  <c r="S1901" i="1"/>
  <c r="S1900" i="1"/>
  <c r="L1900" i="1"/>
  <c r="J1922" i="1" s="1"/>
  <c r="V2622" i="1"/>
  <c r="S2622" i="1"/>
  <c r="AG2621" i="1"/>
  <c r="Z2621" i="1"/>
  <c r="V2621" i="1"/>
  <c r="S2621" i="1"/>
  <c r="AG2620" i="1"/>
  <c r="Z2620" i="1"/>
  <c r="V2620" i="1"/>
  <c r="S2620" i="1"/>
  <c r="AG2619" i="1"/>
  <c r="Z2619" i="1"/>
  <c r="V2619" i="1"/>
  <c r="S2619" i="1"/>
  <c r="AG2618" i="1"/>
  <c r="Z2618" i="1"/>
  <c r="V2618" i="1"/>
  <c r="S2618" i="1"/>
  <c r="AG2617" i="1"/>
  <c r="Z2617" i="1"/>
  <c r="V2617" i="1"/>
  <c r="S2617" i="1"/>
  <c r="AG2616" i="1"/>
  <c r="Z2616" i="1"/>
  <c r="V2616" i="1"/>
  <c r="S2616" i="1"/>
  <c r="AG2615" i="1"/>
  <c r="Z2615" i="1"/>
  <c r="V2615" i="1"/>
  <c r="S2615" i="1"/>
  <c r="AG2614" i="1"/>
  <c r="Z2614" i="1"/>
  <c r="V2614" i="1"/>
  <c r="S2614" i="1"/>
  <c r="AG2613" i="1"/>
  <c r="Z2613" i="1"/>
  <c r="V2613" i="1"/>
  <c r="S2613" i="1"/>
  <c r="AG2612" i="1"/>
  <c r="Z2612" i="1"/>
  <c r="V2612" i="1"/>
  <c r="S2612" i="1"/>
  <c r="AG2611" i="1"/>
  <c r="Z2611" i="1"/>
  <c r="V2611" i="1"/>
  <c r="S2611" i="1"/>
  <c r="AG2610" i="1"/>
  <c r="Z2610" i="1"/>
  <c r="V2610" i="1"/>
  <c r="S2610" i="1"/>
  <c r="AG2609" i="1"/>
  <c r="Z2609" i="1"/>
  <c r="V2609" i="1"/>
  <c r="S2609" i="1"/>
  <c r="AG2608" i="1"/>
  <c r="Z2608" i="1"/>
  <c r="V2608" i="1"/>
  <c r="AG2607" i="1"/>
  <c r="Z2607" i="1"/>
  <c r="V2607" i="1"/>
  <c r="AG2606" i="1"/>
  <c r="Z2606" i="1"/>
  <c r="V2606" i="1"/>
  <c r="S2606" i="1"/>
  <c r="AG2605" i="1"/>
  <c r="Z2605" i="1"/>
  <c r="V2605" i="1"/>
  <c r="S2605" i="1"/>
  <c r="AG2604" i="1"/>
  <c r="Z2604" i="1"/>
  <c r="V2604" i="1"/>
  <c r="S2604" i="1"/>
  <c r="AG2603" i="1"/>
  <c r="Z2603" i="1"/>
  <c r="V2603" i="1"/>
  <c r="S2603" i="1"/>
  <c r="AG2602" i="1"/>
  <c r="Z2602" i="1"/>
  <c r="V2602" i="1"/>
  <c r="L2602" i="1"/>
  <c r="J2602" i="1" s="1"/>
  <c r="AG2601" i="1"/>
  <c r="Z2601" i="1"/>
  <c r="AG2600" i="1"/>
  <c r="Z2600" i="1"/>
  <c r="AG2599" i="1"/>
  <c r="Z2599" i="1"/>
  <c r="AG2598" i="1"/>
  <c r="Z2598" i="1"/>
  <c r="AG2597" i="1"/>
  <c r="Z2597" i="1"/>
  <c r="V2597" i="1"/>
  <c r="S2597" i="1"/>
  <c r="AG2596" i="1"/>
  <c r="Z2596" i="1"/>
  <c r="V2596" i="1"/>
  <c r="S2596" i="1"/>
  <c r="AG2595" i="1"/>
  <c r="Z2595" i="1"/>
  <c r="V2595" i="1"/>
  <c r="S2595" i="1"/>
  <c r="AG2594" i="1"/>
  <c r="Z2594" i="1"/>
  <c r="V2594" i="1"/>
  <c r="S2594" i="1"/>
  <c r="AG2593" i="1"/>
  <c r="Z2593" i="1"/>
  <c r="V2593" i="1"/>
  <c r="S2593" i="1"/>
  <c r="AG2592" i="1"/>
  <c r="Z2592" i="1"/>
  <c r="V2592" i="1"/>
  <c r="S2592" i="1"/>
  <c r="AG2591" i="1"/>
  <c r="Z2591" i="1"/>
  <c r="V2591" i="1"/>
  <c r="S2591" i="1"/>
  <c r="AG2590" i="1"/>
  <c r="Z2590" i="1"/>
  <c r="V2590" i="1"/>
  <c r="S2590" i="1"/>
  <c r="AG2589" i="1"/>
  <c r="Z2589" i="1"/>
  <c r="V2589" i="1"/>
  <c r="S2589" i="1"/>
  <c r="AG2588" i="1"/>
  <c r="Z2588" i="1"/>
  <c r="V2588" i="1"/>
  <c r="S2588" i="1"/>
  <c r="AG2587" i="1"/>
  <c r="Z2587" i="1"/>
  <c r="V2587" i="1"/>
  <c r="S2587" i="1"/>
  <c r="AG2586" i="1"/>
  <c r="Z2586" i="1"/>
  <c r="V2586" i="1"/>
  <c r="S2586" i="1"/>
  <c r="AG2585" i="1"/>
  <c r="Z2585" i="1"/>
  <c r="V2585" i="1"/>
  <c r="S2585" i="1"/>
  <c r="AG2584" i="1"/>
  <c r="Z2584" i="1"/>
  <c r="V2584" i="1"/>
  <c r="S2584" i="1"/>
  <c r="AG2583" i="1"/>
  <c r="Z2583" i="1"/>
  <c r="V2583" i="1"/>
  <c r="AG2582" i="1"/>
  <c r="Z2582" i="1"/>
  <c r="V2582" i="1"/>
  <c r="AG2581" i="1"/>
  <c r="Z2581" i="1"/>
  <c r="V2581" i="1"/>
  <c r="S2581" i="1"/>
  <c r="AG2580" i="1"/>
  <c r="Z2580" i="1"/>
  <c r="V2580" i="1"/>
  <c r="S2580" i="1"/>
  <c r="AG2579" i="1"/>
  <c r="Z2579" i="1"/>
  <c r="V2579" i="1"/>
  <c r="S2579" i="1"/>
  <c r="AG2578" i="1"/>
  <c r="Z2578" i="1"/>
  <c r="V2578" i="1"/>
  <c r="S2578" i="1"/>
  <c r="AG2577" i="1"/>
  <c r="Z2577" i="1"/>
  <c r="V2577" i="1"/>
  <c r="L2577" i="1"/>
  <c r="J2577" i="1" s="1"/>
  <c r="AG2576" i="1"/>
  <c r="Z2576" i="1"/>
  <c r="AG2575" i="1"/>
  <c r="Z2575" i="1"/>
  <c r="AG2574" i="1"/>
  <c r="Z2574" i="1"/>
  <c r="AG2573" i="1"/>
  <c r="Z2573" i="1"/>
  <c r="AG2572" i="1"/>
  <c r="Z2572" i="1"/>
  <c r="V2572" i="1"/>
  <c r="S2572" i="1"/>
  <c r="AG2571" i="1"/>
  <c r="Z2571" i="1"/>
  <c r="V2571" i="1"/>
  <c r="S2571" i="1"/>
  <c r="AG2570" i="1"/>
  <c r="Z2570" i="1"/>
  <c r="V2570" i="1"/>
  <c r="S2570" i="1"/>
  <c r="AG2569" i="1"/>
  <c r="Z2569" i="1"/>
  <c r="V2569" i="1"/>
  <c r="S2569" i="1"/>
  <c r="AG2568" i="1"/>
  <c r="Z2568" i="1"/>
  <c r="V2568" i="1"/>
  <c r="S2568" i="1"/>
  <c r="AG2567" i="1"/>
  <c r="Z2567" i="1"/>
  <c r="V2567" i="1"/>
  <c r="S2567" i="1"/>
  <c r="AG2566" i="1"/>
  <c r="Z2566" i="1"/>
  <c r="V2566" i="1"/>
  <c r="S2566" i="1"/>
  <c r="AG2565" i="1"/>
  <c r="Z2565" i="1"/>
  <c r="V2565" i="1"/>
  <c r="S2565" i="1"/>
  <c r="AG2564" i="1"/>
  <c r="Z2564" i="1"/>
  <c r="V2564" i="1"/>
  <c r="S2564" i="1"/>
  <c r="AG2563" i="1"/>
  <c r="Z2563" i="1"/>
  <c r="V2563" i="1"/>
  <c r="S2563" i="1"/>
  <c r="AG2562" i="1"/>
  <c r="Z2562" i="1"/>
  <c r="V2562" i="1"/>
  <c r="S2562" i="1"/>
  <c r="AG2561" i="1"/>
  <c r="Z2561" i="1"/>
  <c r="V2561" i="1"/>
  <c r="S2561" i="1"/>
  <c r="AG2560" i="1"/>
  <c r="Z2560" i="1"/>
  <c r="V2560" i="1"/>
  <c r="S2560" i="1"/>
  <c r="AG2559" i="1"/>
  <c r="Z2559" i="1"/>
  <c r="V2559" i="1"/>
  <c r="S2559" i="1"/>
  <c r="AG2558" i="1"/>
  <c r="Z2558" i="1"/>
  <c r="V2558" i="1"/>
  <c r="AG2557" i="1"/>
  <c r="Z2557" i="1"/>
  <c r="V2557" i="1"/>
  <c r="AG2556" i="1"/>
  <c r="Z2556" i="1"/>
  <c r="V2556" i="1"/>
  <c r="S2556" i="1"/>
  <c r="AG2555" i="1"/>
  <c r="Z2555" i="1"/>
  <c r="AG2554" i="1"/>
  <c r="Z2554" i="1"/>
  <c r="V2554" i="1"/>
  <c r="S2554" i="1"/>
  <c r="AG2553" i="1"/>
  <c r="Z2553" i="1"/>
  <c r="V2553" i="1"/>
  <c r="S2553" i="1"/>
  <c r="AG2552" i="1"/>
  <c r="Z2552" i="1"/>
  <c r="V2552" i="1"/>
  <c r="S2552" i="1"/>
  <c r="AG2551" i="1"/>
  <c r="Z2551" i="1"/>
  <c r="V2551" i="1"/>
  <c r="L2551" i="1"/>
  <c r="J2551" i="1" s="1"/>
  <c r="AG2550" i="1"/>
  <c r="Z2550" i="1"/>
  <c r="AG2549" i="1"/>
  <c r="Z2549" i="1"/>
  <c r="AG2548" i="1"/>
  <c r="Z2548" i="1"/>
  <c r="AG2547" i="1"/>
  <c r="Z2547" i="1"/>
  <c r="AG2546" i="1"/>
  <c r="Z2546" i="1"/>
  <c r="V2546" i="1"/>
  <c r="S2546" i="1"/>
  <c r="AG2545" i="1"/>
  <c r="Z2545" i="1"/>
  <c r="V2545" i="1"/>
  <c r="S2545" i="1"/>
  <c r="AG2544" i="1"/>
  <c r="Z2544" i="1"/>
  <c r="V2544" i="1"/>
  <c r="S2544" i="1"/>
  <c r="AG2543" i="1"/>
  <c r="Z2543" i="1"/>
  <c r="V2543" i="1"/>
  <c r="S2543" i="1"/>
  <c r="AG2542" i="1"/>
  <c r="Z2542" i="1"/>
  <c r="V2542" i="1"/>
  <c r="S2542" i="1"/>
  <c r="AG2541" i="1"/>
  <c r="Z2541" i="1"/>
  <c r="V2541" i="1"/>
  <c r="S2541" i="1"/>
  <c r="AG2540" i="1"/>
  <c r="Z2540" i="1"/>
  <c r="V2540" i="1"/>
  <c r="S2540" i="1"/>
  <c r="AG2539" i="1"/>
  <c r="Z2539" i="1"/>
  <c r="V2539" i="1"/>
  <c r="S2539" i="1"/>
  <c r="AG2538" i="1"/>
  <c r="Z2538" i="1"/>
  <c r="V2538" i="1"/>
  <c r="S2538" i="1"/>
  <c r="AG2537" i="1"/>
  <c r="Z2537" i="1"/>
  <c r="V2537" i="1"/>
  <c r="S2537" i="1"/>
  <c r="AG2536" i="1"/>
  <c r="Z2536" i="1"/>
  <c r="V2536" i="1"/>
  <c r="S2536" i="1"/>
  <c r="AG2535" i="1"/>
  <c r="Z2535" i="1"/>
  <c r="V2535" i="1"/>
  <c r="S2535" i="1"/>
  <c r="AG2534" i="1"/>
  <c r="Z2534" i="1"/>
  <c r="V2534" i="1"/>
  <c r="S2534" i="1"/>
  <c r="AG2533" i="1"/>
  <c r="Z2533" i="1"/>
  <c r="V2533" i="1"/>
  <c r="S2533" i="1"/>
  <c r="AG2532" i="1"/>
  <c r="Z2532" i="1"/>
  <c r="V2532" i="1"/>
  <c r="S2532" i="1"/>
  <c r="AG2531" i="1"/>
  <c r="Z2531" i="1"/>
  <c r="V2531" i="1"/>
  <c r="S2531" i="1"/>
  <c r="AG2530" i="1"/>
  <c r="Z2530" i="1"/>
  <c r="V2530" i="1"/>
  <c r="S2530" i="1"/>
  <c r="AG2529" i="1"/>
  <c r="Z2529" i="1"/>
  <c r="V2529" i="1"/>
  <c r="S2529" i="1"/>
  <c r="AG2528" i="1"/>
  <c r="Z2528" i="1"/>
  <c r="V2528" i="1"/>
  <c r="S2528" i="1"/>
  <c r="AG2527" i="1"/>
  <c r="Z2527" i="1"/>
  <c r="V2527" i="1"/>
  <c r="S2527" i="1"/>
  <c r="AG2526" i="1"/>
  <c r="Z2526" i="1"/>
  <c r="V2526" i="1"/>
  <c r="L2526" i="1"/>
  <c r="J2526" i="1" s="1"/>
  <c r="AG2525" i="1"/>
  <c r="Z2525" i="1"/>
  <c r="AG2524" i="1"/>
  <c r="Z2524" i="1"/>
  <c r="AG2523" i="1"/>
  <c r="Z2523" i="1"/>
  <c r="AG2522" i="1"/>
  <c r="Z2522" i="1"/>
  <c r="AG2521" i="1"/>
  <c r="Z2521" i="1"/>
  <c r="AG2520" i="1"/>
  <c r="Z2520" i="1"/>
  <c r="V2520" i="1"/>
  <c r="S2520" i="1"/>
  <c r="AG2519" i="1"/>
  <c r="Z2519" i="1"/>
  <c r="V2519" i="1"/>
  <c r="S2519" i="1"/>
  <c r="AG2518" i="1"/>
  <c r="Z2518" i="1"/>
  <c r="V2518" i="1"/>
  <c r="S2518" i="1"/>
  <c r="AG2517" i="1"/>
  <c r="Z2517" i="1"/>
  <c r="V2517" i="1"/>
  <c r="S2517" i="1"/>
  <c r="AG2516" i="1"/>
  <c r="Z2516" i="1"/>
  <c r="V2516" i="1"/>
  <c r="S2516" i="1"/>
  <c r="AG2515" i="1"/>
  <c r="Z2515" i="1"/>
  <c r="V2515" i="1"/>
  <c r="S2515" i="1"/>
  <c r="AG2514" i="1"/>
  <c r="Z2514" i="1"/>
  <c r="V2514" i="1"/>
  <c r="S2514" i="1"/>
  <c r="AG2513" i="1"/>
  <c r="Z2513" i="1"/>
  <c r="V2513" i="1"/>
  <c r="S2513" i="1"/>
  <c r="AG2512" i="1"/>
  <c r="Z2512" i="1"/>
  <c r="V2512" i="1"/>
  <c r="S2512" i="1"/>
  <c r="AG2511" i="1"/>
  <c r="Z2511" i="1"/>
  <c r="V2511" i="1"/>
  <c r="S2511" i="1"/>
  <c r="AG2510" i="1"/>
  <c r="Z2510" i="1"/>
  <c r="V2510" i="1"/>
  <c r="S2510" i="1"/>
  <c r="AG2509" i="1"/>
  <c r="Z2509" i="1"/>
  <c r="V2509" i="1"/>
  <c r="S2509" i="1"/>
  <c r="AG2508" i="1"/>
  <c r="Z2508" i="1"/>
  <c r="V2508" i="1"/>
  <c r="S2508" i="1"/>
  <c r="AG2507" i="1"/>
  <c r="Z2507" i="1"/>
  <c r="V2507" i="1"/>
  <c r="S2507" i="1"/>
  <c r="AG2506" i="1"/>
  <c r="Z2506" i="1"/>
  <c r="V2506" i="1"/>
  <c r="S2506" i="1"/>
  <c r="AG2505" i="1"/>
  <c r="Z2505" i="1"/>
  <c r="V2505" i="1"/>
  <c r="S2505" i="1"/>
  <c r="AG2504" i="1"/>
  <c r="Z2504" i="1"/>
  <c r="V2504" i="1"/>
  <c r="S2504" i="1"/>
  <c r="AG2503" i="1"/>
  <c r="Z2503" i="1"/>
  <c r="V2503" i="1"/>
  <c r="S2503" i="1"/>
  <c r="AG2502" i="1"/>
  <c r="Z2502" i="1"/>
  <c r="V2502" i="1"/>
  <c r="S2502" i="1"/>
  <c r="AG2501" i="1"/>
  <c r="Z2501" i="1"/>
  <c r="V2501" i="1"/>
  <c r="S2501" i="1"/>
  <c r="AG2500" i="1"/>
  <c r="Z2500" i="1"/>
  <c r="V2500" i="1"/>
  <c r="L2500" i="1"/>
  <c r="J2500" i="1" s="1"/>
  <c r="AG2499" i="1"/>
  <c r="Z2499" i="1"/>
  <c r="AG2498" i="1"/>
  <c r="Z2498" i="1"/>
  <c r="AG2497" i="1"/>
  <c r="Z2497" i="1"/>
  <c r="AG2496" i="1"/>
  <c r="Z2496" i="1"/>
  <c r="AG2495" i="1"/>
  <c r="Z2495" i="1"/>
  <c r="AG2494" i="1"/>
  <c r="Z2494" i="1"/>
  <c r="AG2493" i="1"/>
  <c r="Z2493" i="1"/>
  <c r="V2493" i="1"/>
  <c r="AG2492" i="1"/>
  <c r="Z2492" i="1"/>
  <c r="V2492" i="1"/>
  <c r="AG2491" i="1"/>
  <c r="Z2491" i="1"/>
  <c r="V2491" i="1"/>
  <c r="AG2490" i="1"/>
  <c r="Z2490" i="1"/>
  <c r="V2490" i="1"/>
  <c r="AG2489" i="1"/>
  <c r="Z2489" i="1"/>
  <c r="V2489" i="1"/>
  <c r="AG2488" i="1"/>
  <c r="Z2488" i="1"/>
  <c r="V2488" i="1"/>
  <c r="AG2487" i="1"/>
  <c r="Z2487" i="1"/>
  <c r="V2487" i="1"/>
  <c r="AG2486" i="1"/>
  <c r="Z2486" i="1"/>
  <c r="V2486" i="1"/>
  <c r="AG2485" i="1"/>
  <c r="Z2485" i="1"/>
  <c r="V2485" i="1"/>
  <c r="AG2484" i="1"/>
  <c r="Z2484" i="1"/>
  <c r="V2484" i="1"/>
  <c r="AG2483" i="1"/>
  <c r="Z2483" i="1"/>
  <c r="V2483" i="1"/>
  <c r="AG2482" i="1"/>
  <c r="Z2482" i="1"/>
  <c r="V2482" i="1"/>
  <c r="AG2481" i="1"/>
  <c r="Z2481" i="1"/>
  <c r="V2481" i="1"/>
  <c r="AG2480" i="1"/>
  <c r="Z2480" i="1"/>
  <c r="V2480" i="1"/>
  <c r="AG2479" i="1"/>
  <c r="Z2479" i="1"/>
  <c r="V2479" i="1"/>
  <c r="AG2478" i="1"/>
  <c r="Z2478" i="1"/>
  <c r="V2478" i="1"/>
  <c r="AG2477" i="1"/>
  <c r="Z2477" i="1"/>
  <c r="V2477" i="1"/>
  <c r="AG2476" i="1"/>
  <c r="Z2476" i="1"/>
  <c r="V2476" i="1"/>
  <c r="AG2475" i="1"/>
  <c r="Z2475" i="1"/>
  <c r="V2475" i="1"/>
  <c r="AG2474" i="1"/>
  <c r="Z2474" i="1"/>
  <c r="V2474" i="1"/>
  <c r="AG2473" i="1"/>
  <c r="Z2473" i="1"/>
  <c r="V2473" i="1"/>
  <c r="M2473" i="1"/>
  <c r="L2473" i="1" s="1"/>
  <c r="J2473" i="1" s="1"/>
  <c r="AG2472" i="1"/>
  <c r="Z2472" i="1"/>
  <c r="AG2471" i="1"/>
  <c r="Z2471" i="1"/>
  <c r="AG2470" i="1"/>
  <c r="Z2470" i="1"/>
  <c r="AG2469" i="1"/>
  <c r="Z2469" i="1"/>
  <c r="AG2468" i="1"/>
  <c r="Z2468" i="1"/>
  <c r="V2468" i="1"/>
  <c r="S2468" i="1"/>
  <c r="AG2467" i="1"/>
  <c r="Z2467" i="1"/>
  <c r="V2467" i="1"/>
  <c r="S2467" i="1"/>
  <c r="AG2466" i="1"/>
  <c r="Z2466" i="1"/>
  <c r="V2466" i="1"/>
  <c r="S2466" i="1"/>
  <c r="AG2465" i="1"/>
  <c r="Z2465" i="1"/>
  <c r="V2465" i="1"/>
  <c r="S2465" i="1"/>
  <c r="AG2464" i="1"/>
  <c r="Z2464" i="1"/>
  <c r="V2464" i="1"/>
  <c r="S2464" i="1"/>
  <c r="AG2463" i="1"/>
  <c r="Z2463" i="1"/>
  <c r="V2463" i="1"/>
  <c r="S2463" i="1"/>
  <c r="AG2462" i="1"/>
  <c r="Z2462" i="1"/>
  <c r="V2462" i="1"/>
  <c r="S2462" i="1"/>
  <c r="AG2461" i="1"/>
  <c r="Z2461" i="1"/>
  <c r="V2461" i="1"/>
  <c r="S2461" i="1"/>
  <c r="AG2460" i="1"/>
  <c r="Z2460" i="1"/>
  <c r="V2460" i="1"/>
  <c r="S2460" i="1"/>
  <c r="AG2459" i="1"/>
  <c r="Z2459" i="1"/>
  <c r="V2459" i="1"/>
  <c r="S2459" i="1"/>
  <c r="AG2458" i="1"/>
  <c r="Z2458" i="1"/>
  <c r="V2458" i="1"/>
  <c r="S2458" i="1"/>
  <c r="AG2457" i="1"/>
  <c r="Z2457" i="1"/>
  <c r="V2457" i="1"/>
  <c r="S2457" i="1"/>
  <c r="AG2456" i="1"/>
  <c r="Z2456" i="1"/>
  <c r="V2456" i="1"/>
  <c r="S2456" i="1"/>
  <c r="AG2455" i="1"/>
  <c r="Z2455" i="1"/>
  <c r="V2455" i="1"/>
  <c r="S2455" i="1"/>
  <c r="AG2454" i="1"/>
  <c r="Z2454" i="1"/>
  <c r="V2454" i="1"/>
  <c r="S2454" i="1"/>
  <c r="AG2453" i="1"/>
  <c r="Z2453" i="1"/>
  <c r="V2453" i="1"/>
  <c r="S2453" i="1"/>
  <c r="AG2452" i="1"/>
  <c r="Z2452" i="1"/>
  <c r="V2452" i="1"/>
  <c r="S2452" i="1"/>
  <c r="AG2451" i="1"/>
  <c r="Z2451" i="1"/>
  <c r="V2451" i="1"/>
  <c r="S2451" i="1"/>
  <c r="AG2450" i="1"/>
  <c r="Z2450" i="1"/>
  <c r="V2450" i="1"/>
  <c r="S2450" i="1"/>
  <c r="AG2449" i="1"/>
  <c r="Z2449" i="1"/>
  <c r="V2449" i="1"/>
  <c r="S2449" i="1"/>
  <c r="AG2448" i="1"/>
  <c r="Z2448" i="1"/>
  <c r="V2448" i="1"/>
  <c r="L2448" i="1"/>
  <c r="J2448" i="1" s="1"/>
  <c r="AG2447" i="1"/>
  <c r="Z2447" i="1"/>
  <c r="AG2446" i="1"/>
  <c r="Z2446" i="1"/>
  <c r="AG2445" i="1"/>
  <c r="Z2445" i="1"/>
  <c r="AG2444" i="1"/>
  <c r="Z2444" i="1"/>
  <c r="AG2443" i="1"/>
  <c r="Z2443" i="1"/>
  <c r="AG2442" i="1"/>
  <c r="Z2442" i="1"/>
  <c r="V2442" i="1"/>
  <c r="S2442" i="1"/>
  <c r="AG2441" i="1"/>
  <c r="Z2441" i="1"/>
  <c r="V2441" i="1"/>
  <c r="S2441" i="1"/>
  <c r="AG2440" i="1"/>
  <c r="Z2440" i="1"/>
  <c r="V2440" i="1"/>
  <c r="S2440" i="1"/>
  <c r="AG2439" i="1"/>
  <c r="Z2439" i="1"/>
  <c r="V2439" i="1"/>
  <c r="S2439" i="1"/>
  <c r="AG2438" i="1"/>
  <c r="Z2438" i="1"/>
  <c r="V2438" i="1"/>
  <c r="S2438" i="1"/>
  <c r="AG2437" i="1"/>
  <c r="Z2437" i="1"/>
  <c r="V2437" i="1"/>
  <c r="S2437" i="1"/>
  <c r="AG2436" i="1"/>
  <c r="Z2436" i="1"/>
  <c r="V2436" i="1"/>
  <c r="S2436" i="1"/>
  <c r="AG2435" i="1"/>
  <c r="Z2435" i="1"/>
  <c r="V2435" i="1"/>
  <c r="S2435" i="1"/>
  <c r="AG2434" i="1"/>
  <c r="Z2434" i="1"/>
  <c r="V2434" i="1"/>
  <c r="S2434" i="1"/>
  <c r="AG2433" i="1"/>
  <c r="Z2433" i="1"/>
  <c r="V2433" i="1"/>
  <c r="S2433" i="1"/>
  <c r="AG2432" i="1"/>
  <c r="Z2432" i="1"/>
  <c r="V2432" i="1"/>
  <c r="S2432" i="1"/>
  <c r="AG2431" i="1"/>
  <c r="Z2431" i="1"/>
  <c r="V2431" i="1"/>
  <c r="S2431" i="1"/>
  <c r="AG2430" i="1"/>
  <c r="Z2430" i="1"/>
  <c r="V2430" i="1"/>
  <c r="S2430" i="1"/>
  <c r="AG2429" i="1"/>
  <c r="Z2429" i="1"/>
  <c r="V2429" i="1"/>
  <c r="S2429" i="1"/>
  <c r="AG2428" i="1"/>
  <c r="Z2428" i="1"/>
  <c r="V2428" i="1"/>
  <c r="S2428" i="1"/>
  <c r="AG2427" i="1"/>
  <c r="Z2427" i="1"/>
  <c r="V2427" i="1"/>
  <c r="S2427" i="1"/>
  <c r="AG2426" i="1"/>
  <c r="Z2426" i="1"/>
  <c r="V2426" i="1"/>
  <c r="S2426" i="1"/>
  <c r="AG2425" i="1"/>
  <c r="Z2425" i="1"/>
  <c r="V2425" i="1"/>
  <c r="S2425" i="1"/>
  <c r="AG2424" i="1"/>
  <c r="Z2424" i="1"/>
  <c r="V2424" i="1"/>
  <c r="S2424" i="1"/>
  <c r="AG2423" i="1"/>
  <c r="Z2423" i="1"/>
  <c r="V2423" i="1"/>
  <c r="S2423" i="1"/>
  <c r="AG2422" i="1"/>
  <c r="Z2422" i="1"/>
  <c r="V2422" i="1"/>
  <c r="L2422" i="1"/>
  <c r="J2422" i="1" s="1"/>
  <c r="AG2421" i="1"/>
  <c r="Z2421" i="1"/>
  <c r="AG2420" i="1"/>
  <c r="Z2420" i="1"/>
  <c r="AG2419" i="1"/>
  <c r="Z2419" i="1"/>
  <c r="AG2418" i="1"/>
  <c r="Z2418" i="1"/>
  <c r="AG2417" i="1"/>
  <c r="Z2417" i="1"/>
  <c r="V2417" i="1"/>
  <c r="S2417" i="1"/>
  <c r="AG2416" i="1"/>
  <c r="Z2416" i="1"/>
  <c r="V2416" i="1"/>
  <c r="S2416" i="1"/>
  <c r="AG2415" i="1"/>
  <c r="Z2415" i="1"/>
  <c r="V2415" i="1"/>
  <c r="S2415" i="1"/>
  <c r="AG2414" i="1"/>
  <c r="Z2414" i="1"/>
  <c r="V2414" i="1"/>
  <c r="S2414" i="1"/>
  <c r="AG2413" i="1"/>
  <c r="Z2413" i="1"/>
  <c r="V2413" i="1"/>
  <c r="S2413" i="1"/>
  <c r="AG2412" i="1"/>
  <c r="Z2412" i="1"/>
  <c r="V2412" i="1"/>
  <c r="S2412" i="1"/>
  <c r="AG2411" i="1"/>
  <c r="Z2411" i="1"/>
  <c r="V2411" i="1"/>
  <c r="S2411" i="1"/>
  <c r="AG2410" i="1"/>
  <c r="Z2410" i="1"/>
  <c r="V2410" i="1"/>
  <c r="S2410" i="1"/>
  <c r="AG2409" i="1"/>
  <c r="Z2409" i="1"/>
  <c r="V2409" i="1"/>
  <c r="S2409" i="1"/>
  <c r="AG2408" i="1"/>
  <c r="Z2408" i="1"/>
  <c r="V2408" i="1"/>
  <c r="S2408" i="1"/>
  <c r="AG2407" i="1"/>
  <c r="Z2407" i="1"/>
  <c r="V2407" i="1"/>
  <c r="S2407" i="1"/>
  <c r="AG2406" i="1"/>
  <c r="Z2406" i="1"/>
  <c r="V2406" i="1"/>
  <c r="S2406" i="1"/>
  <c r="AG2405" i="1"/>
  <c r="Z2405" i="1"/>
  <c r="V2405" i="1"/>
  <c r="S2405" i="1"/>
  <c r="AG2404" i="1"/>
  <c r="Z2404" i="1"/>
  <c r="V2404" i="1"/>
  <c r="S2404" i="1"/>
  <c r="AG2403" i="1"/>
  <c r="Z2403" i="1"/>
  <c r="V2403" i="1"/>
  <c r="S2403" i="1"/>
  <c r="AG2402" i="1"/>
  <c r="Z2402" i="1"/>
  <c r="V2402" i="1"/>
  <c r="S2402" i="1"/>
  <c r="AG2401" i="1"/>
  <c r="Z2401" i="1"/>
  <c r="V2401" i="1"/>
  <c r="S2401" i="1"/>
  <c r="AG2400" i="1"/>
  <c r="Z2400" i="1"/>
  <c r="V2400" i="1"/>
  <c r="S2400" i="1"/>
  <c r="AG2399" i="1"/>
  <c r="Z2399" i="1"/>
  <c r="V2399" i="1"/>
  <c r="S2399" i="1"/>
  <c r="AG2398" i="1"/>
  <c r="Z2398" i="1"/>
  <c r="V2398" i="1"/>
  <c r="S2398" i="1"/>
  <c r="AG2397" i="1"/>
  <c r="Z2397" i="1"/>
  <c r="V2397" i="1"/>
  <c r="L2397" i="1"/>
  <c r="J2397" i="1" s="1"/>
  <c r="AG2396" i="1"/>
  <c r="Z2396" i="1"/>
  <c r="AG2395" i="1"/>
  <c r="Z2395" i="1"/>
  <c r="AG2394" i="1"/>
  <c r="Z2394" i="1"/>
  <c r="AG2393" i="1"/>
  <c r="Z2393" i="1"/>
  <c r="V2393" i="1"/>
  <c r="S2393" i="1"/>
  <c r="AG2392" i="1"/>
  <c r="Z2392" i="1"/>
  <c r="V2392" i="1"/>
  <c r="S2392" i="1"/>
  <c r="AG2391" i="1"/>
  <c r="Z2391" i="1"/>
  <c r="V2391" i="1"/>
  <c r="S2391" i="1"/>
  <c r="AG2390" i="1"/>
  <c r="Z2390" i="1"/>
  <c r="V2390" i="1"/>
  <c r="S2390" i="1"/>
  <c r="AG2389" i="1"/>
  <c r="Z2389" i="1"/>
  <c r="V2389" i="1"/>
  <c r="S2389" i="1"/>
  <c r="AG2388" i="1"/>
  <c r="Z2388" i="1"/>
  <c r="V2388" i="1"/>
  <c r="S2388" i="1"/>
  <c r="AG2387" i="1"/>
  <c r="Z2387" i="1"/>
  <c r="V2387" i="1"/>
  <c r="S2387" i="1"/>
  <c r="AG2386" i="1"/>
  <c r="Z2386" i="1"/>
  <c r="V2386" i="1"/>
  <c r="S2386" i="1"/>
  <c r="AG2385" i="1"/>
  <c r="Z2385" i="1"/>
  <c r="V2385" i="1"/>
  <c r="S2385" i="1"/>
  <c r="AG2384" i="1"/>
  <c r="Z2384" i="1"/>
  <c r="V2384" i="1"/>
  <c r="S2384" i="1"/>
  <c r="AG2383" i="1"/>
  <c r="Z2383" i="1"/>
  <c r="V2383" i="1"/>
  <c r="S2383" i="1"/>
  <c r="AG2382" i="1"/>
  <c r="Z2382" i="1"/>
  <c r="V2382" i="1"/>
  <c r="S2382" i="1"/>
  <c r="AG2381" i="1"/>
  <c r="Z2381" i="1"/>
  <c r="V2381" i="1"/>
  <c r="S2381" i="1"/>
  <c r="AG2380" i="1"/>
  <c r="Z2380" i="1"/>
  <c r="V2380" i="1"/>
  <c r="S2380" i="1"/>
  <c r="AG2379" i="1"/>
  <c r="Z2379" i="1"/>
  <c r="V2379" i="1"/>
  <c r="S2379" i="1"/>
  <c r="AG2378" i="1"/>
  <c r="Z2378" i="1"/>
  <c r="V2378" i="1"/>
  <c r="S2378" i="1"/>
  <c r="AG2377" i="1"/>
  <c r="Z2377" i="1"/>
  <c r="V2377" i="1"/>
  <c r="S2377" i="1"/>
  <c r="AG2376" i="1"/>
  <c r="Z2376" i="1"/>
  <c r="V2376" i="1"/>
  <c r="S2376" i="1"/>
  <c r="AG2375" i="1"/>
  <c r="Z2375" i="1"/>
  <c r="V2375" i="1"/>
  <c r="S2375" i="1"/>
  <c r="AG2374" i="1"/>
  <c r="Z2374" i="1"/>
  <c r="V2374" i="1"/>
  <c r="S2374" i="1"/>
  <c r="AG2373" i="1"/>
  <c r="Z2373" i="1"/>
  <c r="V2373" i="1"/>
  <c r="L2373" i="1"/>
  <c r="J2373" i="1" s="1"/>
  <c r="AG2372" i="1"/>
  <c r="Z2372" i="1"/>
  <c r="AG2371" i="1"/>
  <c r="Z2371" i="1"/>
  <c r="AG2370" i="1"/>
  <c r="Z2370" i="1"/>
  <c r="AG2369" i="1"/>
  <c r="Z2369" i="1"/>
  <c r="V2369" i="1"/>
  <c r="S2369" i="1"/>
  <c r="AG2368" i="1"/>
  <c r="Z2368" i="1"/>
  <c r="V2368" i="1"/>
  <c r="S2368" i="1"/>
  <c r="AG2367" i="1"/>
  <c r="Z2367" i="1"/>
  <c r="V2367" i="1"/>
  <c r="S2367" i="1"/>
  <c r="AG2366" i="1"/>
  <c r="Z2366" i="1"/>
  <c r="V2366" i="1"/>
  <c r="S2366" i="1"/>
  <c r="AG2365" i="1"/>
  <c r="Z2365" i="1"/>
  <c r="V2365" i="1"/>
  <c r="S2365" i="1"/>
  <c r="AG2364" i="1"/>
  <c r="Z2364" i="1"/>
  <c r="V2364" i="1"/>
  <c r="S2364" i="1"/>
  <c r="AG2363" i="1"/>
  <c r="Z2363" i="1"/>
  <c r="V2363" i="1"/>
  <c r="S2363" i="1"/>
  <c r="AG2362" i="1"/>
  <c r="Z2362" i="1"/>
  <c r="V2362" i="1"/>
  <c r="S2362" i="1"/>
  <c r="AG2361" i="1"/>
  <c r="Z2361" i="1"/>
  <c r="V2361" i="1"/>
  <c r="S2361" i="1"/>
  <c r="AG2360" i="1"/>
  <c r="Z2360" i="1"/>
  <c r="V2360" i="1"/>
  <c r="S2360" i="1"/>
  <c r="AG2359" i="1"/>
  <c r="Z2359" i="1"/>
  <c r="V2359" i="1"/>
  <c r="S2359" i="1"/>
  <c r="AG2358" i="1"/>
  <c r="Z2358" i="1"/>
  <c r="V2358" i="1"/>
  <c r="S2358" i="1"/>
  <c r="AG2357" i="1"/>
  <c r="Z2357" i="1"/>
  <c r="V2357" i="1"/>
  <c r="S2357" i="1"/>
  <c r="AG2356" i="1"/>
  <c r="Z2356" i="1"/>
  <c r="V2356" i="1"/>
  <c r="S2356" i="1"/>
  <c r="AG2355" i="1"/>
  <c r="Z2355" i="1"/>
  <c r="V2355" i="1"/>
  <c r="S2355" i="1"/>
  <c r="AG2354" i="1"/>
  <c r="Z2354" i="1"/>
  <c r="V2354" i="1"/>
  <c r="S2354" i="1"/>
  <c r="AG2353" i="1"/>
  <c r="Z2353" i="1"/>
  <c r="V2353" i="1"/>
  <c r="S2353" i="1"/>
  <c r="AG2352" i="1"/>
  <c r="Z2352" i="1"/>
  <c r="V2352" i="1"/>
  <c r="S2352" i="1"/>
  <c r="AG2351" i="1"/>
  <c r="Z2351" i="1"/>
  <c r="V2351" i="1"/>
  <c r="S2351" i="1"/>
  <c r="AG2350" i="1"/>
  <c r="Z2350" i="1"/>
  <c r="V2350" i="1"/>
  <c r="S2350" i="1"/>
  <c r="AG2349" i="1"/>
  <c r="Z2349" i="1"/>
  <c r="V2349" i="1"/>
  <c r="L2349" i="1"/>
  <c r="J2349" i="1" s="1"/>
  <c r="AG2348" i="1"/>
  <c r="Z2348" i="1"/>
  <c r="AG2347" i="1"/>
  <c r="Z2347" i="1"/>
  <c r="AG2346" i="1"/>
  <c r="Z2346" i="1"/>
  <c r="AG2345" i="1"/>
  <c r="Z2345" i="1"/>
  <c r="V2345" i="1"/>
  <c r="S2345" i="1"/>
  <c r="AG2344" i="1"/>
  <c r="Z2344" i="1"/>
  <c r="V2344" i="1"/>
  <c r="S2344" i="1"/>
  <c r="AG2343" i="1"/>
  <c r="Z2343" i="1"/>
  <c r="V2343" i="1"/>
  <c r="S2343" i="1"/>
  <c r="AG2342" i="1"/>
  <c r="Z2342" i="1"/>
  <c r="V2342" i="1"/>
  <c r="S2342" i="1"/>
  <c r="AG2341" i="1"/>
  <c r="Z2341" i="1"/>
  <c r="V2341" i="1"/>
  <c r="S2341" i="1"/>
  <c r="AG2340" i="1"/>
  <c r="Z2340" i="1"/>
  <c r="V2340" i="1"/>
  <c r="S2340" i="1"/>
  <c r="AG2339" i="1"/>
  <c r="Z2339" i="1"/>
  <c r="V2339" i="1"/>
  <c r="S2339" i="1"/>
  <c r="AG2338" i="1"/>
  <c r="Z2338" i="1"/>
  <c r="V2338" i="1"/>
  <c r="S2338" i="1"/>
  <c r="AG2337" i="1"/>
  <c r="Z2337" i="1"/>
  <c r="V2337" i="1"/>
  <c r="S2337" i="1"/>
  <c r="AG2336" i="1"/>
  <c r="Z2336" i="1"/>
  <c r="V2336" i="1"/>
  <c r="S2336" i="1"/>
  <c r="AG2335" i="1"/>
  <c r="Z2335" i="1"/>
  <c r="V2335" i="1"/>
  <c r="S2335" i="1"/>
  <c r="AG2334" i="1"/>
  <c r="Z2334" i="1"/>
  <c r="V2334" i="1"/>
  <c r="S2334" i="1"/>
  <c r="AG2333" i="1"/>
  <c r="Z2333" i="1"/>
  <c r="V2333" i="1"/>
  <c r="S2333" i="1"/>
  <c r="AG2332" i="1"/>
  <c r="Z2332" i="1"/>
  <c r="V2332" i="1"/>
  <c r="S2332" i="1"/>
  <c r="AG2331" i="1"/>
  <c r="Z2331" i="1"/>
  <c r="V2331" i="1"/>
  <c r="S2331" i="1"/>
  <c r="AG2330" i="1"/>
  <c r="Z2330" i="1"/>
  <c r="V2330" i="1"/>
  <c r="S2330" i="1"/>
  <c r="AG2329" i="1"/>
  <c r="Z2329" i="1"/>
  <c r="V2329" i="1"/>
  <c r="S2329" i="1"/>
  <c r="AG2328" i="1"/>
  <c r="Z2328" i="1"/>
  <c r="V2328" i="1"/>
  <c r="S2328" i="1"/>
  <c r="AG2327" i="1"/>
  <c r="Z2327" i="1"/>
  <c r="V2327" i="1"/>
  <c r="S2327" i="1"/>
  <c r="AG2326" i="1"/>
  <c r="Z2326" i="1"/>
  <c r="V2326" i="1"/>
  <c r="S2326" i="1"/>
  <c r="AG2325" i="1"/>
  <c r="Z2325" i="1"/>
  <c r="V2325" i="1"/>
  <c r="L2325" i="1"/>
  <c r="J2325" i="1" s="1"/>
  <c r="AG2324" i="1"/>
  <c r="Z2324" i="1"/>
  <c r="AG2323" i="1"/>
  <c r="Z2323" i="1"/>
  <c r="AG2322" i="1"/>
  <c r="Z2322" i="1"/>
  <c r="AG2321" i="1"/>
  <c r="Z2321" i="1"/>
  <c r="AG2320" i="1"/>
  <c r="Z2320" i="1"/>
  <c r="V2320" i="1"/>
  <c r="S2320" i="1"/>
  <c r="AG2319" i="1"/>
  <c r="Z2319" i="1"/>
  <c r="V2319" i="1"/>
  <c r="S2319" i="1"/>
  <c r="AG2318" i="1"/>
  <c r="Z2318" i="1"/>
  <c r="V2318" i="1"/>
  <c r="S2318" i="1"/>
  <c r="AG2317" i="1"/>
  <c r="Z2317" i="1"/>
  <c r="V2317" i="1"/>
  <c r="S2317" i="1"/>
  <c r="AG2316" i="1"/>
  <c r="Z2316" i="1"/>
  <c r="V2316" i="1"/>
  <c r="S2316" i="1"/>
  <c r="AG2315" i="1"/>
  <c r="Z2315" i="1"/>
  <c r="V2315" i="1"/>
  <c r="S2315" i="1"/>
  <c r="AG2314" i="1"/>
  <c r="Z2314" i="1"/>
  <c r="V2314" i="1"/>
  <c r="S2314" i="1"/>
  <c r="AG2313" i="1"/>
  <c r="Z2313" i="1"/>
  <c r="V2313" i="1"/>
  <c r="S2313" i="1"/>
  <c r="AG2312" i="1"/>
  <c r="Z2312" i="1"/>
  <c r="V2312" i="1"/>
  <c r="S2312" i="1"/>
  <c r="AG2311" i="1"/>
  <c r="Z2311" i="1"/>
  <c r="V2311" i="1"/>
  <c r="S2311" i="1"/>
  <c r="AG2310" i="1"/>
  <c r="Z2310" i="1"/>
  <c r="V2310" i="1"/>
  <c r="S2310" i="1"/>
  <c r="AG2309" i="1"/>
  <c r="Z2309" i="1"/>
  <c r="V2309" i="1"/>
  <c r="S2309" i="1"/>
  <c r="AG2308" i="1"/>
  <c r="Z2308" i="1"/>
  <c r="V2308" i="1"/>
  <c r="S2308" i="1"/>
  <c r="AG2307" i="1"/>
  <c r="Z2307" i="1"/>
  <c r="V2307" i="1"/>
  <c r="S2307" i="1"/>
  <c r="AG2306" i="1"/>
  <c r="Z2306" i="1"/>
  <c r="V2306" i="1"/>
  <c r="S2306" i="1"/>
  <c r="AG2305" i="1"/>
  <c r="Z2305" i="1"/>
  <c r="V2305" i="1"/>
  <c r="S2305" i="1"/>
  <c r="AG2304" i="1"/>
  <c r="Z2304" i="1"/>
  <c r="V2304" i="1"/>
  <c r="S2304" i="1"/>
  <c r="AG2303" i="1"/>
  <c r="Z2303" i="1"/>
  <c r="V2303" i="1"/>
  <c r="S2303" i="1"/>
  <c r="AG2302" i="1"/>
  <c r="Z2302" i="1"/>
  <c r="V2302" i="1"/>
  <c r="S2302" i="1"/>
  <c r="AG2301" i="1"/>
  <c r="Z2301" i="1"/>
  <c r="V2301" i="1"/>
  <c r="S2301" i="1"/>
  <c r="AG2300" i="1"/>
  <c r="Z2300" i="1"/>
  <c r="V2300" i="1"/>
  <c r="L2300" i="1"/>
  <c r="J2300" i="1" s="1"/>
  <c r="AG2299" i="1"/>
  <c r="Z2299" i="1"/>
  <c r="AG2298" i="1"/>
  <c r="Z2298" i="1"/>
  <c r="AG2297" i="1"/>
  <c r="Z2297" i="1"/>
  <c r="AG2296" i="1"/>
  <c r="Z2296" i="1"/>
  <c r="AG2295" i="1"/>
  <c r="Z2295" i="1"/>
  <c r="V2295" i="1"/>
  <c r="S2295" i="1"/>
  <c r="AG2294" i="1"/>
  <c r="Z2294" i="1"/>
  <c r="V2294" i="1"/>
  <c r="S2294" i="1"/>
  <c r="AG2293" i="1"/>
  <c r="Z2293" i="1"/>
  <c r="V2293" i="1"/>
  <c r="S2293" i="1"/>
  <c r="AG2292" i="1"/>
  <c r="Z2292" i="1"/>
  <c r="V2292" i="1"/>
  <c r="S2292" i="1"/>
  <c r="AG2291" i="1"/>
  <c r="Z2291" i="1"/>
  <c r="V2291" i="1"/>
  <c r="S2291" i="1"/>
  <c r="AG2290" i="1"/>
  <c r="Z2290" i="1"/>
  <c r="V2290" i="1"/>
  <c r="S2290" i="1"/>
  <c r="AG2289" i="1"/>
  <c r="Z2289" i="1"/>
  <c r="V2289" i="1"/>
  <c r="S2289" i="1"/>
  <c r="AG2288" i="1"/>
  <c r="Z2288" i="1"/>
  <c r="V2288" i="1"/>
  <c r="S2288" i="1"/>
  <c r="AG2287" i="1"/>
  <c r="Z2287" i="1"/>
  <c r="V2287" i="1"/>
  <c r="S2287" i="1"/>
  <c r="AG2286" i="1"/>
  <c r="Z2286" i="1"/>
  <c r="V2286" i="1"/>
  <c r="S2286" i="1"/>
  <c r="AG2285" i="1"/>
  <c r="Z2285" i="1"/>
  <c r="V2285" i="1"/>
  <c r="S2285" i="1"/>
  <c r="AG2284" i="1"/>
  <c r="Z2284" i="1"/>
  <c r="V2284" i="1"/>
  <c r="S2284" i="1"/>
  <c r="AG2283" i="1"/>
  <c r="Z2283" i="1"/>
  <c r="V2283" i="1"/>
  <c r="S2283" i="1"/>
  <c r="AG2282" i="1"/>
  <c r="Z2282" i="1"/>
  <c r="V2282" i="1"/>
  <c r="S2282" i="1"/>
  <c r="AG2281" i="1"/>
  <c r="Z2281" i="1"/>
  <c r="V2281" i="1"/>
  <c r="S2281" i="1"/>
  <c r="AG2280" i="1"/>
  <c r="Z2280" i="1"/>
  <c r="V2280" i="1"/>
  <c r="S2280" i="1"/>
  <c r="AG2279" i="1"/>
  <c r="Z2279" i="1"/>
  <c r="V2279" i="1"/>
  <c r="S2279" i="1"/>
  <c r="AG2278" i="1"/>
  <c r="Z2278" i="1"/>
  <c r="V2278" i="1"/>
  <c r="S2278" i="1"/>
  <c r="AG2277" i="1"/>
  <c r="Z2277" i="1"/>
  <c r="V2277" i="1"/>
  <c r="S2277" i="1"/>
  <c r="AG2276" i="1"/>
  <c r="Z2276" i="1"/>
  <c r="V2276" i="1"/>
  <c r="S2276" i="1"/>
  <c r="AG2275" i="1"/>
  <c r="Z2275" i="1"/>
  <c r="V2275" i="1"/>
  <c r="L2275" i="1"/>
  <c r="J2275" i="1" s="1"/>
  <c r="AG2274" i="1"/>
  <c r="Z2274" i="1"/>
  <c r="AG2273" i="1"/>
  <c r="Z2273" i="1"/>
  <c r="AG2272" i="1"/>
  <c r="Z2272" i="1"/>
  <c r="AG2271" i="1"/>
  <c r="Z2271" i="1"/>
  <c r="V2271" i="1"/>
  <c r="S2271" i="1"/>
  <c r="AG2270" i="1"/>
  <c r="Z2270" i="1"/>
  <c r="V2270" i="1"/>
  <c r="S2270" i="1"/>
  <c r="AG2269" i="1"/>
  <c r="Z2269" i="1"/>
  <c r="V2269" i="1"/>
  <c r="S2269" i="1"/>
  <c r="AG2268" i="1"/>
  <c r="Z2268" i="1"/>
  <c r="V2268" i="1"/>
  <c r="S2268" i="1"/>
  <c r="AG2267" i="1"/>
  <c r="Z2267" i="1"/>
  <c r="V2267" i="1"/>
  <c r="S2267" i="1"/>
  <c r="AG2266" i="1"/>
  <c r="Z2266" i="1"/>
  <c r="V2266" i="1"/>
  <c r="S2266" i="1"/>
  <c r="AG2265" i="1"/>
  <c r="Z2265" i="1"/>
  <c r="V2265" i="1"/>
  <c r="S2265" i="1"/>
  <c r="AG2264" i="1"/>
  <c r="Z2264" i="1"/>
  <c r="V2264" i="1"/>
  <c r="S2264" i="1"/>
  <c r="AG2263" i="1"/>
  <c r="Z2263" i="1"/>
  <c r="V2263" i="1"/>
  <c r="S2263" i="1"/>
  <c r="AG2262" i="1"/>
  <c r="Z2262" i="1"/>
  <c r="V2262" i="1"/>
  <c r="S2262" i="1"/>
  <c r="AG2261" i="1"/>
  <c r="Z2261" i="1"/>
  <c r="V2261" i="1"/>
  <c r="S2261" i="1"/>
  <c r="AG2260" i="1"/>
  <c r="Z2260" i="1"/>
  <c r="V2260" i="1"/>
  <c r="S2260" i="1"/>
  <c r="AG2259" i="1"/>
  <c r="Z2259" i="1"/>
  <c r="V2259" i="1"/>
  <c r="S2259" i="1"/>
  <c r="AG2258" i="1"/>
  <c r="Z2258" i="1"/>
  <c r="V2258" i="1"/>
  <c r="S2258" i="1"/>
  <c r="AG2257" i="1"/>
  <c r="Z2257" i="1"/>
  <c r="V2257" i="1"/>
  <c r="S2257" i="1"/>
  <c r="AG2256" i="1"/>
  <c r="Z2256" i="1"/>
  <c r="V2256" i="1"/>
  <c r="S2256" i="1"/>
  <c r="AG2255" i="1"/>
  <c r="Z2255" i="1"/>
  <c r="V2255" i="1"/>
  <c r="S2255" i="1"/>
  <c r="AG2254" i="1"/>
  <c r="Z2254" i="1"/>
  <c r="V2254" i="1"/>
  <c r="S2254" i="1"/>
  <c r="AG2253" i="1"/>
  <c r="Z2253" i="1"/>
  <c r="V2253" i="1"/>
  <c r="S2253" i="1"/>
  <c r="AG2252" i="1"/>
  <c r="Z2252" i="1"/>
  <c r="V2252" i="1"/>
  <c r="S2252" i="1"/>
  <c r="AG2251" i="1"/>
  <c r="Z2251" i="1"/>
  <c r="V2251" i="1"/>
  <c r="L2251" i="1"/>
  <c r="J2251" i="1" s="1"/>
  <c r="AG2250" i="1"/>
  <c r="Z2250" i="1"/>
  <c r="AG2249" i="1"/>
  <c r="Z2249" i="1"/>
  <c r="AG2248" i="1"/>
  <c r="Z2248" i="1"/>
  <c r="AG2247" i="1"/>
  <c r="Z2247" i="1"/>
  <c r="V2247" i="1"/>
  <c r="S2247" i="1"/>
  <c r="AG2246" i="1"/>
  <c r="Z2246" i="1"/>
  <c r="V2246" i="1"/>
  <c r="S2246" i="1"/>
  <c r="AG2245" i="1"/>
  <c r="Z2245" i="1"/>
  <c r="V2245" i="1"/>
  <c r="S2245" i="1"/>
  <c r="AG2244" i="1"/>
  <c r="Z2244" i="1"/>
  <c r="V2244" i="1"/>
  <c r="S2244" i="1"/>
  <c r="AG2243" i="1"/>
  <c r="Z2243" i="1"/>
  <c r="V2243" i="1"/>
  <c r="S2243" i="1"/>
  <c r="AG2242" i="1"/>
  <c r="Z2242" i="1"/>
  <c r="V2242" i="1"/>
  <c r="S2242" i="1"/>
  <c r="AG2241" i="1"/>
  <c r="Z2241" i="1"/>
  <c r="V2241" i="1"/>
  <c r="S2241" i="1"/>
  <c r="AG2240" i="1"/>
  <c r="Z2240" i="1"/>
  <c r="V2240" i="1"/>
  <c r="S2240" i="1"/>
  <c r="AG2239" i="1"/>
  <c r="Z2239" i="1"/>
  <c r="V2239" i="1"/>
  <c r="S2239" i="1"/>
  <c r="AG2238" i="1"/>
  <c r="Z2238" i="1"/>
  <c r="V2238" i="1"/>
  <c r="S2238" i="1"/>
  <c r="AG2237" i="1"/>
  <c r="Z2237" i="1"/>
  <c r="V2237" i="1"/>
  <c r="S2237" i="1"/>
  <c r="AG2236" i="1"/>
  <c r="Z2236" i="1"/>
  <c r="V2236" i="1"/>
  <c r="S2236" i="1"/>
  <c r="AG2235" i="1"/>
  <c r="Z2235" i="1"/>
  <c r="V2235" i="1"/>
  <c r="S2235" i="1"/>
  <c r="AG2234" i="1"/>
  <c r="Z2234" i="1"/>
  <c r="V2234" i="1"/>
  <c r="S2234" i="1"/>
  <c r="AG2233" i="1"/>
  <c r="Z2233" i="1"/>
  <c r="V2233" i="1"/>
  <c r="S2233" i="1"/>
  <c r="AG2232" i="1"/>
  <c r="Z2232" i="1"/>
  <c r="V2232" i="1"/>
  <c r="S2232" i="1"/>
  <c r="AG2231" i="1"/>
  <c r="Z2231" i="1"/>
  <c r="V2231" i="1"/>
  <c r="S2231" i="1"/>
  <c r="AG2230" i="1"/>
  <c r="Z2230" i="1"/>
  <c r="V2230" i="1"/>
  <c r="S2230" i="1"/>
  <c r="AG2229" i="1"/>
  <c r="Z2229" i="1"/>
  <c r="V2229" i="1"/>
  <c r="S2229" i="1"/>
  <c r="AG2228" i="1"/>
  <c r="Z2228" i="1"/>
  <c r="V2228" i="1"/>
  <c r="S2228" i="1"/>
  <c r="AG2227" i="1"/>
  <c r="Z2227" i="1"/>
  <c r="V2227" i="1"/>
  <c r="L2227" i="1"/>
  <c r="J2227" i="1" s="1"/>
  <c r="AG2226" i="1"/>
  <c r="Z2226" i="1"/>
  <c r="AG2225" i="1"/>
  <c r="Z2225" i="1"/>
  <c r="AG2224" i="1"/>
  <c r="Z2224" i="1"/>
  <c r="AG2223" i="1"/>
  <c r="Z2223" i="1"/>
  <c r="AG2222" i="1"/>
  <c r="Z2222" i="1"/>
  <c r="V2222" i="1"/>
  <c r="S2222" i="1"/>
  <c r="AG2221" i="1"/>
  <c r="Z2221" i="1"/>
  <c r="V2221" i="1"/>
  <c r="S2221" i="1"/>
  <c r="AG2220" i="1"/>
  <c r="Z2220" i="1"/>
  <c r="V2220" i="1"/>
  <c r="S2220" i="1"/>
  <c r="AG2219" i="1"/>
  <c r="Z2219" i="1"/>
  <c r="V2219" i="1"/>
  <c r="S2219" i="1"/>
  <c r="AG2218" i="1"/>
  <c r="Z2218" i="1"/>
  <c r="V2218" i="1"/>
  <c r="S2218" i="1"/>
  <c r="AG2217" i="1"/>
  <c r="Z2217" i="1"/>
  <c r="V2217" i="1"/>
  <c r="S2217" i="1"/>
  <c r="AG2216" i="1"/>
  <c r="Z2216" i="1"/>
  <c r="V2216" i="1"/>
  <c r="S2216" i="1"/>
  <c r="AG2215" i="1"/>
  <c r="Z2215" i="1"/>
  <c r="V2215" i="1"/>
  <c r="S2215" i="1"/>
  <c r="AG2214" i="1"/>
  <c r="Z2214" i="1"/>
  <c r="V2214" i="1"/>
  <c r="S2214" i="1"/>
  <c r="AG2213" i="1"/>
  <c r="Z2213" i="1"/>
  <c r="V2213" i="1"/>
  <c r="S2213" i="1"/>
  <c r="AG2212" i="1"/>
  <c r="Z2212" i="1"/>
  <c r="V2212" i="1"/>
  <c r="S2212" i="1"/>
  <c r="AG2211" i="1"/>
  <c r="Z2211" i="1"/>
  <c r="V2211" i="1"/>
  <c r="S2211" i="1"/>
  <c r="AG2210" i="1"/>
  <c r="Z2210" i="1"/>
  <c r="V2210" i="1"/>
  <c r="S2210" i="1"/>
  <c r="AG2209" i="1"/>
  <c r="Z2209" i="1"/>
  <c r="V2209" i="1"/>
  <c r="S2209" i="1"/>
  <c r="AG2208" i="1"/>
  <c r="Z2208" i="1"/>
  <c r="V2208" i="1"/>
  <c r="S2208" i="1"/>
  <c r="AG2207" i="1"/>
  <c r="Z2207" i="1"/>
  <c r="V2207" i="1"/>
  <c r="S2207" i="1"/>
  <c r="AG2206" i="1"/>
  <c r="Z2206" i="1"/>
  <c r="V2206" i="1"/>
  <c r="S2206" i="1"/>
  <c r="AG2205" i="1"/>
  <c r="Z2205" i="1"/>
  <c r="V2205" i="1"/>
  <c r="S2205" i="1"/>
  <c r="AG2204" i="1"/>
  <c r="Z2204" i="1"/>
  <c r="V2204" i="1"/>
  <c r="S2204" i="1"/>
  <c r="AG2203" i="1"/>
  <c r="Z2203" i="1"/>
  <c r="V2203" i="1"/>
  <c r="S2203" i="1"/>
  <c r="AG2202" i="1"/>
  <c r="Z2202" i="1"/>
  <c r="V2202" i="1"/>
  <c r="L2202" i="1"/>
  <c r="J2202" i="1" s="1"/>
  <c r="AG2201" i="1"/>
  <c r="Z2201" i="1"/>
  <c r="AG2200" i="1"/>
  <c r="Z2200" i="1"/>
  <c r="AG2199" i="1"/>
  <c r="Z2199" i="1"/>
  <c r="AG2198" i="1"/>
  <c r="Z2198" i="1"/>
  <c r="AG2197" i="1"/>
  <c r="Z2197" i="1"/>
  <c r="AG2196" i="1"/>
  <c r="Z2196" i="1"/>
  <c r="AG2195" i="1"/>
  <c r="Z2195" i="1"/>
  <c r="V2195" i="1"/>
  <c r="S2195" i="1"/>
  <c r="AG2194" i="1"/>
  <c r="Z2194" i="1"/>
  <c r="V2194" i="1"/>
  <c r="S2194" i="1"/>
  <c r="AG2193" i="1"/>
  <c r="Z2193" i="1"/>
  <c r="V2193" i="1"/>
  <c r="S2193" i="1"/>
  <c r="AG2192" i="1"/>
  <c r="Z2192" i="1"/>
  <c r="V2192" i="1"/>
  <c r="S2192" i="1"/>
  <c r="AG2191" i="1"/>
  <c r="Z2191" i="1"/>
  <c r="V2191" i="1"/>
  <c r="S2191" i="1"/>
  <c r="AG2190" i="1"/>
  <c r="Z2190" i="1"/>
  <c r="V2190" i="1"/>
  <c r="S2190" i="1"/>
  <c r="AG2189" i="1"/>
  <c r="Z2189" i="1"/>
  <c r="V2189" i="1"/>
  <c r="S2189" i="1"/>
  <c r="AG2188" i="1"/>
  <c r="Z2188" i="1"/>
  <c r="V2188" i="1"/>
  <c r="S2188" i="1"/>
  <c r="AG2187" i="1"/>
  <c r="Z2187" i="1"/>
  <c r="V2187" i="1"/>
  <c r="S2187" i="1"/>
  <c r="AG2186" i="1"/>
  <c r="Z2186" i="1"/>
  <c r="V2186" i="1"/>
  <c r="S2186" i="1"/>
  <c r="AG2185" i="1"/>
  <c r="Z2185" i="1"/>
  <c r="V2185" i="1"/>
  <c r="S2185" i="1"/>
  <c r="AG2184" i="1"/>
  <c r="Z2184" i="1"/>
  <c r="V2184" i="1"/>
  <c r="S2184" i="1"/>
  <c r="AG2183" i="1"/>
  <c r="Z2183" i="1"/>
  <c r="V2183" i="1"/>
  <c r="S2183" i="1"/>
  <c r="AG2182" i="1"/>
  <c r="Z2182" i="1"/>
  <c r="V2182" i="1"/>
  <c r="S2182" i="1"/>
  <c r="AG2181" i="1"/>
  <c r="Z2181" i="1"/>
  <c r="V2181" i="1"/>
  <c r="S2181" i="1"/>
  <c r="AG2180" i="1"/>
  <c r="Z2180" i="1"/>
  <c r="V2180" i="1"/>
  <c r="S2180" i="1"/>
  <c r="AG2179" i="1"/>
  <c r="Z2179" i="1"/>
  <c r="V2179" i="1"/>
  <c r="S2179" i="1"/>
  <c r="AG2178" i="1"/>
  <c r="Z2178" i="1"/>
  <c r="V2178" i="1"/>
  <c r="S2178" i="1"/>
  <c r="AG2177" i="1"/>
  <c r="Z2177" i="1"/>
  <c r="V2177" i="1"/>
  <c r="S2177" i="1"/>
  <c r="AG2176" i="1"/>
  <c r="Z2176" i="1"/>
  <c r="V2176" i="1"/>
  <c r="S2176" i="1"/>
  <c r="AG2175" i="1"/>
  <c r="Z2175" i="1"/>
  <c r="V2175" i="1"/>
  <c r="L2175" i="1"/>
  <c r="J2175" i="1" s="1"/>
  <c r="AG2174" i="1"/>
  <c r="Z2174" i="1"/>
  <c r="AG2173" i="1"/>
  <c r="Z2173" i="1"/>
  <c r="AG2172" i="1"/>
  <c r="Z2172" i="1"/>
  <c r="AG2171" i="1"/>
  <c r="Z2171" i="1"/>
  <c r="A2171" i="1"/>
  <c r="A2172" i="1" s="1"/>
  <c r="A2173" i="1" s="1"/>
  <c r="A2174" i="1" s="1"/>
  <c r="A2175" i="1" s="1"/>
  <c r="A2176" i="1" s="1"/>
  <c r="A2177" i="1" s="1"/>
  <c r="A2178" i="1" s="1"/>
  <c r="A2179" i="1" s="1"/>
  <c r="A2180" i="1" s="1"/>
  <c r="A2181" i="1" s="1"/>
  <c r="A2182" i="1" s="1"/>
  <c r="A2183" i="1" s="1"/>
  <c r="A2184" i="1" s="1"/>
  <c r="A2185" i="1" s="1"/>
  <c r="A2186" i="1" s="1"/>
  <c r="A2187" i="1" s="1"/>
  <c r="A2188" i="1" s="1"/>
  <c r="A2189" i="1" s="1"/>
  <c r="A2190" i="1" s="1"/>
  <c r="A2191" i="1" s="1"/>
  <c r="A2192" i="1" s="1"/>
  <c r="A2193" i="1" s="1"/>
  <c r="A2194" i="1" s="1"/>
  <c r="A2195" i="1" s="1"/>
  <c r="A2196" i="1" s="1"/>
  <c r="A2197" i="1" s="1"/>
  <c r="A2198" i="1" s="1"/>
  <c r="A2199" i="1" s="1"/>
  <c r="A2200" i="1" s="1"/>
  <c r="A2201" i="1" s="1"/>
  <c r="A2202" i="1" s="1"/>
  <c r="A2203" i="1" s="1"/>
  <c r="A2204" i="1" s="1"/>
  <c r="A2205" i="1" s="1"/>
  <c r="A2206" i="1" s="1"/>
  <c r="A2207" i="1" s="1"/>
  <c r="A2208" i="1" s="1"/>
  <c r="A2209" i="1" s="1"/>
  <c r="A2210" i="1" s="1"/>
  <c r="A2211" i="1" s="1"/>
  <c r="A2212" i="1" s="1"/>
  <c r="A2213" i="1" s="1"/>
  <c r="A2214" i="1" s="1"/>
  <c r="A2215" i="1" s="1"/>
  <c r="A2216" i="1" s="1"/>
  <c r="A2217" i="1" s="1"/>
  <c r="A2218" i="1" s="1"/>
  <c r="A2219" i="1" s="1"/>
  <c r="A2220" i="1" s="1"/>
  <c r="A2221" i="1" s="1"/>
  <c r="A2222" i="1" s="1"/>
  <c r="A2223" i="1" s="1"/>
  <c r="A2224" i="1" s="1"/>
  <c r="A2225" i="1" s="1"/>
  <c r="A2226" i="1" s="1"/>
  <c r="A2227" i="1" s="1"/>
  <c r="A2228" i="1" s="1"/>
  <c r="A2229" i="1" s="1"/>
  <c r="A2230" i="1" s="1"/>
  <c r="A2231" i="1" s="1"/>
  <c r="A2232" i="1" s="1"/>
  <c r="A2233" i="1" s="1"/>
  <c r="A2234" i="1" s="1"/>
  <c r="A2235" i="1" s="1"/>
  <c r="A2236" i="1" s="1"/>
  <c r="A2237" i="1" s="1"/>
  <c r="A2238" i="1" s="1"/>
  <c r="A2239" i="1" s="1"/>
  <c r="A2240" i="1" s="1"/>
  <c r="A2241" i="1" s="1"/>
  <c r="A2242" i="1" s="1"/>
  <c r="A2243" i="1" s="1"/>
  <c r="A2244" i="1" s="1"/>
  <c r="A2245" i="1" s="1"/>
  <c r="A2246" i="1" s="1"/>
  <c r="A2247" i="1" s="1"/>
  <c r="A2248" i="1" s="1"/>
  <c r="A2249" i="1" s="1"/>
  <c r="A2250" i="1" s="1"/>
  <c r="A2251" i="1" s="1"/>
  <c r="A2252" i="1" s="1"/>
  <c r="A2253" i="1" s="1"/>
  <c r="A2254" i="1" s="1"/>
  <c r="A2255" i="1" s="1"/>
  <c r="A2256" i="1" s="1"/>
  <c r="A2257" i="1" s="1"/>
  <c r="A2258" i="1" s="1"/>
  <c r="A2259" i="1" s="1"/>
  <c r="A2260" i="1" s="1"/>
  <c r="A2261" i="1" s="1"/>
  <c r="A2262" i="1" s="1"/>
  <c r="A2263" i="1" s="1"/>
  <c r="A2264" i="1" s="1"/>
  <c r="A2265" i="1" s="1"/>
  <c r="A2266" i="1" s="1"/>
  <c r="A2267" i="1" s="1"/>
  <c r="A2268" i="1" s="1"/>
  <c r="A2269" i="1" s="1"/>
  <c r="A2270" i="1" s="1"/>
  <c r="A2271" i="1" s="1"/>
  <c r="A2272" i="1" s="1"/>
  <c r="A2273" i="1" s="1"/>
  <c r="A2274" i="1" s="1"/>
  <c r="A2275" i="1" s="1"/>
  <c r="A2276" i="1" s="1"/>
  <c r="A2277" i="1" s="1"/>
  <c r="A2278" i="1" s="1"/>
  <c r="A2279" i="1" s="1"/>
  <c r="A2280" i="1" s="1"/>
  <c r="A2281" i="1" s="1"/>
  <c r="A2282" i="1" s="1"/>
  <c r="A2283" i="1" s="1"/>
  <c r="A2284" i="1" s="1"/>
  <c r="A2285" i="1" s="1"/>
  <c r="A2286" i="1" s="1"/>
  <c r="A2287" i="1" s="1"/>
  <c r="A2288" i="1" s="1"/>
  <c r="A2289" i="1" s="1"/>
  <c r="A2290" i="1" s="1"/>
  <c r="A2291" i="1" s="1"/>
  <c r="A2292" i="1" s="1"/>
  <c r="A2293" i="1" s="1"/>
  <c r="A2294" i="1" s="1"/>
  <c r="A2295" i="1" s="1"/>
  <c r="A2296" i="1" s="1"/>
  <c r="A2297" i="1" s="1"/>
  <c r="A2298" i="1" s="1"/>
  <c r="A2299" i="1" s="1"/>
  <c r="A2300" i="1" s="1"/>
  <c r="A2301" i="1" s="1"/>
  <c r="A2302" i="1" s="1"/>
  <c r="A2303" i="1" s="1"/>
  <c r="A2304" i="1" s="1"/>
  <c r="A2305" i="1" s="1"/>
  <c r="A2306" i="1" s="1"/>
  <c r="A2307" i="1" s="1"/>
  <c r="A2308" i="1" s="1"/>
  <c r="A2309" i="1" s="1"/>
  <c r="A2310" i="1" s="1"/>
  <c r="A2311" i="1" s="1"/>
  <c r="A2312" i="1" s="1"/>
  <c r="A2313" i="1" s="1"/>
  <c r="A2314" i="1" s="1"/>
  <c r="A2315" i="1" s="1"/>
  <c r="A2316" i="1" s="1"/>
  <c r="A2317" i="1" s="1"/>
  <c r="A2318" i="1" s="1"/>
  <c r="A2319" i="1" s="1"/>
  <c r="A2320" i="1" s="1"/>
  <c r="A2321" i="1" s="1"/>
  <c r="A2322" i="1" s="1"/>
  <c r="A2323" i="1" s="1"/>
  <c r="A2324" i="1" s="1"/>
  <c r="A2325" i="1" s="1"/>
  <c r="A2326" i="1" s="1"/>
  <c r="A2327" i="1" s="1"/>
  <c r="A2328" i="1" s="1"/>
  <c r="A2329" i="1" s="1"/>
  <c r="A2330" i="1" s="1"/>
  <c r="A2331" i="1" s="1"/>
  <c r="A2332" i="1" s="1"/>
  <c r="A2333" i="1" s="1"/>
  <c r="A2334" i="1" s="1"/>
  <c r="A2335" i="1" s="1"/>
  <c r="A2336" i="1" s="1"/>
  <c r="A2337" i="1" s="1"/>
  <c r="A2338" i="1" s="1"/>
  <c r="A2339" i="1" s="1"/>
  <c r="A2340" i="1" s="1"/>
  <c r="A2341" i="1" s="1"/>
  <c r="A2342" i="1" s="1"/>
  <c r="A2343" i="1" s="1"/>
  <c r="A2344" i="1" s="1"/>
  <c r="A2345" i="1" s="1"/>
  <c r="A2346" i="1" s="1"/>
  <c r="A2347" i="1" s="1"/>
  <c r="A2348" i="1" s="1"/>
  <c r="A2349" i="1" s="1"/>
  <c r="A2350" i="1" s="1"/>
  <c r="A2351" i="1" s="1"/>
  <c r="A2352" i="1" s="1"/>
  <c r="A2353" i="1" s="1"/>
  <c r="A2354" i="1" s="1"/>
  <c r="A2355" i="1" s="1"/>
  <c r="A2356" i="1" s="1"/>
  <c r="A2357" i="1" s="1"/>
  <c r="A2358" i="1" s="1"/>
  <c r="A2359" i="1" s="1"/>
  <c r="A2360" i="1" s="1"/>
  <c r="A2361" i="1" s="1"/>
  <c r="A2362" i="1" s="1"/>
  <c r="A2363" i="1" s="1"/>
  <c r="A2364" i="1" s="1"/>
  <c r="A2365" i="1" s="1"/>
  <c r="A2366" i="1" s="1"/>
  <c r="A2367" i="1" s="1"/>
  <c r="A2368" i="1" s="1"/>
  <c r="A2369" i="1" s="1"/>
  <c r="A2370" i="1" s="1"/>
  <c r="A2371" i="1" s="1"/>
  <c r="A2372" i="1" s="1"/>
  <c r="A2373" i="1" s="1"/>
  <c r="A2374" i="1" s="1"/>
  <c r="A2375" i="1" s="1"/>
  <c r="A2376" i="1" s="1"/>
  <c r="A2377" i="1" s="1"/>
  <c r="A2378" i="1" s="1"/>
  <c r="A2379" i="1" s="1"/>
  <c r="A2380" i="1" s="1"/>
  <c r="A2381" i="1" s="1"/>
  <c r="A2382" i="1" s="1"/>
  <c r="A2383" i="1" s="1"/>
  <c r="A2384" i="1" s="1"/>
  <c r="A2385" i="1" s="1"/>
  <c r="A2386" i="1" s="1"/>
  <c r="A2387" i="1" s="1"/>
  <c r="A2388" i="1" s="1"/>
  <c r="A2389" i="1" s="1"/>
  <c r="A2390" i="1" s="1"/>
  <c r="A2391" i="1" s="1"/>
  <c r="A2392" i="1" s="1"/>
  <c r="A2393" i="1" s="1"/>
  <c r="A2394" i="1" s="1"/>
  <c r="A2395" i="1" s="1"/>
  <c r="A2396" i="1" s="1"/>
  <c r="A2397" i="1" s="1"/>
  <c r="A2398" i="1" s="1"/>
  <c r="A2399" i="1" s="1"/>
  <c r="A2400" i="1" s="1"/>
  <c r="A2401" i="1" s="1"/>
  <c r="A2402" i="1" s="1"/>
  <c r="A2403" i="1" s="1"/>
  <c r="A2404" i="1" s="1"/>
  <c r="A2405" i="1" s="1"/>
  <c r="A2406" i="1" s="1"/>
  <c r="A2407" i="1" s="1"/>
  <c r="A2408" i="1" s="1"/>
  <c r="A2409" i="1" s="1"/>
  <c r="A2410" i="1" s="1"/>
  <c r="A2411" i="1" s="1"/>
  <c r="A2412" i="1" s="1"/>
  <c r="A2413" i="1" s="1"/>
  <c r="A2414" i="1" s="1"/>
  <c r="A2415" i="1" s="1"/>
  <c r="A2416" i="1" s="1"/>
  <c r="A2417" i="1" s="1"/>
  <c r="A2418" i="1" s="1"/>
  <c r="A2419" i="1" s="1"/>
  <c r="A2420" i="1" s="1"/>
  <c r="A2421" i="1" s="1"/>
  <c r="A2422" i="1" s="1"/>
  <c r="A2423" i="1" s="1"/>
  <c r="A2424" i="1" s="1"/>
  <c r="A2425" i="1" s="1"/>
  <c r="A2426" i="1" s="1"/>
  <c r="A2427" i="1" s="1"/>
  <c r="A2428" i="1" s="1"/>
  <c r="A2429" i="1" s="1"/>
  <c r="A2430" i="1" s="1"/>
  <c r="A2431" i="1" s="1"/>
  <c r="A2432" i="1" s="1"/>
  <c r="A2433" i="1" s="1"/>
  <c r="A2434" i="1" s="1"/>
  <c r="A2435" i="1" s="1"/>
  <c r="A2436" i="1" s="1"/>
  <c r="A2437" i="1" s="1"/>
  <c r="A2438" i="1" s="1"/>
  <c r="A2439" i="1" s="1"/>
  <c r="A2440" i="1" s="1"/>
  <c r="A2441" i="1" s="1"/>
  <c r="A2442" i="1" s="1"/>
  <c r="A2443" i="1" s="1"/>
  <c r="A2444" i="1" s="1"/>
  <c r="A2445" i="1" s="1"/>
  <c r="A2446" i="1" s="1"/>
  <c r="A2447" i="1" s="1"/>
  <c r="A2448" i="1" s="1"/>
  <c r="A2449" i="1" s="1"/>
  <c r="A2450" i="1" s="1"/>
  <c r="A2451" i="1" s="1"/>
  <c r="A2452" i="1" s="1"/>
  <c r="A2453" i="1" s="1"/>
  <c r="A2454" i="1" s="1"/>
  <c r="A2455" i="1" s="1"/>
  <c r="A2456" i="1" s="1"/>
  <c r="A2457" i="1" s="1"/>
  <c r="A2458" i="1" s="1"/>
  <c r="A2459" i="1" s="1"/>
  <c r="A2460" i="1" s="1"/>
  <c r="A2461" i="1" s="1"/>
  <c r="A2462" i="1" s="1"/>
  <c r="A2463" i="1" s="1"/>
  <c r="A2464" i="1" s="1"/>
  <c r="A2465" i="1" s="1"/>
  <c r="A2466" i="1" s="1"/>
  <c r="A2467" i="1" s="1"/>
  <c r="A2468" i="1" s="1"/>
  <c r="A2469" i="1" s="1"/>
  <c r="A2470" i="1" s="1"/>
  <c r="A2471" i="1" s="1"/>
  <c r="A2472" i="1" s="1"/>
  <c r="A2473" i="1" s="1"/>
  <c r="A2474" i="1" s="1"/>
  <c r="A2475" i="1" s="1"/>
  <c r="A2476" i="1" s="1"/>
  <c r="A2477" i="1" s="1"/>
  <c r="A2478" i="1" s="1"/>
  <c r="A2479" i="1" s="1"/>
  <c r="A2480" i="1" s="1"/>
  <c r="A2481" i="1" s="1"/>
  <c r="A2482" i="1" s="1"/>
  <c r="A2483" i="1" s="1"/>
  <c r="A2484" i="1" s="1"/>
  <c r="A2485" i="1" s="1"/>
  <c r="A2486" i="1" s="1"/>
  <c r="A2487" i="1" s="1"/>
  <c r="A2488" i="1" s="1"/>
  <c r="A2489" i="1" s="1"/>
  <c r="A2490" i="1" s="1"/>
  <c r="A2491" i="1" s="1"/>
  <c r="A2492" i="1" s="1"/>
  <c r="A2493" i="1" s="1"/>
  <c r="A2494" i="1" s="1"/>
  <c r="A2495" i="1" s="1"/>
  <c r="A2496" i="1" s="1"/>
  <c r="A2497" i="1" s="1"/>
  <c r="A2498" i="1" s="1"/>
  <c r="A2499" i="1" s="1"/>
  <c r="A2500" i="1" s="1"/>
  <c r="A2501" i="1" s="1"/>
  <c r="A2502" i="1" s="1"/>
  <c r="A2503" i="1" s="1"/>
  <c r="A2504" i="1" s="1"/>
  <c r="A2505" i="1" s="1"/>
  <c r="A2506" i="1" s="1"/>
  <c r="A2507" i="1" s="1"/>
  <c r="A2508" i="1" s="1"/>
  <c r="A2509" i="1" s="1"/>
  <c r="A2510" i="1" s="1"/>
  <c r="A2511" i="1" s="1"/>
  <c r="A2512" i="1" s="1"/>
  <c r="A2513" i="1" s="1"/>
  <c r="A2514" i="1" s="1"/>
  <c r="A2515" i="1" s="1"/>
  <c r="A2516" i="1" s="1"/>
  <c r="A2517" i="1" s="1"/>
  <c r="A2518" i="1" s="1"/>
  <c r="A2519" i="1" s="1"/>
  <c r="A2520" i="1" s="1"/>
  <c r="A2521" i="1" s="1"/>
  <c r="A2522" i="1" s="1"/>
  <c r="A2523" i="1" s="1"/>
  <c r="A2524" i="1" s="1"/>
  <c r="A2525" i="1" s="1"/>
  <c r="A2526" i="1" s="1"/>
  <c r="A2527" i="1" s="1"/>
  <c r="A2528" i="1" s="1"/>
  <c r="A2529" i="1" s="1"/>
  <c r="A2530" i="1" s="1"/>
  <c r="A2531" i="1" s="1"/>
  <c r="A2532" i="1" s="1"/>
  <c r="A2533" i="1" s="1"/>
  <c r="A2534" i="1" s="1"/>
  <c r="A2535" i="1" s="1"/>
  <c r="A2536" i="1" s="1"/>
  <c r="A2537" i="1" s="1"/>
  <c r="A2538" i="1" s="1"/>
  <c r="A2539" i="1" s="1"/>
  <c r="A2540" i="1" s="1"/>
  <c r="A2541" i="1" s="1"/>
  <c r="A2542" i="1" s="1"/>
  <c r="A2543" i="1" s="1"/>
  <c r="A2544" i="1" s="1"/>
  <c r="A2545" i="1" s="1"/>
  <c r="A2546" i="1" s="1"/>
  <c r="A2547" i="1" s="1"/>
  <c r="A2548" i="1" s="1"/>
  <c r="A2549" i="1" s="1"/>
  <c r="A2550" i="1" s="1"/>
  <c r="A2551" i="1" s="1"/>
  <c r="A2552" i="1" s="1"/>
  <c r="A2553" i="1" s="1"/>
  <c r="A2554" i="1" s="1"/>
  <c r="A2555" i="1" s="1"/>
  <c r="A2556" i="1" s="1"/>
  <c r="A2557" i="1" s="1"/>
  <c r="A2558" i="1" s="1"/>
  <c r="A2559" i="1" s="1"/>
  <c r="A2560" i="1" s="1"/>
  <c r="A2561" i="1" s="1"/>
  <c r="A2562" i="1" s="1"/>
  <c r="A2563" i="1" s="1"/>
  <c r="A2564" i="1" s="1"/>
  <c r="A2565" i="1" s="1"/>
  <c r="A2566" i="1" s="1"/>
  <c r="A2567" i="1" s="1"/>
  <c r="A2568" i="1" s="1"/>
  <c r="A2569" i="1" s="1"/>
  <c r="A2570" i="1" s="1"/>
  <c r="A2571" i="1" s="1"/>
  <c r="A2572" i="1" s="1"/>
  <c r="A2573" i="1" s="1"/>
  <c r="A2574" i="1" s="1"/>
  <c r="A2575" i="1" s="1"/>
  <c r="A2576" i="1" s="1"/>
  <c r="A2577" i="1" s="1"/>
  <c r="A2578" i="1" s="1"/>
  <c r="A2579" i="1" s="1"/>
  <c r="A2580" i="1" s="1"/>
  <c r="A2581" i="1" s="1"/>
  <c r="A2582" i="1" s="1"/>
  <c r="A2583" i="1" s="1"/>
  <c r="A2584" i="1" s="1"/>
  <c r="A2585" i="1" s="1"/>
  <c r="A2586" i="1" s="1"/>
  <c r="A2587" i="1" s="1"/>
  <c r="A2588" i="1" s="1"/>
  <c r="A2589" i="1" s="1"/>
  <c r="A2590" i="1" s="1"/>
  <c r="A2591" i="1" s="1"/>
  <c r="A2592" i="1" s="1"/>
  <c r="A2593" i="1" s="1"/>
  <c r="A2594" i="1" s="1"/>
  <c r="A2595" i="1" s="1"/>
  <c r="A2596" i="1" s="1"/>
  <c r="A2597" i="1" s="1"/>
  <c r="A2598" i="1" s="1"/>
  <c r="A2599" i="1" s="1"/>
  <c r="A2600" i="1" s="1"/>
  <c r="A2601" i="1" s="1"/>
  <c r="A2602" i="1" s="1"/>
  <c r="AG2170" i="1"/>
  <c r="Z2170" i="1"/>
  <c r="V2170" i="1"/>
  <c r="S2170" i="1"/>
  <c r="A2170" i="1"/>
  <c r="AG2169" i="1"/>
  <c r="Z2169" i="1"/>
  <c r="V2169" i="1"/>
  <c r="S2169" i="1"/>
  <c r="A2169" i="1"/>
  <c r="AG2168" i="1"/>
  <c r="Z2168" i="1"/>
  <c r="V2168" i="1"/>
  <c r="S2168" i="1"/>
  <c r="A2168" i="1"/>
  <c r="AG2167" i="1"/>
  <c r="Z2167" i="1"/>
  <c r="V2167" i="1"/>
  <c r="S2167" i="1"/>
  <c r="A2167" i="1"/>
  <c r="AG2166" i="1"/>
  <c r="Z2166" i="1"/>
  <c r="V2166" i="1"/>
  <c r="S2166" i="1"/>
  <c r="A2166" i="1"/>
  <c r="AG2165" i="1"/>
  <c r="Z2165" i="1"/>
  <c r="V2165" i="1"/>
  <c r="S2165" i="1"/>
  <c r="A2165" i="1"/>
  <c r="AG2164" i="1"/>
  <c r="Z2164" i="1"/>
  <c r="V2164" i="1"/>
  <c r="S2164" i="1"/>
  <c r="A2164" i="1"/>
  <c r="AG2163" i="1"/>
  <c r="Z2163" i="1"/>
  <c r="V2163" i="1"/>
  <c r="S2163" i="1"/>
  <c r="A2163" i="1"/>
  <c r="AG2162" i="1"/>
  <c r="Z2162" i="1"/>
  <c r="V2162" i="1"/>
  <c r="S2162" i="1"/>
  <c r="A2162" i="1"/>
  <c r="AG2161" i="1"/>
  <c r="Z2161" i="1"/>
  <c r="V2161" i="1"/>
  <c r="S2161" i="1"/>
  <c r="A2161" i="1"/>
  <c r="AG2160" i="1"/>
  <c r="Z2160" i="1"/>
  <c r="V2160" i="1"/>
  <c r="S2160" i="1"/>
  <c r="A2160" i="1"/>
  <c r="AG2159" i="1"/>
  <c r="Z2159" i="1"/>
  <c r="V2159" i="1"/>
  <c r="S2159" i="1"/>
  <c r="A2159" i="1"/>
  <c r="AG2158" i="1"/>
  <c r="Z2158" i="1"/>
  <c r="V2158" i="1"/>
  <c r="S2158" i="1"/>
  <c r="A2158" i="1"/>
  <c r="AG2157" i="1"/>
  <c r="Z2157" i="1"/>
  <c r="V2157" i="1"/>
  <c r="S2157" i="1"/>
  <c r="A2157" i="1"/>
  <c r="AG2156" i="1"/>
  <c r="Z2156" i="1"/>
  <c r="V2156" i="1"/>
  <c r="S2156" i="1"/>
  <c r="A2156" i="1"/>
  <c r="AG2155" i="1"/>
  <c r="Z2155" i="1"/>
  <c r="V2155" i="1"/>
  <c r="S2155" i="1"/>
  <c r="A2155" i="1"/>
  <c r="AG2154" i="1"/>
  <c r="Z2154" i="1"/>
  <c r="V2154" i="1"/>
  <c r="S2154" i="1"/>
  <c r="A2154" i="1"/>
  <c r="AG2153" i="1"/>
  <c r="Z2153" i="1"/>
  <c r="V2153" i="1"/>
  <c r="S2153" i="1"/>
  <c r="A2153" i="1"/>
  <c r="AG2152" i="1"/>
  <c r="Z2152" i="1"/>
  <c r="V2152" i="1"/>
  <c r="S2152" i="1"/>
  <c r="A2152" i="1"/>
  <c r="AG2151" i="1"/>
  <c r="Z2151" i="1"/>
  <c r="V2151" i="1"/>
  <c r="S2151" i="1"/>
  <c r="A2151" i="1"/>
  <c r="AG2150" i="1"/>
  <c r="Z2150" i="1"/>
  <c r="V2150" i="1"/>
  <c r="L2150" i="1"/>
  <c r="J2150" i="1" s="1"/>
  <c r="A2150" i="1"/>
  <c r="AG2149" i="1"/>
  <c r="Z2149" i="1"/>
  <c r="A2149" i="1"/>
  <c r="AG2148" i="1"/>
  <c r="Z2148" i="1"/>
  <c r="A2148" i="1"/>
  <c r="AG2147" i="1"/>
  <c r="Z2147" i="1"/>
  <c r="A2147" i="1"/>
  <c r="AG2146" i="1"/>
  <c r="Z2146" i="1"/>
  <c r="A2146" i="1"/>
  <c r="AG2145" i="1"/>
  <c r="Z2145" i="1"/>
  <c r="V2145" i="1"/>
  <c r="S2145" i="1"/>
  <c r="A2145" i="1"/>
  <c r="AG2144" i="1"/>
  <c r="Z2144" i="1"/>
  <c r="V2144" i="1"/>
  <c r="S2144" i="1"/>
  <c r="A2144" i="1"/>
  <c r="AG2143" i="1"/>
  <c r="Z2143" i="1"/>
  <c r="V2143" i="1"/>
  <c r="S2143" i="1"/>
  <c r="A2143" i="1"/>
  <c r="AG2142" i="1"/>
  <c r="Z2142" i="1"/>
  <c r="V2142" i="1"/>
  <c r="S2142" i="1"/>
  <c r="A2142" i="1"/>
  <c r="AG2141" i="1"/>
  <c r="Z2141" i="1"/>
  <c r="V2141" i="1"/>
  <c r="S2141" i="1"/>
  <c r="A2141" i="1"/>
  <c r="AG2140" i="1"/>
  <c r="Z2140" i="1"/>
  <c r="V2140" i="1"/>
  <c r="S2140" i="1"/>
  <c r="A2140" i="1"/>
  <c r="AG2139" i="1"/>
  <c r="Z2139" i="1"/>
  <c r="V2139" i="1"/>
  <c r="S2139" i="1"/>
  <c r="A2139" i="1"/>
  <c r="AG2138" i="1"/>
  <c r="Z2138" i="1"/>
  <c r="V2138" i="1"/>
  <c r="S2138" i="1"/>
  <c r="A2138" i="1"/>
  <c r="AG2137" i="1"/>
  <c r="Z2137" i="1"/>
  <c r="V2137" i="1"/>
  <c r="S2137" i="1"/>
  <c r="A2137" i="1"/>
  <c r="AG2136" i="1"/>
  <c r="Z2136" i="1"/>
  <c r="V2136" i="1"/>
  <c r="S2136" i="1"/>
  <c r="A2136" i="1"/>
  <c r="AG2135" i="1"/>
  <c r="Z2135" i="1"/>
  <c r="V2135" i="1"/>
  <c r="S2135" i="1"/>
  <c r="A2135" i="1"/>
  <c r="AG2134" i="1"/>
  <c r="Z2134" i="1"/>
  <c r="V2134" i="1"/>
  <c r="S2134" i="1"/>
  <c r="A2134" i="1"/>
  <c r="AG2133" i="1"/>
  <c r="Z2133" i="1"/>
  <c r="V2133" i="1"/>
  <c r="S2133" i="1"/>
  <c r="A2133" i="1"/>
  <c r="AG2132" i="1"/>
  <c r="Z2132" i="1"/>
  <c r="V2132" i="1"/>
  <c r="S2132" i="1"/>
  <c r="A2132" i="1"/>
  <c r="AG2131" i="1"/>
  <c r="Z2131" i="1"/>
  <c r="V2131" i="1"/>
  <c r="S2131" i="1"/>
  <c r="A2131" i="1"/>
  <c r="AG2130" i="1"/>
  <c r="Z2130" i="1"/>
  <c r="V2130" i="1"/>
  <c r="S2130" i="1"/>
  <c r="A2130" i="1"/>
  <c r="AG2129" i="1"/>
  <c r="Z2129" i="1"/>
  <c r="V2129" i="1"/>
  <c r="S2129" i="1"/>
  <c r="A2129" i="1"/>
  <c r="AG2128" i="1"/>
  <c r="Z2128" i="1"/>
  <c r="V2128" i="1"/>
  <c r="S2128" i="1"/>
  <c r="A2128" i="1"/>
  <c r="AG2127" i="1"/>
  <c r="Z2127" i="1"/>
  <c r="V2127" i="1"/>
  <c r="S2127" i="1"/>
  <c r="A2127" i="1"/>
  <c r="AG2126" i="1"/>
  <c r="Z2126" i="1"/>
  <c r="V2126" i="1"/>
  <c r="S2126" i="1"/>
  <c r="A2126" i="1"/>
  <c r="AG2125" i="1"/>
  <c r="Z2125" i="1"/>
  <c r="V2125" i="1"/>
  <c r="L2125" i="1"/>
  <c r="J2125" i="1" s="1"/>
  <c r="A2125" i="1"/>
  <c r="AG2124" i="1"/>
  <c r="Z2124" i="1"/>
  <c r="A2124" i="1"/>
  <c r="AG2123" i="1"/>
  <c r="Z2123" i="1"/>
  <c r="A2123" i="1"/>
  <c r="AG2122" i="1"/>
  <c r="Z2122" i="1"/>
  <c r="A2122" i="1"/>
  <c r="A2121" i="1"/>
  <c r="A2120" i="1"/>
  <c r="AG2119" i="1"/>
  <c r="Z2119" i="1"/>
  <c r="A2119" i="1"/>
  <c r="N2118" i="1"/>
  <c r="A2118" i="1"/>
  <c r="AN2117" i="1"/>
  <c r="D2117" i="1"/>
  <c r="A2117" i="1"/>
  <c r="A2116" i="1"/>
  <c r="AK2115" i="1"/>
  <c r="AJ2115" i="1"/>
  <c r="AG2115" i="1"/>
  <c r="AC2115" i="1"/>
  <c r="AB2115" i="1" s="1"/>
  <c r="Z2115" i="1"/>
  <c r="V2115" i="1"/>
  <c r="W2115" i="1" s="1"/>
  <c r="K2115" i="1"/>
  <c r="J2115" i="1"/>
  <c r="A2115" i="1"/>
  <c r="AK2114" i="1"/>
  <c r="AJ2114" i="1"/>
  <c r="AG2114" i="1"/>
  <c r="AC2114" i="1"/>
  <c r="AB2114" i="1" s="1"/>
  <c r="Z2114" i="1"/>
  <c r="V2114" i="1"/>
  <c r="W2114" i="1" s="1"/>
  <c r="K2114" i="1"/>
  <c r="J2114" i="1"/>
  <c r="A2114" i="1"/>
  <c r="AK2113" i="1"/>
  <c r="AJ2113" i="1"/>
  <c r="AG2113" i="1"/>
  <c r="AC2113" i="1"/>
  <c r="AB2113" i="1" s="1"/>
  <c r="Z2113" i="1"/>
  <c r="V2113" i="1"/>
  <c r="W2113" i="1" s="1"/>
  <c r="K2113" i="1"/>
  <c r="J2113" i="1"/>
  <c r="A2113" i="1"/>
  <c r="AK2112" i="1"/>
  <c r="AJ2112" i="1"/>
  <c r="AG2112" i="1"/>
  <c r="AC2112" i="1"/>
  <c r="AB2112" i="1" s="1"/>
  <c r="Z2112" i="1"/>
  <c r="V2112" i="1"/>
  <c r="W2112" i="1" s="1"/>
  <c r="K2112" i="1"/>
  <c r="J2112" i="1"/>
  <c r="A2112" i="1"/>
  <c r="AK2111" i="1"/>
  <c r="AJ2111" i="1"/>
  <c r="AG2111" i="1"/>
  <c r="AC2111" i="1"/>
  <c r="AB2111" i="1" s="1"/>
  <c r="Z2111" i="1"/>
  <c r="V2111" i="1"/>
  <c r="W2111" i="1" s="1"/>
  <c r="K2111" i="1"/>
  <c r="J2111" i="1"/>
  <c r="A2111" i="1"/>
  <c r="AK2110" i="1"/>
  <c r="AJ2110" i="1"/>
  <c r="AG2110" i="1"/>
  <c r="AC2110" i="1"/>
  <c r="AB2110" i="1" s="1"/>
  <c r="Z2110" i="1"/>
  <c r="V2110" i="1"/>
  <c r="W2110" i="1" s="1"/>
  <c r="K2110" i="1"/>
  <c r="J2110" i="1"/>
  <c r="A2110" i="1"/>
  <c r="AK2109" i="1"/>
  <c r="AJ2109" i="1"/>
  <c r="AG2109" i="1"/>
  <c r="AC2109" i="1"/>
  <c r="AB2109" i="1" s="1"/>
  <c r="Z2109" i="1"/>
  <c r="V2109" i="1"/>
  <c r="W2109" i="1" s="1"/>
  <c r="K2109" i="1"/>
  <c r="J2109" i="1"/>
  <c r="A2109" i="1"/>
  <c r="AJ2108" i="1"/>
  <c r="AI2108" i="1" s="1"/>
  <c r="AG2108" i="1"/>
  <c r="AC2108" i="1"/>
  <c r="AB2108" i="1" s="1"/>
  <c r="Z2108" i="1"/>
  <c r="V2108" i="1"/>
  <c r="W2108" i="1" s="1"/>
  <c r="K2108" i="1"/>
  <c r="J2108" i="1"/>
  <c r="A2108" i="1"/>
  <c r="AJ2107" i="1"/>
  <c r="AI2107" i="1" s="1"/>
  <c r="AG2107" i="1"/>
  <c r="AC2107" i="1"/>
  <c r="AB2107" i="1" s="1"/>
  <c r="Z2107" i="1"/>
  <c r="V2107" i="1"/>
  <c r="W2107" i="1" s="1"/>
  <c r="K2107" i="1"/>
  <c r="J2107" i="1"/>
  <c r="A2107" i="1"/>
  <c r="AJ2106" i="1"/>
  <c r="AI2106" i="1" s="1"/>
  <c r="AG2106" i="1"/>
  <c r="AC2106" i="1"/>
  <c r="AB2106" i="1" s="1"/>
  <c r="Z2106" i="1"/>
  <c r="V2106" i="1"/>
  <c r="W2106" i="1" s="1"/>
  <c r="K2106" i="1"/>
  <c r="J2106" i="1"/>
  <c r="A2106" i="1"/>
  <c r="AJ2105" i="1"/>
  <c r="AI2105" i="1" s="1"/>
  <c r="AG2105" i="1"/>
  <c r="AC2105" i="1"/>
  <c r="AB2105" i="1" s="1"/>
  <c r="Z2105" i="1"/>
  <c r="V2105" i="1"/>
  <c r="W2105" i="1" s="1"/>
  <c r="K2105" i="1"/>
  <c r="J2105" i="1"/>
  <c r="A2105" i="1"/>
  <c r="AJ2104" i="1"/>
  <c r="AI2104" i="1" s="1"/>
  <c r="AG2104" i="1"/>
  <c r="AC2104" i="1"/>
  <c r="AB2104" i="1" s="1"/>
  <c r="Z2104" i="1"/>
  <c r="V2104" i="1"/>
  <c r="W2104" i="1" s="1"/>
  <c r="K2104" i="1"/>
  <c r="J2104" i="1"/>
  <c r="A2104" i="1"/>
  <c r="AJ2103" i="1"/>
  <c r="AI2103" i="1" s="1"/>
  <c r="AG2103" i="1"/>
  <c r="AC2103" i="1"/>
  <c r="AB2103" i="1" s="1"/>
  <c r="Z2103" i="1"/>
  <c r="V2103" i="1"/>
  <c r="W2103" i="1" s="1"/>
  <c r="K2103" i="1"/>
  <c r="J2103" i="1"/>
  <c r="A2103" i="1"/>
  <c r="AJ2102" i="1"/>
  <c r="AI2102" i="1" s="1"/>
  <c r="AG2102" i="1"/>
  <c r="AC2102" i="1"/>
  <c r="AB2102" i="1" s="1"/>
  <c r="Z2102" i="1"/>
  <c r="V2102" i="1"/>
  <c r="W2102" i="1" s="1"/>
  <c r="K2102" i="1"/>
  <c r="J2102" i="1"/>
  <c r="A2102" i="1"/>
  <c r="AJ2101" i="1"/>
  <c r="AI2101" i="1" s="1"/>
  <c r="AG2101" i="1"/>
  <c r="AC2101" i="1"/>
  <c r="AB2101" i="1" s="1"/>
  <c r="Z2101" i="1"/>
  <c r="V2101" i="1"/>
  <c r="W2101" i="1" s="1"/>
  <c r="K2101" i="1"/>
  <c r="J2101" i="1"/>
  <c r="A2101" i="1"/>
  <c r="AG2100" i="1"/>
  <c r="Z2100" i="1"/>
  <c r="K2100" i="1"/>
  <c r="J2100" i="1"/>
  <c r="A2100" i="1"/>
  <c r="AJ2099" i="1"/>
  <c r="AI2099" i="1" s="1"/>
  <c r="AG2099" i="1"/>
  <c r="AC2099" i="1"/>
  <c r="AB2099" i="1" s="1"/>
  <c r="Z2099" i="1"/>
  <c r="V2099" i="1"/>
  <c r="W2099" i="1" s="1"/>
  <c r="K2099" i="1"/>
  <c r="J2099" i="1"/>
  <c r="A2099" i="1"/>
  <c r="AG2098" i="1"/>
  <c r="Z2098" i="1"/>
  <c r="K2098" i="1"/>
  <c r="J2098" i="1"/>
  <c r="A2098" i="1"/>
  <c r="AG2097" i="1"/>
  <c r="Z2097" i="1"/>
  <c r="S2097" i="1"/>
  <c r="K2097" i="1"/>
  <c r="J2097" i="1"/>
  <c r="A2097" i="1"/>
  <c r="Z2096" i="1"/>
  <c r="S2096" i="1"/>
  <c r="AJ2096" i="1" s="1"/>
  <c r="AI2096" i="1" s="1"/>
  <c r="K2096" i="1"/>
  <c r="J2096" i="1"/>
  <c r="A2096" i="1"/>
  <c r="AJ2095" i="1"/>
  <c r="AI2095" i="1" s="1"/>
  <c r="AG2095" i="1"/>
  <c r="AC2095" i="1"/>
  <c r="AB2095" i="1" s="1"/>
  <c r="Z2095" i="1"/>
  <c r="V2095" i="1"/>
  <c r="W2095" i="1" s="1"/>
  <c r="A2095" i="1"/>
  <c r="A2094" i="1"/>
  <c r="A2093" i="1"/>
  <c r="AG2092" i="1"/>
  <c r="Z2092" i="1"/>
  <c r="A2092" i="1"/>
  <c r="N2091" i="1"/>
  <c r="L2091" i="1"/>
  <c r="C2091" i="1"/>
  <c r="A2091" i="1"/>
  <c r="A2090" i="1"/>
  <c r="AK2089" i="1"/>
  <c r="AG2089" i="1"/>
  <c r="Z2089" i="1"/>
  <c r="K2089" i="1"/>
  <c r="J2089" i="1"/>
  <c r="A2089" i="1"/>
  <c r="AK2088" i="1"/>
  <c r="AG2088" i="1"/>
  <c r="Z2088" i="1"/>
  <c r="K2088" i="1"/>
  <c r="J2088" i="1"/>
  <c r="A2088" i="1"/>
  <c r="AK2087" i="1"/>
  <c r="AG2087" i="1"/>
  <c r="Z2087" i="1"/>
  <c r="K2087" i="1"/>
  <c r="J2087" i="1"/>
  <c r="A2087" i="1"/>
  <c r="AK2086" i="1"/>
  <c r="AG2086" i="1"/>
  <c r="Z2086" i="1"/>
  <c r="K2086" i="1"/>
  <c r="J2086" i="1"/>
  <c r="A2086" i="1"/>
  <c r="AK2085" i="1"/>
  <c r="AG2085" i="1"/>
  <c r="Z2085" i="1"/>
  <c r="K2085" i="1"/>
  <c r="J2085" i="1"/>
  <c r="A2085" i="1"/>
  <c r="AK2084" i="1"/>
  <c r="AG2084" i="1"/>
  <c r="Z2084" i="1"/>
  <c r="K2084" i="1"/>
  <c r="J2084" i="1"/>
  <c r="A2084" i="1"/>
  <c r="AK2083" i="1"/>
  <c r="AG2083" i="1"/>
  <c r="Z2083" i="1"/>
  <c r="K2083" i="1"/>
  <c r="J2083" i="1"/>
  <c r="A2083" i="1"/>
  <c r="AK2082" i="1"/>
  <c r="AG2082" i="1"/>
  <c r="Z2082" i="1"/>
  <c r="K2082" i="1"/>
  <c r="J2082" i="1"/>
  <c r="A2082" i="1"/>
  <c r="AG2081" i="1"/>
  <c r="Z2081" i="1"/>
  <c r="K2081" i="1"/>
  <c r="J2081" i="1"/>
  <c r="A2081" i="1"/>
  <c r="AG2080" i="1"/>
  <c r="Z2080" i="1"/>
  <c r="K2080" i="1"/>
  <c r="J2080" i="1"/>
  <c r="A2080" i="1"/>
  <c r="AK2079" i="1"/>
  <c r="AG2079" i="1"/>
  <c r="Z2079" i="1"/>
  <c r="K2079" i="1"/>
  <c r="J2079" i="1"/>
  <c r="A2079" i="1"/>
  <c r="AK2078" i="1"/>
  <c r="AG2078" i="1"/>
  <c r="Z2078" i="1"/>
  <c r="K2078" i="1"/>
  <c r="J2078" i="1"/>
  <c r="A2078" i="1"/>
  <c r="AK2077" i="1"/>
  <c r="AG2077" i="1"/>
  <c r="Z2077" i="1"/>
  <c r="K2077" i="1"/>
  <c r="J2077" i="1"/>
  <c r="A2077" i="1"/>
  <c r="AK2076" i="1"/>
  <c r="AG2076" i="1"/>
  <c r="Z2076" i="1"/>
  <c r="K2076" i="1"/>
  <c r="J2076" i="1"/>
  <c r="A2076" i="1"/>
  <c r="AK2075" i="1"/>
  <c r="AG2075" i="1"/>
  <c r="Z2075" i="1"/>
  <c r="K2075" i="1"/>
  <c r="J2075" i="1"/>
  <c r="A2075" i="1"/>
  <c r="AK2074" i="1"/>
  <c r="AG2074" i="1"/>
  <c r="Z2074" i="1"/>
  <c r="K2074" i="1"/>
  <c r="J2074" i="1"/>
  <c r="A2074" i="1"/>
  <c r="AK2073" i="1"/>
  <c r="AG2073" i="1"/>
  <c r="Z2073" i="1"/>
  <c r="K2073" i="1"/>
  <c r="J2073" i="1"/>
  <c r="A2073" i="1"/>
  <c r="AG2072" i="1"/>
  <c r="Z2072" i="1"/>
  <c r="K2072" i="1"/>
  <c r="J2072" i="1"/>
  <c r="A2072" i="1"/>
  <c r="AG2071" i="1"/>
  <c r="Z2071" i="1"/>
  <c r="K2071" i="1"/>
  <c r="J2071" i="1"/>
  <c r="A2071" i="1"/>
  <c r="AK2070" i="1"/>
  <c r="AG2070" i="1"/>
  <c r="Z2070" i="1"/>
  <c r="K2070" i="1"/>
  <c r="J2070" i="1"/>
  <c r="A2070" i="1"/>
  <c r="AG2069" i="1"/>
  <c r="Z2069" i="1"/>
  <c r="M2069" i="1"/>
  <c r="S2082" i="1" s="1"/>
  <c r="A2069" i="1"/>
  <c r="A2068" i="1"/>
  <c r="N2067" i="1"/>
  <c r="L2067" i="1"/>
  <c r="C2067" i="1"/>
  <c r="A2067" i="1"/>
  <c r="A2066" i="1"/>
  <c r="AK2065" i="1"/>
  <c r="AG2065" i="1"/>
  <c r="Z2065" i="1"/>
  <c r="K2065" i="1"/>
  <c r="J2065" i="1"/>
  <c r="A2065" i="1"/>
  <c r="AK2064" i="1"/>
  <c r="AG2064" i="1"/>
  <c r="Z2064" i="1"/>
  <c r="K2064" i="1"/>
  <c r="J2064" i="1"/>
  <c r="A2064" i="1"/>
  <c r="AK2063" i="1"/>
  <c r="AG2063" i="1"/>
  <c r="Z2063" i="1"/>
  <c r="K2063" i="1"/>
  <c r="J2063" i="1"/>
  <c r="A2063" i="1"/>
  <c r="AK2062" i="1"/>
  <c r="AG2062" i="1"/>
  <c r="Z2062" i="1"/>
  <c r="K2062" i="1"/>
  <c r="J2062" i="1"/>
  <c r="A2062" i="1"/>
  <c r="AK2061" i="1"/>
  <c r="AG2061" i="1"/>
  <c r="Z2061" i="1"/>
  <c r="K2061" i="1"/>
  <c r="J2061" i="1"/>
  <c r="A2061" i="1"/>
  <c r="AK2060" i="1"/>
  <c r="AG2060" i="1"/>
  <c r="Z2060" i="1"/>
  <c r="K2060" i="1"/>
  <c r="J2060" i="1"/>
  <c r="A2060" i="1"/>
  <c r="AK2059" i="1"/>
  <c r="AG2059" i="1"/>
  <c r="Z2059" i="1"/>
  <c r="K2059" i="1"/>
  <c r="J2059" i="1"/>
  <c r="A2059" i="1"/>
  <c r="AK2058" i="1"/>
  <c r="AG2058" i="1"/>
  <c r="Z2058" i="1"/>
  <c r="K2058" i="1"/>
  <c r="J2058" i="1"/>
  <c r="A2058" i="1"/>
  <c r="AG2057" i="1"/>
  <c r="Z2057" i="1"/>
  <c r="K2057" i="1"/>
  <c r="J2057" i="1"/>
  <c r="A2057" i="1"/>
  <c r="AG2056" i="1"/>
  <c r="Z2056" i="1"/>
  <c r="K2056" i="1"/>
  <c r="J2056" i="1"/>
  <c r="A2056" i="1"/>
  <c r="AK2055" i="1"/>
  <c r="AG2055" i="1"/>
  <c r="Z2055" i="1"/>
  <c r="K2055" i="1"/>
  <c r="J2055" i="1"/>
  <c r="A2055" i="1"/>
  <c r="AK2054" i="1"/>
  <c r="AG2054" i="1"/>
  <c r="Z2054" i="1"/>
  <c r="K2054" i="1"/>
  <c r="J2054" i="1"/>
  <c r="A2054" i="1"/>
  <c r="AK2053" i="1"/>
  <c r="AG2053" i="1"/>
  <c r="Z2053" i="1"/>
  <c r="K2053" i="1"/>
  <c r="J2053" i="1"/>
  <c r="A2053" i="1"/>
  <c r="AK2052" i="1"/>
  <c r="AG2052" i="1"/>
  <c r="Z2052" i="1"/>
  <c r="K2052" i="1"/>
  <c r="J2052" i="1"/>
  <c r="A2052" i="1"/>
  <c r="AK2051" i="1"/>
  <c r="AG2051" i="1"/>
  <c r="Z2051" i="1"/>
  <c r="K2051" i="1"/>
  <c r="J2051" i="1"/>
  <c r="A2051" i="1"/>
  <c r="AK2050" i="1"/>
  <c r="AG2050" i="1"/>
  <c r="Z2050" i="1"/>
  <c r="K2050" i="1"/>
  <c r="J2050" i="1"/>
  <c r="A2050" i="1"/>
  <c r="AK2049" i="1"/>
  <c r="AG2049" i="1"/>
  <c r="Z2049" i="1"/>
  <c r="K2049" i="1"/>
  <c r="J2049" i="1"/>
  <c r="A2049" i="1"/>
  <c r="AG2048" i="1"/>
  <c r="Z2048" i="1"/>
  <c r="K2048" i="1"/>
  <c r="J2048" i="1"/>
  <c r="A2048" i="1"/>
  <c r="AG2047" i="1"/>
  <c r="Z2047" i="1"/>
  <c r="K2047" i="1"/>
  <c r="J2047" i="1"/>
  <c r="A2047" i="1"/>
  <c r="AK2046" i="1"/>
  <c r="AG2046" i="1"/>
  <c r="Z2046" i="1"/>
  <c r="K2046" i="1"/>
  <c r="J2046" i="1"/>
  <c r="A2046" i="1"/>
  <c r="AG2045" i="1"/>
  <c r="Z2045" i="1"/>
  <c r="M2045" i="1"/>
  <c r="S2048" i="1" s="1"/>
  <c r="AJ2048" i="1" s="1"/>
  <c r="AI2048" i="1" s="1"/>
  <c r="A2045" i="1"/>
  <c r="A2044" i="1"/>
  <c r="N2043" i="1"/>
  <c r="L2043" i="1"/>
  <c r="C2043" i="1"/>
  <c r="A2043" i="1"/>
  <c r="A2042" i="1"/>
  <c r="AK2041" i="1"/>
  <c r="AG2041" i="1"/>
  <c r="Z2041" i="1"/>
  <c r="K2041" i="1"/>
  <c r="J2041" i="1"/>
  <c r="A2041" i="1"/>
  <c r="AK2040" i="1"/>
  <c r="AG2040" i="1"/>
  <c r="Z2040" i="1"/>
  <c r="K2040" i="1"/>
  <c r="J2040" i="1"/>
  <c r="A2040" i="1"/>
  <c r="AK2039" i="1"/>
  <c r="AG2039" i="1"/>
  <c r="Z2039" i="1"/>
  <c r="K2039" i="1"/>
  <c r="J2039" i="1"/>
  <c r="A2039" i="1"/>
  <c r="AK2038" i="1"/>
  <c r="AG2038" i="1"/>
  <c r="Z2038" i="1"/>
  <c r="K2038" i="1"/>
  <c r="J2038" i="1"/>
  <c r="A2038" i="1"/>
  <c r="AK2037" i="1"/>
  <c r="AG2037" i="1"/>
  <c r="Z2037" i="1"/>
  <c r="K2037" i="1"/>
  <c r="J2037" i="1"/>
  <c r="A2037" i="1"/>
  <c r="AK2036" i="1"/>
  <c r="AG2036" i="1"/>
  <c r="Z2036" i="1"/>
  <c r="K2036" i="1"/>
  <c r="J2036" i="1"/>
  <c r="A2036" i="1"/>
  <c r="AK2035" i="1"/>
  <c r="AG2035" i="1"/>
  <c r="Z2035" i="1"/>
  <c r="K2035" i="1"/>
  <c r="J2035" i="1"/>
  <c r="A2035" i="1"/>
  <c r="AK2034" i="1"/>
  <c r="AG2034" i="1"/>
  <c r="Z2034" i="1"/>
  <c r="K2034" i="1"/>
  <c r="J2034" i="1"/>
  <c r="A2034" i="1"/>
  <c r="AG2033" i="1"/>
  <c r="Z2033" i="1"/>
  <c r="K2033" i="1"/>
  <c r="J2033" i="1"/>
  <c r="A2033" i="1"/>
  <c r="AK2032" i="1"/>
  <c r="AG2032" i="1"/>
  <c r="Z2032" i="1"/>
  <c r="K2032" i="1"/>
  <c r="J2032" i="1"/>
  <c r="A2032" i="1"/>
  <c r="AK2031" i="1"/>
  <c r="AG2031" i="1"/>
  <c r="Z2031" i="1"/>
  <c r="K2031" i="1"/>
  <c r="J2031" i="1"/>
  <c r="A2031" i="1"/>
  <c r="AK2030" i="1"/>
  <c r="AG2030" i="1"/>
  <c r="Z2030" i="1"/>
  <c r="K2030" i="1"/>
  <c r="J2030" i="1"/>
  <c r="A2030" i="1"/>
  <c r="AK2029" i="1"/>
  <c r="AG2029" i="1"/>
  <c r="Z2029" i="1"/>
  <c r="K2029" i="1"/>
  <c r="J2029" i="1"/>
  <c r="A2029" i="1"/>
  <c r="AK2028" i="1"/>
  <c r="AG2028" i="1"/>
  <c r="Z2028" i="1"/>
  <c r="K2028" i="1"/>
  <c r="J2028" i="1"/>
  <c r="A2028" i="1"/>
  <c r="AK2027" i="1"/>
  <c r="AG2027" i="1"/>
  <c r="Z2027" i="1"/>
  <c r="K2027" i="1"/>
  <c r="J2027" i="1"/>
  <c r="A2027" i="1"/>
  <c r="AK2026" i="1"/>
  <c r="AG2026" i="1"/>
  <c r="Z2026" i="1"/>
  <c r="K2026" i="1"/>
  <c r="J2026" i="1"/>
  <c r="A2026" i="1"/>
  <c r="AK2025" i="1"/>
  <c r="AG2025" i="1"/>
  <c r="Z2025" i="1"/>
  <c r="K2025" i="1"/>
  <c r="J2025" i="1"/>
  <c r="A2025" i="1"/>
  <c r="AG2024" i="1"/>
  <c r="Z2024" i="1"/>
  <c r="K2024" i="1"/>
  <c r="J2024" i="1"/>
  <c r="A2024" i="1"/>
  <c r="AK2023" i="1"/>
  <c r="AG2023" i="1"/>
  <c r="Z2023" i="1"/>
  <c r="K2023" i="1"/>
  <c r="J2023" i="1"/>
  <c r="A2023" i="1"/>
  <c r="AG2022" i="1"/>
  <c r="Z2022" i="1"/>
  <c r="K2022" i="1"/>
  <c r="J2022" i="1"/>
  <c r="A2022" i="1"/>
  <c r="AK2021" i="1"/>
  <c r="AG2021" i="1"/>
  <c r="Z2021" i="1"/>
  <c r="M2021" i="1"/>
  <c r="A2021" i="1"/>
  <c r="A2020" i="1"/>
  <c r="N2019" i="1"/>
  <c r="L2019" i="1"/>
  <c r="C2019" i="1"/>
  <c r="A2019" i="1"/>
  <c r="A2018" i="1"/>
  <c r="AK2017" i="1"/>
  <c r="AG2017" i="1"/>
  <c r="Z2017" i="1"/>
  <c r="K2017" i="1"/>
  <c r="J2017" i="1"/>
  <c r="A2017" i="1"/>
  <c r="AK2016" i="1"/>
  <c r="AG2016" i="1"/>
  <c r="Z2016" i="1"/>
  <c r="K2016" i="1"/>
  <c r="J2016" i="1"/>
  <c r="A2016" i="1"/>
  <c r="AK2015" i="1"/>
  <c r="AG2015" i="1"/>
  <c r="Z2015" i="1"/>
  <c r="K2015" i="1"/>
  <c r="J2015" i="1"/>
  <c r="A2015" i="1"/>
  <c r="AK2014" i="1"/>
  <c r="AG2014" i="1"/>
  <c r="Z2014" i="1"/>
  <c r="K2014" i="1"/>
  <c r="J2014" i="1"/>
  <c r="A2014" i="1"/>
  <c r="AK2013" i="1"/>
  <c r="AG2013" i="1"/>
  <c r="Z2013" i="1"/>
  <c r="K2013" i="1"/>
  <c r="J2013" i="1"/>
  <c r="A2013" i="1"/>
  <c r="AK2012" i="1"/>
  <c r="AG2012" i="1"/>
  <c r="Z2012" i="1"/>
  <c r="K2012" i="1"/>
  <c r="J2012" i="1"/>
  <c r="A2012" i="1"/>
  <c r="AK2011" i="1"/>
  <c r="AG2011" i="1"/>
  <c r="Z2011" i="1"/>
  <c r="K2011" i="1"/>
  <c r="J2011" i="1"/>
  <c r="A2011" i="1"/>
  <c r="AK2010" i="1"/>
  <c r="AG2010" i="1"/>
  <c r="Z2010" i="1"/>
  <c r="K2010" i="1"/>
  <c r="J2010" i="1"/>
  <c r="A2010" i="1"/>
  <c r="AG2009" i="1"/>
  <c r="Z2009" i="1"/>
  <c r="K2009" i="1"/>
  <c r="J2009" i="1"/>
  <c r="A2009" i="1"/>
  <c r="AK2008" i="1"/>
  <c r="AG2008" i="1"/>
  <c r="Z2008" i="1"/>
  <c r="K2008" i="1"/>
  <c r="J2008" i="1"/>
  <c r="A2008" i="1"/>
  <c r="AK2007" i="1"/>
  <c r="AG2007" i="1"/>
  <c r="Z2007" i="1"/>
  <c r="K2007" i="1"/>
  <c r="J2007" i="1"/>
  <c r="A2007" i="1"/>
  <c r="AK2006" i="1"/>
  <c r="AG2006" i="1"/>
  <c r="Z2006" i="1"/>
  <c r="K2006" i="1"/>
  <c r="J2006" i="1"/>
  <c r="A2006" i="1"/>
  <c r="AK2005" i="1"/>
  <c r="AG2005" i="1"/>
  <c r="Z2005" i="1"/>
  <c r="K2005" i="1"/>
  <c r="J2005" i="1"/>
  <c r="A2005" i="1"/>
  <c r="AK2004" i="1"/>
  <c r="AG2004" i="1"/>
  <c r="Z2004" i="1"/>
  <c r="K2004" i="1"/>
  <c r="J2004" i="1"/>
  <c r="A2004" i="1"/>
  <c r="AK2003" i="1"/>
  <c r="AG2003" i="1"/>
  <c r="Z2003" i="1"/>
  <c r="K2003" i="1"/>
  <c r="J2003" i="1"/>
  <c r="A2003" i="1"/>
  <c r="AK2002" i="1"/>
  <c r="AG2002" i="1"/>
  <c r="Z2002" i="1"/>
  <c r="K2002" i="1"/>
  <c r="J2002" i="1"/>
  <c r="A2002" i="1"/>
  <c r="AK2001" i="1"/>
  <c r="AG2001" i="1"/>
  <c r="Z2001" i="1"/>
  <c r="K2001" i="1"/>
  <c r="J2001" i="1"/>
  <c r="A2001" i="1"/>
  <c r="AG2000" i="1"/>
  <c r="Z2000" i="1"/>
  <c r="K2000" i="1"/>
  <c r="J2000" i="1"/>
  <c r="A2000" i="1"/>
  <c r="AK1999" i="1"/>
  <c r="AG1999" i="1"/>
  <c r="Z1999" i="1"/>
  <c r="K1999" i="1"/>
  <c r="J1999" i="1"/>
  <c r="A1999" i="1"/>
  <c r="AG1998" i="1"/>
  <c r="Z1998" i="1"/>
  <c r="K1998" i="1"/>
  <c r="J1998" i="1"/>
  <c r="A1998" i="1"/>
  <c r="AK1997" i="1"/>
  <c r="AG1997" i="1"/>
  <c r="Z1997" i="1"/>
  <c r="M1997" i="1"/>
  <c r="S2016" i="1" s="1"/>
  <c r="A1997" i="1"/>
  <c r="A1996" i="1"/>
  <c r="AN1995" i="1"/>
  <c r="D1995" i="1"/>
  <c r="A1995" i="1"/>
  <c r="N1994" i="1"/>
  <c r="L1994" i="1"/>
  <c r="C1994" i="1"/>
  <c r="A1994" i="1"/>
  <c r="A1993" i="1"/>
  <c r="AG1992" i="1"/>
  <c r="Z1992" i="1"/>
  <c r="K1992" i="1"/>
  <c r="J1992" i="1"/>
  <c r="A1992" i="1"/>
  <c r="AG1991" i="1"/>
  <c r="Z1991" i="1"/>
  <c r="K1991" i="1"/>
  <c r="J1991" i="1"/>
  <c r="A1991" i="1"/>
  <c r="AG1990" i="1"/>
  <c r="Z1990" i="1"/>
  <c r="K1990" i="1"/>
  <c r="J1990" i="1"/>
  <c r="A1990" i="1"/>
  <c r="AG1989" i="1"/>
  <c r="Z1989" i="1"/>
  <c r="K1989" i="1"/>
  <c r="J1989" i="1"/>
  <c r="A1989" i="1"/>
  <c r="AG1988" i="1"/>
  <c r="Z1988" i="1"/>
  <c r="K1988" i="1"/>
  <c r="J1988" i="1"/>
  <c r="A1988" i="1"/>
  <c r="AG1987" i="1"/>
  <c r="Z1987" i="1"/>
  <c r="K1987" i="1"/>
  <c r="J1987" i="1"/>
  <c r="A1987" i="1"/>
  <c r="AG1986" i="1"/>
  <c r="Z1986" i="1"/>
  <c r="K1986" i="1"/>
  <c r="J1986" i="1"/>
  <c r="A1986" i="1"/>
  <c r="AG1985" i="1"/>
  <c r="Z1985" i="1"/>
  <c r="K1985" i="1"/>
  <c r="J1985" i="1"/>
  <c r="A1985" i="1"/>
  <c r="AG1984" i="1"/>
  <c r="Z1984" i="1"/>
  <c r="K1984" i="1"/>
  <c r="J1984" i="1"/>
  <c r="A1984" i="1"/>
  <c r="AG1983" i="1"/>
  <c r="Z1983" i="1"/>
  <c r="K1983" i="1"/>
  <c r="J1983" i="1"/>
  <c r="A1983" i="1"/>
  <c r="AG1982" i="1"/>
  <c r="Z1982" i="1"/>
  <c r="K1982" i="1"/>
  <c r="J1982" i="1"/>
  <c r="A1982" i="1"/>
  <c r="AG1981" i="1"/>
  <c r="Z1981" i="1"/>
  <c r="K1981" i="1"/>
  <c r="J1981" i="1"/>
  <c r="A1981" i="1"/>
  <c r="AG1980" i="1"/>
  <c r="Z1980" i="1"/>
  <c r="K1980" i="1"/>
  <c r="J1980" i="1"/>
  <c r="A1980" i="1"/>
  <c r="AG1979" i="1"/>
  <c r="Z1979" i="1"/>
  <c r="K1979" i="1"/>
  <c r="J1979" i="1"/>
  <c r="A1979" i="1"/>
  <c r="AG1978" i="1"/>
  <c r="Z1978" i="1"/>
  <c r="K1978" i="1"/>
  <c r="J1978" i="1"/>
  <c r="A1978" i="1"/>
  <c r="AG1977" i="1"/>
  <c r="Z1977" i="1"/>
  <c r="K1977" i="1"/>
  <c r="J1977" i="1"/>
  <c r="A1977" i="1"/>
  <c r="AG1976" i="1"/>
  <c r="Z1976" i="1"/>
  <c r="K1976" i="1"/>
  <c r="J1976" i="1"/>
  <c r="A1976" i="1"/>
  <c r="AG1975" i="1"/>
  <c r="Z1975" i="1"/>
  <c r="K1975" i="1"/>
  <c r="J1975" i="1"/>
  <c r="A1975" i="1"/>
  <c r="AG1974" i="1"/>
  <c r="Z1974" i="1"/>
  <c r="K1974" i="1"/>
  <c r="J1974" i="1"/>
  <c r="A1974" i="1"/>
  <c r="AG1973" i="1"/>
  <c r="Z1973" i="1"/>
  <c r="K1973" i="1"/>
  <c r="J1973" i="1"/>
  <c r="A1973" i="1"/>
  <c r="AG1972" i="1"/>
  <c r="Z1972" i="1"/>
  <c r="M1972" i="1"/>
  <c r="S1990" i="1" s="1"/>
  <c r="A1972" i="1"/>
  <c r="A1971" i="1"/>
  <c r="N1970" i="1"/>
  <c r="L1970" i="1"/>
  <c r="C1970" i="1"/>
  <c r="D1970" i="1" s="1"/>
  <c r="A1970" i="1"/>
  <c r="A1969" i="1"/>
  <c r="AG1968" i="1"/>
  <c r="Z1968" i="1"/>
  <c r="K1968" i="1"/>
  <c r="J1968" i="1"/>
  <c r="A1968" i="1"/>
  <c r="AG1967" i="1"/>
  <c r="Z1967" i="1"/>
  <c r="K1967" i="1"/>
  <c r="J1967" i="1"/>
  <c r="A1967" i="1"/>
  <c r="AG1966" i="1"/>
  <c r="Z1966" i="1"/>
  <c r="K1966" i="1"/>
  <c r="J1966" i="1"/>
  <c r="A1966" i="1"/>
  <c r="AG1965" i="1"/>
  <c r="Z1965" i="1"/>
  <c r="K1965" i="1"/>
  <c r="J1965" i="1"/>
  <c r="A1965" i="1"/>
  <c r="AG1964" i="1"/>
  <c r="Z1964" i="1"/>
  <c r="K1964" i="1"/>
  <c r="J1964" i="1"/>
  <c r="A1964" i="1"/>
  <c r="AG1963" i="1"/>
  <c r="Z1963" i="1"/>
  <c r="K1963" i="1"/>
  <c r="J1963" i="1"/>
  <c r="A1963" i="1"/>
  <c r="AG1962" i="1"/>
  <c r="Z1962" i="1"/>
  <c r="K1962" i="1"/>
  <c r="J1962" i="1"/>
  <c r="A1962" i="1"/>
  <c r="AG1961" i="1"/>
  <c r="Z1961" i="1"/>
  <c r="K1961" i="1"/>
  <c r="J1961" i="1"/>
  <c r="A1961" i="1"/>
  <c r="AG1960" i="1"/>
  <c r="Z1960" i="1"/>
  <c r="K1960" i="1"/>
  <c r="J1960" i="1"/>
  <c r="A1960" i="1"/>
  <c r="AG1959" i="1"/>
  <c r="Z1959" i="1"/>
  <c r="K1959" i="1"/>
  <c r="J1959" i="1"/>
  <c r="A1959" i="1"/>
  <c r="AG1958" i="1"/>
  <c r="Z1958" i="1"/>
  <c r="K1958" i="1"/>
  <c r="J1958" i="1"/>
  <c r="A1958" i="1"/>
  <c r="AG1957" i="1"/>
  <c r="Z1957" i="1"/>
  <c r="K1957" i="1"/>
  <c r="J1957" i="1"/>
  <c r="A1957" i="1"/>
  <c r="AG1956" i="1"/>
  <c r="Z1956" i="1"/>
  <c r="K1956" i="1"/>
  <c r="J1956" i="1"/>
  <c r="A1956" i="1"/>
  <c r="AG1955" i="1"/>
  <c r="Z1955" i="1"/>
  <c r="K1955" i="1"/>
  <c r="J1955" i="1"/>
  <c r="A1955" i="1"/>
  <c r="AG1954" i="1"/>
  <c r="Z1954" i="1"/>
  <c r="K1954" i="1"/>
  <c r="J1954" i="1"/>
  <c r="A1954" i="1"/>
  <c r="AG1953" i="1"/>
  <c r="Z1953" i="1"/>
  <c r="K1953" i="1"/>
  <c r="J1953" i="1"/>
  <c r="A1953" i="1"/>
  <c r="AG1952" i="1"/>
  <c r="Z1952" i="1"/>
  <c r="K1952" i="1"/>
  <c r="J1952" i="1"/>
  <c r="A1952" i="1"/>
  <c r="AG1951" i="1"/>
  <c r="Z1951" i="1"/>
  <c r="K1951" i="1"/>
  <c r="J1951" i="1"/>
  <c r="A1951" i="1"/>
  <c r="AG1950" i="1"/>
  <c r="Z1950" i="1"/>
  <c r="K1950" i="1"/>
  <c r="J1950" i="1"/>
  <c r="A1950" i="1"/>
  <c r="AG1949" i="1"/>
  <c r="Z1949" i="1"/>
  <c r="K1949" i="1"/>
  <c r="J1949" i="1"/>
  <c r="A1949" i="1"/>
  <c r="AG1948" i="1"/>
  <c r="Z1948" i="1"/>
  <c r="M1948" i="1"/>
  <c r="L1948" i="1" s="1"/>
  <c r="A1948" i="1"/>
  <c r="A1947" i="1"/>
  <c r="N1946" i="1"/>
  <c r="L1946" i="1"/>
  <c r="C1946" i="1"/>
  <c r="D1946" i="1" s="1"/>
  <c r="A1946" i="1"/>
  <c r="A1945" i="1"/>
  <c r="AG1944" i="1"/>
  <c r="Z1944" i="1"/>
  <c r="K1944" i="1"/>
  <c r="J1944" i="1"/>
  <c r="A1944" i="1"/>
  <c r="AG1943" i="1"/>
  <c r="Z1943" i="1"/>
  <c r="K1943" i="1"/>
  <c r="J1943" i="1"/>
  <c r="A1943" i="1"/>
  <c r="AG1942" i="1"/>
  <c r="Z1942" i="1"/>
  <c r="K1942" i="1"/>
  <c r="J1942" i="1"/>
  <c r="A1942" i="1"/>
  <c r="AG1941" i="1"/>
  <c r="Z1941" i="1"/>
  <c r="K1941" i="1"/>
  <c r="J1941" i="1"/>
  <c r="A1941" i="1"/>
  <c r="AG1940" i="1"/>
  <c r="Z1940" i="1"/>
  <c r="K1940" i="1"/>
  <c r="J1940" i="1"/>
  <c r="A1940" i="1"/>
  <c r="AG1939" i="1"/>
  <c r="Z1939" i="1"/>
  <c r="K1939" i="1"/>
  <c r="J1939" i="1"/>
  <c r="A1939" i="1"/>
  <c r="AG1938" i="1"/>
  <c r="Z1938" i="1"/>
  <c r="K1938" i="1"/>
  <c r="J1938" i="1"/>
  <c r="A1938" i="1"/>
  <c r="AG1937" i="1"/>
  <c r="Z1937" i="1"/>
  <c r="K1937" i="1"/>
  <c r="J1937" i="1"/>
  <c r="A1937" i="1"/>
  <c r="AG1936" i="1"/>
  <c r="Z1936" i="1"/>
  <c r="K1936" i="1"/>
  <c r="J1936" i="1"/>
  <c r="A1936" i="1"/>
  <c r="AG1935" i="1"/>
  <c r="Z1935" i="1"/>
  <c r="K1935" i="1"/>
  <c r="J1935" i="1"/>
  <c r="A1935" i="1"/>
  <c r="AG1934" i="1"/>
  <c r="Z1934" i="1"/>
  <c r="K1934" i="1"/>
  <c r="J1934" i="1"/>
  <c r="A1934" i="1"/>
  <c r="AG1933" i="1"/>
  <c r="Z1933" i="1"/>
  <c r="K1933" i="1"/>
  <c r="J1933" i="1"/>
  <c r="A1933" i="1"/>
  <c r="AG1932" i="1"/>
  <c r="Z1932" i="1"/>
  <c r="K1932" i="1"/>
  <c r="J1932" i="1"/>
  <c r="A1932" i="1"/>
  <c r="AG1931" i="1"/>
  <c r="Z1931" i="1"/>
  <c r="K1931" i="1"/>
  <c r="J1931" i="1"/>
  <c r="A1931" i="1"/>
  <c r="AG1930" i="1"/>
  <c r="Z1930" i="1"/>
  <c r="K1930" i="1"/>
  <c r="J1930" i="1"/>
  <c r="A1930" i="1"/>
  <c r="AG1929" i="1"/>
  <c r="Z1929" i="1"/>
  <c r="K1929" i="1"/>
  <c r="J1929" i="1"/>
  <c r="A1929" i="1"/>
  <c r="AG1928" i="1"/>
  <c r="Z1928" i="1"/>
  <c r="K1928" i="1"/>
  <c r="J1928" i="1"/>
  <c r="A1928" i="1"/>
  <c r="AG1927" i="1"/>
  <c r="Z1927" i="1"/>
  <c r="K1927" i="1"/>
  <c r="J1927" i="1"/>
  <c r="A1927" i="1"/>
  <c r="AG1926" i="1"/>
  <c r="Z1926" i="1"/>
  <c r="K1926" i="1"/>
  <c r="J1926" i="1"/>
  <c r="A1926" i="1"/>
  <c r="AG1925" i="1"/>
  <c r="Z1925" i="1"/>
  <c r="K1925" i="1"/>
  <c r="J1925" i="1"/>
  <c r="A1925" i="1"/>
  <c r="AG1924" i="1"/>
  <c r="Z1924" i="1"/>
  <c r="M1924" i="1"/>
  <c r="A1924" i="1"/>
  <c r="A1923" i="1"/>
  <c r="A1898" i="1"/>
  <c r="AN1897" i="1"/>
  <c r="D1897" i="1"/>
  <c r="A1897" i="1"/>
  <c r="N1896" i="1"/>
  <c r="L1896" i="1"/>
  <c r="C1896" i="1"/>
  <c r="A1896" i="1"/>
  <c r="A1895" i="1"/>
  <c r="AK1894" i="1"/>
  <c r="AG1894" i="1"/>
  <c r="Z1894" i="1"/>
  <c r="K1894" i="1"/>
  <c r="J1894" i="1"/>
  <c r="A1894" i="1"/>
  <c r="AK1893" i="1"/>
  <c r="AG1893" i="1"/>
  <c r="Z1893" i="1"/>
  <c r="K1893" i="1"/>
  <c r="J1893" i="1"/>
  <c r="A1893" i="1"/>
  <c r="AK1892" i="1"/>
  <c r="AG1892" i="1"/>
  <c r="Z1892" i="1"/>
  <c r="K1892" i="1"/>
  <c r="J1892" i="1"/>
  <c r="A1892" i="1"/>
  <c r="AK1891" i="1"/>
  <c r="AG1891" i="1"/>
  <c r="Z1891" i="1"/>
  <c r="K1891" i="1"/>
  <c r="J1891" i="1"/>
  <c r="A1891" i="1"/>
  <c r="AK1890" i="1"/>
  <c r="AG1890" i="1"/>
  <c r="Z1890" i="1"/>
  <c r="K1890" i="1"/>
  <c r="J1890" i="1"/>
  <c r="A1890" i="1"/>
  <c r="AK1889" i="1"/>
  <c r="AG1889" i="1"/>
  <c r="Z1889" i="1"/>
  <c r="K1889" i="1"/>
  <c r="J1889" i="1"/>
  <c r="A1889" i="1"/>
  <c r="AK1888" i="1"/>
  <c r="AG1888" i="1"/>
  <c r="Z1888" i="1"/>
  <c r="K1888" i="1"/>
  <c r="J1888" i="1"/>
  <c r="A1888" i="1"/>
  <c r="AK1887" i="1"/>
  <c r="AG1887" i="1"/>
  <c r="Z1887" i="1"/>
  <c r="K1887" i="1"/>
  <c r="J1887" i="1"/>
  <c r="A1887" i="1"/>
  <c r="AK1886" i="1"/>
  <c r="AG1886" i="1"/>
  <c r="Z1886" i="1"/>
  <c r="K1886" i="1"/>
  <c r="J1886" i="1"/>
  <c r="A1886" i="1"/>
  <c r="AG1885" i="1"/>
  <c r="Z1885" i="1"/>
  <c r="K1885" i="1"/>
  <c r="J1885" i="1"/>
  <c r="A1885" i="1"/>
  <c r="AK1884" i="1"/>
  <c r="AG1884" i="1"/>
  <c r="Z1884" i="1"/>
  <c r="K1884" i="1"/>
  <c r="J1884" i="1"/>
  <c r="A1884" i="1"/>
  <c r="AG1883" i="1"/>
  <c r="Z1883" i="1"/>
  <c r="K1883" i="1"/>
  <c r="J1883" i="1"/>
  <c r="A1883" i="1"/>
  <c r="AK1882" i="1"/>
  <c r="AG1882" i="1"/>
  <c r="Z1882" i="1"/>
  <c r="K1882" i="1"/>
  <c r="J1882" i="1"/>
  <c r="A1882" i="1"/>
  <c r="AK1881" i="1"/>
  <c r="AG1881" i="1"/>
  <c r="Z1881" i="1"/>
  <c r="K1881" i="1"/>
  <c r="J1881" i="1"/>
  <c r="A1881" i="1"/>
  <c r="AK1880" i="1"/>
  <c r="AG1880" i="1"/>
  <c r="Z1880" i="1"/>
  <c r="K1880" i="1"/>
  <c r="J1880" i="1"/>
  <c r="A1880" i="1"/>
  <c r="AG1879" i="1"/>
  <c r="Z1879" i="1"/>
  <c r="K1879" i="1"/>
  <c r="J1879" i="1"/>
  <c r="A1879" i="1"/>
  <c r="AK1878" i="1"/>
  <c r="AG1878" i="1"/>
  <c r="Z1878" i="1"/>
  <c r="K1878" i="1"/>
  <c r="J1878" i="1"/>
  <c r="A1878" i="1"/>
  <c r="AG1877" i="1"/>
  <c r="Z1877" i="1"/>
  <c r="K1877" i="1"/>
  <c r="J1877" i="1"/>
  <c r="A1877" i="1"/>
  <c r="AK1876" i="1"/>
  <c r="AG1876" i="1"/>
  <c r="Z1876" i="1"/>
  <c r="K1876" i="1"/>
  <c r="J1876" i="1"/>
  <c r="A1876" i="1"/>
  <c r="AG1875" i="1"/>
  <c r="Z1875" i="1"/>
  <c r="K1875" i="1"/>
  <c r="J1875" i="1"/>
  <c r="A1875" i="1"/>
  <c r="AK1874" i="1"/>
  <c r="M1874" i="1"/>
  <c r="S1880" i="1" s="1"/>
  <c r="AJ1880" i="1" s="1"/>
  <c r="A1874" i="1"/>
  <c r="A1873" i="1"/>
  <c r="N1872" i="1"/>
  <c r="L1872" i="1"/>
  <c r="C1872" i="1"/>
  <c r="A1872" i="1"/>
  <c r="A1871" i="1"/>
  <c r="AK1870" i="1"/>
  <c r="AG1870" i="1"/>
  <c r="Z1870" i="1"/>
  <c r="K1870" i="1"/>
  <c r="J1870" i="1"/>
  <c r="A1870" i="1"/>
  <c r="AK1869" i="1"/>
  <c r="AG1869" i="1"/>
  <c r="Z1869" i="1"/>
  <c r="K1869" i="1"/>
  <c r="J1869" i="1"/>
  <c r="A1869" i="1"/>
  <c r="AK1868" i="1"/>
  <c r="AG1868" i="1"/>
  <c r="Z1868" i="1"/>
  <c r="K1868" i="1"/>
  <c r="J1868" i="1"/>
  <c r="A1868" i="1"/>
  <c r="AK1867" i="1"/>
  <c r="AG1867" i="1"/>
  <c r="Z1867" i="1"/>
  <c r="K1867" i="1"/>
  <c r="J1867" i="1"/>
  <c r="A1867" i="1"/>
  <c r="AK1866" i="1"/>
  <c r="AG1866" i="1"/>
  <c r="Z1866" i="1"/>
  <c r="K1866" i="1"/>
  <c r="J1866" i="1"/>
  <c r="A1866" i="1"/>
  <c r="AK1865" i="1"/>
  <c r="AG1865" i="1"/>
  <c r="Z1865" i="1"/>
  <c r="K1865" i="1"/>
  <c r="J1865" i="1"/>
  <c r="A1865" i="1"/>
  <c r="AK1864" i="1"/>
  <c r="AG1864" i="1"/>
  <c r="Z1864" i="1"/>
  <c r="K1864" i="1"/>
  <c r="J1864" i="1"/>
  <c r="A1864" i="1"/>
  <c r="AK1863" i="1"/>
  <c r="AG1863" i="1"/>
  <c r="Z1863" i="1"/>
  <c r="K1863" i="1"/>
  <c r="J1863" i="1"/>
  <c r="A1863" i="1"/>
  <c r="AG1862" i="1"/>
  <c r="Z1862" i="1"/>
  <c r="K1862" i="1"/>
  <c r="J1862" i="1"/>
  <c r="A1862" i="1"/>
  <c r="AK1861" i="1"/>
  <c r="AG1861" i="1"/>
  <c r="Z1861" i="1"/>
  <c r="K1861" i="1"/>
  <c r="J1861" i="1"/>
  <c r="A1861" i="1"/>
  <c r="AK1860" i="1"/>
  <c r="AG1860" i="1"/>
  <c r="Z1860" i="1"/>
  <c r="K1860" i="1"/>
  <c r="J1860" i="1"/>
  <c r="A1860" i="1"/>
  <c r="AK1859" i="1"/>
  <c r="AG1859" i="1"/>
  <c r="Z1859" i="1"/>
  <c r="K1859" i="1"/>
  <c r="J1859" i="1"/>
  <c r="A1859" i="1"/>
  <c r="AK1858" i="1"/>
  <c r="AG1858" i="1"/>
  <c r="Z1858" i="1"/>
  <c r="K1858" i="1"/>
  <c r="J1858" i="1"/>
  <c r="A1858" i="1"/>
  <c r="AK1857" i="1"/>
  <c r="AG1857" i="1"/>
  <c r="Z1857" i="1"/>
  <c r="K1857" i="1"/>
  <c r="J1857" i="1"/>
  <c r="A1857" i="1"/>
  <c r="AK1856" i="1"/>
  <c r="AG1856" i="1"/>
  <c r="Z1856" i="1"/>
  <c r="K1856" i="1"/>
  <c r="J1856" i="1"/>
  <c r="A1856" i="1"/>
  <c r="AK1855" i="1"/>
  <c r="AG1855" i="1"/>
  <c r="Z1855" i="1"/>
  <c r="K1855" i="1"/>
  <c r="J1855" i="1"/>
  <c r="A1855" i="1"/>
  <c r="AK1854" i="1"/>
  <c r="AG1854" i="1"/>
  <c r="Z1854" i="1"/>
  <c r="K1854" i="1"/>
  <c r="J1854" i="1"/>
  <c r="A1854" i="1"/>
  <c r="AK1853" i="1"/>
  <c r="AG1853" i="1"/>
  <c r="Z1853" i="1"/>
  <c r="K1853" i="1"/>
  <c r="J1853" i="1"/>
  <c r="A1853" i="1"/>
  <c r="AK1852" i="1"/>
  <c r="AG1852" i="1"/>
  <c r="Z1852" i="1"/>
  <c r="K1852" i="1"/>
  <c r="J1852" i="1"/>
  <c r="A1852" i="1"/>
  <c r="AK1851" i="1"/>
  <c r="AG1851" i="1"/>
  <c r="Z1851" i="1"/>
  <c r="K1851" i="1"/>
  <c r="J1851" i="1"/>
  <c r="A1851" i="1"/>
  <c r="AK1850" i="1"/>
  <c r="AG1850" i="1"/>
  <c r="Z1850" i="1"/>
  <c r="M1850" i="1"/>
  <c r="S1856" i="1" s="1"/>
  <c r="A1850" i="1"/>
  <c r="A1849" i="1"/>
  <c r="N1848" i="1"/>
  <c r="L1848" i="1"/>
  <c r="C1848" i="1"/>
  <c r="A1848" i="1"/>
  <c r="A1847" i="1"/>
  <c r="AK1846" i="1"/>
  <c r="AG1846" i="1"/>
  <c r="Z1846" i="1"/>
  <c r="K1846" i="1"/>
  <c r="J1846" i="1"/>
  <c r="A1846" i="1"/>
  <c r="AK1845" i="1"/>
  <c r="AG1845" i="1"/>
  <c r="Z1845" i="1"/>
  <c r="K1845" i="1"/>
  <c r="J1845" i="1"/>
  <c r="A1845" i="1"/>
  <c r="AK1844" i="1"/>
  <c r="AG1844" i="1"/>
  <c r="Z1844" i="1"/>
  <c r="K1844" i="1"/>
  <c r="J1844" i="1"/>
  <c r="A1844" i="1"/>
  <c r="AK1843" i="1"/>
  <c r="AG1843" i="1"/>
  <c r="Z1843" i="1"/>
  <c r="K1843" i="1"/>
  <c r="J1843" i="1"/>
  <c r="A1843" i="1"/>
  <c r="AK1842" i="1"/>
  <c r="AG1842" i="1"/>
  <c r="Z1842" i="1"/>
  <c r="K1842" i="1"/>
  <c r="J1842" i="1"/>
  <c r="A1842" i="1"/>
  <c r="AK1841" i="1"/>
  <c r="AG1841" i="1"/>
  <c r="Z1841" i="1"/>
  <c r="K1841" i="1"/>
  <c r="J1841" i="1"/>
  <c r="A1841" i="1"/>
  <c r="AK1840" i="1"/>
  <c r="AG1840" i="1"/>
  <c r="Z1840" i="1"/>
  <c r="K1840" i="1"/>
  <c r="J1840" i="1"/>
  <c r="A1840" i="1"/>
  <c r="AK1839" i="1"/>
  <c r="AG1839" i="1"/>
  <c r="Z1839" i="1"/>
  <c r="K1839" i="1"/>
  <c r="J1839" i="1"/>
  <c r="A1839" i="1"/>
  <c r="AK1838" i="1"/>
  <c r="AG1838" i="1"/>
  <c r="Z1838" i="1"/>
  <c r="K1838" i="1"/>
  <c r="J1838" i="1"/>
  <c r="A1838" i="1"/>
  <c r="AG1837" i="1"/>
  <c r="Z1837" i="1"/>
  <c r="K1837" i="1"/>
  <c r="J1837" i="1"/>
  <c r="A1837" i="1"/>
  <c r="AK1836" i="1"/>
  <c r="AG1836" i="1"/>
  <c r="Z1836" i="1"/>
  <c r="K1836" i="1"/>
  <c r="J1836" i="1"/>
  <c r="A1836" i="1"/>
  <c r="AG1835" i="1"/>
  <c r="Z1835" i="1"/>
  <c r="K1835" i="1"/>
  <c r="J1835" i="1"/>
  <c r="A1835" i="1"/>
  <c r="AK1834" i="1"/>
  <c r="AG1834" i="1"/>
  <c r="Z1834" i="1"/>
  <c r="K1834" i="1"/>
  <c r="J1834" i="1"/>
  <c r="A1834" i="1"/>
  <c r="AK1833" i="1"/>
  <c r="AG1833" i="1"/>
  <c r="Z1833" i="1"/>
  <c r="K1833" i="1"/>
  <c r="J1833" i="1"/>
  <c r="A1833" i="1"/>
  <c r="AK1832" i="1"/>
  <c r="AG1832" i="1"/>
  <c r="Z1832" i="1"/>
  <c r="K1832" i="1"/>
  <c r="J1832" i="1"/>
  <c r="A1832" i="1"/>
  <c r="AG1831" i="1"/>
  <c r="Z1831" i="1"/>
  <c r="K1831" i="1"/>
  <c r="J1831" i="1"/>
  <c r="A1831" i="1"/>
  <c r="AK1830" i="1"/>
  <c r="AG1830" i="1"/>
  <c r="Z1830" i="1"/>
  <c r="K1830" i="1"/>
  <c r="J1830" i="1"/>
  <c r="A1830" i="1"/>
  <c r="AG1829" i="1"/>
  <c r="Z1829" i="1"/>
  <c r="K1829" i="1"/>
  <c r="J1829" i="1"/>
  <c r="A1829" i="1"/>
  <c r="AK1828" i="1"/>
  <c r="AG1828" i="1"/>
  <c r="Z1828" i="1"/>
  <c r="K1828" i="1"/>
  <c r="J1828" i="1"/>
  <c r="A1828" i="1"/>
  <c r="AG1827" i="1"/>
  <c r="Z1827" i="1"/>
  <c r="K1827" i="1"/>
  <c r="J1827" i="1"/>
  <c r="A1827" i="1"/>
  <c r="AK1826" i="1"/>
  <c r="M1826" i="1"/>
  <c r="S1833" i="1" s="1"/>
  <c r="V1833" i="1" s="1"/>
  <c r="W1833" i="1" s="1"/>
  <c r="A1826" i="1"/>
  <c r="A1825" i="1"/>
  <c r="N1824" i="1"/>
  <c r="L1824" i="1"/>
  <c r="C1824" i="1"/>
  <c r="A1824" i="1"/>
  <c r="A1823" i="1"/>
  <c r="AK1822" i="1"/>
  <c r="AG1822" i="1"/>
  <c r="Z1822" i="1"/>
  <c r="K1822" i="1"/>
  <c r="J1822" i="1"/>
  <c r="A1822" i="1"/>
  <c r="AK1821" i="1"/>
  <c r="AG1821" i="1"/>
  <c r="Z1821" i="1"/>
  <c r="K1821" i="1"/>
  <c r="J1821" i="1"/>
  <c r="A1821" i="1"/>
  <c r="AK1820" i="1"/>
  <c r="AG1820" i="1"/>
  <c r="Z1820" i="1"/>
  <c r="K1820" i="1"/>
  <c r="J1820" i="1"/>
  <c r="A1820" i="1"/>
  <c r="AK1819" i="1"/>
  <c r="AG1819" i="1"/>
  <c r="Z1819" i="1"/>
  <c r="K1819" i="1"/>
  <c r="J1819" i="1"/>
  <c r="A1819" i="1"/>
  <c r="AK1818" i="1"/>
  <c r="AG1818" i="1"/>
  <c r="Z1818" i="1"/>
  <c r="K1818" i="1"/>
  <c r="J1818" i="1"/>
  <c r="A1818" i="1"/>
  <c r="AK1817" i="1"/>
  <c r="AG1817" i="1"/>
  <c r="Z1817" i="1"/>
  <c r="K1817" i="1"/>
  <c r="J1817" i="1"/>
  <c r="A1817" i="1"/>
  <c r="AK1816" i="1"/>
  <c r="AG1816" i="1"/>
  <c r="Z1816" i="1"/>
  <c r="K1816" i="1"/>
  <c r="J1816" i="1"/>
  <c r="A1816" i="1"/>
  <c r="AK1815" i="1"/>
  <c r="AG1815" i="1"/>
  <c r="Z1815" i="1"/>
  <c r="K1815" i="1"/>
  <c r="J1815" i="1"/>
  <c r="A1815" i="1"/>
  <c r="AK1814" i="1"/>
  <c r="AG1814" i="1"/>
  <c r="K1814" i="1"/>
  <c r="J1814" i="1"/>
  <c r="A1814" i="1"/>
  <c r="AG1813" i="1"/>
  <c r="K1813" i="1"/>
  <c r="J1813" i="1"/>
  <c r="A1813" i="1"/>
  <c r="AK1812" i="1"/>
  <c r="AG1812" i="1"/>
  <c r="K1812" i="1"/>
  <c r="J1812" i="1"/>
  <c r="A1812" i="1"/>
  <c r="AG1811" i="1"/>
  <c r="Z1811" i="1"/>
  <c r="K1811" i="1"/>
  <c r="J1811" i="1"/>
  <c r="A1811" i="1"/>
  <c r="AK1810" i="1"/>
  <c r="AG1810" i="1"/>
  <c r="Z1810" i="1"/>
  <c r="K1810" i="1"/>
  <c r="J1810" i="1"/>
  <c r="A1810" i="1"/>
  <c r="AK1809" i="1"/>
  <c r="AG1809" i="1"/>
  <c r="Z1809" i="1"/>
  <c r="K1809" i="1"/>
  <c r="J1809" i="1"/>
  <c r="A1809" i="1"/>
  <c r="AK1808" i="1"/>
  <c r="AG1808" i="1"/>
  <c r="Z1808" i="1"/>
  <c r="K1808" i="1"/>
  <c r="J1808" i="1"/>
  <c r="A1808" i="1"/>
  <c r="AG1807" i="1"/>
  <c r="Z1807" i="1"/>
  <c r="K1807" i="1"/>
  <c r="J1807" i="1"/>
  <c r="A1807" i="1"/>
  <c r="AK1806" i="1"/>
  <c r="AG1806" i="1"/>
  <c r="Z1806" i="1"/>
  <c r="K1806" i="1"/>
  <c r="J1806" i="1"/>
  <c r="A1806" i="1"/>
  <c r="AG1805" i="1"/>
  <c r="Z1805" i="1"/>
  <c r="K1805" i="1"/>
  <c r="J1805" i="1"/>
  <c r="A1805" i="1"/>
  <c r="AK1804" i="1"/>
  <c r="AG1804" i="1"/>
  <c r="Z1804" i="1"/>
  <c r="K1804" i="1"/>
  <c r="J1804" i="1"/>
  <c r="A1804" i="1"/>
  <c r="AG1803" i="1"/>
  <c r="Z1803" i="1"/>
  <c r="K1803" i="1"/>
  <c r="J1803" i="1"/>
  <c r="A1803" i="1"/>
  <c r="AK1802" i="1"/>
  <c r="AG1802" i="1"/>
  <c r="Z1802" i="1"/>
  <c r="M1802" i="1"/>
  <c r="S1816" i="1" s="1"/>
  <c r="A1802" i="1"/>
  <c r="A1801" i="1"/>
  <c r="N1800" i="1"/>
  <c r="L1800" i="1"/>
  <c r="C1800" i="1"/>
  <c r="A1800" i="1"/>
  <c r="A1799" i="1"/>
  <c r="AK1798" i="1"/>
  <c r="AG1798" i="1"/>
  <c r="Z1798" i="1"/>
  <c r="K1798" i="1"/>
  <c r="J1798" i="1"/>
  <c r="A1798" i="1"/>
  <c r="AK1797" i="1"/>
  <c r="AG1797" i="1"/>
  <c r="Z1797" i="1"/>
  <c r="K1797" i="1"/>
  <c r="J1797" i="1"/>
  <c r="A1797" i="1"/>
  <c r="AK1796" i="1"/>
  <c r="AG1796" i="1"/>
  <c r="Z1796" i="1"/>
  <c r="K1796" i="1"/>
  <c r="J1796" i="1"/>
  <c r="A1796" i="1"/>
  <c r="AK1795" i="1"/>
  <c r="AG1795" i="1"/>
  <c r="Z1795" i="1"/>
  <c r="K1795" i="1"/>
  <c r="J1795" i="1"/>
  <c r="A1795" i="1"/>
  <c r="AK1794" i="1"/>
  <c r="AG1794" i="1"/>
  <c r="Z1794" i="1"/>
  <c r="K1794" i="1"/>
  <c r="J1794" i="1"/>
  <c r="A1794" i="1"/>
  <c r="AK1793" i="1"/>
  <c r="AG1793" i="1"/>
  <c r="Z1793" i="1"/>
  <c r="K1793" i="1"/>
  <c r="J1793" i="1"/>
  <c r="A1793" i="1"/>
  <c r="AK1792" i="1"/>
  <c r="AG1792" i="1"/>
  <c r="Z1792" i="1"/>
  <c r="K1792" i="1"/>
  <c r="J1792" i="1"/>
  <c r="A1792" i="1"/>
  <c r="AK1791" i="1"/>
  <c r="AG1791" i="1"/>
  <c r="Z1791" i="1"/>
  <c r="K1791" i="1"/>
  <c r="J1791" i="1"/>
  <c r="A1791" i="1"/>
  <c r="AK1790" i="1"/>
  <c r="AG1790" i="1"/>
  <c r="Z1790" i="1"/>
  <c r="K1790" i="1"/>
  <c r="J1790" i="1"/>
  <c r="A1790" i="1"/>
  <c r="AG1789" i="1"/>
  <c r="Z1789" i="1"/>
  <c r="K1789" i="1"/>
  <c r="J1789" i="1"/>
  <c r="A1789" i="1"/>
  <c r="AK1788" i="1"/>
  <c r="AG1788" i="1"/>
  <c r="Z1788" i="1"/>
  <c r="K1788" i="1"/>
  <c r="J1788" i="1"/>
  <c r="A1788" i="1"/>
  <c r="AG1787" i="1"/>
  <c r="Z1787" i="1"/>
  <c r="K1787" i="1"/>
  <c r="J1787" i="1"/>
  <c r="A1787" i="1"/>
  <c r="AK1786" i="1"/>
  <c r="AG1786" i="1"/>
  <c r="Z1786" i="1"/>
  <c r="K1786" i="1"/>
  <c r="J1786" i="1"/>
  <c r="A1786" i="1"/>
  <c r="AK1785" i="1"/>
  <c r="AG1785" i="1"/>
  <c r="Z1785" i="1"/>
  <c r="K1785" i="1"/>
  <c r="J1785" i="1"/>
  <c r="A1785" i="1"/>
  <c r="AK1784" i="1"/>
  <c r="AG1784" i="1"/>
  <c r="Z1784" i="1"/>
  <c r="K1784" i="1"/>
  <c r="J1784" i="1"/>
  <c r="A1784" i="1"/>
  <c r="AG1783" i="1"/>
  <c r="Z1783" i="1"/>
  <c r="K1783" i="1"/>
  <c r="J1783" i="1"/>
  <c r="A1783" i="1"/>
  <c r="AK1782" i="1"/>
  <c r="AG1782" i="1"/>
  <c r="Z1782" i="1"/>
  <c r="K1782" i="1"/>
  <c r="J1782" i="1"/>
  <c r="A1782" i="1"/>
  <c r="AG1781" i="1"/>
  <c r="Z1781" i="1"/>
  <c r="K1781" i="1"/>
  <c r="J1781" i="1"/>
  <c r="A1781" i="1"/>
  <c r="AK1780" i="1"/>
  <c r="AG1780" i="1"/>
  <c r="Z1780" i="1"/>
  <c r="K1780" i="1"/>
  <c r="J1780" i="1"/>
  <c r="A1780" i="1"/>
  <c r="AG1779" i="1"/>
  <c r="Z1779" i="1"/>
  <c r="K1779" i="1"/>
  <c r="J1779" i="1"/>
  <c r="A1779" i="1"/>
  <c r="AK1778" i="1"/>
  <c r="AG1778" i="1"/>
  <c r="Z1778" i="1"/>
  <c r="M1778" i="1"/>
  <c r="S1798" i="1" s="1"/>
  <c r="AC1798" i="1" s="1"/>
  <c r="AB1798" i="1" s="1"/>
  <c r="A1778" i="1"/>
  <c r="A1777" i="1"/>
  <c r="AN1776" i="1"/>
  <c r="D1776" i="1"/>
  <c r="A1776" i="1"/>
  <c r="N1775" i="1"/>
  <c r="L1775" i="1"/>
  <c r="C1775" i="1"/>
  <c r="D1775" i="1" s="1"/>
  <c r="A1775" i="1"/>
  <c r="A1774" i="1"/>
  <c r="AK1773" i="1"/>
  <c r="AG1773" i="1"/>
  <c r="Z1773" i="1"/>
  <c r="K1773" i="1"/>
  <c r="J1773" i="1"/>
  <c r="A1773" i="1"/>
  <c r="AK1772" i="1"/>
  <c r="AG1772" i="1"/>
  <c r="Z1772" i="1"/>
  <c r="K1772" i="1"/>
  <c r="J1772" i="1"/>
  <c r="A1772" i="1"/>
  <c r="AK1771" i="1"/>
  <c r="AG1771" i="1"/>
  <c r="Z1771" i="1"/>
  <c r="K1771" i="1"/>
  <c r="J1771" i="1"/>
  <c r="A1771" i="1"/>
  <c r="AK1770" i="1"/>
  <c r="AG1770" i="1"/>
  <c r="Z1770" i="1"/>
  <c r="K1770" i="1"/>
  <c r="J1770" i="1"/>
  <c r="A1770" i="1"/>
  <c r="AK1769" i="1"/>
  <c r="AG1769" i="1"/>
  <c r="Z1769" i="1"/>
  <c r="K1769" i="1"/>
  <c r="J1769" i="1"/>
  <c r="A1769" i="1"/>
  <c r="AK1768" i="1"/>
  <c r="AG1768" i="1"/>
  <c r="Z1768" i="1"/>
  <c r="K1768" i="1"/>
  <c r="J1768" i="1"/>
  <c r="A1768" i="1"/>
  <c r="AK1767" i="1"/>
  <c r="AG1767" i="1"/>
  <c r="Z1767" i="1"/>
  <c r="K1767" i="1"/>
  <c r="J1767" i="1"/>
  <c r="A1767" i="1"/>
  <c r="AK1766" i="1"/>
  <c r="AG1766" i="1"/>
  <c r="Z1766" i="1"/>
  <c r="K1766" i="1"/>
  <c r="J1766" i="1"/>
  <c r="A1766" i="1"/>
  <c r="AG1765" i="1"/>
  <c r="Z1765" i="1"/>
  <c r="K1765" i="1"/>
  <c r="J1765" i="1"/>
  <c r="A1765" i="1"/>
  <c r="AG1764" i="1"/>
  <c r="Z1764" i="1"/>
  <c r="K1764" i="1"/>
  <c r="J1764" i="1"/>
  <c r="A1764" i="1"/>
  <c r="AK1763" i="1"/>
  <c r="AG1763" i="1"/>
  <c r="Z1763" i="1"/>
  <c r="K1763" i="1"/>
  <c r="J1763" i="1"/>
  <c r="A1763" i="1"/>
  <c r="AK1762" i="1"/>
  <c r="AG1762" i="1"/>
  <c r="Z1762" i="1"/>
  <c r="K1762" i="1"/>
  <c r="J1762" i="1"/>
  <c r="A1762" i="1"/>
  <c r="AK1761" i="1"/>
  <c r="AG1761" i="1"/>
  <c r="Z1761" i="1"/>
  <c r="K1761" i="1"/>
  <c r="J1761" i="1"/>
  <c r="A1761" i="1"/>
  <c r="AK1760" i="1"/>
  <c r="AG1760" i="1"/>
  <c r="Z1760" i="1"/>
  <c r="K1760" i="1"/>
  <c r="J1760" i="1"/>
  <c r="A1760" i="1"/>
  <c r="AK1759" i="1"/>
  <c r="AG1759" i="1"/>
  <c r="Z1759" i="1"/>
  <c r="K1759" i="1"/>
  <c r="J1759" i="1"/>
  <c r="A1759" i="1"/>
  <c r="AG1758" i="1"/>
  <c r="Z1758" i="1"/>
  <c r="K1758" i="1"/>
  <c r="J1758" i="1"/>
  <c r="A1758" i="1"/>
  <c r="AK1757" i="1"/>
  <c r="AG1757" i="1"/>
  <c r="Z1757" i="1"/>
  <c r="K1757" i="1"/>
  <c r="J1757" i="1"/>
  <c r="A1757" i="1"/>
  <c r="AK1756" i="1"/>
  <c r="AG1756" i="1"/>
  <c r="Z1756" i="1"/>
  <c r="K1756" i="1"/>
  <c r="J1756" i="1"/>
  <c r="A1756" i="1"/>
  <c r="AG1755" i="1"/>
  <c r="Z1755" i="1"/>
  <c r="K1755" i="1"/>
  <c r="J1755" i="1"/>
  <c r="A1755" i="1"/>
  <c r="AK1754" i="1"/>
  <c r="AG1754" i="1"/>
  <c r="Z1754" i="1"/>
  <c r="K1754" i="1"/>
  <c r="J1754" i="1"/>
  <c r="A1754" i="1"/>
  <c r="AK1753" i="1"/>
  <c r="AG1753" i="1"/>
  <c r="Z1753" i="1"/>
  <c r="M1753" i="1"/>
  <c r="S1766" i="1" s="1"/>
  <c r="A1753" i="1"/>
  <c r="A1752" i="1"/>
  <c r="N1751" i="1"/>
  <c r="L1751" i="1"/>
  <c r="C1751" i="1"/>
  <c r="D1751" i="1" s="1"/>
  <c r="A1751" i="1"/>
  <c r="A1750" i="1"/>
  <c r="AK1749" i="1"/>
  <c r="AG1749" i="1"/>
  <c r="Z1749" i="1"/>
  <c r="K1749" i="1"/>
  <c r="J1749" i="1"/>
  <c r="A1749" i="1"/>
  <c r="AK1748" i="1"/>
  <c r="AG1748" i="1"/>
  <c r="Z1748" i="1"/>
  <c r="K1748" i="1"/>
  <c r="J1748" i="1"/>
  <c r="A1748" i="1"/>
  <c r="AK1747" i="1"/>
  <c r="AG1747" i="1"/>
  <c r="Z1747" i="1"/>
  <c r="K1747" i="1"/>
  <c r="J1747" i="1"/>
  <c r="A1747" i="1"/>
  <c r="AK1746" i="1"/>
  <c r="AG1746" i="1"/>
  <c r="Z1746" i="1"/>
  <c r="K1746" i="1"/>
  <c r="J1746" i="1"/>
  <c r="A1746" i="1"/>
  <c r="AK1745" i="1"/>
  <c r="AG1745" i="1"/>
  <c r="Z1745" i="1"/>
  <c r="K1745" i="1"/>
  <c r="J1745" i="1"/>
  <c r="A1745" i="1"/>
  <c r="AK1744" i="1"/>
  <c r="AG1744" i="1"/>
  <c r="Z1744" i="1"/>
  <c r="K1744" i="1"/>
  <c r="J1744" i="1"/>
  <c r="A1744" i="1"/>
  <c r="AK1743" i="1"/>
  <c r="AG1743" i="1"/>
  <c r="Z1743" i="1"/>
  <c r="K1743" i="1"/>
  <c r="J1743" i="1"/>
  <c r="A1743" i="1"/>
  <c r="AK1742" i="1"/>
  <c r="AG1742" i="1"/>
  <c r="Z1742" i="1"/>
  <c r="K1742" i="1"/>
  <c r="J1742" i="1"/>
  <c r="A1742" i="1"/>
  <c r="AG1741" i="1"/>
  <c r="Z1741" i="1"/>
  <c r="K1741" i="1"/>
  <c r="J1741" i="1"/>
  <c r="A1741" i="1"/>
  <c r="AG1740" i="1"/>
  <c r="Z1740" i="1"/>
  <c r="K1740" i="1"/>
  <c r="J1740" i="1"/>
  <c r="A1740" i="1"/>
  <c r="AK1739" i="1"/>
  <c r="AG1739" i="1"/>
  <c r="Z1739" i="1"/>
  <c r="K1739" i="1"/>
  <c r="J1739" i="1"/>
  <c r="A1739" i="1"/>
  <c r="AK1738" i="1"/>
  <c r="AG1738" i="1"/>
  <c r="Z1738" i="1"/>
  <c r="K1738" i="1"/>
  <c r="J1738" i="1"/>
  <c r="A1738" i="1"/>
  <c r="AK1737" i="1"/>
  <c r="AG1737" i="1"/>
  <c r="Z1737" i="1"/>
  <c r="K1737" i="1"/>
  <c r="J1737" i="1"/>
  <c r="A1737" i="1"/>
  <c r="AK1736" i="1"/>
  <c r="AG1736" i="1"/>
  <c r="Z1736" i="1"/>
  <c r="K1736" i="1"/>
  <c r="J1736" i="1"/>
  <c r="A1736" i="1"/>
  <c r="AK1735" i="1"/>
  <c r="AG1735" i="1"/>
  <c r="Z1735" i="1"/>
  <c r="K1735" i="1"/>
  <c r="J1735" i="1"/>
  <c r="A1735" i="1"/>
  <c r="AG1734" i="1"/>
  <c r="Z1734" i="1"/>
  <c r="K1734" i="1"/>
  <c r="J1734" i="1"/>
  <c r="A1734" i="1"/>
  <c r="AK1733" i="1"/>
  <c r="AG1733" i="1"/>
  <c r="Z1733" i="1"/>
  <c r="K1733" i="1"/>
  <c r="J1733" i="1"/>
  <c r="A1733" i="1"/>
  <c r="AK1732" i="1"/>
  <c r="AG1732" i="1"/>
  <c r="Z1732" i="1"/>
  <c r="K1732" i="1"/>
  <c r="J1732" i="1"/>
  <c r="A1732" i="1"/>
  <c r="AG1731" i="1"/>
  <c r="Z1731" i="1"/>
  <c r="K1731" i="1"/>
  <c r="J1731" i="1"/>
  <c r="A1731" i="1"/>
  <c r="AK1730" i="1"/>
  <c r="AG1730" i="1"/>
  <c r="Z1730" i="1"/>
  <c r="K1730" i="1"/>
  <c r="J1730" i="1"/>
  <c r="A1730" i="1"/>
  <c r="AK1729" i="1"/>
  <c r="AG1729" i="1"/>
  <c r="Z1729" i="1"/>
  <c r="M1729" i="1"/>
  <c r="S1749" i="1" s="1"/>
  <c r="A1729" i="1"/>
  <c r="A1728" i="1"/>
  <c r="N1727" i="1"/>
  <c r="L1727" i="1"/>
  <c r="C1727" i="1"/>
  <c r="D1727" i="1" s="1"/>
  <c r="A1727" i="1"/>
  <c r="A1726" i="1"/>
  <c r="AK1725" i="1"/>
  <c r="AG1725" i="1"/>
  <c r="Z1725" i="1"/>
  <c r="K1725" i="1"/>
  <c r="J1725" i="1"/>
  <c r="A1725" i="1"/>
  <c r="AK1724" i="1"/>
  <c r="AG1724" i="1"/>
  <c r="Z1724" i="1"/>
  <c r="K1724" i="1"/>
  <c r="J1724" i="1"/>
  <c r="A1724" i="1"/>
  <c r="AK1723" i="1"/>
  <c r="AG1723" i="1"/>
  <c r="Z1723" i="1"/>
  <c r="K1723" i="1"/>
  <c r="J1723" i="1"/>
  <c r="A1723" i="1"/>
  <c r="AK1722" i="1"/>
  <c r="AG1722" i="1"/>
  <c r="Z1722" i="1"/>
  <c r="K1722" i="1"/>
  <c r="J1722" i="1"/>
  <c r="A1722" i="1"/>
  <c r="AK1721" i="1"/>
  <c r="AG1721" i="1"/>
  <c r="Z1721" i="1"/>
  <c r="K1721" i="1"/>
  <c r="J1721" i="1"/>
  <c r="A1721" i="1"/>
  <c r="AK1720" i="1"/>
  <c r="AG1720" i="1"/>
  <c r="Z1720" i="1"/>
  <c r="K1720" i="1"/>
  <c r="J1720" i="1"/>
  <c r="A1720" i="1"/>
  <c r="AK1719" i="1"/>
  <c r="AG1719" i="1"/>
  <c r="Z1719" i="1"/>
  <c r="K1719" i="1"/>
  <c r="J1719" i="1"/>
  <c r="A1719" i="1"/>
  <c r="AK1718" i="1"/>
  <c r="AG1718" i="1"/>
  <c r="Z1718" i="1"/>
  <c r="K1718" i="1"/>
  <c r="J1718" i="1"/>
  <c r="A1718" i="1"/>
  <c r="AG1717" i="1"/>
  <c r="Z1717" i="1"/>
  <c r="K1717" i="1"/>
  <c r="J1717" i="1"/>
  <c r="A1717" i="1"/>
  <c r="AG1716" i="1"/>
  <c r="Z1716" i="1"/>
  <c r="K1716" i="1"/>
  <c r="J1716" i="1"/>
  <c r="A1716" i="1"/>
  <c r="AK1715" i="1"/>
  <c r="AG1715" i="1"/>
  <c r="Z1715" i="1"/>
  <c r="K1715" i="1"/>
  <c r="J1715" i="1"/>
  <c r="A1715" i="1"/>
  <c r="AK1714" i="1"/>
  <c r="AG1714" i="1"/>
  <c r="Z1714" i="1"/>
  <c r="K1714" i="1"/>
  <c r="J1714" i="1"/>
  <c r="A1714" i="1"/>
  <c r="AK1713" i="1"/>
  <c r="AG1713" i="1"/>
  <c r="Z1713" i="1"/>
  <c r="K1713" i="1"/>
  <c r="J1713" i="1"/>
  <c r="A1713" i="1"/>
  <c r="AK1712" i="1"/>
  <c r="AG1712" i="1"/>
  <c r="Z1712" i="1"/>
  <c r="K1712" i="1"/>
  <c r="J1712" i="1"/>
  <c r="A1712" i="1"/>
  <c r="AK1711" i="1"/>
  <c r="AG1711" i="1"/>
  <c r="Z1711" i="1"/>
  <c r="K1711" i="1"/>
  <c r="J1711" i="1"/>
  <c r="A1711" i="1"/>
  <c r="AG1710" i="1"/>
  <c r="Z1710" i="1"/>
  <c r="K1710" i="1"/>
  <c r="J1710" i="1"/>
  <c r="A1710" i="1"/>
  <c r="AK1709" i="1"/>
  <c r="AG1709" i="1"/>
  <c r="Z1709" i="1"/>
  <c r="K1709" i="1"/>
  <c r="J1709" i="1"/>
  <c r="A1709" i="1"/>
  <c r="AK1708" i="1"/>
  <c r="AG1708" i="1"/>
  <c r="Z1708" i="1"/>
  <c r="K1708" i="1"/>
  <c r="J1708" i="1"/>
  <c r="A1708" i="1"/>
  <c r="AG1707" i="1"/>
  <c r="Z1707" i="1"/>
  <c r="K1707" i="1"/>
  <c r="J1707" i="1"/>
  <c r="A1707" i="1"/>
  <c r="AK1706" i="1"/>
  <c r="AG1706" i="1"/>
  <c r="Z1706" i="1"/>
  <c r="K1706" i="1"/>
  <c r="J1706" i="1"/>
  <c r="A1706" i="1"/>
  <c r="AK1705" i="1"/>
  <c r="AG1705" i="1"/>
  <c r="Z1705" i="1"/>
  <c r="M1705" i="1"/>
  <c r="S1723" i="1" s="1"/>
  <c r="AC1723" i="1" s="1"/>
  <c r="AB1723" i="1" s="1"/>
  <c r="A1705" i="1"/>
  <c r="A1704" i="1"/>
  <c r="N1703" i="1"/>
  <c r="L1703" i="1"/>
  <c r="C1703" i="1"/>
  <c r="D1703" i="1" s="1"/>
  <c r="A1703" i="1"/>
  <c r="A1702" i="1"/>
  <c r="AK1701" i="1"/>
  <c r="AG1701" i="1"/>
  <c r="Z1701" i="1"/>
  <c r="K1701" i="1"/>
  <c r="J1701" i="1"/>
  <c r="A1701" i="1"/>
  <c r="AK1700" i="1"/>
  <c r="AG1700" i="1"/>
  <c r="Z1700" i="1"/>
  <c r="K1700" i="1"/>
  <c r="J1700" i="1"/>
  <c r="A1700" i="1"/>
  <c r="AK1699" i="1"/>
  <c r="AG1699" i="1"/>
  <c r="Z1699" i="1"/>
  <c r="K1699" i="1"/>
  <c r="J1699" i="1"/>
  <c r="A1699" i="1"/>
  <c r="AK1698" i="1"/>
  <c r="AG1698" i="1"/>
  <c r="Z1698" i="1"/>
  <c r="K1698" i="1"/>
  <c r="J1698" i="1"/>
  <c r="A1698" i="1"/>
  <c r="AK1697" i="1"/>
  <c r="AG1697" i="1"/>
  <c r="Z1697" i="1"/>
  <c r="K1697" i="1"/>
  <c r="J1697" i="1"/>
  <c r="A1697" i="1"/>
  <c r="AK1696" i="1"/>
  <c r="AG1696" i="1"/>
  <c r="Z1696" i="1"/>
  <c r="K1696" i="1"/>
  <c r="J1696" i="1"/>
  <c r="A1696" i="1"/>
  <c r="AK1695" i="1"/>
  <c r="AG1695" i="1"/>
  <c r="Z1695" i="1"/>
  <c r="K1695" i="1"/>
  <c r="J1695" i="1"/>
  <c r="A1695" i="1"/>
  <c r="AK1694" i="1"/>
  <c r="AG1694" i="1"/>
  <c r="Z1694" i="1"/>
  <c r="K1694" i="1"/>
  <c r="J1694" i="1"/>
  <c r="A1694" i="1"/>
  <c r="AK1693" i="1"/>
  <c r="AG1693" i="1"/>
  <c r="Z1693" i="1"/>
  <c r="K1693" i="1"/>
  <c r="J1693" i="1"/>
  <c r="A1693" i="1"/>
  <c r="AK1692" i="1"/>
  <c r="AG1692" i="1"/>
  <c r="Z1692" i="1"/>
  <c r="K1692" i="1"/>
  <c r="J1692" i="1"/>
  <c r="A1692" i="1"/>
  <c r="AK1691" i="1"/>
  <c r="AG1691" i="1"/>
  <c r="Z1691" i="1"/>
  <c r="K1691" i="1"/>
  <c r="J1691" i="1"/>
  <c r="A1691" i="1"/>
  <c r="AK1690" i="1"/>
  <c r="AG1690" i="1"/>
  <c r="Z1690" i="1"/>
  <c r="K1690" i="1"/>
  <c r="J1690" i="1"/>
  <c r="A1690" i="1"/>
  <c r="AK1689" i="1"/>
  <c r="AG1689" i="1"/>
  <c r="Z1689" i="1"/>
  <c r="K1689" i="1"/>
  <c r="J1689" i="1"/>
  <c r="A1689" i="1"/>
  <c r="AK1688" i="1"/>
  <c r="AG1688" i="1"/>
  <c r="Z1688" i="1"/>
  <c r="K1688" i="1"/>
  <c r="J1688" i="1"/>
  <c r="A1688" i="1"/>
  <c r="AK1687" i="1"/>
  <c r="AG1687" i="1"/>
  <c r="Z1687" i="1"/>
  <c r="K1687" i="1"/>
  <c r="J1687" i="1"/>
  <c r="A1687" i="1"/>
  <c r="AK1686" i="1"/>
  <c r="AG1686" i="1"/>
  <c r="Z1686" i="1"/>
  <c r="K1686" i="1"/>
  <c r="J1686" i="1"/>
  <c r="A1686" i="1"/>
  <c r="AK1685" i="1"/>
  <c r="AG1685" i="1"/>
  <c r="Z1685" i="1"/>
  <c r="K1685" i="1"/>
  <c r="J1685" i="1"/>
  <c r="A1685" i="1"/>
  <c r="AK1684" i="1"/>
  <c r="AG1684" i="1"/>
  <c r="Z1684" i="1"/>
  <c r="K1684" i="1"/>
  <c r="J1684" i="1"/>
  <c r="A1684" i="1"/>
  <c r="AK1683" i="1"/>
  <c r="AG1683" i="1"/>
  <c r="Z1683" i="1"/>
  <c r="K1683" i="1"/>
  <c r="J1683" i="1"/>
  <c r="A1683" i="1"/>
  <c r="AK1682" i="1"/>
  <c r="AG1682" i="1"/>
  <c r="Z1682" i="1"/>
  <c r="K1682" i="1"/>
  <c r="J1682" i="1"/>
  <c r="A1682" i="1"/>
  <c r="AK1681" i="1"/>
  <c r="AG1681" i="1"/>
  <c r="Z1681" i="1"/>
  <c r="M1681" i="1"/>
  <c r="S1684" i="1" s="1"/>
  <c r="A1681" i="1"/>
  <c r="A1680" i="1"/>
  <c r="N1679" i="1"/>
  <c r="L1679" i="1"/>
  <c r="C1679" i="1"/>
  <c r="D1679" i="1" s="1"/>
  <c r="A1679" i="1"/>
  <c r="A1678" i="1"/>
  <c r="AK1677" i="1"/>
  <c r="AG1677" i="1"/>
  <c r="Z1677" i="1"/>
  <c r="K1677" i="1"/>
  <c r="J1677" i="1"/>
  <c r="A1677" i="1"/>
  <c r="AK1676" i="1"/>
  <c r="AG1676" i="1"/>
  <c r="Z1676" i="1"/>
  <c r="K1676" i="1"/>
  <c r="J1676" i="1"/>
  <c r="A1676" i="1"/>
  <c r="AK1675" i="1"/>
  <c r="AG1675" i="1"/>
  <c r="Z1675" i="1"/>
  <c r="K1675" i="1"/>
  <c r="J1675" i="1"/>
  <c r="A1675" i="1"/>
  <c r="AK1674" i="1"/>
  <c r="AG1674" i="1"/>
  <c r="Z1674" i="1"/>
  <c r="K1674" i="1"/>
  <c r="J1674" i="1"/>
  <c r="A1674" i="1"/>
  <c r="AK1673" i="1"/>
  <c r="AG1673" i="1"/>
  <c r="Z1673" i="1"/>
  <c r="K1673" i="1"/>
  <c r="J1673" i="1"/>
  <c r="A1673" i="1"/>
  <c r="AK1672" i="1"/>
  <c r="AG1672" i="1"/>
  <c r="Z1672" i="1"/>
  <c r="K1672" i="1"/>
  <c r="J1672" i="1"/>
  <c r="A1672" i="1"/>
  <c r="AK1671" i="1"/>
  <c r="AG1671" i="1"/>
  <c r="Z1671" i="1"/>
  <c r="K1671" i="1"/>
  <c r="J1671" i="1"/>
  <c r="A1671" i="1"/>
  <c r="AK1670" i="1"/>
  <c r="AG1670" i="1"/>
  <c r="Z1670" i="1"/>
  <c r="K1670" i="1"/>
  <c r="J1670" i="1"/>
  <c r="A1670" i="1"/>
  <c r="AK1669" i="1"/>
  <c r="AG1669" i="1"/>
  <c r="Z1669" i="1"/>
  <c r="K1669" i="1"/>
  <c r="J1669" i="1"/>
  <c r="A1669" i="1"/>
  <c r="AK1668" i="1"/>
  <c r="AG1668" i="1"/>
  <c r="Z1668" i="1"/>
  <c r="K1668" i="1"/>
  <c r="J1668" i="1"/>
  <c r="A1668" i="1"/>
  <c r="AK1667" i="1"/>
  <c r="AG1667" i="1"/>
  <c r="Z1667" i="1"/>
  <c r="K1667" i="1"/>
  <c r="J1667" i="1"/>
  <c r="A1667" i="1"/>
  <c r="AK1666" i="1"/>
  <c r="AG1666" i="1"/>
  <c r="Z1666" i="1"/>
  <c r="K1666" i="1"/>
  <c r="J1666" i="1"/>
  <c r="A1666" i="1"/>
  <c r="AK1665" i="1"/>
  <c r="AG1665" i="1"/>
  <c r="Z1665" i="1"/>
  <c r="K1665" i="1"/>
  <c r="J1665" i="1"/>
  <c r="A1665" i="1"/>
  <c r="AK1664" i="1"/>
  <c r="AG1664" i="1"/>
  <c r="Z1664" i="1"/>
  <c r="K1664" i="1"/>
  <c r="J1664" i="1"/>
  <c r="A1664" i="1"/>
  <c r="AK1663" i="1"/>
  <c r="AG1663" i="1"/>
  <c r="Z1663" i="1"/>
  <c r="K1663" i="1"/>
  <c r="J1663" i="1"/>
  <c r="A1663" i="1"/>
  <c r="AK1662" i="1"/>
  <c r="AG1662" i="1"/>
  <c r="Z1662" i="1"/>
  <c r="K1662" i="1"/>
  <c r="J1662" i="1"/>
  <c r="A1662" i="1"/>
  <c r="AK1661" i="1"/>
  <c r="AG1661" i="1"/>
  <c r="Z1661" i="1"/>
  <c r="K1661" i="1"/>
  <c r="J1661" i="1"/>
  <c r="A1661" i="1"/>
  <c r="AK1660" i="1"/>
  <c r="AG1660" i="1"/>
  <c r="Z1660" i="1"/>
  <c r="K1660" i="1"/>
  <c r="J1660" i="1"/>
  <c r="A1660" i="1"/>
  <c r="AK1659" i="1"/>
  <c r="AG1659" i="1"/>
  <c r="Z1659" i="1"/>
  <c r="K1659" i="1"/>
  <c r="J1659" i="1"/>
  <c r="A1659" i="1"/>
  <c r="AK1658" i="1"/>
  <c r="AG1658" i="1"/>
  <c r="Z1658" i="1"/>
  <c r="K1658" i="1"/>
  <c r="J1658" i="1"/>
  <c r="A1658" i="1"/>
  <c r="AK1657" i="1"/>
  <c r="AG1657" i="1"/>
  <c r="Z1657" i="1"/>
  <c r="M1657" i="1"/>
  <c r="A1657" i="1"/>
  <c r="A1656" i="1"/>
  <c r="N1655" i="1"/>
  <c r="L1655" i="1"/>
  <c r="C1655" i="1"/>
  <c r="D1655" i="1" s="1"/>
  <c r="A1655" i="1"/>
  <c r="A1654" i="1"/>
  <c r="AK1653" i="1"/>
  <c r="AG1653" i="1"/>
  <c r="Z1653" i="1"/>
  <c r="K1653" i="1"/>
  <c r="J1653" i="1"/>
  <c r="A1653" i="1"/>
  <c r="AK1652" i="1"/>
  <c r="AG1652" i="1"/>
  <c r="Z1652" i="1"/>
  <c r="K1652" i="1"/>
  <c r="J1652" i="1"/>
  <c r="A1652" i="1"/>
  <c r="AK1651" i="1"/>
  <c r="AG1651" i="1"/>
  <c r="Z1651" i="1"/>
  <c r="K1651" i="1"/>
  <c r="J1651" i="1"/>
  <c r="A1651" i="1"/>
  <c r="AK1650" i="1"/>
  <c r="AG1650" i="1"/>
  <c r="Z1650" i="1"/>
  <c r="K1650" i="1"/>
  <c r="J1650" i="1"/>
  <c r="A1650" i="1"/>
  <c r="AK1649" i="1"/>
  <c r="AG1649" i="1"/>
  <c r="Z1649" i="1"/>
  <c r="K1649" i="1"/>
  <c r="J1649" i="1"/>
  <c r="A1649" i="1"/>
  <c r="AK1648" i="1"/>
  <c r="AG1648" i="1"/>
  <c r="Z1648" i="1"/>
  <c r="K1648" i="1"/>
  <c r="J1648" i="1"/>
  <c r="A1648" i="1"/>
  <c r="AK1647" i="1"/>
  <c r="AG1647" i="1"/>
  <c r="Z1647" i="1"/>
  <c r="K1647" i="1"/>
  <c r="J1647" i="1"/>
  <c r="A1647" i="1"/>
  <c r="AK1646" i="1"/>
  <c r="AG1646" i="1"/>
  <c r="Z1646" i="1"/>
  <c r="K1646" i="1"/>
  <c r="J1646" i="1"/>
  <c r="A1646" i="1"/>
  <c r="AK1645" i="1"/>
  <c r="AG1645" i="1"/>
  <c r="Z1645" i="1"/>
  <c r="K1645" i="1"/>
  <c r="J1645" i="1"/>
  <c r="A1645" i="1"/>
  <c r="AK1644" i="1"/>
  <c r="AG1644" i="1"/>
  <c r="Z1644" i="1"/>
  <c r="K1644" i="1"/>
  <c r="J1644" i="1"/>
  <c r="A1644" i="1"/>
  <c r="AK1643" i="1"/>
  <c r="AG1643" i="1"/>
  <c r="Z1643" i="1"/>
  <c r="K1643" i="1"/>
  <c r="J1643" i="1"/>
  <c r="A1643" i="1"/>
  <c r="AK1642" i="1"/>
  <c r="AG1642" i="1"/>
  <c r="Z1642" i="1"/>
  <c r="K1642" i="1"/>
  <c r="J1642" i="1"/>
  <c r="A1642" i="1"/>
  <c r="AK1641" i="1"/>
  <c r="AG1641" i="1"/>
  <c r="Z1641" i="1"/>
  <c r="K1641" i="1"/>
  <c r="J1641" i="1"/>
  <c r="A1641" i="1"/>
  <c r="AK1640" i="1"/>
  <c r="AG1640" i="1"/>
  <c r="Z1640" i="1"/>
  <c r="K1640" i="1"/>
  <c r="J1640" i="1"/>
  <c r="A1640" i="1"/>
  <c r="AK1639" i="1"/>
  <c r="AG1639" i="1"/>
  <c r="Z1639" i="1"/>
  <c r="K1639" i="1"/>
  <c r="J1639" i="1"/>
  <c r="A1639" i="1"/>
  <c r="AK1638" i="1"/>
  <c r="AG1638" i="1"/>
  <c r="Z1638" i="1"/>
  <c r="K1638" i="1"/>
  <c r="J1638" i="1"/>
  <c r="A1638" i="1"/>
  <c r="AK1637" i="1"/>
  <c r="AG1637" i="1"/>
  <c r="Z1637" i="1"/>
  <c r="K1637" i="1"/>
  <c r="J1637" i="1"/>
  <c r="A1637" i="1"/>
  <c r="AK1636" i="1"/>
  <c r="AG1636" i="1"/>
  <c r="Z1636" i="1"/>
  <c r="K1636" i="1"/>
  <c r="J1636" i="1"/>
  <c r="A1636" i="1"/>
  <c r="AK1635" i="1"/>
  <c r="AG1635" i="1"/>
  <c r="Z1635" i="1"/>
  <c r="K1635" i="1"/>
  <c r="J1635" i="1"/>
  <c r="A1635" i="1"/>
  <c r="AK1634" i="1"/>
  <c r="AG1634" i="1"/>
  <c r="Z1634" i="1"/>
  <c r="K1634" i="1"/>
  <c r="J1634" i="1"/>
  <c r="A1634" i="1"/>
  <c r="AK1633" i="1"/>
  <c r="AG1633" i="1"/>
  <c r="Z1633" i="1"/>
  <c r="M1633" i="1"/>
  <c r="S1652" i="1" s="1"/>
  <c r="A1633" i="1"/>
  <c r="A1632" i="1"/>
  <c r="AN1631" i="1"/>
  <c r="D1631" i="1"/>
  <c r="A1631" i="1"/>
  <c r="N1630" i="1"/>
  <c r="L1630" i="1"/>
  <c r="C1630" i="1"/>
  <c r="A1630" i="1"/>
  <c r="A1629" i="1"/>
  <c r="AK1628" i="1"/>
  <c r="AG1628" i="1"/>
  <c r="Z1628" i="1"/>
  <c r="K1628" i="1"/>
  <c r="J1628" i="1"/>
  <c r="A1628" i="1"/>
  <c r="AK1627" i="1"/>
  <c r="AG1627" i="1"/>
  <c r="Z1627" i="1"/>
  <c r="K1627" i="1"/>
  <c r="J1627" i="1"/>
  <c r="A1627" i="1"/>
  <c r="AK1626" i="1"/>
  <c r="AG1626" i="1"/>
  <c r="Z1626" i="1"/>
  <c r="K1626" i="1"/>
  <c r="J1626" i="1"/>
  <c r="A1626" i="1"/>
  <c r="AK1625" i="1"/>
  <c r="AG1625" i="1"/>
  <c r="Z1625" i="1"/>
  <c r="K1625" i="1"/>
  <c r="J1625" i="1"/>
  <c r="A1625" i="1"/>
  <c r="AK1624" i="1"/>
  <c r="AG1624" i="1"/>
  <c r="Z1624" i="1"/>
  <c r="K1624" i="1"/>
  <c r="J1624" i="1"/>
  <c r="A1624" i="1"/>
  <c r="AK1623" i="1"/>
  <c r="AG1623" i="1"/>
  <c r="Z1623" i="1"/>
  <c r="K1623" i="1"/>
  <c r="J1623" i="1"/>
  <c r="A1623" i="1"/>
  <c r="AK1622" i="1"/>
  <c r="AG1622" i="1"/>
  <c r="Z1622" i="1"/>
  <c r="K1622" i="1"/>
  <c r="J1622" i="1"/>
  <c r="A1622" i="1"/>
  <c r="AK1621" i="1"/>
  <c r="AG1621" i="1"/>
  <c r="Z1621" i="1"/>
  <c r="K1621" i="1"/>
  <c r="J1621" i="1"/>
  <c r="A1621" i="1"/>
  <c r="AK1620" i="1"/>
  <c r="AG1620" i="1"/>
  <c r="Z1620" i="1"/>
  <c r="K1620" i="1"/>
  <c r="J1620" i="1"/>
  <c r="A1620" i="1"/>
  <c r="AK1619" i="1"/>
  <c r="AG1619" i="1"/>
  <c r="Z1619" i="1"/>
  <c r="K1619" i="1"/>
  <c r="J1619" i="1"/>
  <c r="A1619" i="1"/>
  <c r="AK1618" i="1"/>
  <c r="AG1618" i="1"/>
  <c r="Z1618" i="1"/>
  <c r="K1618" i="1"/>
  <c r="J1618" i="1"/>
  <c r="A1618" i="1"/>
  <c r="AK1617" i="1"/>
  <c r="AG1617" i="1"/>
  <c r="Z1617" i="1"/>
  <c r="K1617" i="1"/>
  <c r="J1617" i="1"/>
  <c r="A1617" i="1"/>
  <c r="AK1616" i="1"/>
  <c r="AG1616" i="1"/>
  <c r="Z1616" i="1"/>
  <c r="K1616" i="1"/>
  <c r="J1616" i="1"/>
  <c r="A1616" i="1"/>
  <c r="AK1615" i="1"/>
  <c r="AG1615" i="1"/>
  <c r="Z1615" i="1"/>
  <c r="K1615" i="1"/>
  <c r="J1615" i="1"/>
  <c r="A1615" i="1"/>
  <c r="AK1614" i="1"/>
  <c r="AG1614" i="1"/>
  <c r="Z1614" i="1"/>
  <c r="K1614" i="1"/>
  <c r="J1614" i="1"/>
  <c r="A1614" i="1"/>
  <c r="AK1613" i="1"/>
  <c r="AG1613" i="1"/>
  <c r="Z1613" i="1"/>
  <c r="K1613" i="1"/>
  <c r="J1613" i="1"/>
  <c r="A1613" i="1"/>
  <c r="AK1612" i="1"/>
  <c r="AG1612" i="1"/>
  <c r="Z1612" i="1"/>
  <c r="K1612" i="1"/>
  <c r="J1612" i="1"/>
  <c r="A1612" i="1"/>
  <c r="AK1611" i="1"/>
  <c r="AG1611" i="1"/>
  <c r="Z1611" i="1"/>
  <c r="K1611" i="1"/>
  <c r="J1611" i="1"/>
  <c r="A1611" i="1"/>
  <c r="AK1610" i="1"/>
  <c r="AG1610" i="1"/>
  <c r="Z1610" i="1"/>
  <c r="K1610" i="1"/>
  <c r="J1610" i="1"/>
  <c r="A1610" i="1"/>
  <c r="AG1609" i="1"/>
  <c r="Z1609" i="1"/>
  <c r="K1609" i="1"/>
  <c r="J1609" i="1"/>
  <c r="A1609" i="1"/>
  <c r="AK1608" i="1"/>
  <c r="AG1608" i="1"/>
  <c r="Z1608" i="1"/>
  <c r="M1608" i="1"/>
  <c r="S1624" i="1" s="1"/>
  <c r="AC1624" i="1" s="1"/>
  <c r="AB1624" i="1" s="1"/>
  <c r="A1608" i="1"/>
  <c r="A1607" i="1"/>
  <c r="N1606" i="1"/>
  <c r="L1606" i="1"/>
  <c r="C1606" i="1"/>
  <c r="A1606" i="1"/>
  <c r="A1605" i="1"/>
  <c r="AK1604" i="1"/>
  <c r="AG1604" i="1"/>
  <c r="Z1604" i="1"/>
  <c r="K1604" i="1"/>
  <c r="J1604" i="1"/>
  <c r="A1604" i="1"/>
  <c r="AK1603" i="1"/>
  <c r="AG1603" i="1"/>
  <c r="Z1603" i="1"/>
  <c r="K1603" i="1"/>
  <c r="J1603" i="1"/>
  <c r="A1603" i="1"/>
  <c r="AK1602" i="1"/>
  <c r="AG1602" i="1"/>
  <c r="Z1602" i="1"/>
  <c r="K1602" i="1"/>
  <c r="J1602" i="1"/>
  <c r="A1602" i="1"/>
  <c r="AK1601" i="1"/>
  <c r="AG1601" i="1"/>
  <c r="Z1601" i="1"/>
  <c r="K1601" i="1"/>
  <c r="J1601" i="1"/>
  <c r="A1601" i="1"/>
  <c r="AK1600" i="1"/>
  <c r="AG1600" i="1"/>
  <c r="Z1600" i="1"/>
  <c r="K1600" i="1"/>
  <c r="J1600" i="1"/>
  <c r="A1600" i="1"/>
  <c r="AK1599" i="1"/>
  <c r="AG1599" i="1"/>
  <c r="Z1599" i="1"/>
  <c r="K1599" i="1"/>
  <c r="J1599" i="1"/>
  <c r="A1599" i="1"/>
  <c r="AK1598" i="1"/>
  <c r="AG1598" i="1"/>
  <c r="Z1598" i="1"/>
  <c r="K1598" i="1"/>
  <c r="J1598" i="1"/>
  <c r="A1598" i="1"/>
  <c r="AK1597" i="1"/>
  <c r="AG1597" i="1"/>
  <c r="Z1597" i="1"/>
  <c r="K1597" i="1"/>
  <c r="J1597" i="1"/>
  <c r="A1597" i="1"/>
  <c r="AK1596" i="1"/>
  <c r="AG1596" i="1"/>
  <c r="Z1596" i="1"/>
  <c r="K1596" i="1"/>
  <c r="J1596" i="1"/>
  <c r="A1596" i="1"/>
  <c r="AK1595" i="1"/>
  <c r="AG1595" i="1"/>
  <c r="Z1595" i="1"/>
  <c r="K1595" i="1"/>
  <c r="J1595" i="1"/>
  <c r="A1595" i="1"/>
  <c r="AK1594" i="1"/>
  <c r="AG1594" i="1"/>
  <c r="Z1594" i="1"/>
  <c r="K1594" i="1"/>
  <c r="J1594" i="1"/>
  <c r="A1594" i="1"/>
  <c r="AK1593" i="1"/>
  <c r="AG1593" i="1"/>
  <c r="Z1593" i="1"/>
  <c r="K1593" i="1"/>
  <c r="J1593" i="1"/>
  <c r="A1593" i="1"/>
  <c r="AK1592" i="1"/>
  <c r="AG1592" i="1"/>
  <c r="Z1592" i="1"/>
  <c r="K1592" i="1"/>
  <c r="J1592" i="1"/>
  <c r="A1592" i="1"/>
  <c r="AK1591" i="1"/>
  <c r="AG1591" i="1"/>
  <c r="Z1591" i="1"/>
  <c r="K1591" i="1"/>
  <c r="J1591" i="1"/>
  <c r="A1591" i="1"/>
  <c r="AK1590" i="1"/>
  <c r="AG1590" i="1"/>
  <c r="Z1590" i="1"/>
  <c r="K1590" i="1"/>
  <c r="J1590" i="1"/>
  <c r="A1590" i="1"/>
  <c r="AK1589" i="1"/>
  <c r="AG1589" i="1"/>
  <c r="Z1589" i="1"/>
  <c r="K1589" i="1"/>
  <c r="J1589" i="1"/>
  <c r="A1589" i="1"/>
  <c r="AK1588" i="1"/>
  <c r="AG1588" i="1"/>
  <c r="Z1588" i="1"/>
  <c r="K1588" i="1"/>
  <c r="J1588" i="1"/>
  <c r="A1588" i="1"/>
  <c r="AK1587" i="1"/>
  <c r="AG1587" i="1"/>
  <c r="Z1587" i="1"/>
  <c r="K1587" i="1"/>
  <c r="J1587" i="1"/>
  <c r="A1587" i="1"/>
  <c r="AK1586" i="1"/>
  <c r="AG1586" i="1"/>
  <c r="Z1586" i="1"/>
  <c r="K1586" i="1"/>
  <c r="J1586" i="1"/>
  <c r="A1586" i="1"/>
  <c r="AG1585" i="1"/>
  <c r="Z1585" i="1"/>
  <c r="K1585" i="1"/>
  <c r="J1585" i="1"/>
  <c r="A1585" i="1"/>
  <c r="AK1584" i="1"/>
  <c r="AG1584" i="1"/>
  <c r="Z1584" i="1"/>
  <c r="M1584" i="1"/>
  <c r="S1587" i="1" s="1"/>
  <c r="A1584" i="1"/>
  <c r="A1583" i="1"/>
  <c r="N1582" i="1"/>
  <c r="L1582" i="1"/>
  <c r="C1582" i="1"/>
  <c r="A1582" i="1"/>
  <c r="A1581" i="1"/>
  <c r="AK1580" i="1"/>
  <c r="AG1580" i="1"/>
  <c r="Z1580" i="1"/>
  <c r="K1580" i="1"/>
  <c r="J1580" i="1"/>
  <c r="A1580" i="1"/>
  <c r="AK1579" i="1"/>
  <c r="AG1579" i="1"/>
  <c r="Z1579" i="1"/>
  <c r="K1579" i="1"/>
  <c r="J1579" i="1"/>
  <c r="A1579" i="1"/>
  <c r="AK1578" i="1"/>
  <c r="AG1578" i="1"/>
  <c r="Z1578" i="1"/>
  <c r="K1578" i="1"/>
  <c r="J1578" i="1"/>
  <c r="A1578" i="1"/>
  <c r="AK1577" i="1"/>
  <c r="AG1577" i="1"/>
  <c r="Z1577" i="1"/>
  <c r="K1577" i="1"/>
  <c r="J1577" i="1"/>
  <c r="A1577" i="1"/>
  <c r="AK1576" i="1"/>
  <c r="AG1576" i="1"/>
  <c r="Z1576" i="1"/>
  <c r="K1576" i="1"/>
  <c r="J1576" i="1"/>
  <c r="A1576" i="1"/>
  <c r="AK1575" i="1"/>
  <c r="AG1575" i="1"/>
  <c r="Z1575" i="1"/>
  <c r="K1575" i="1"/>
  <c r="J1575" i="1"/>
  <c r="A1575" i="1"/>
  <c r="AK1574" i="1"/>
  <c r="AG1574" i="1"/>
  <c r="Z1574" i="1"/>
  <c r="K1574" i="1"/>
  <c r="J1574" i="1"/>
  <c r="A1574" i="1"/>
  <c r="AK1573" i="1"/>
  <c r="AG1573" i="1"/>
  <c r="Z1573" i="1"/>
  <c r="K1573" i="1"/>
  <c r="J1573" i="1"/>
  <c r="A1573" i="1"/>
  <c r="AK1572" i="1"/>
  <c r="AG1572" i="1"/>
  <c r="Z1572" i="1"/>
  <c r="K1572" i="1"/>
  <c r="J1572" i="1"/>
  <c r="A1572" i="1"/>
  <c r="AK1571" i="1"/>
  <c r="AG1571" i="1"/>
  <c r="Z1571" i="1"/>
  <c r="K1571" i="1"/>
  <c r="J1571" i="1"/>
  <c r="A1571" i="1"/>
  <c r="AK1570" i="1"/>
  <c r="AG1570" i="1"/>
  <c r="Z1570" i="1"/>
  <c r="K1570" i="1"/>
  <c r="J1570" i="1"/>
  <c r="A1570" i="1"/>
  <c r="AK1569" i="1"/>
  <c r="AG1569" i="1"/>
  <c r="Z1569" i="1"/>
  <c r="K1569" i="1"/>
  <c r="J1569" i="1"/>
  <c r="A1569" i="1"/>
  <c r="AK1568" i="1"/>
  <c r="AG1568" i="1"/>
  <c r="Z1568" i="1"/>
  <c r="K1568" i="1"/>
  <c r="J1568" i="1"/>
  <c r="A1568" i="1"/>
  <c r="AK1567" i="1"/>
  <c r="AG1567" i="1"/>
  <c r="Z1567" i="1"/>
  <c r="K1567" i="1"/>
  <c r="J1567" i="1"/>
  <c r="A1567" i="1"/>
  <c r="AK1566" i="1"/>
  <c r="AG1566" i="1"/>
  <c r="Z1566" i="1"/>
  <c r="K1566" i="1"/>
  <c r="J1566" i="1"/>
  <c r="A1566" i="1"/>
  <c r="AK1565" i="1"/>
  <c r="AG1565" i="1"/>
  <c r="Z1565" i="1"/>
  <c r="K1565" i="1"/>
  <c r="J1565" i="1"/>
  <c r="A1565" i="1"/>
  <c r="AK1564" i="1"/>
  <c r="AG1564" i="1"/>
  <c r="Z1564" i="1"/>
  <c r="K1564" i="1"/>
  <c r="J1564" i="1"/>
  <c r="A1564" i="1"/>
  <c r="AK1563" i="1"/>
  <c r="AG1563" i="1"/>
  <c r="Z1563" i="1"/>
  <c r="K1563" i="1"/>
  <c r="J1563" i="1"/>
  <c r="A1563" i="1"/>
  <c r="AK1562" i="1"/>
  <c r="AG1562" i="1"/>
  <c r="Z1562" i="1"/>
  <c r="K1562" i="1"/>
  <c r="J1562" i="1"/>
  <c r="A1562" i="1"/>
  <c r="AG1561" i="1"/>
  <c r="Z1561" i="1"/>
  <c r="K1561" i="1"/>
  <c r="J1561" i="1"/>
  <c r="A1561" i="1"/>
  <c r="AK1560" i="1"/>
  <c r="AG1560" i="1"/>
  <c r="Z1560" i="1"/>
  <c r="M1560" i="1"/>
  <c r="S1578" i="1" s="1"/>
  <c r="A1560" i="1"/>
  <c r="A1559" i="1"/>
  <c r="AG1558" i="1"/>
  <c r="Z1558" i="1"/>
  <c r="A1558" i="1"/>
  <c r="AG1557" i="1"/>
  <c r="Z1557" i="1"/>
  <c r="A1557" i="1"/>
  <c r="N1556" i="1"/>
  <c r="L1556" i="1"/>
  <c r="C1556" i="1"/>
  <c r="A1556" i="1"/>
  <c r="A1555" i="1"/>
  <c r="AK1554" i="1"/>
  <c r="AG1554" i="1"/>
  <c r="Z1554" i="1"/>
  <c r="K1554" i="1"/>
  <c r="J1554" i="1"/>
  <c r="A1554" i="1"/>
  <c r="AK1553" i="1"/>
  <c r="AG1553" i="1"/>
  <c r="Z1553" i="1"/>
  <c r="K1553" i="1"/>
  <c r="J1553" i="1"/>
  <c r="A1553" i="1"/>
  <c r="AK1552" i="1"/>
  <c r="AG1552" i="1"/>
  <c r="Z1552" i="1"/>
  <c r="K1552" i="1"/>
  <c r="J1552" i="1"/>
  <c r="A1552" i="1"/>
  <c r="AK1551" i="1"/>
  <c r="AG1551" i="1"/>
  <c r="Z1551" i="1"/>
  <c r="K1551" i="1"/>
  <c r="J1551" i="1"/>
  <c r="A1551" i="1"/>
  <c r="AK1550" i="1"/>
  <c r="AG1550" i="1"/>
  <c r="Z1550" i="1"/>
  <c r="K1550" i="1"/>
  <c r="J1550" i="1"/>
  <c r="A1550" i="1"/>
  <c r="AK1549" i="1"/>
  <c r="AG1549" i="1"/>
  <c r="Z1549" i="1"/>
  <c r="K1549" i="1"/>
  <c r="J1549" i="1"/>
  <c r="A1549" i="1"/>
  <c r="AK1548" i="1"/>
  <c r="AG1548" i="1"/>
  <c r="Z1548" i="1"/>
  <c r="K1548" i="1"/>
  <c r="J1548" i="1"/>
  <c r="A1548" i="1"/>
  <c r="AK1547" i="1"/>
  <c r="AG1547" i="1"/>
  <c r="Z1547" i="1"/>
  <c r="K1547" i="1"/>
  <c r="J1547" i="1"/>
  <c r="A1547" i="1"/>
  <c r="AK1546" i="1"/>
  <c r="AG1546" i="1"/>
  <c r="Z1546" i="1"/>
  <c r="K1546" i="1"/>
  <c r="J1546" i="1"/>
  <c r="A1546" i="1"/>
  <c r="AK1545" i="1"/>
  <c r="AG1545" i="1"/>
  <c r="Z1545" i="1"/>
  <c r="K1545" i="1"/>
  <c r="J1545" i="1"/>
  <c r="A1545" i="1"/>
  <c r="AK1544" i="1"/>
  <c r="AG1544" i="1"/>
  <c r="Z1544" i="1"/>
  <c r="K1544" i="1"/>
  <c r="J1544" i="1"/>
  <c r="A1544" i="1"/>
  <c r="AK1543" i="1"/>
  <c r="AG1543" i="1"/>
  <c r="Z1543" i="1"/>
  <c r="K1543" i="1"/>
  <c r="J1543" i="1"/>
  <c r="A1543" i="1"/>
  <c r="AK1542" i="1"/>
  <c r="AG1542" i="1"/>
  <c r="Z1542" i="1"/>
  <c r="K1542" i="1"/>
  <c r="J1542" i="1"/>
  <c r="A1542" i="1"/>
  <c r="AK1541" i="1"/>
  <c r="AG1541" i="1"/>
  <c r="Z1541" i="1"/>
  <c r="K1541" i="1"/>
  <c r="J1541" i="1"/>
  <c r="A1541" i="1"/>
  <c r="AK1540" i="1"/>
  <c r="AG1540" i="1"/>
  <c r="Z1540" i="1"/>
  <c r="K1540" i="1"/>
  <c r="J1540" i="1"/>
  <c r="A1540" i="1"/>
  <c r="AK1539" i="1"/>
  <c r="AG1539" i="1"/>
  <c r="Z1539" i="1"/>
  <c r="K1539" i="1"/>
  <c r="J1539" i="1"/>
  <c r="A1539" i="1"/>
  <c r="AK1538" i="1"/>
  <c r="AG1538" i="1"/>
  <c r="Z1538" i="1"/>
  <c r="K1538" i="1"/>
  <c r="J1538" i="1"/>
  <c r="A1538" i="1"/>
  <c r="AK1537" i="1"/>
  <c r="AG1537" i="1"/>
  <c r="Z1537" i="1"/>
  <c r="K1537" i="1"/>
  <c r="J1537" i="1"/>
  <c r="A1537" i="1"/>
  <c r="AG1536" i="1"/>
  <c r="Z1536" i="1"/>
  <c r="K1536" i="1"/>
  <c r="J1536" i="1"/>
  <c r="A1536" i="1"/>
  <c r="AG1535" i="1"/>
  <c r="Z1535" i="1"/>
  <c r="K1535" i="1"/>
  <c r="J1535" i="1"/>
  <c r="A1535" i="1"/>
  <c r="AK1534" i="1"/>
  <c r="AG1534" i="1"/>
  <c r="Z1534" i="1"/>
  <c r="M1534" i="1"/>
  <c r="S1553" i="1" s="1"/>
  <c r="A1534" i="1"/>
  <c r="A1533" i="1"/>
  <c r="N1532" i="1"/>
  <c r="L1532" i="1"/>
  <c r="C1532" i="1"/>
  <c r="A1532" i="1"/>
  <c r="A1531" i="1"/>
  <c r="AK1530" i="1"/>
  <c r="AG1530" i="1"/>
  <c r="Z1530" i="1"/>
  <c r="K1530" i="1"/>
  <c r="J1530" i="1"/>
  <c r="A1530" i="1"/>
  <c r="AK1529" i="1"/>
  <c r="AG1529" i="1"/>
  <c r="Z1529" i="1"/>
  <c r="K1529" i="1"/>
  <c r="J1529" i="1"/>
  <c r="A1529" i="1"/>
  <c r="AK1528" i="1"/>
  <c r="AG1528" i="1"/>
  <c r="Z1528" i="1"/>
  <c r="K1528" i="1"/>
  <c r="J1528" i="1"/>
  <c r="A1528" i="1"/>
  <c r="AK1527" i="1"/>
  <c r="AG1527" i="1"/>
  <c r="Z1527" i="1"/>
  <c r="K1527" i="1"/>
  <c r="J1527" i="1"/>
  <c r="A1527" i="1"/>
  <c r="AK1526" i="1"/>
  <c r="AG1526" i="1"/>
  <c r="Z1526" i="1"/>
  <c r="K1526" i="1"/>
  <c r="J1526" i="1"/>
  <c r="A1526" i="1"/>
  <c r="AK1525" i="1"/>
  <c r="AG1525" i="1"/>
  <c r="Z1525" i="1"/>
  <c r="K1525" i="1"/>
  <c r="J1525" i="1"/>
  <c r="A1525" i="1"/>
  <c r="AK1524" i="1"/>
  <c r="AG1524" i="1"/>
  <c r="Z1524" i="1"/>
  <c r="K1524" i="1"/>
  <c r="J1524" i="1"/>
  <c r="A1524" i="1"/>
  <c r="AK1523" i="1"/>
  <c r="AG1523" i="1"/>
  <c r="Z1523" i="1"/>
  <c r="K1523" i="1"/>
  <c r="J1523" i="1"/>
  <c r="A1523" i="1"/>
  <c r="AK1522" i="1"/>
  <c r="AG1522" i="1"/>
  <c r="Z1522" i="1"/>
  <c r="K1522" i="1"/>
  <c r="J1522" i="1"/>
  <c r="A1522" i="1"/>
  <c r="AK1521" i="1"/>
  <c r="AG1521" i="1"/>
  <c r="Z1521" i="1"/>
  <c r="K1521" i="1"/>
  <c r="J1521" i="1"/>
  <c r="A1521" i="1"/>
  <c r="AK1520" i="1"/>
  <c r="AG1520" i="1"/>
  <c r="Z1520" i="1"/>
  <c r="K1520" i="1"/>
  <c r="J1520" i="1"/>
  <c r="A1520" i="1"/>
  <c r="AK1519" i="1"/>
  <c r="AG1519" i="1"/>
  <c r="Z1519" i="1"/>
  <c r="K1519" i="1"/>
  <c r="J1519" i="1"/>
  <c r="A1519" i="1"/>
  <c r="AK1518" i="1"/>
  <c r="AG1518" i="1"/>
  <c r="Z1518" i="1"/>
  <c r="K1518" i="1"/>
  <c r="J1518" i="1"/>
  <c r="A1518" i="1"/>
  <c r="AK1517" i="1"/>
  <c r="AG1517" i="1"/>
  <c r="Z1517" i="1"/>
  <c r="K1517" i="1"/>
  <c r="J1517" i="1"/>
  <c r="A1517" i="1"/>
  <c r="AK1516" i="1"/>
  <c r="AG1516" i="1"/>
  <c r="Z1516" i="1"/>
  <c r="K1516" i="1"/>
  <c r="J1516" i="1"/>
  <c r="A1516" i="1"/>
  <c r="AK1515" i="1"/>
  <c r="AG1515" i="1"/>
  <c r="Z1515" i="1"/>
  <c r="K1515" i="1"/>
  <c r="J1515" i="1"/>
  <c r="A1515" i="1"/>
  <c r="AK1514" i="1"/>
  <c r="AG1514" i="1"/>
  <c r="Z1514" i="1"/>
  <c r="K1514" i="1"/>
  <c r="J1514" i="1"/>
  <c r="A1514" i="1"/>
  <c r="AK1513" i="1"/>
  <c r="AG1513" i="1"/>
  <c r="Z1513" i="1"/>
  <c r="K1513" i="1"/>
  <c r="J1513" i="1"/>
  <c r="A1513" i="1"/>
  <c r="AG1512" i="1"/>
  <c r="Z1512" i="1"/>
  <c r="K1512" i="1"/>
  <c r="J1512" i="1"/>
  <c r="A1512" i="1"/>
  <c r="AG1511" i="1"/>
  <c r="Z1511" i="1"/>
  <c r="K1511" i="1"/>
  <c r="J1511" i="1"/>
  <c r="A1511" i="1"/>
  <c r="AK1510" i="1"/>
  <c r="AG1510" i="1"/>
  <c r="Z1510" i="1"/>
  <c r="M1510" i="1"/>
  <c r="L1510" i="1" s="1"/>
  <c r="A1510" i="1"/>
  <c r="A1509" i="1"/>
  <c r="N1508" i="1"/>
  <c r="L1508" i="1"/>
  <c r="C1508" i="1"/>
  <c r="A1508" i="1"/>
  <c r="A1507" i="1"/>
  <c r="AK1506" i="1"/>
  <c r="AG1506" i="1"/>
  <c r="Z1506" i="1"/>
  <c r="K1506" i="1"/>
  <c r="J1506" i="1"/>
  <c r="A1506" i="1"/>
  <c r="AK1505" i="1"/>
  <c r="AG1505" i="1"/>
  <c r="Z1505" i="1"/>
  <c r="K1505" i="1"/>
  <c r="J1505" i="1"/>
  <c r="A1505" i="1"/>
  <c r="AK1504" i="1"/>
  <c r="AG1504" i="1"/>
  <c r="Z1504" i="1"/>
  <c r="K1504" i="1"/>
  <c r="J1504" i="1"/>
  <c r="A1504" i="1"/>
  <c r="AK1503" i="1"/>
  <c r="AG1503" i="1"/>
  <c r="Z1503" i="1"/>
  <c r="K1503" i="1"/>
  <c r="J1503" i="1"/>
  <c r="A1503" i="1"/>
  <c r="AK1502" i="1"/>
  <c r="AG1502" i="1"/>
  <c r="Z1502" i="1"/>
  <c r="K1502" i="1"/>
  <c r="J1502" i="1"/>
  <c r="A1502" i="1"/>
  <c r="AK1501" i="1"/>
  <c r="AG1501" i="1"/>
  <c r="Z1501" i="1"/>
  <c r="K1501" i="1"/>
  <c r="J1501" i="1"/>
  <c r="A1501" i="1"/>
  <c r="AK1500" i="1"/>
  <c r="AG1500" i="1"/>
  <c r="Z1500" i="1"/>
  <c r="K1500" i="1"/>
  <c r="J1500" i="1"/>
  <c r="A1500" i="1"/>
  <c r="AK1499" i="1"/>
  <c r="AG1499" i="1"/>
  <c r="Z1499" i="1"/>
  <c r="K1499" i="1"/>
  <c r="J1499" i="1"/>
  <c r="A1499" i="1"/>
  <c r="AK1498" i="1"/>
  <c r="AG1498" i="1"/>
  <c r="Z1498" i="1"/>
  <c r="K1498" i="1"/>
  <c r="J1498" i="1"/>
  <c r="A1498" i="1"/>
  <c r="AK1497" i="1"/>
  <c r="AG1497" i="1"/>
  <c r="Z1497" i="1"/>
  <c r="K1497" i="1"/>
  <c r="J1497" i="1"/>
  <c r="A1497" i="1"/>
  <c r="AK1496" i="1"/>
  <c r="AG1496" i="1"/>
  <c r="Z1496" i="1"/>
  <c r="K1496" i="1"/>
  <c r="J1496" i="1"/>
  <c r="A1496" i="1"/>
  <c r="AK1495" i="1"/>
  <c r="AG1495" i="1"/>
  <c r="Z1495" i="1"/>
  <c r="K1495" i="1"/>
  <c r="J1495" i="1"/>
  <c r="A1495" i="1"/>
  <c r="AK1494" i="1"/>
  <c r="AG1494" i="1"/>
  <c r="Z1494" i="1"/>
  <c r="K1494" i="1"/>
  <c r="J1494" i="1"/>
  <c r="A1494" i="1"/>
  <c r="AK1493" i="1"/>
  <c r="AG1493" i="1"/>
  <c r="Z1493" i="1"/>
  <c r="K1493" i="1"/>
  <c r="J1493" i="1"/>
  <c r="A1493" i="1"/>
  <c r="AK1492" i="1"/>
  <c r="AG1492" i="1"/>
  <c r="Z1492" i="1"/>
  <c r="K1492" i="1"/>
  <c r="J1492" i="1"/>
  <c r="A1492" i="1"/>
  <c r="AG1491" i="1"/>
  <c r="Z1491" i="1"/>
  <c r="K1491" i="1"/>
  <c r="J1491" i="1"/>
  <c r="A1491" i="1"/>
  <c r="AK1490" i="1"/>
  <c r="AG1490" i="1"/>
  <c r="Z1490" i="1"/>
  <c r="K1490" i="1"/>
  <c r="J1490" i="1"/>
  <c r="A1490" i="1"/>
  <c r="AK1489" i="1"/>
  <c r="AG1489" i="1"/>
  <c r="Z1489" i="1"/>
  <c r="K1489" i="1"/>
  <c r="J1489" i="1"/>
  <c r="A1489" i="1"/>
  <c r="AG1488" i="1"/>
  <c r="Z1488" i="1"/>
  <c r="K1488" i="1"/>
  <c r="J1488" i="1"/>
  <c r="A1488" i="1"/>
  <c r="AG1487" i="1"/>
  <c r="Z1487" i="1"/>
  <c r="K1487" i="1"/>
  <c r="J1487" i="1"/>
  <c r="A1487" i="1"/>
  <c r="AK1486" i="1"/>
  <c r="AG1486" i="1"/>
  <c r="Z1486" i="1"/>
  <c r="M1486" i="1"/>
  <c r="S1493" i="1" s="1"/>
  <c r="A1486" i="1"/>
  <c r="A1485" i="1"/>
  <c r="N1484" i="1"/>
  <c r="L1484" i="1"/>
  <c r="C1484" i="1"/>
  <c r="A1484" i="1"/>
  <c r="A1483" i="1"/>
  <c r="AK1482" i="1"/>
  <c r="AG1482" i="1"/>
  <c r="Z1482" i="1"/>
  <c r="K1482" i="1"/>
  <c r="J1482" i="1"/>
  <c r="A1482" i="1"/>
  <c r="AK1481" i="1"/>
  <c r="AG1481" i="1"/>
  <c r="Z1481" i="1"/>
  <c r="K1481" i="1"/>
  <c r="J1481" i="1"/>
  <c r="A1481" i="1"/>
  <c r="AK1480" i="1"/>
  <c r="AG1480" i="1"/>
  <c r="Z1480" i="1"/>
  <c r="K1480" i="1"/>
  <c r="J1480" i="1"/>
  <c r="A1480" i="1"/>
  <c r="AK1479" i="1"/>
  <c r="AG1479" i="1"/>
  <c r="Z1479" i="1"/>
  <c r="K1479" i="1"/>
  <c r="J1479" i="1"/>
  <c r="A1479" i="1"/>
  <c r="AK1478" i="1"/>
  <c r="AG1478" i="1"/>
  <c r="Z1478" i="1"/>
  <c r="K1478" i="1"/>
  <c r="J1478" i="1"/>
  <c r="A1478" i="1"/>
  <c r="AK1477" i="1"/>
  <c r="AG1477" i="1"/>
  <c r="Z1477" i="1"/>
  <c r="K1477" i="1"/>
  <c r="J1477" i="1"/>
  <c r="A1477" i="1"/>
  <c r="AK1476" i="1"/>
  <c r="AG1476" i="1"/>
  <c r="Z1476" i="1"/>
  <c r="K1476" i="1"/>
  <c r="J1476" i="1"/>
  <c r="A1476" i="1"/>
  <c r="AK1475" i="1"/>
  <c r="AG1475" i="1"/>
  <c r="Z1475" i="1"/>
  <c r="K1475" i="1"/>
  <c r="J1475" i="1"/>
  <c r="A1475" i="1"/>
  <c r="AK1474" i="1"/>
  <c r="AG1474" i="1"/>
  <c r="Z1474" i="1"/>
  <c r="K1474" i="1"/>
  <c r="J1474" i="1"/>
  <c r="A1474" i="1"/>
  <c r="AK1473" i="1"/>
  <c r="AG1473" i="1"/>
  <c r="Z1473" i="1"/>
  <c r="K1473" i="1"/>
  <c r="J1473" i="1"/>
  <c r="A1473" i="1"/>
  <c r="AK1472" i="1"/>
  <c r="AG1472" i="1"/>
  <c r="Z1472" i="1"/>
  <c r="K1472" i="1"/>
  <c r="J1472" i="1"/>
  <c r="A1472" i="1"/>
  <c r="AK1471" i="1"/>
  <c r="AG1471" i="1"/>
  <c r="Z1471" i="1"/>
  <c r="K1471" i="1"/>
  <c r="J1471" i="1"/>
  <c r="A1471" i="1"/>
  <c r="AK1470" i="1"/>
  <c r="AG1470" i="1"/>
  <c r="Z1470" i="1"/>
  <c r="K1470" i="1"/>
  <c r="J1470" i="1"/>
  <c r="A1470" i="1"/>
  <c r="AK1469" i="1"/>
  <c r="AG1469" i="1"/>
  <c r="Z1469" i="1"/>
  <c r="K1469" i="1"/>
  <c r="J1469" i="1"/>
  <c r="A1469" i="1"/>
  <c r="AK1468" i="1"/>
  <c r="AG1468" i="1"/>
  <c r="Z1468" i="1"/>
  <c r="K1468" i="1"/>
  <c r="J1468" i="1"/>
  <c r="A1468" i="1"/>
  <c r="AG1467" i="1"/>
  <c r="Z1467" i="1"/>
  <c r="K1467" i="1"/>
  <c r="J1467" i="1"/>
  <c r="A1467" i="1"/>
  <c r="AK1466" i="1"/>
  <c r="AG1466" i="1"/>
  <c r="Z1466" i="1"/>
  <c r="K1466" i="1"/>
  <c r="J1466" i="1"/>
  <c r="A1466" i="1"/>
  <c r="AK1465" i="1"/>
  <c r="AG1465" i="1"/>
  <c r="Z1465" i="1"/>
  <c r="K1465" i="1"/>
  <c r="J1465" i="1"/>
  <c r="A1465" i="1"/>
  <c r="AG1464" i="1"/>
  <c r="Z1464" i="1"/>
  <c r="K1464" i="1"/>
  <c r="J1464" i="1"/>
  <c r="A1464" i="1"/>
  <c r="AG1463" i="1"/>
  <c r="Z1463" i="1"/>
  <c r="K1463" i="1"/>
  <c r="J1463" i="1"/>
  <c r="A1463" i="1"/>
  <c r="AK1462" i="1"/>
  <c r="AG1462" i="1"/>
  <c r="Z1462" i="1"/>
  <c r="M1462" i="1"/>
  <c r="S1467" i="1" s="1"/>
  <c r="AC1467" i="1" s="1"/>
  <c r="AB1467" i="1" s="1"/>
  <c r="A1462" i="1"/>
  <c r="A1461" i="1"/>
  <c r="N1460" i="1"/>
  <c r="L1460" i="1"/>
  <c r="C1460" i="1"/>
  <c r="D1460" i="1" s="1"/>
  <c r="A1460" i="1"/>
  <c r="A1459" i="1"/>
  <c r="AK1458" i="1"/>
  <c r="AG1458" i="1"/>
  <c r="Z1458" i="1"/>
  <c r="K1458" i="1"/>
  <c r="J1458" i="1"/>
  <c r="A1458" i="1"/>
  <c r="AK1457" i="1"/>
  <c r="AG1457" i="1"/>
  <c r="Z1457" i="1"/>
  <c r="K1457" i="1"/>
  <c r="J1457" i="1"/>
  <c r="A1457" i="1"/>
  <c r="AK1456" i="1"/>
  <c r="AG1456" i="1"/>
  <c r="Z1456" i="1"/>
  <c r="K1456" i="1"/>
  <c r="J1456" i="1"/>
  <c r="A1456" i="1"/>
  <c r="AK1455" i="1"/>
  <c r="AG1455" i="1"/>
  <c r="Z1455" i="1"/>
  <c r="K1455" i="1"/>
  <c r="J1455" i="1"/>
  <c r="A1455" i="1"/>
  <c r="AK1454" i="1"/>
  <c r="AG1454" i="1"/>
  <c r="Z1454" i="1"/>
  <c r="K1454" i="1"/>
  <c r="J1454" i="1"/>
  <c r="A1454" i="1"/>
  <c r="AK1453" i="1"/>
  <c r="AG1453" i="1"/>
  <c r="Z1453" i="1"/>
  <c r="K1453" i="1"/>
  <c r="J1453" i="1"/>
  <c r="A1453" i="1"/>
  <c r="AK1452" i="1"/>
  <c r="AG1452" i="1"/>
  <c r="Z1452" i="1"/>
  <c r="K1452" i="1"/>
  <c r="J1452" i="1"/>
  <c r="A1452" i="1"/>
  <c r="AK1451" i="1"/>
  <c r="AG1451" i="1"/>
  <c r="Z1451" i="1"/>
  <c r="K1451" i="1"/>
  <c r="J1451" i="1"/>
  <c r="A1451" i="1"/>
  <c r="AK1450" i="1"/>
  <c r="AG1450" i="1"/>
  <c r="Z1450" i="1"/>
  <c r="K1450" i="1"/>
  <c r="J1450" i="1"/>
  <c r="A1450" i="1"/>
  <c r="AK1449" i="1"/>
  <c r="AG1449" i="1"/>
  <c r="Z1449" i="1"/>
  <c r="K1449" i="1"/>
  <c r="J1449" i="1"/>
  <c r="A1449" i="1"/>
  <c r="AK1448" i="1"/>
  <c r="AG1448" i="1"/>
  <c r="Z1448" i="1"/>
  <c r="K1448" i="1"/>
  <c r="J1448" i="1"/>
  <c r="A1448" i="1"/>
  <c r="AK1447" i="1"/>
  <c r="AG1447" i="1"/>
  <c r="Z1447" i="1"/>
  <c r="K1447" i="1"/>
  <c r="J1447" i="1"/>
  <c r="A1447" i="1"/>
  <c r="AK1446" i="1"/>
  <c r="AG1446" i="1"/>
  <c r="Z1446" i="1"/>
  <c r="K1446" i="1"/>
  <c r="J1446" i="1"/>
  <c r="A1446" i="1"/>
  <c r="AK1445" i="1"/>
  <c r="AG1445" i="1"/>
  <c r="Z1445" i="1"/>
  <c r="K1445" i="1"/>
  <c r="J1445" i="1"/>
  <c r="A1445" i="1"/>
  <c r="AK1444" i="1"/>
  <c r="AG1444" i="1"/>
  <c r="Z1444" i="1"/>
  <c r="K1444" i="1"/>
  <c r="J1444" i="1"/>
  <c r="A1444" i="1"/>
  <c r="AG1443" i="1"/>
  <c r="Z1443" i="1"/>
  <c r="K1443" i="1"/>
  <c r="J1443" i="1"/>
  <c r="A1443" i="1"/>
  <c r="AK1442" i="1"/>
  <c r="AG1442" i="1"/>
  <c r="Z1442" i="1"/>
  <c r="K1442" i="1"/>
  <c r="J1442" i="1"/>
  <c r="A1442" i="1"/>
  <c r="AK1441" i="1"/>
  <c r="AG1441" i="1"/>
  <c r="Z1441" i="1"/>
  <c r="K1441" i="1"/>
  <c r="J1441" i="1"/>
  <c r="A1441" i="1"/>
  <c r="AG1440" i="1"/>
  <c r="Z1440" i="1"/>
  <c r="K1440" i="1"/>
  <c r="J1440" i="1"/>
  <c r="A1440" i="1"/>
  <c r="AG1439" i="1"/>
  <c r="Z1439" i="1"/>
  <c r="K1439" i="1"/>
  <c r="J1439" i="1"/>
  <c r="A1439" i="1"/>
  <c r="AK1438" i="1"/>
  <c r="AG1438" i="1"/>
  <c r="Z1438" i="1"/>
  <c r="M1438" i="1"/>
  <c r="S1456" i="1" s="1"/>
  <c r="AC1456" i="1" s="1"/>
  <c r="AB1456" i="1" s="1"/>
  <c r="A1438" i="1"/>
  <c r="A1437" i="1"/>
  <c r="N1436" i="1"/>
  <c r="L1436" i="1"/>
  <c r="C1436" i="1"/>
  <c r="D1436" i="1" s="1"/>
  <c r="A1436" i="1"/>
  <c r="A1435" i="1"/>
  <c r="AK1434" i="1"/>
  <c r="AG1434" i="1"/>
  <c r="Z1434" i="1"/>
  <c r="K1434" i="1"/>
  <c r="J1434" i="1"/>
  <c r="A1434" i="1"/>
  <c r="AK1433" i="1"/>
  <c r="AG1433" i="1"/>
  <c r="Z1433" i="1"/>
  <c r="K1433" i="1"/>
  <c r="J1433" i="1"/>
  <c r="A1433" i="1"/>
  <c r="AK1432" i="1"/>
  <c r="AG1432" i="1"/>
  <c r="Z1432" i="1"/>
  <c r="K1432" i="1"/>
  <c r="J1432" i="1"/>
  <c r="A1432" i="1"/>
  <c r="AK1431" i="1"/>
  <c r="AG1431" i="1"/>
  <c r="Z1431" i="1"/>
  <c r="K1431" i="1"/>
  <c r="J1431" i="1"/>
  <c r="A1431" i="1"/>
  <c r="AK1430" i="1"/>
  <c r="AG1430" i="1"/>
  <c r="Z1430" i="1"/>
  <c r="K1430" i="1"/>
  <c r="J1430" i="1"/>
  <c r="A1430" i="1"/>
  <c r="AK1429" i="1"/>
  <c r="AG1429" i="1"/>
  <c r="Z1429" i="1"/>
  <c r="K1429" i="1"/>
  <c r="J1429" i="1"/>
  <c r="A1429" i="1"/>
  <c r="AK1428" i="1"/>
  <c r="AG1428" i="1"/>
  <c r="Z1428" i="1"/>
  <c r="K1428" i="1"/>
  <c r="J1428" i="1"/>
  <c r="A1428" i="1"/>
  <c r="AK1427" i="1"/>
  <c r="AG1427" i="1"/>
  <c r="Z1427" i="1"/>
  <c r="K1427" i="1"/>
  <c r="J1427" i="1"/>
  <c r="A1427" i="1"/>
  <c r="AK1426" i="1"/>
  <c r="AG1426" i="1"/>
  <c r="Z1426" i="1"/>
  <c r="K1426" i="1"/>
  <c r="J1426" i="1"/>
  <c r="A1426" i="1"/>
  <c r="AK1425" i="1"/>
  <c r="AG1425" i="1"/>
  <c r="Z1425" i="1"/>
  <c r="K1425" i="1"/>
  <c r="J1425" i="1"/>
  <c r="A1425" i="1"/>
  <c r="AK1424" i="1"/>
  <c r="AG1424" i="1"/>
  <c r="Z1424" i="1"/>
  <c r="K1424" i="1"/>
  <c r="J1424" i="1"/>
  <c r="A1424" i="1"/>
  <c r="AK1423" i="1"/>
  <c r="AG1423" i="1"/>
  <c r="Z1423" i="1"/>
  <c r="K1423" i="1"/>
  <c r="J1423" i="1"/>
  <c r="A1423" i="1"/>
  <c r="AK1422" i="1"/>
  <c r="AG1422" i="1"/>
  <c r="Z1422" i="1"/>
  <c r="K1422" i="1"/>
  <c r="J1422" i="1"/>
  <c r="A1422" i="1"/>
  <c r="AK1421" i="1"/>
  <c r="AG1421" i="1"/>
  <c r="Z1421" i="1"/>
  <c r="K1421" i="1"/>
  <c r="J1421" i="1"/>
  <c r="A1421" i="1"/>
  <c r="AK1420" i="1"/>
  <c r="AG1420" i="1"/>
  <c r="Z1420" i="1"/>
  <c r="K1420" i="1"/>
  <c r="J1420" i="1"/>
  <c r="A1420" i="1"/>
  <c r="AG1419" i="1"/>
  <c r="Z1419" i="1"/>
  <c r="K1419" i="1"/>
  <c r="J1419" i="1"/>
  <c r="A1419" i="1"/>
  <c r="AK1418" i="1"/>
  <c r="AG1418" i="1"/>
  <c r="Z1418" i="1"/>
  <c r="K1418" i="1"/>
  <c r="J1418" i="1"/>
  <c r="A1418" i="1"/>
  <c r="AK1417" i="1"/>
  <c r="AG1417" i="1"/>
  <c r="Z1417" i="1"/>
  <c r="K1417" i="1"/>
  <c r="J1417" i="1"/>
  <c r="A1417" i="1"/>
  <c r="AG1416" i="1"/>
  <c r="Z1416" i="1"/>
  <c r="K1416" i="1"/>
  <c r="J1416" i="1"/>
  <c r="A1416" i="1"/>
  <c r="AG1415" i="1"/>
  <c r="Z1415" i="1"/>
  <c r="K1415" i="1"/>
  <c r="J1415" i="1"/>
  <c r="A1415" i="1"/>
  <c r="AK1414" i="1"/>
  <c r="AG1414" i="1"/>
  <c r="Z1414" i="1"/>
  <c r="M1414" i="1"/>
  <c r="S1417" i="1" s="1"/>
  <c r="A1414" i="1"/>
  <c r="A1413" i="1"/>
  <c r="N1412" i="1"/>
  <c r="L1412" i="1"/>
  <c r="C1412" i="1"/>
  <c r="D1412" i="1" s="1"/>
  <c r="A1412" i="1"/>
  <c r="A1411" i="1"/>
  <c r="AK1410" i="1"/>
  <c r="AG1410" i="1"/>
  <c r="Z1410" i="1"/>
  <c r="K1410" i="1"/>
  <c r="J1410" i="1"/>
  <c r="A1410" i="1"/>
  <c r="AK1409" i="1"/>
  <c r="AG1409" i="1"/>
  <c r="Z1409" i="1"/>
  <c r="K1409" i="1"/>
  <c r="J1409" i="1"/>
  <c r="A1409" i="1"/>
  <c r="AK1408" i="1"/>
  <c r="AG1408" i="1"/>
  <c r="Z1408" i="1"/>
  <c r="K1408" i="1"/>
  <c r="J1408" i="1"/>
  <c r="A1408" i="1"/>
  <c r="AK1407" i="1"/>
  <c r="AG1407" i="1"/>
  <c r="Z1407" i="1"/>
  <c r="K1407" i="1"/>
  <c r="J1407" i="1"/>
  <c r="A1407" i="1"/>
  <c r="AK1406" i="1"/>
  <c r="AG1406" i="1"/>
  <c r="Z1406" i="1"/>
  <c r="K1406" i="1"/>
  <c r="J1406" i="1"/>
  <c r="A1406" i="1"/>
  <c r="AK1405" i="1"/>
  <c r="AG1405" i="1"/>
  <c r="Z1405" i="1"/>
  <c r="K1405" i="1"/>
  <c r="J1405" i="1"/>
  <c r="A1405" i="1"/>
  <c r="AK1404" i="1"/>
  <c r="AG1404" i="1"/>
  <c r="Z1404" i="1"/>
  <c r="K1404" i="1"/>
  <c r="J1404" i="1"/>
  <c r="A1404" i="1"/>
  <c r="AK1403" i="1"/>
  <c r="AG1403" i="1"/>
  <c r="Z1403" i="1"/>
  <c r="K1403" i="1"/>
  <c r="J1403" i="1"/>
  <c r="A1403" i="1"/>
  <c r="AK1402" i="1"/>
  <c r="AG1402" i="1"/>
  <c r="Z1402" i="1"/>
  <c r="K1402" i="1"/>
  <c r="J1402" i="1"/>
  <c r="A1402" i="1"/>
  <c r="AK1401" i="1"/>
  <c r="AG1401" i="1"/>
  <c r="Z1401" i="1"/>
  <c r="K1401" i="1"/>
  <c r="J1401" i="1"/>
  <c r="A1401" i="1"/>
  <c r="AK1400" i="1"/>
  <c r="AG1400" i="1"/>
  <c r="Z1400" i="1"/>
  <c r="K1400" i="1"/>
  <c r="J1400" i="1"/>
  <c r="A1400" i="1"/>
  <c r="AK1399" i="1"/>
  <c r="AG1399" i="1"/>
  <c r="Z1399" i="1"/>
  <c r="K1399" i="1"/>
  <c r="J1399" i="1"/>
  <c r="A1399" i="1"/>
  <c r="AK1398" i="1"/>
  <c r="AG1398" i="1"/>
  <c r="Z1398" i="1"/>
  <c r="K1398" i="1"/>
  <c r="J1398" i="1"/>
  <c r="A1398" i="1"/>
  <c r="AK1397" i="1"/>
  <c r="AG1397" i="1"/>
  <c r="Z1397" i="1"/>
  <c r="K1397" i="1"/>
  <c r="J1397" i="1"/>
  <c r="A1397" i="1"/>
  <c r="AK1396" i="1"/>
  <c r="AG1396" i="1"/>
  <c r="Z1396" i="1"/>
  <c r="K1396" i="1"/>
  <c r="J1396" i="1"/>
  <c r="A1396" i="1"/>
  <c r="AG1395" i="1"/>
  <c r="Z1395" i="1"/>
  <c r="K1395" i="1"/>
  <c r="J1395" i="1"/>
  <c r="A1395" i="1"/>
  <c r="AK1394" i="1"/>
  <c r="AG1394" i="1"/>
  <c r="Z1394" i="1"/>
  <c r="K1394" i="1"/>
  <c r="J1394" i="1"/>
  <c r="A1394" i="1"/>
  <c r="AK1393" i="1"/>
  <c r="AG1393" i="1"/>
  <c r="Z1393" i="1"/>
  <c r="K1393" i="1"/>
  <c r="J1393" i="1"/>
  <c r="A1393" i="1"/>
  <c r="AG1392" i="1"/>
  <c r="Z1392" i="1"/>
  <c r="K1392" i="1"/>
  <c r="J1392" i="1"/>
  <c r="A1392" i="1"/>
  <c r="AG1391" i="1"/>
  <c r="Z1391" i="1"/>
  <c r="K1391" i="1"/>
  <c r="J1391" i="1"/>
  <c r="A1391" i="1"/>
  <c r="AK1390" i="1"/>
  <c r="AG1390" i="1"/>
  <c r="Z1390" i="1"/>
  <c r="M1390" i="1"/>
  <c r="A1390" i="1"/>
  <c r="A1389" i="1"/>
  <c r="N1388" i="1"/>
  <c r="L1388" i="1"/>
  <c r="C1388" i="1"/>
  <c r="D1388" i="1" s="1"/>
  <c r="A1388" i="1"/>
  <c r="A1387" i="1"/>
  <c r="AK1386" i="1"/>
  <c r="AG1386" i="1"/>
  <c r="Z1386" i="1"/>
  <c r="K1386" i="1"/>
  <c r="J1386" i="1"/>
  <c r="A1386" i="1"/>
  <c r="AK1385" i="1"/>
  <c r="AG1385" i="1"/>
  <c r="Z1385" i="1"/>
  <c r="K1385" i="1"/>
  <c r="J1385" i="1"/>
  <c r="A1385" i="1"/>
  <c r="AK1384" i="1"/>
  <c r="AG1384" i="1"/>
  <c r="Z1384" i="1"/>
  <c r="K1384" i="1"/>
  <c r="J1384" i="1"/>
  <c r="A1384" i="1"/>
  <c r="AK1383" i="1"/>
  <c r="AG1383" i="1"/>
  <c r="Z1383" i="1"/>
  <c r="K1383" i="1"/>
  <c r="J1383" i="1"/>
  <c r="A1383" i="1"/>
  <c r="AK1382" i="1"/>
  <c r="AG1382" i="1"/>
  <c r="Z1382" i="1"/>
  <c r="K1382" i="1"/>
  <c r="J1382" i="1"/>
  <c r="A1382" i="1"/>
  <c r="AK1381" i="1"/>
  <c r="AG1381" i="1"/>
  <c r="Z1381" i="1"/>
  <c r="K1381" i="1"/>
  <c r="J1381" i="1"/>
  <c r="A1381" i="1"/>
  <c r="AK1380" i="1"/>
  <c r="AG1380" i="1"/>
  <c r="Z1380" i="1"/>
  <c r="K1380" i="1"/>
  <c r="J1380" i="1"/>
  <c r="A1380" i="1"/>
  <c r="AK1379" i="1"/>
  <c r="AG1379" i="1"/>
  <c r="Z1379" i="1"/>
  <c r="K1379" i="1"/>
  <c r="J1379" i="1"/>
  <c r="A1379" i="1"/>
  <c r="AK1378" i="1"/>
  <c r="AG1378" i="1"/>
  <c r="Z1378" i="1"/>
  <c r="K1378" i="1"/>
  <c r="J1378" i="1"/>
  <c r="A1378" i="1"/>
  <c r="AK1377" i="1"/>
  <c r="AG1377" i="1"/>
  <c r="Z1377" i="1"/>
  <c r="K1377" i="1"/>
  <c r="J1377" i="1"/>
  <c r="A1377" i="1"/>
  <c r="AK1376" i="1"/>
  <c r="AG1376" i="1"/>
  <c r="Z1376" i="1"/>
  <c r="K1376" i="1"/>
  <c r="J1376" i="1"/>
  <c r="A1376" i="1"/>
  <c r="AK1375" i="1"/>
  <c r="AG1375" i="1"/>
  <c r="Z1375" i="1"/>
  <c r="K1375" i="1"/>
  <c r="J1375" i="1"/>
  <c r="A1375" i="1"/>
  <c r="AK1374" i="1"/>
  <c r="AG1374" i="1"/>
  <c r="Z1374" i="1"/>
  <c r="K1374" i="1"/>
  <c r="J1374" i="1"/>
  <c r="A1374" i="1"/>
  <c r="AK1373" i="1"/>
  <c r="AG1373" i="1"/>
  <c r="Z1373" i="1"/>
  <c r="K1373" i="1"/>
  <c r="J1373" i="1"/>
  <c r="A1373" i="1"/>
  <c r="AK1372" i="1"/>
  <c r="AG1372" i="1"/>
  <c r="Z1372" i="1"/>
  <c r="K1372" i="1"/>
  <c r="J1372" i="1"/>
  <c r="A1372" i="1"/>
  <c r="AG1371" i="1"/>
  <c r="Z1371" i="1"/>
  <c r="K1371" i="1"/>
  <c r="J1371" i="1"/>
  <c r="A1371" i="1"/>
  <c r="AK1370" i="1"/>
  <c r="AG1370" i="1"/>
  <c r="Z1370" i="1"/>
  <c r="K1370" i="1"/>
  <c r="J1370" i="1"/>
  <c r="A1370" i="1"/>
  <c r="AK1369" i="1"/>
  <c r="AG1369" i="1"/>
  <c r="Z1369" i="1"/>
  <c r="K1369" i="1"/>
  <c r="J1369" i="1"/>
  <c r="A1369" i="1"/>
  <c r="AG1368" i="1"/>
  <c r="Z1368" i="1"/>
  <c r="K1368" i="1"/>
  <c r="J1368" i="1"/>
  <c r="A1368" i="1"/>
  <c r="AG1367" i="1"/>
  <c r="Z1367" i="1"/>
  <c r="K1367" i="1"/>
  <c r="J1367" i="1"/>
  <c r="A1367" i="1"/>
  <c r="AK1366" i="1"/>
  <c r="AG1366" i="1"/>
  <c r="Z1366" i="1"/>
  <c r="M1366" i="1"/>
  <c r="A1366" i="1"/>
  <c r="A1365" i="1"/>
  <c r="N1364" i="1"/>
  <c r="L1364" i="1"/>
  <c r="C1364" i="1"/>
  <c r="D1364" i="1" s="1"/>
  <c r="A1364" i="1"/>
  <c r="A1363" i="1"/>
  <c r="AK1362" i="1"/>
  <c r="AG1362" i="1"/>
  <c r="Z1362" i="1"/>
  <c r="K1362" i="1"/>
  <c r="J1362" i="1"/>
  <c r="A1362" i="1"/>
  <c r="AK1361" i="1"/>
  <c r="AG1361" i="1"/>
  <c r="Z1361" i="1"/>
  <c r="K1361" i="1"/>
  <c r="J1361" i="1"/>
  <c r="A1361" i="1"/>
  <c r="AK1360" i="1"/>
  <c r="AG1360" i="1"/>
  <c r="Z1360" i="1"/>
  <c r="K1360" i="1"/>
  <c r="J1360" i="1"/>
  <c r="A1360" i="1"/>
  <c r="AK1359" i="1"/>
  <c r="AG1359" i="1"/>
  <c r="Z1359" i="1"/>
  <c r="K1359" i="1"/>
  <c r="J1359" i="1"/>
  <c r="A1359" i="1"/>
  <c r="AK1358" i="1"/>
  <c r="AG1358" i="1"/>
  <c r="Z1358" i="1"/>
  <c r="K1358" i="1"/>
  <c r="J1358" i="1"/>
  <c r="A1358" i="1"/>
  <c r="AK1357" i="1"/>
  <c r="AG1357" i="1"/>
  <c r="Z1357" i="1"/>
  <c r="K1357" i="1"/>
  <c r="J1357" i="1"/>
  <c r="A1357" i="1"/>
  <c r="AK1356" i="1"/>
  <c r="AG1356" i="1"/>
  <c r="Z1356" i="1"/>
  <c r="K1356" i="1"/>
  <c r="J1356" i="1"/>
  <c r="A1356" i="1"/>
  <c r="AK1355" i="1"/>
  <c r="AG1355" i="1"/>
  <c r="Z1355" i="1"/>
  <c r="K1355" i="1"/>
  <c r="J1355" i="1"/>
  <c r="A1355" i="1"/>
  <c r="AK1354" i="1"/>
  <c r="AG1354" i="1"/>
  <c r="Z1354" i="1"/>
  <c r="K1354" i="1"/>
  <c r="J1354" i="1"/>
  <c r="A1354" i="1"/>
  <c r="AK1353" i="1"/>
  <c r="AG1353" i="1"/>
  <c r="Z1353" i="1"/>
  <c r="K1353" i="1"/>
  <c r="J1353" i="1"/>
  <c r="A1353" i="1"/>
  <c r="AK1352" i="1"/>
  <c r="AG1352" i="1"/>
  <c r="Z1352" i="1"/>
  <c r="K1352" i="1"/>
  <c r="J1352" i="1"/>
  <c r="A1352" i="1"/>
  <c r="AK1351" i="1"/>
  <c r="AG1351" i="1"/>
  <c r="Z1351" i="1"/>
  <c r="K1351" i="1"/>
  <c r="J1351" i="1"/>
  <c r="A1351" i="1"/>
  <c r="AK1350" i="1"/>
  <c r="AG1350" i="1"/>
  <c r="Z1350" i="1"/>
  <c r="K1350" i="1"/>
  <c r="J1350" i="1"/>
  <c r="A1350" i="1"/>
  <c r="AK1349" i="1"/>
  <c r="AG1349" i="1"/>
  <c r="Z1349" i="1"/>
  <c r="K1349" i="1"/>
  <c r="J1349" i="1"/>
  <c r="A1349" i="1"/>
  <c r="AK1348" i="1"/>
  <c r="AG1348" i="1"/>
  <c r="Z1348" i="1"/>
  <c r="K1348" i="1"/>
  <c r="J1348" i="1"/>
  <c r="A1348" i="1"/>
  <c r="AG1347" i="1"/>
  <c r="Z1347" i="1"/>
  <c r="K1347" i="1"/>
  <c r="J1347" i="1"/>
  <c r="A1347" i="1"/>
  <c r="AK1346" i="1"/>
  <c r="AG1346" i="1"/>
  <c r="Z1346" i="1"/>
  <c r="K1346" i="1"/>
  <c r="J1346" i="1"/>
  <c r="A1346" i="1"/>
  <c r="AK1345" i="1"/>
  <c r="AG1345" i="1"/>
  <c r="Z1345" i="1"/>
  <c r="K1345" i="1"/>
  <c r="J1345" i="1"/>
  <c r="A1345" i="1"/>
  <c r="AG1344" i="1"/>
  <c r="Z1344" i="1"/>
  <c r="K1344" i="1"/>
  <c r="J1344" i="1"/>
  <c r="A1344" i="1"/>
  <c r="AG1343" i="1"/>
  <c r="Z1343" i="1"/>
  <c r="K1343" i="1"/>
  <c r="J1343" i="1"/>
  <c r="A1343" i="1"/>
  <c r="AK1342" i="1"/>
  <c r="AG1342" i="1"/>
  <c r="Z1342" i="1"/>
  <c r="M1342" i="1"/>
  <c r="A1342" i="1"/>
  <c r="A1341" i="1"/>
  <c r="N1340" i="1"/>
  <c r="L1340" i="1"/>
  <c r="C1340" i="1"/>
  <c r="D1340" i="1" s="1"/>
  <c r="A1340" i="1"/>
  <c r="A1339" i="1"/>
  <c r="AK1338" i="1"/>
  <c r="AG1338" i="1"/>
  <c r="Z1338" i="1"/>
  <c r="K1338" i="1"/>
  <c r="J1338" i="1"/>
  <c r="A1338" i="1"/>
  <c r="AK1337" i="1"/>
  <c r="AG1337" i="1"/>
  <c r="Z1337" i="1"/>
  <c r="K1337" i="1"/>
  <c r="J1337" i="1"/>
  <c r="A1337" i="1"/>
  <c r="AK1336" i="1"/>
  <c r="AG1336" i="1"/>
  <c r="Z1336" i="1"/>
  <c r="K1336" i="1"/>
  <c r="J1336" i="1"/>
  <c r="A1336" i="1"/>
  <c r="AK1335" i="1"/>
  <c r="AG1335" i="1"/>
  <c r="Z1335" i="1"/>
  <c r="K1335" i="1"/>
  <c r="J1335" i="1"/>
  <c r="A1335" i="1"/>
  <c r="AK1334" i="1"/>
  <c r="AG1334" i="1"/>
  <c r="Z1334" i="1"/>
  <c r="K1334" i="1"/>
  <c r="J1334" i="1"/>
  <c r="A1334" i="1"/>
  <c r="AK1333" i="1"/>
  <c r="AG1333" i="1"/>
  <c r="Z1333" i="1"/>
  <c r="K1333" i="1"/>
  <c r="J1333" i="1"/>
  <c r="A1333" i="1"/>
  <c r="AK1332" i="1"/>
  <c r="AG1332" i="1"/>
  <c r="Z1332" i="1"/>
  <c r="K1332" i="1"/>
  <c r="J1332" i="1"/>
  <c r="A1332" i="1"/>
  <c r="AK1331" i="1"/>
  <c r="AG1331" i="1"/>
  <c r="Z1331" i="1"/>
  <c r="K1331" i="1"/>
  <c r="J1331" i="1"/>
  <c r="A1331" i="1"/>
  <c r="AK1330" i="1"/>
  <c r="AG1330" i="1"/>
  <c r="Z1330" i="1"/>
  <c r="K1330" i="1"/>
  <c r="J1330" i="1"/>
  <c r="A1330" i="1"/>
  <c r="AK1329" i="1"/>
  <c r="AG1329" i="1"/>
  <c r="Z1329" i="1"/>
  <c r="K1329" i="1"/>
  <c r="J1329" i="1"/>
  <c r="A1329" i="1"/>
  <c r="AK1328" i="1"/>
  <c r="AG1328" i="1"/>
  <c r="Z1328" i="1"/>
  <c r="K1328" i="1"/>
  <c r="J1328" i="1"/>
  <c r="A1328" i="1"/>
  <c r="AK1327" i="1"/>
  <c r="AG1327" i="1"/>
  <c r="Z1327" i="1"/>
  <c r="K1327" i="1"/>
  <c r="J1327" i="1"/>
  <c r="A1327" i="1"/>
  <c r="AG1326" i="1"/>
  <c r="Z1326" i="1"/>
  <c r="K1326" i="1"/>
  <c r="J1326" i="1"/>
  <c r="A1326" i="1"/>
  <c r="AK1325" i="1"/>
  <c r="AG1325" i="1"/>
  <c r="Z1325" i="1"/>
  <c r="K1325" i="1"/>
  <c r="J1325" i="1"/>
  <c r="A1325" i="1"/>
  <c r="AK1324" i="1"/>
  <c r="AG1324" i="1"/>
  <c r="Z1324" i="1"/>
  <c r="K1324" i="1"/>
  <c r="J1324" i="1"/>
  <c r="A1324" i="1"/>
  <c r="AG1323" i="1"/>
  <c r="Z1323" i="1"/>
  <c r="K1323" i="1"/>
  <c r="J1323" i="1"/>
  <c r="A1323" i="1"/>
  <c r="AK1322" i="1"/>
  <c r="AG1322" i="1"/>
  <c r="Z1322" i="1"/>
  <c r="K1322" i="1"/>
  <c r="J1322" i="1"/>
  <c r="A1322" i="1"/>
  <c r="AK1321" i="1"/>
  <c r="AG1321" i="1"/>
  <c r="Z1321" i="1"/>
  <c r="K1321" i="1"/>
  <c r="J1321" i="1"/>
  <c r="A1321" i="1"/>
  <c r="AG1320" i="1"/>
  <c r="Z1320" i="1"/>
  <c r="K1320" i="1"/>
  <c r="J1320" i="1"/>
  <c r="A1320" i="1"/>
  <c r="AG1319" i="1"/>
  <c r="Z1319" i="1"/>
  <c r="K1319" i="1"/>
  <c r="J1319" i="1"/>
  <c r="A1319" i="1"/>
  <c r="AK1318" i="1"/>
  <c r="AG1318" i="1"/>
  <c r="Z1318" i="1"/>
  <c r="M1318" i="1"/>
  <c r="S1338" i="1" s="1"/>
  <c r="A1318" i="1"/>
  <c r="A1317" i="1"/>
  <c r="N1316" i="1"/>
  <c r="L1316" i="1"/>
  <c r="C1316" i="1"/>
  <c r="D1316" i="1" s="1"/>
  <c r="A1316" i="1"/>
  <c r="A1315" i="1"/>
  <c r="AK1314" i="1"/>
  <c r="AG1314" i="1"/>
  <c r="Z1314" i="1"/>
  <c r="K1314" i="1"/>
  <c r="J1314" i="1"/>
  <c r="A1314" i="1"/>
  <c r="AK1313" i="1"/>
  <c r="AG1313" i="1"/>
  <c r="Z1313" i="1"/>
  <c r="K1313" i="1"/>
  <c r="J1313" i="1"/>
  <c r="A1313" i="1"/>
  <c r="AK1312" i="1"/>
  <c r="AG1312" i="1"/>
  <c r="Z1312" i="1"/>
  <c r="K1312" i="1"/>
  <c r="J1312" i="1"/>
  <c r="A1312" i="1"/>
  <c r="AK1311" i="1"/>
  <c r="AG1311" i="1"/>
  <c r="Z1311" i="1"/>
  <c r="K1311" i="1"/>
  <c r="J1311" i="1"/>
  <c r="A1311" i="1"/>
  <c r="AK1310" i="1"/>
  <c r="AG1310" i="1"/>
  <c r="Z1310" i="1"/>
  <c r="K1310" i="1"/>
  <c r="J1310" i="1"/>
  <c r="A1310" i="1"/>
  <c r="AK1309" i="1"/>
  <c r="AG1309" i="1"/>
  <c r="Z1309" i="1"/>
  <c r="K1309" i="1"/>
  <c r="J1309" i="1"/>
  <c r="A1309" i="1"/>
  <c r="AK1308" i="1"/>
  <c r="AG1308" i="1"/>
  <c r="Z1308" i="1"/>
  <c r="K1308" i="1"/>
  <c r="J1308" i="1"/>
  <c r="A1308" i="1"/>
  <c r="AK1307" i="1"/>
  <c r="AG1307" i="1"/>
  <c r="Z1307" i="1"/>
  <c r="K1307" i="1"/>
  <c r="J1307" i="1"/>
  <c r="A1307" i="1"/>
  <c r="AK1306" i="1"/>
  <c r="AG1306" i="1"/>
  <c r="Z1306" i="1"/>
  <c r="K1306" i="1"/>
  <c r="J1306" i="1"/>
  <c r="A1306" i="1"/>
  <c r="AK1305" i="1"/>
  <c r="AG1305" i="1"/>
  <c r="Z1305" i="1"/>
  <c r="K1305" i="1"/>
  <c r="J1305" i="1"/>
  <c r="A1305" i="1"/>
  <c r="AK1304" i="1"/>
  <c r="AG1304" i="1"/>
  <c r="Z1304" i="1"/>
  <c r="K1304" i="1"/>
  <c r="J1304" i="1"/>
  <c r="A1304" i="1"/>
  <c r="AK1303" i="1"/>
  <c r="AG1303" i="1"/>
  <c r="Z1303" i="1"/>
  <c r="K1303" i="1"/>
  <c r="J1303" i="1"/>
  <c r="A1303" i="1"/>
  <c r="AG1302" i="1"/>
  <c r="Z1302" i="1"/>
  <c r="K1302" i="1"/>
  <c r="J1302" i="1"/>
  <c r="A1302" i="1"/>
  <c r="AK1301" i="1"/>
  <c r="AG1301" i="1"/>
  <c r="Z1301" i="1"/>
  <c r="K1301" i="1"/>
  <c r="J1301" i="1"/>
  <c r="A1301" i="1"/>
  <c r="AK1300" i="1"/>
  <c r="AG1300" i="1"/>
  <c r="Z1300" i="1"/>
  <c r="K1300" i="1"/>
  <c r="J1300" i="1"/>
  <c r="A1300" i="1"/>
  <c r="AG1299" i="1"/>
  <c r="Z1299" i="1"/>
  <c r="K1299" i="1"/>
  <c r="J1299" i="1"/>
  <c r="A1299" i="1"/>
  <c r="AK1298" i="1"/>
  <c r="AG1298" i="1"/>
  <c r="Z1298" i="1"/>
  <c r="K1298" i="1"/>
  <c r="J1298" i="1"/>
  <c r="A1298" i="1"/>
  <c r="AK1297" i="1"/>
  <c r="AG1297" i="1"/>
  <c r="Z1297" i="1"/>
  <c r="K1297" i="1"/>
  <c r="J1297" i="1"/>
  <c r="A1297" i="1"/>
  <c r="AG1296" i="1"/>
  <c r="Z1296" i="1"/>
  <c r="K1296" i="1"/>
  <c r="J1296" i="1"/>
  <c r="A1296" i="1"/>
  <c r="AG1295" i="1"/>
  <c r="Z1295" i="1"/>
  <c r="K1295" i="1"/>
  <c r="J1295" i="1"/>
  <c r="A1295" i="1"/>
  <c r="AK1294" i="1"/>
  <c r="AG1294" i="1"/>
  <c r="Z1294" i="1"/>
  <c r="M1294" i="1"/>
  <c r="S1309" i="1" s="1"/>
  <c r="A1294" i="1"/>
  <c r="A1293" i="1"/>
  <c r="N1292" i="1"/>
  <c r="L1292" i="1"/>
  <c r="C1292" i="1"/>
  <c r="D1292" i="1" s="1"/>
  <c r="A1292" i="1"/>
  <c r="A1291" i="1"/>
  <c r="AK1290" i="1"/>
  <c r="AG1290" i="1"/>
  <c r="Z1290" i="1"/>
  <c r="K1290" i="1"/>
  <c r="J1290" i="1"/>
  <c r="A1290" i="1"/>
  <c r="AK1289" i="1"/>
  <c r="AG1289" i="1"/>
  <c r="Z1289" i="1"/>
  <c r="K1289" i="1"/>
  <c r="J1289" i="1"/>
  <c r="A1289" i="1"/>
  <c r="AK1288" i="1"/>
  <c r="AG1288" i="1"/>
  <c r="Z1288" i="1"/>
  <c r="K1288" i="1"/>
  <c r="J1288" i="1"/>
  <c r="A1288" i="1"/>
  <c r="AK1287" i="1"/>
  <c r="AG1287" i="1"/>
  <c r="Z1287" i="1"/>
  <c r="K1287" i="1"/>
  <c r="J1287" i="1"/>
  <c r="A1287" i="1"/>
  <c r="AK1286" i="1"/>
  <c r="AG1286" i="1"/>
  <c r="Z1286" i="1"/>
  <c r="K1286" i="1"/>
  <c r="J1286" i="1"/>
  <c r="A1286" i="1"/>
  <c r="AK1285" i="1"/>
  <c r="AG1285" i="1"/>
  <c r="Z1285" i="1"/>
  <c r="K1285" i="1"/>
  <c r="J1285" i="1"/>
  <c r="A1285" i="1"/>
  <c r="AK1284" i="1"/>
  <c r="AG1284" i="1"/>
  <c r="Z1284" i="1"/>
  <c r="K1284" i="1"/>
  <c r="J1284" i="1"/>
  <c r="A1284" i="1"/>
  <c r="AK1283" i="1"/>
  <c r="AG1283" i="1"/>
  <c r="Z1283" i="1"/>
  <c r="K1283" i="1"/>
  <c r="J1283" i="1"/>
  <c r="A1283" i="1"/>
  <c r="AK1282" i="1"/>
  <c r="AG1282" i="1"/>
  <c r="Z1282" i="1"/>
  <c r="K1282" i="1"/>
  <c r="J1282" i="1"/>
  <c r="A1282" i="1"/>
  <c r="AK1281" i="1"/>
  <c r="AG1281" i="1"/>
  <c r="Z1281" i="1"/>
  <c r="K1281" i="1"/>
  <c r="J1281" i="1"/>
  <c r="A1281" i="1"/>
  <c r="AK1280" i="1"/>
  <c r="AG1280" i="1"/>
  <c r="Z1280" i="1"/>
  <c r="K1280" i="1"/>
  <c r="J1280" i="1"/>
  <c r="A1280" i="1"/>
  <c r="AK1279" i="1"/>
  <c r="AG1279" i="1"/>
  <c r="Z1279" i="1"/>
  <c r="K1279" i="1"/>
  <c r="J1279" i="1"/>
  <c r="A1279" i="1"/>
  <c r="AK1278" i="1"/>
  <c r="AG1278" i="1"/>
  <c r="Z1278" i="1"/>
  <c r="K1278" i="1"/>
  <c r="J1278" i="1"/>
  <c r="A1278" i="1"/>
  <c r="AK1277" i="1"/>
  <c r="AG1277" i="1"/>
  <c r="Z1277" i="1"/>
  <c r="K1277" i="1"/>
  <c r="J1277" i="1"/>
  <c r="A1277" i="1"/>
  <c r="AK1276" i="1"/>
  <c r="AG1276" i="1"/>
  <c r="Z1276" i="1"/>
  <c r="K1276" i="1"/>
  <c r="J1276" i="1"/>
  <c r="A1276" i="1"/>
  <c r="AK1275" i="1"/>
  <c r="AG1275" i="1"/>
  <c r="Z1275" i="1"/>
  <c r="K1275" i="1"/>
  <c r="J1275" i="1"/>
  <c r="A1275" i="1"/>
  <c r="AK1274" i="1"/>
  <c r="AG1274" i="1"/>
  <c r="Z1274" i="1"/>
  <c r="K1274" i="1"/>
  <c r="J1274" i="1"/>
  <c r="A1274" i="1"/>
  <c r="AK1273" i="1"/>
  <c r="AG1273" i="1"/>
  <c r="Z1273" i="1"/>
  <c r="K1273" i="1"/>
  <c r="J1273" i="1"/>
  <c r="A1273" i="1"/>
  <c r="AK1272" i="1"/>
  <c r="AG1272" i="1"/>
  <c r="Z1272" i="1"/>
  <c r="K1272" i="1"/>
  <c r="J1272" i="1"/>
  <c r="A1272" i="1"/>
  <c r="AK1271" i="1"/>
  <c r="AG1271" i="1"/>
  <c r="Z1271" i="1"/>
  <c r="K1271" i="1"/>
  <c r="J1271" i="1"/>
  <c r="A1271" i="1"/>
  <c r="AK1270" i="1"/>
  <c r="AG1270" i="1"/>
  <c r="Z1270" i="1"/>
  <c r="M1270" i="1"/>
  <c r="S1288" i="1" s="1"/>
  <c r="AC1288" i="1" s="1"/>
  <c r="AB1288" i="1" s="1"/>
  <c r="A1270" i="1"/>
  <c r="A1269" i="1"/>
  <c r="N1268" i="1"/>
  <c r="L1268" i="1"/>
  <c r="C1268" i="1"/>
  <c r="D1268" i="1" s="1"/>
  <c r="A1268" i="1"/>
  <c r="A1267" i="1"/>
  <c r="AK1266" i="1"/>
  <c r="AG1266" i="1"/>
  <c r="Z1266" i="1"/>
  <c r="K1266" i="1"/>
  <c r="J1266" i="1"/>
  <c r="A1266" i="1"/>
  <c r="AK1265" i="1"/>
  <c r="AG1265" i="1"/>
  <c r="Z1265" i="1"/>
  <c r="K1265" i="1"/>
  <c r="J1265" i="1"/>
  <c r="A1265" i="1"/>
  <c r="AK1264" i="1"/>
  <c r="AG1264" i="1"/>
  <c r="Z1264" i="1"/>
  <c r="K1264" i="1"/>
  <c r="J1264" i="1"/>
  <c r="A1264" i="1"/>
  <c r="AK1263" i="1"/>
  <c r="AG1263" i="1"/>
  <c r="Z1263" i="1"/>
  <c r="K1263" i="1"/>
  <c r="J1263" i="1"/>
  <c r="A1263" i="1"/>
  <c r="AK1262" i="1"/>
  <c r="AG1262" i="1"/>
  <c r="Z1262" i="1"/>
  <c r="K1262" i="1"/>
  <c r="J1262" i="1"/>
  <c r="A1262" i="1"/>
  <c r="AK1261" i="1"/>
  <c r="AG1261" i="1"/>
  <c r="Z1261" i="1"/>
  <c r="K1261" i="1"/>
  <c r="J1261" i="1"/>
  <c r="A1261" i="1"/>
  <c r="AK1260" i="1"/>
  <c r="AG1260" i="1"/>
  <c r="Z1260" i="1"/>
  <c r="K1260" i="1"/>
  <c r="J1260" i="1"/>
  <c r="A1260" i="1"/>
  <c r="AK1259" i="1"/>
  <c r="AG1259" i="1"/>
  <c r="Z1259" i="1"/>
  <c r="K1259" i="1"/>
  <c r="J1259" i="1"/>
  <c r="A1259" i="1"/>
  <c r="AK1258" i="1"/>
  <c r="AG1258" i="1"/>
  <c r="Z1258" i="1"/>
  <c r="K1258" i="1"/>
  <c r="J1258" i="1"/>
  <c r="A1258" i="1"/>
  <c r="AK1257" i="1"/>
  <c r="AG1257" i="1"/>
  <c r="Z1257" i="1"/>
  <c r="K1257" i="1"/>
  <c r="J1257" i="1"/>
  <c r="A1257" i="1"/>
  <c r="AK1256" i="1"/>
  <c r="AG1256" i="1"/>
  <c r="Z1256" i="1"/>
  <c r="K1256" i="1"/>
  <c r="J1256" i="1"/>
  <c r="A1256" i="1"/>
  <c r="AK1255" i="1"/>
  <c r="AG1255" i="1"/>
  <c r="Z1255" i="1"/>
  <c r="K1255" i="1"/>
  <c r="J1255" i="1"/>
  <c r="A1255" i="1"/>
  <c r="AK1254" i="1"/>
  <c r="AG1254" i="1"/>
  <c r="Z1254" i="1"/>
  <c r="K1254" i="1"/>
  <c r="J1254" i="1"/>
  <c r="A1254" i="1"/>
  <c r="AK1253" i="1"/>
  <c r="AG1253" i="1"/>
  <c r="Z1253" i="1"/>
  <c r="K1253" i="1"/>
  <c r="J1253" i="1"/>
  <c r="A1253" i="1"/>
  <c r="AK1252" i="1"/>
  <c r="AG1252" i="1"/>
  <c r="Z1252" i="1"/>
  <c r="K1252" i="1"/>
  <c r="J1252" i="1"/>
  <c r="A1252" i="1"/>
  <c r="AK1251" i="1"/>
  <c r="AG1251" i="1"/>
  <c r="Z1251" i="1"/>
  <c r="K1251" i="1"/>
  <c r="J1251" i="1"/>
  <c r="A1251" i="1"/>
  <c r="AK1250" i="1"/>
  <c r="AG1250" i="1"/>
  <c r="Z1250" i="1"/>
  <c r="K1250" i="1"/>
  <c r="J1250" i="1"/>
  <c r="A1250" i="1"/>
  <c r="AK1249" i="1"/>
  <c r="AG1249" i="1"/>
  <c r="Z1249" i="1"/>
  <c r="K1249" i="1"/>
  <c r="J1249" i="1"/>
  <c r="A1249" i="1"/>
  <c r="AK1248" i="1"/>
  <c r="AG1248" i="1"/>
  <c r="Z1248" i="1"/>
  <c r="K1248" i="1"/>
  <c r="J1248" i="1"/>
  <c r="A1248" i="1"/>
  <c r="AK1247" i="1"/>
  <c r="AG1247" i="1"/>
  <c r="Z1247" i="1"/>
  <c r="K1247" i="1"/>
  <c r="J1247" i="1"/>
  <c r="A1247" i="1"/>
  <c r="AK1246" i="1"/>
  <c r="AG1246" i="1"/>
  <c r="Z1246" i="1"/>
  <c r="M1246" i="1"/>
  <c r="A1246" i="1"/>
  <c r="A1245" i="1"/>
  <c r="N1244" i="1"/>
  <c r="L1244" i="1"/>
  <c r="C1244" i="1"/>
  <c r="A1244" i="1"/>
  <c r="A1243" i="1"/>
  <c r="AK1242" i="1"/>
  <c r="AG1242" i="1"/>
  <c r="Z1242" i="1"/>
  <c r="K1242" i="1"/>
  <c r="J1242" i="1"/>
  <c r="A1242" i="1"/>
  <c r="AK1241" i="1"/>
  <c r="AG1241" i="1"/>
  <c r="Z1241" i="1"/>
  <c r="K1241" i="1"/>
  <c r="J1241" i="1"/>
  <c r="A1241" i="1"/>
  <c r="AK1240" i="1"/>
  <c r="AG1240" i="1"/>
  <c r="Z1240" i="1"/>
  <c r="K1240" i="1"/>
  <c r="J1240" i="1"/>
  <c r="A1240" i="1"/>
  <c r="AK1239" i="1"/>
  <c r="AG1239" i="1"/>
  <c r="Z1239" i="1"/>
  <c r="K1239" i="1"/>
  <c r="J1239" i="1"/>
  <c r="A1239" i="1"/>
  <c r="AK1238" i="1"/>
  <c r="AG1238" i="1"/>
  <c r="Z1238" i="1"/>
  <c r="K1238" i="1"/>
  <c r="J1238" i="1"/>
  <c r="A1238" i="1"/>
  <c r="AK1237" i="1"/>
  <c r="AG1237" i="1"/>
  <c r="Z1237" i="1"/>
  <c r="K1237" i="1"/>
  <c r="J1237" i="1"/>
  <c r="A1237" i="1"/>
  <c r="AK1236" i="1"/>
  <c r="AG1236" i="1"/>
  <c r="Z1236" i="1"/>
  <c r="K1236" i="1"/>
  <c r="J1236" i="1"/>
  <c r="A1236" i="1"/>
  <c r="AK1235" i="1"/>
  <c r="AG1235" i="1"/>
  <c r="Z1235" i="1"/>
  <c r="K1235" i="1"/>
  <c r="J1235" i="1"/>
  <c r="A1235" i="1"/>
  <c r="AK1234" i="1"/>
  <c r="AG1234" i="1"/>
  <c r="Z1234" i="1"/>
  <c r="K1234" i="1"/>
  <c r="J1234" i="1"/>
  <c r="A1234" i="1"/>
  <c r="AK1233" i="1"/>
  <c r="AG1233" i="1"/>
  <c r="Z1233" i="1"/>
  <c r="K1233" i="1"/>
  <c r="J1233" i="1"/>
  <c r="A1233" i="1"/>
  <c r="AK1232" i="1"/>
  <c r="AG1232" i="1"/>
  <c r="Z1232" i="1"/>
  <c r="K1232" i="1"/>
  <c r="J1232" i="1"/>
  <c r="A1232" i="1"/>
  <c r="AK1231" i="1"/>
  <c r="AG1231" i="1"/>
  <c r="Z1231" i="1"/>
  <c r="K1231" i="1"/>
  <c r="J1231" i="1"/>
  <c r="A1231" i="1"/>
  <c r="AK1230" i="1"/>
  <c r="AG1230" i="1"/>
  <c r="Z1230" i="1"/>
  <c r="K1230" i="1"/>
  <c r="J1230" i="1"/>
  <c r="A1230" i="1"/>
  <c r="AK1229" i="1"/>
  <c r="AG1229" i="1"/>
  <c r="Z1229" i="1"/>
  <c r="K1229" i="1"/>
  <c r="J1229" i="1"/>
  <c r="A1229" i="1"/>
  <c r="AK1228" i="1"/>
  <c r="AG1228" i="1"/>
  <c r="Z1228" i="1"/>
  <c r="K1228" i="1"/>
  <c r="J1228" i="1"/>
  <c r="A1228" i="1"/>
  <c r="AK1227" i="1"/>
  <c r="AG1227" i="1"/>
  <c r="Z1227" i="1"/>
  <c r="K1227" i="1"/>
  <c r="J1227" i="1"/>
  <c r="A1227" i="1"/>
  <c r="AK1226" i="1"/>
  <c r="AG1226" i="1"/>
  <c r="Z1226" i="1"/>
  <c r="K1226" i="1"/>
  <c r="J1226" i="1"/>
  <c r="A1226" i="1"/>
  <c r="AK1225" i="1"/>
  <c r="AG1225" i="1"/>
  <c r="Z1225" i="1"/>
  <c r="K1225" i="1"/>
  <c r="J1225" i="1"/>
  <c r="A1225" i="1"/>
  <c r="AK1224" i="1"/>
  <c r="AG1224" i="1"/>
  <c r="Z1224" i="1"/>
  <c r="K1224" i="1"/>
  <c r="J1224" i="1"/>
  <c r="A1224" i="1"/>
  <c r="AG1223" i="1"/>
  <c r="Z1223" i="1"/>
  <c r="K1223" i="1"/>
  <c r="J1223" i="1"/>
  <c r="A1223" i="1"/>
  <c r="AK1222" i="1"/>
  <c r="AG1222" i="1"/>
  <c r="Z1222" i="1"/>
  <c r="M1222" i="1"/>
  <c r="S1242" i="1" s="1"/>
  <c r="V1242" i="1" s="1"/>
  <c r="W1242" i="1" s="1"/>
  <c r="A1222" i="1"/>
  <c r="A1221" i="1"/>
  <c r="N1220" i="1"/>
  <c r="L1220" i="1"/>
  <c r="C1220" i="1"/>
  <c r="D1220" i="1" s="1"/>
  <c r="A1220" i="1"/>
  <c r="A1219" i="1"/>
  <c r="AK1218" i="1"/>
  <c r="AG1218" i="1"/>
  <c r="Z1218" i="1"/>
  <c r="K1218" i="1"/>
  <c r="J1218" i="1"/>
  <c r="A1218" i="1"/>
  <c r="AK1217" i="1"/>
  <c r="AG1217" i="1"/>
  <c r="Z1217" i="1"/>
  <c r="K1217" i="1"/>
  <c r="J1217" i="1"/>
  <c r="A1217" i="1"/>
  <c r="AK1216" i="1"/>
  <c r="AG1216" i="1"/>
  <c r="Z1216" i="1"/>
  <c r="K1216" i="1"/>
  <c r="J1216" i="1"/>
  <c r="A1216" i="1"/>
  <c r="AK1215" i="1"/>
  <c r="AG1215" i="1"/>
  <c r="Z1215" i="1"/>
  <c r="K1215" i="1"/>
  <c r="J1215" i="1"/>
  <c r="A1215" i="1"/>
  <c r="AK1214" i="1"/>
  <c r="AG1214" i="1"/>
  <c r="Z1214" i="1"/>
  <c r="K1214" i="1"/>
  <c r="J1214" i="1"/>
  <c r="A1214" i="1"/>
  <c r="AK1213" i="1"/>
  <c r="AG1213" i="1"/>
  <c r="Z1213" i="1"/>
  <c r="K1213" i="1"/>
  <c r="J1213" i="1"/>
  <c r="A1213" i="1"/>
  <c r="AK1212" i="1"/>
  <c r="AG1212" i="1"/>
  <c r="Z1212" i="1"/>
  <c r="K1212" i="1"/>
  <c r="J1212" i="1"/>
  <c r="A1212" i="1"/>
  <c r="AK1211" i="1"/>
  <c r="AG1211" i="1"/>
  <c r="Z1211" i="1"/>
  <c r="K1211" i="1"/>
  <c r="J1211" i="1"/>
  <c r="A1211" i="1"/>
  <c r="AK1210" i="1"/>
  <c r="AG1210" i="1"/>
  <c r="Z1210" i="1"/>
  <c r="K1210" i="1"/>
  <c r="J1210" i="1"/>
  <c r="A1210" i="1"/>
  <c r="AK1209" i="1"/>
  <c r="AG1209" i="1"/>
  <c r="Z1209" i="1"/>
  <c r="K1209" i="1"/>
  <c r="J1209" i="1"/>
  <c r="A1209" i="1"/>
  <c r="AK1208" i="1"/>
  <c r="AG1208" i="1"/>
  <c r="Z1208" i="1"/>
  <c r="K1208" i="1"/>
  <c r="J1208" i="1"/>
  <c r="A1208" i="1"/>
  <c r="AK1207" i="1"/>
  <c r="AG1207" i="1"/>
  <c r="Z1207" i="1"/>
  <c r="K1207" i="1"/>
  <c r="J1207" i="1"/>
  <c r="A1207" i="1"/>
  <c r="AK1206" i="1"/>
  <c r="AG1206" i="1"/>
  <c r="Z1206" i="1"/>
  <c r="K1206" i="1"/>
  <c r="J1206" i="1"/>
  <c r="A1206" i="1"/>
  <c r="AK1205" i="1"/>
  <c r="AG1205" i="1"/>
  <c r="Z1205" i="1"/>
  <c r="K1205" i="1"/>
  <c r="J1205" i="1"/>
  <c r="A1205" i="1"/>
  <c r="AK1204" i="1"/>
  <c r="AG1204" i="1"/>
  <c r="Z1204" i="1"/>
  <c r="K1204" i="1"/>
  <c r="J1204" i="1"/>
  <c r="A1204" i="1"/>
  <c r="AK1203" i="1"/>
  <c r="AG1203" i="1"/>
  <c r="Z1203" i="1"/>
  <c r="K1203" i="1"/>
  <c r="J1203" i="1"/>
  <c r="A1203" i="1"/>
  <c r="AK1202" i="1"/>
  <c r="AG1202" i="1"/>
  <c r="Z1202" i="1"/>
  <c r="K1202" i="1"/>
  <c r="J1202" i="1"/>
  <c r="A1202" i="1"/>
  <c r="AK1201" i="1"/>
  <c r="AG1201" i="1"/>
  <c r="Z1201" i="1"/>
  <c r="K1201" i="1"/>
  <c r="J1201" i="1"/>
  <c r="A1201" i="1"/>
  <c r="AK1200" i="1"/>
  <c r="AG1200" i="1"/>
  <c r="Z1200" i="1"/>
  <c r="K1200" i="1"/>
  <c r="J1200" i="1"/>
  <c r="A1200" i="1"/>
  <c r="AG1199" i="1"/>
  <c r="Z1199" i="1"/>
  <c r="K1199" i="1"/>
  <c r="J1199" i="1"/>
  <c r="A1199" i="1"/>
  <c r="AK1198" i="1"/>
  <c r="AG1198" i="1"/>
  <c r="Z1198" i="1"/>
  <c r="M1198" i="1"/>
  <c r="A1198" i="1"/>
  <c r="A1197" i="1"/>
  <c r="N1196" i="1"/>
  <c r="L1196" i="1"/>
  <c r="C1196" i="1"/>
  <c r="A1196" i="1"/>
  <c r="A1195" i="1"/>
  <c r="AK1194" i="1"/>
  <c r="AG1194" i="1"/>
  <c r="Z1194" i="1"/>
  <c r="K1194" i="1"/>
  <c r="J1194" i="1"/>
  <c r="A1194" i="1"/>
  <c r="AK1193" i="1"/>
  <c r="AG1193" i="1"/>
  <c r="Z1193" i="1"/>
  <c r="K1193" i="1"/>
  <c r="J1193" i="1"/>
  <c r="A1193" i="1"/>
  <c r="AK1192" i="1"/>
  <c r="AG1192" i="1"/>
  <c r="Z1192" i="1"/>
  <c r="K1192" i="1"/>
  <c r="J1192" i="1"/>
  <c r="A1192" i="1"/>
  <c r="AK1191" i="1"/>
  <c r="AG1191" i="1"/>
  <c r="Z1191" i="1"/>
  <c r="K1191" i="1"/>
  <c r="J1191" i="1"/>
  <c r="A1191" i="1"/>
  <c r="AK1190" i="1"/>
  <c r="AG1190" i="1"/>
  <c r="Z1190" i="1"/>
  <c r="K1190" i="1"/>
  <c r="J1190" i="1"/>
  <c r="A1190" i="1"/>
  <c r="AK1189" i="1"/>
  <c r="AG1189" i="1"/>
  <c r="Z1189" i="1"/>
  <c r="K1189" i="1"/>
  <c r="J1189" i="1"/>
  <c r="A1189" i="1"/>
  <c r="AK1188" i="1"/>
  <c r="AG1188" i="1"/>
  <c r="Z1188" i="1"/>
  <c r="K1188" i="1"/>
  <c r="J1188" i="1"/>
  <c r="A1188" i="1"/>
  <c r="AK1187" i="1"/>
  <c r="AG1187" i="1"/>
  <c r="Z1187" i="1"/>
  <c r="K1187" i="1"/>
  <c r="J1187" i="1"/>
  <c r="A1187" i="1"/>
  <c r="AG1186" i="1"/>
  <c r="Z1186" i="1"/>
  <c r="K1186" i="1"/>
  <c r="J1186" i="1"/>
  <c r="A1186" i="1"/>
  <c r="AG1185" i="1"/>
  <c r="Z1185" i="1"/>
  <c r="K1185" i="1"/>
  <c r="J1185" i="1"/>
  <c r="A1185" i="1"/>
  <c r="AK1184" i="1"/>
  <c r="AG1184" i="1"/>
  <c r="Z1184" i="1"/>
  <c r="K1184" i="1"/>
  <c r="J1184" i="1"/>
  <c r="A1184" i="1"/>
  <c r="AK1183" i="1"/>
  <c r="AG1183" i="1"/>
  <c r="Z1183" i="1"/>
  <c r="K1183" i="1"/>
  <c r="J1183" i="1"/>
  <c r="A1183" i="1"/>
  <c r="AK1182" i="1"/>
  <c r="AG1182" i="1"/>
  <c r="Z1182" i="1"/>
  <c r="K1182" i="1"/>
  <c r="J1182" i="1"/>
  <c r="A1182" i="1"/>
  <c r="AK1181" i="1"/>
  <c r="AG1181" i="1"/>
  <c r="Z1181" i="1"/>
  <c r="K1181" i="1"/>
  <c r="J1181" i="1"/>
  <c r="A1181" i="1"/>
  <c r="AK1180" i="1"/>
  <c r="AG1180" i="1"/>
  <c r="Z1180" i="1"/>
  <c r="K1180" i="1"/>
  <c r="J1180" i="1"/>
  <c r="A1180" i="1"/>
  <c r="AK1179" i="1"/>
  <c r="AG1179" i="1"/>
  <c r="Z1179" i="1"/>
  <c r="K1179" i="1"/>
  <c r="J1179" i="1"/>
  <c r="A1179" i="1"/>
  <c r="AK1178" i="1"/>
  <c r="AG1178" i="1"/>
  <c r="Z1178" i="1"/>
  <c r="K1178" i="1"/>
  <c r="J1178" i="1"/>
  <c r="A1178" i="1"/>
  <c r="AG1177" i="1"/>
  <c r="Z1177" i="1"/>
  <c r="K1177" i="1"/>
  <c r="J1177" i="1"/>
  <c r="A1177" i="1"/>
  <c r="AG1176" i="1"/>
  <c r="Z1176" i="1"/>
  <c r="K1176" i="1"/>
  <c r="J1176" i="1"/>
  <c r="A1176" i="1"/>
  <c r="AK1175" i="1"/>
  <c r="AG1175" i="1"/>
  <c r="Z1175" i="1"/>
  <c r="K1175" i="1"/>
  <c r="J1175" i="1"/>
  <c r="A1175" i="1"/>
  <c r="AG1174" i="1"/>
  <c r="Z1174" i="1"/>
  <c r="M1174" i="1"/>
  <c r="S1176" i="1" s="1"/>
  <c r="A1174" i="1"/>
  <c r="A1173" i="1"/>
  <c r="AN1172" i="1"/>
  <c r="D1172" i="1"/>
  <c r="A1172" i="1"/>
  <c r="N1171" i="1"/>
  <c r="L1171" i="1"/>
  <c r="C1171" i="1"/>
  <c r="A1171" i="1"/>
  <c r="A1170" i="1"/>
  <c r="AK1169" i="1"/>
  <c r="AG1169" i="1"/>
  <c r="Z1169" i="1"/>
  <c r="K1169" i="1"/>
  <c r="J1169" i="1"/>
  <c r="A1169" i="1"/>
  <c r="AK1168" i="1"/>
  <c r="AG1168" i="1"/>
  <c r="Z1168" i="1"/>
  <c r="K1168" i="1"/>
  <c r="J1168" i="1"/>
  <c r="A1168" i="1"/>
  <c r="AK1167" i="1"/>
  <c r="AG1167" i="1"/>
  <c r="Z1167" i="1"/>
  <c r="K1167" i="1"/>
  <c r="J1167" i="1"/>
  <c r="A1167" i="1"/>
  <c r="AK1166" i="1"/>
  <c r="AG1166" i="1"/>
  <c r="Z1166" i="1"/>
  <c r="K1166" i="1"/>
  <c r="J1166" i="1"/>
  <c r="A1166" i="1"/>
  <c r="AK1165" i="1"/>
  <c r="AG1165" i="1"/>
  <c r="Z1165" i="1"/>
  <c r="K1165" i="1"/>
  <c r="J1165" i="1"/>
  <c r="A1165" i="1"/>
  <c r="AK1164" i="1"/>
  <c r="AG1164" i="1"/>
  <c r="Z1164" i="1"/>
  <c r="K1164" i="1"/>
  <c r="J1164" i="1"/>
  <c r="A1164" i="1"/>
  <c r="AK1163" i="1"/>
  <c r="AG1163" i="1"/>
  <c r="Z1163" i="1"/>
  <c r="K1163" i="1"/>
  <c r="J1163" i="1"/>
  <c r="A1163" i="1"/>
  <c r="AK1162" i="1"/>
  <c r="AG1162" i="1"/>
  <c r="Z1162" i="1"/>
  <c r="K1162" i="1"/>
  <c r="J1162" i="1"/>
  <c r="A1162" i="1"/>
  <c r="AG1161" i="1"/>
  <c r="Z1161" i="1"/>
  <c r="K1161" i="1"/>
  <c r="J1161" i="1"/>
  <c r="A1161" i="1"/>
  <c r="AK1160" i="1"/>
  <c r="AG1160" i="1"/>
  <c r="Z1160" i="1"/>
  <c r="K1160" i="1"/>
  <c r="J1160" i="1"/>
  <c r="A1160" i="1"/>
  <c r="AK1159" i="1"/>
  <c r="AG1159" i="1"/>
  <c r="Z1159" i="1"/>
  <c r="K1159" i="1"/>
  <c r="J1159" i="1"/>
  <c r="A1159" i="1"/>
  <c r="AK1158" i="1"/>
  <c r="AG1158" i="1"/>
  <c r="Z1158" i="1"/>
  <c r="K1158" i="1"/>
  <c r="J1158" i="1"/>
  <c r="A1158" i="1"/>
  <c r="AK1157" i="1"/>
  <c r="AG1157" i="1"/>
  <c r="Z1157" i="1"/>
  <c r="K1157" i="1"/>
  <c r="J1157" i="1"/>
  <c r="A1157" i="1"/>
  <c r="AK1156" i="1"/>
  <c r="AG1156" i="1"/>
  <c r="Z1156" i="1"/>
  <c r="K1156" i="1"/>
  <c r="J1156" i="1"/>
  <c r="A1156" i="1"/>
  <c r="AK1155" i="1"/>
  <c r="AG1155" i="1"/>
  <c r="Z1155" i="1"/>
  <c r="K1155" i="1"/>
  <c r="J1155" i="1"/>
  <c r="A1155" i="1"/>
  <c r="AG1154" i="1"/>
  <c r="Z1154" i="1"/>
  <c r="K1154" i="1"/>
  <c r="J1154" i="1"/>
  <c r="A1154" i="1"/>
  <c r="AK1153" i="1"/>
  <c r="AG1153" i="1"/>
  <c r="Z1153" i="1"/>
  <c r="K1153" i="1"/>
  <c r="J1153" i="1"/>
  <c r="A1153" i="1"/>
  <c r="AG1152" i="1"/>
  <c r="Z1152" i="1"/>
  <c r="K1152" i="1"/>
  <c r="J1152" i="1"/>
  <c r="A1152" i="1"/>
  <c r="AK1151" i="1"/>
  <c r="AG1151" i="1"/>
  <c r="Z1151" i="1"/>
  <c r="K1151" i="1"/>
  <c r="J1151" i="1"/>
  <c r="A1151" i="1"/>
  <c r="AG1150" i="1"/>
  <c r="Z1150" i="1"/>
  <c r="K1150" i="1"/>
  <c r="J1150" i="1"/>
  <c r="A1150" i="1"/>
  <c r="AK1149" i="1"/>
  <c r="AG1149" i="1"/>
  <c r="Z1149" i="1"/>
  <c r="M1149" i="1"/>
  <c r="A1149" i="1"/>
  <c r="A1148" i="1"/>
  <c r="N1147" i="1"/>
  <c r="L1147" i="1"/>
  <c r="C1147" i="1"/>
  <c r="A1147" i="1"/>
  <c r="A1146" i="1"/>
  <c r="AK1145" i="1"/>
  <c r="AG1145" i="1"/>
  <c r="Z1145" i="1"/>
  <c r="K1145" i="1"/>
  <c r="J1145" i="1"/>
  <c r="A1145" i="1"/>
  <c r="AK1144" i="1"/>
  <c r="AG1144" i="1"/>
  <c r="Z1144" i="1"/>
  <c r="K1144" i="1"/>
  <c r="J1144" i="1"/>
  <c r="A1144" i="1"/>
  <c r="AK1143" i="1"/>
  <c r="AG1143" i="1"/>
  <c r="Z1143" i="1"/>
  <c r="K1143" i="1"/>
  <c r="J1143" i="1"/>
  <c r="A1143" i="1"/>
  <c r="AK1142" i="1"/>
  <c r="AG1142" i="1"/>
  <c r="Z1142" i="1"/>
  <c r="K1142" i="1"/>
  <c r="J1142" i="1"/>
  <c r="A1142" i="1"/>
  <c r="AK1141" i="1"/>
  <c r="AG1141" i="1"/>
  <c r="Z1141" i="1"/>
  <c r="K1141" i="1"/>
  <c r="J1141" i="1"/>
  <c r="A1141" i="1"/>
  <c r="AK1140" i="1"/>
  <c r="AG1140" i="1"/>
  <c r="Z1140" i="1"/>
  <c r="K1140" i="1"/>
  <c r="J1140" i="1"/>
  <c r="A1140" i="1"/>
  <c r="AK1139" i="1"/>
  <c r="AG1139" i="1"/>
  <c r="Z1139" i="1"/>
  <c r="K1139" i="1"/>
  <c r="J1139" i="1"/>
  <c r="A1139" i="1"/>
  <c r="AK1138" i="1"/>
  <c r="AG1138" i="1"/>
  <c r="Z1138" i="1"/>
  <c r="K1138" i="1"/>
  <c r="J1138" i="1"/>
  <c r="A1138" i="1"/>
  <c r="AG1137" i="1"/>
  <c r="Z1137" i="1"/>
  <c r="K1137" i="1"/>
  <c r="J1137" i="1"/>
  <c r="A1137" i="1"/>
  <c r="AK1136" i="1"/>
  <c r="AG1136" i="1"/>
  <c r="Z1136" i="1"/>
  <c r="K1136" i="1"/>
  <c r="J1136" i="1"/>
  <c r="A1136" i="1"/>
  <c r="AK1135" i="1"/>
  <c r="AG1135" i="1"/>
  <c r="Z1135" i="1"/>
  <c r="K1135" i="1"/>
  <c r="J1135" i="1"/>
  <c r="A1135" i="1"/>
  <c r="AK1134" i="1"/>
  <c r="AG1134" i="1"/>
  <c r="Z1134" i="1"/>
  <c r="K1134" i="1"/>
  <c r="J1134" i="1"/>
  <c r="A1134" i="1"/>
  <c r="AK1133" i="1"/>
  <c r="AG1133" i="1"/>
  <c r="Z1133" i="1"/>
  <c r="K1133" i="1"/>
  <c r="J1133" i="1"/>
  <c r="A1133" i="1"/>
  <c r="AK1132" i="1"/>
  <c r="AG1132" i="1"/>
  <c r="Z1132" i="1"/>
  <c r="K1132" i="1"/>
  <c r="J1132" i="1"/>
  <c r="A1132" i="1"/>
  <c r="AK1131" i="1"/>
  <c r="AG1131" i="1"/>
  <c r="Z1131" i="1"/>
  <c r="K1131" i="1"/>
  <c r="J1131" i="1"/>
  <c r="A1131" i="1"/>
  <c r="AG1130" i="1"/>
  <c r="Z1130" i="1"/>
  <c r="K1130" i="1"/>
  <c r="J1130" i="1"/>
  <c r="A1130" i="1"/>
  <c r="AK1129" i="1"/>
  <c r="AG1129" i="1"/>
  <c r="Z1129" i="1"/>
  <c r="K1129" i="1"/>
  <c r="J1129" i="1"/>
  <c r="A1129" i="1"/>
  <c r="AG1128" i="1"/>
  <c r="Z1128" i="1"/>
  <c r="K1128" i="1"/>
  <c r="J1128" i="1"/>
  <c r="A1128" i="1"/>
  <c r="AK1127" i="1"/>
  <c r="AG1127" i="1"/>
  <c r="Z1127" i="1"/>
  <c r="K1127" i="1"/>
  <c r="J1127" i="1"/>
  <c r="A1127" i="1"/>
  <c r="AG1126" i="1"/>
  <c r="Z1126" i="1"/>
  <c r="K1126" i="1"/>
  <c r="J1126" i="1"/>
  <c r="A1126" i="1"/>
  <c r="AK1125" i="1"/>
  <c r="AG1125" i="1"/>
  <c r="Z1125" i="1"/>
  <c r="M1125" i="1"/>
  <c r="A1125" i="1"/>
  <c r="A1124" i="1"/>
  <c r="N1123" i="1"/>
  <c r="L1123" i="1"/>
  <c r="C1123" i="1"/>
  <c r="A1123" i="1"/>
  <c r="A1122" i="1"/>
  <c r="AK1121" i="1"/>
  <c r="AG1121" i="1"/>
  <c r="Z1121" i="1"/>
  <c r="K1121" i="1"/>
  <c r="J1121" i="1"/>
  <c r="A1121" i="1"/>
  <c r="AK1120" i="1"/>
  <c r="AG1120" i="1"/>
  <c r="Z1120" i="1"/>
  <c r="K1120" i="1"/>
  <c r="J1120" i="1"/>
  <c r="A1120" i="1"/>
  <c r="AK1119" i="1"/>
  <c r="AG1119" i="1"/>
  <c r="Z1119" i="1"/>
  <c r="K1119" i="1"/>
  <c r="J1119" i="1"/>
  <c r="A1119" i="1"/>
  <c r="AK1118" i="1"/>
  <c r="AG1118" i="1"/>
  <c r="Z1118" i="1"/>
  <c r="K1118" i="1"/>
  <c r="J1118" i="1"/>
  <c r="A1118" i="1"/>
  <c r="AK1117" i="1"/>
  <c r="AG1117" i="1"/>
  <c r="Z1117" i="1"/>
  <c r="K1117" i="1"/>
  <c r="J1117" i="1"/>
  <c r="A1117" i="1"/>
  <c r="AK1116" i="1"/>
  <c r="AG1116" i="1"/>
  <c r="Z1116" i="1"/>
  <c r="K1116" i="1"/>
  <c r="J1116" i="1"/>
  <c r="A1116" i="1"/>
  <c r="AK1115" i="1"/>
  <c r="AG1115" i="1"/>
  <c r="Z1115" i="1"/>
  <c r="K1115" i="1"/>
  <c r="J1115" i="1"/>
  <c r="A1115" i="1"/>
  <c r="AK1114" i="1"/>
  <c r="AG1114" i="1"/>
  <c r="Z1114" i="1"/>
  <c r="K1114" i="1"/>
  <c r="J1114" i="1"/>
  <c r="A1114" i="1"/>
  <c r="AG1113" i="1"/>
  <c r="Z1113" i="1"/>
  <c r="K1113" i="1"/>
  <c r="J1113" i="1"/>
  <c r="A1113" i="1"/>
  <c r="AK1112" i="1"/>
  <c r="AG1112" i="1"/>
  <c r="Z1112" i="1"/>
  <c r="K1112" i="1"/>
  <c r="J1112" i="1"/>
  <c r="A1112" i="1"/>
  <c r="AK1111" i="1"/>
  <c r="AG1111" i="1"/>
  <c r="Z1111" i="1"/>
  <c r="K1111" i="1"/>
  <c r="J1111" i="1"/>
  <c r="A1111" i="1"/>
  <c r="AK1110" i="1"/>
  <c r="AG1110" i="1"/>
  <c r="Z1110" i="1"/>
  <c r="K1110" i="1"/>
  <c r="J1110" i="1"/>
  <c r="A1110" i="1"/>
  <c r="AK1109" i="1"/>
  <c r="AG1109" i="1"/>
  <c r="Z1109" i="1"/>
  <c r="K1109" i="1"/>
  <c r="J1109" i="1"/>
  <c r="A1109" i="1"/>
  <c r="AK1108" i="1"/>
  <c r="AG1108" i="1"/>
  <c r="Z1108" i="1"/>
  <c r="K1108" i="1"/>
  <c r="J1108" i="1"/>
  <c r="A1108" i="1"/>
  <c r="AK1107" i="1"/>
  <c r="AG1107" i="1"/>
  <c r="Z1107" i="1"/>
  <c r="K1107" i="1"/>
  <c r="J1107" i="1"/>
  <c r="A1107" i="1"/>
  <c r="AG1106" i="1"/>
  <c r="Z1106" i="1"/>
  <c r="K1106" i="1"/>
  <c r="J1106" i="1"/>
  <c r="A1106" i="1"/>
  <c r="AK1105" i="1"/>
  <c r="AG1105" i="1"/>
  <c r="Z1105" i="1"/>
  <c r="K1105" i="1"/>
  <c r="J1105" i="1"/>
  <c r="A1105" i="1"/>
  <c r="AG1104" i="1"/>
  <c r="Z1104" i="1"/>
  <c r="K1104" i="1"/>
  <c r="J1104" i="1"/>
  <c r="A1104" i="1"/>
  <c r="AK1103" i="1"/>
  <c r="AG1103" i="1"/>
  <c r="Z1103" i="1"/>
  <c r="K1103" i="1"/>
  <c r="J1103" i="1"/>
  <c r="A1103" i="1"/>
  <c r="AG1102" i="1"/>
  <c r="Z1102" i="1"/>
  <c r="K1102" i="1"/>
  <c r="J1102" i="1"/>
  <c r="A1102" i="1"/>
  <c r="AK1101" i="1"/>
  <c r="AG1101" i="1"/>
  <c r="Z1101" i="1"/>
  <c r="M1101" i="1"/>
  <c r="S1113" i="1" s="1"/>
  <c r="A1101" i="1"/>
  <c r="A1100" i="1"/>
  <c r="N1099" i="1"/>
  <c r="L1099" i="1"/>
  <c r="C1099" i="1"/>
  <c r="A1099" i="1"/>
  <c r="A1098" i="1"/>
  <c r="AK1097" i="1"/>
  <c r="AG1097" i="1"/>
  <c r="Z1097" i="1"/>
  <c r="K1097" i="1"/>
  <c r="J1097" i="1"/>
  <c r="A1097" i="1"/>
  <c r="AK1096" i="1"/>
  <c r="AG1096" i="1"/>
  <c r="Z1096" i="1"/>
  <c r="K1096" i="1"/>
  <c r="J1096" i="1"/>
  <c r="A1096" i="1"/>
  <c r="AK1095" i="1"/>
  <c r="AG1095" i="1"/>
  <c r="Z1095" i="1"/>
  <c r="K1095" i="1"/>
  <c r="J1095" i="1"/>
  <c r="A1095" i="1"/>
  <c r="AK1094" i="1"/>
  <c r="AG1094" i="1"/>
  <c r="Z1094" i="1"/>
  <c r="K1094" i="1"/>
  <c r="J1094" i="1"/>
  <c r="A1094" i="1"/>
  <c r="AK1093" i="1"/>
  <c r="AG1093" i="1"/>
  <c r="Z1093" i="1"/>
  <c r="K1093" i="1"/>
  <c r="J1093" i="1"/>
  <c r="A1093" i="1"/>
  <c r="AK1092" i="1"/>
  <c r="AG1092" i="1"/>
  <c r="Z1092" i="1"/>
  <c r="K1092" i="1"/>
  <c r="J1092" i="1"/>
  <c r="A1092" i="1"/>
  <c r="AK1091" i="1"/>
  <c r="AG1091" i="1"/>
  <c r="Z1091" i="1"/>
  <c r="K1091" i="1"/>
  <c r="J1091" i="1"/>
  <c r="A1091" i="1"/>
  <c r="AK1090" i="1"/>
  <c r="AG1090" i="1"/>
  <c r="Z1090" i="1"/>
  <c r="K1090" i="1"/>
  <c r="J1090" i="1"/>
  <c r="A1090" i="1"/>
  <c r="AG1089" i="1"/>
  <c r="Z1089" i="1"/>
  <c r="K1089" i="1"/>
  <c r="J1089" i="1"/>
  <c r="A1089" i="1"/>
  <c r="AK1088" i="1"/>
  <c r="AG1088" i="1"/>
  <c r="Z1088" i="1"/>
  <c r="K1088" i="1"/>
  <c r="J1088" i="1"/>
  <c r="A1088" i="1"/>
  <c r="AK1087" i="1"/>
  <c r="AG1087" i="1"/>
  <c r="Z1087" i="1"/>
  <c r="K1087" i="1"/>
  <c r="J1087" i="1"/>
  <c r="A1087" i="1"/>
  <c r="AK1086" i="1"/>
  <c r="AG1086" i="1"/>
  <c r="Z1086" i="1"/>
  <c r="K1086" i="1"/>
  <c r="J1086" i="1"/>
  <c r="A1086" i="1"/>
  <c r="AK1085" i="1"/>
  <c r="AG1085" i="1"/>
  <c r="Z1085" i="1"/>
  <c r="K1085" i="1"/>
  <c r="J1085" i="1"/>
  <c r="A1085" i="1"/>
  <c r="AK1084" i="1"/>
  <c r="AG1084" i="1"/>
  <c r="Z1084" i="1"/>
  <c r="K1084" i="1"/>
  <c r="J1084" i="1"/>
  <c r="A1084" i="1"/>
  <c r="AK1083" i="1"/>
  <c r="AG1083" i="1"/>
  <c r="Z1083" i="1"/>
  <c r="K1083" i="1"/>
  <c r="J1083" i="1"/>
  <c r="A1083" i="1"/>
  <c r="AG1082" i="1"/>
  <c r="Z1082" i="1"/>
  <c r="K1082" i="1"/>
  <c r="J1082" i="1"/>
  <c r="A1082" i="1"/>
  <c r="AK1081" i="1"/>
  <c r="AG1081" i="1"/>
  <c r="Z1081" i="1"/>
  <c r="K1081" i="1"/>
  <c r="J1081" i="1"/>
  <c r="A1081" i="1"/>
  <c r="AG1080" i="1"/>
  <c r="Z1080" i="1"/>
  <c r="K1080" i="1"/>
  <c r="J1080" i="1"/>
  <c r="A1080" i="1"/>
  <c r="AK1079" i="1"/>
  <c r="AG1079" i="1"/>
  <c r="Z1079" i="1"/>
  <c r="K1079" i="1"/>
  <c r="J1079" i="1"/>
  <c r="A1079" i="1"/>
  <c r="AG1078" i="1"/>
  <c r="Z1078" i="1"/>
  <c r="K1078" i="1"/>
  <c r="J1078" i="1"/>
  <c r="A1078" i="1"/>
  <c r="AK1077" i="1"/>
  <c r="AG1077" i="1"/>
  <c r="Z1077" i="1"/>
  <c r="M1077" i="1"/>
  <c r="S1089" i="1" s="1"/>
  <c r="A1077" i="1"/>
  <c r="A1076" i="1"/>
  <c r="N1075" i="1"/>
  <c r="L1075" i="1"/>
  <c r="C1075" i="1"/>
  <c r="A1075" i="1"/>
  <c r="A1074" i="1"/>
  <c r="AK1073" i="1"/>
  <c r="AG1073" i="1"/>
  <c r="Z1073" i="1"/>
  <c r="K1073" i="1"/>
  <c r="J1073" i="1"/>
  <c r="A1073" i="1"/>
  <c r="AK1072" i="1"/>
  <c r="AG1072" i="1"/>
  <c r="Z1072" i="1"/>
  <c r="K1072" i="1"/>
  <c r="J1072" i="1"/>
  <c r="A1072" i="1"/>
  <c r="AK1071" i="1"/>
  <c r="AG1071" i="1"/>
  <c r="Z1071" i="1"/>
  <c r="K1071" i="1"/>
  <c r="J1071" i="1"/>
  <c r="A1071" i="1"/>
  <c r="AK1070" i="1"/>
  <c r="AG1070" i="1"/>
  <c r="Z1070" i="1"/>
  <c r="K1070" i="1"/>
  <c r="J1070" i="1"/>
  <c r="A1070" i="1"/>
  <c r="AK1069" i="1"/>
  <c r="AG1069" i="1"/>
  <c r="Z1069" i="1"/>
  <c r="K1069" i="1"/>
  <c r="J1069" i="1"/>
  <c r="A1069" i="1"/>
  <c r="AK1068" i="1"/>
  <c r="AG1068" i="1"/>
  <c r="Z1068" i="1"/>
  <c r="K1068" i="1"/>
  <c r="J1068" i="1"/>
  <c r="A1068" i="1"/>
  <c r="AK1067" i="1"/>
  <c r="AG1067" i="1"/>
  <c r="Z1067" i="1"/>
  <c r="K1067" i="1"/>
  <c r="J1067" i="1"/>
  <c r="A1067" i="1"/>
  <c r="AK1066" i="1"/>
  <c r="AG1066" i="1"/>
  <c r="Z1066" i="1"/>
  <c r="K1066" i="1"/>
  <c r="J1066" i="1"/>
  <c r="A1066" i="1"/>
  <c r="AG1065" i="1"/>
  <c r="Z1065" i="1"/>
  <c r="K1065" i="1"/>
  <c r="J1065" i="1"/>
  <c r="A1065" i="1"/>
  <c r="AK1064" i="1"/>
  <c r="AG1064" i="1"/>
  <c r="Z1064" i="1"/>
  <c r="K1064" i="1"/>
  <c r="J1064" i="1"/>
  <c r="A1064" i="1"/>
  <c r="AK1063" i="1"/>
  <c r="AG1063" i="1"/>
  <c r="Z1063" i="1"/>
  <c r="K1063" i="1"/>
  <c r="J1063" i="1"/>
  <c r="A1063" i="1"/>
  <c r="AK1062" i="1"/>
  <c r="AG1062" i="1"/>
  <c r="Z1062" i="1"/>
  <c r="K1062" i="1"/>
  <c r="J1062" i="1"/>
  <c r="A1062" i="1"/>
  <c r="AK1061" i="1"/>
  <c r="AG1061" i="1"/>
  <c r="Z1061" i="1"/>
  <c r="K1061" i="1"/>
  <c r="J1061" i="1"/>
  <c r="A1061" i="1"/>
  <c r="AK1060" i="1"/>
  <c r="AG1060" i="1"/>
  <c r="Z1060" i="1"/>
  <c r="K1060" i="1"/>
  <c r="J1060" i="1"/>
  <c r="A1060" i="1"/>
  <c r="AK1059" i="1"/>
  <c r="AG1059" i="1"/>
  <c r="Z1059" i="1"/>
  <c r="K1059" i="1"/>
  <c r="J1059" i="1"/>
  <c r="A1059" i="1"/>
  <c r="AG1058" i="1"/>
  <c r="Z1058" i="1"/>
  <c r="K1058" i="1"/>
  <c r="J1058" i="1"/>
  <c r="A1058" i="1"/>
  <c r="AK1057" i="1"/>
  <c r="AG1057" i="1"/>
  <c r="Z1057" i="1"/>
  <c r="K1057" i="1"/>
  <c r="J1057" i="1"/>
  <c r="A1057" i="1"/>
  <c r="AG1056" i="1"/>
  <c r="Z1056" i="1"/>
  <c r="K1056" i="1"/>
  <c r="J1056" i="1"/>
  <c r="A1056" i="1"/>
  <c r="AK1055" i="1"/>
  <c r="AG1055" i="1"/>
  <c r="Z1055" i="1"/>
  <c r="K1055" i="1"/>
  <c r="J1055" i="1"/>
  <c r="A1055" i="1"/>
  <c r="AG1054" i="1"/>
  <c r="Z1054" i="1"/>
  <c r="K1054" i="1"/>
  <c r="J1054" i="1"/>
  <c r="A1054" i="1"/>
  <c r="AK1053" i="1"/>
  <c r="AG1053" i="1"/>
  <c r="Z1053" i="1"/>
  <c r="M1053" i="1"/>
  <c r="S1072" i="1" s="1"/>
  <c r="A1053" i="1"/>
  <c r="A1052" i="1"/>
  <c r="N1051" i="1"/>
  <c r="L1051" i="1"/>
  <c r="C1051" i="1"/>
  <c r="A1051" i="1"/>
  <c r="A1050" i="1"/>
  <c r="AK1049" i="1"/>
  <c r="AG1049" i="1"/>
  <c r="Z1049" i="1"/>
  <c r="K1049" i="1"/>
  <c r="J1049" i="1"/>
  <c r="A1049" i="1"/>
  <c r="AK1048" i="1"/>
  <c r="AG1048" i="1"/>
  <c r="Z1048" i="1"/>
  <c r="K1048" i="1"/>
  <c r="J1048" i="1"/>
  <c r="A1048" i="1"/>
  <c r="AK1047" i="1"/>
  <c r="AG1047" i="1"/>
  <c r="Z1047" i="1"/>
  <c r="K1047" i="1"/>
  <c r="J1047" i="1"/>
  <c r="A1047" i="1"/>
  <c r="AK1046" i="1"/>
  <c r="AG1046" i="1"/>
  <c r="Z1046" i="1"/>
  <c r="K1046" i="1"/>
  <c r="J1046" i="1"/>
  <c r="A1046" i="1"/>
  <c r="AK1045" i="1"/>
  <c r="AG1045" i="1"/>
  <c r="Z1045" i="1"/>
  <c r="K1045" i="1"/>
  <c r="J1045" i="1"/>
  <c r="A1045" i="1"/>
  <c r="AK1044" i="1"/>
  <c r="AG1044" i="1"/>
  <c r="Z1044" i="1"/>
  <c r="K1044" i="1"/>
  <c r="J1044" i="1"/>
  <c r="A1044" i="1"/>
  <c r="AK1043" i="1"/>
  <c r="AG1043" i="1"/>
  <c r="Z1043" i="1"/>
  <c r="K1043" i="1"/>
  <c r="J1043" i="1"/>
  <c r="A1043" i="1"/>
  <c r="AK1042" i="1"/>
  <c r="AG1042" i="1"/>
  <c r="Z1042" i="1"/>
  <c r="K1042" i="1"/>
  <c r="J1042" i="1"/>
  <c r="A1042" i="1"/>
  <c r="AG1041" i="1"/>
  <c r="Z1041" i="1"/>
  <c r="K1041" i="1"/>
  <c r="J1041" i="1"/>
  <c r="A1041" i="1"/>
  <c r="AK1040" i="1"/>
  <c r="AG1040" i="1"/>
  <c r="Z1040" i="1"/>
  <c r="K1040" i="1"/>
  <c r="J1040" i="1"/>
  <c r="A1040" i="1"/>
  <c r="AK1039" i="1"/>
  <c r="AG1039" i="1"/>
  <c r="Z1039" i="1"/>
  <c r="K1039" i="1"/>
  <c r="J1039" i="1"/>
  <c r="A1039" i="1"/>
  <c r="AK1038" i="1"/>
  <c r="AG1038" i="1"/>
  <c r="Z1038" i="1"/>
  <c r="K1038" i="1"/>
  <c r="J1038" i="1"/>
  <c r="A1038" i="1"/>
  <c r="AK1037" i="1"/>
  <c r="AG1037" i="1"/>
  <c r="Z1037" i="1"/>
  <c r="K1037" i="1"/>
  <c r="J1037" i="1"/>
  <c r="A1037" i="1"/>
  <c r="AK1036" i="1"/>
  <c r="AG1036" i="1"/>
  <c r="Z1036" i="1"/>
  <c r="K1036" i="1"/>
  <c r="J1036" i="1"/>
  <c r="A1036" i="1"/>
  <c r="AK1035" i="1"/>
  <c r="AG1035" i="1"/>
  <c r="Z1035" i="1"/>
  <c r="K1035" i="1"/>
  <c r="J1035" i="1"/>
  <c r="A1035" i="1"/>
  <c r="AG1034" i="1"/>
  <c r="Z1034" i="1"/>
  <c r="K1034" i="1"/>
  <c r="J1034" i="1"/>
  <c r="A1034" i="1"/>
  <c r="AK1033" i="1"/>
  <c r="AG1033" i="1"/>
  <c r="Z1033" i="1"/>
  <c r="K1033" i="1"/>
  <c r="J1033" i="1"/>
  <c r="A1033" i="1"/>
  <c r="AG1032" i="1"/>
  <c r="Z1032" i="1"/>
  <c r="K1032" i="1"/>
  <c r="J1032" i="1"/>
  <c r="A1032" i="1"/>
  <c r="AK1031" i="1"/>
  <c r="AG1031" i="1"/>
  <c r="Z1031" i="1"/>
  <c r="K1031" i="1"/>
  <c r="J1031" i="1"/>
  <c r="A1031" i="1"/>
  <c r="AG1030" i="1"/>
  <c r="Z1030" i="1"/>
  <c r="K1030" i="1"/>
  <c r="J1030" i="1"/>
  <c r="A1030" i="1"/>
  <c r="AK1029" i="1"/>
  <c r="AG1029" i="1"/>
  <c r="Z1029" i="1"/>
  <c r="M1029" i="1"/>
  <c r="S1044" i="1" s="1"/>
  <c r="A1029" i="1"/>
  <c r="A1028" i="1"/>
  <c r="N1027" i="1"/>
  <c r="L1027" i="1"/>
  <c r="C1027" i="1"/>
  <c r="A1027" i="1"/>
  <c r="A1026" i="1"/>
  <c r="AK1025" i="1"/>
  <c r="AG1025" i="1"/>
  <c r="Z1025" i="1"/>
  <c r="K1025" i="1"/>
  <c r="J1025" i="1"/>
  <c r="A1025" i="1"/>
  <c r="AK1024" i="1"/>
  <c r="AG1024" i="1"/>
  <c r="Z1024" i="1"/>
  <c r="K1024" i="1"/>
  <c r="J1024" i="1"/>
  <c r="A1024" i="1"/>
  <c r="AK1023" i="1"/>
  <c r="AG1023" i="1"/>
  <c r="Z1023" i="1"/>
  <c r="K1023" i="1"/>
  <c r="J1023" i="1"/>
  <c r="A1023" i="1"/>
  <c r="AK1022" i="1"/>
  <c r="AG1022" i="1"/>
  <c r="Z1022" i="1"/>
  <c r="K1022" i="1"/>
  <c r="J1022" i="1"/>
  <c r="A1022" i="1"/>
  <c r="AK1021" i="1"/>
  <c r="AG1021" i="1"/>
  <c r="Z1021" i="1"/>
  <c r="K1021" i="1"/>
  <c r="J1021" i="1"/>
  <c r="A1021" i="1"/>
  <c r="AK1020" i="1"/>
  <c r="AG1020" i="1"/>
  <c r="Z1020" i="1"/>
  <c r="K1020" i="1"/>
  <c r="J1020" i="1"/>
  <c r="A1020" i="1"/>
  <c r="AK1019" i="1"/>
  <c r="AG1019" i="1"/>
  <c r="Z1019" i="1"/>
  <c r="K1019" i="1"/>
  <c r="J1019" i="1"/>
  <c r="A1019" i="1"/>
  <c r="AK1018" i="1"/>
  <c r="AG1018" i="1"/>
  <c r="Z1018" i="1"/>
  <c r="K1018" i="1"/>
  <c r="J1018" i="1"/>
  <c r="A1018" i="1"/>
  <c r="AG1017" i="1"/>
  <c r="Z1017" i="1"/>
  <c r="K1017" i="1"/>
  <c r="J1017" i="1"/>
  <c r="A1017" i="1"/>
  <c r="AK1016" i="1"/>
  <c r="AG1016" i="1"/>
  <c r="Z1016" i="1"/>
  <c r="K1016" i="1"/>
  <c r="J1016" i="1"/>
  <c r="A1016" i="1"/>
  <c r="AK1015" i="1"/>
  <c r="AG1015" i="1"/>
  <c r="Z1015" i="1"/>
  <c r="K1015" i="1"/>
  <c r="J1015" i="1"/>
  <c r="A1015" i="1"/>
  <c r="AK1014" i="1"/>
  <c r="AG1014" i="1"/>
  <c r="Z1014" i="1"/>
  <c r="K1014" i="1"/>
  <c r="J1014" i="1"/>
  <c r="A1014" i="1"/>
  <c r="AK1013" i="1"/>
  <c r="AG1013" i="1"/>
  <c r="Z1013" i="1"/>
  <c r="K1013" i="1"/>
  <c r="J1013" i="1"/>
  <c r="A1013" i="1"/>
  <c r="AK1012" i="1"/>
  <c r="AG1012" i="1"/>
  <c r="Z1012" i="1"/>
  <c r="K1012" i="1"/>
  <c r="J1012" i="1"/>
  <c r="A1012" i="1"/>
  <c r="AK1011" i="1"/>
  <c r="AG1011" i="1"/>
  <c r="Z1011" i="1"/>
  <c r="K1011" i="1"/>
  <c r="J1011" i="1"/>
  <c r="A1011" i="1"/>
  <c r="AG1010" i="1"/>
  <c r="Z1010" i="1"/>
  <c r="K1010" i="1"/>
  <c r="J1010" i="1"/>
  <c r="A1010" i="1"/>
  <c r="AK1009" i="1"/>
  <c r="AG1009" i="1"/>
  <c r="Z1009" i="1"/>
  <c r="K1009" i="1"/>
  <c r="J1009" i="1"/>
  <c r="A1009" i="1"/>
  <c r="AG1008" i="1"/>
  <c r="Z1008" i="1"/>
  <c r="K1008" i="1"/>
  <c r="J1008" i="1"/>
  <c r="A1008" i="1"/>
  <c r="AK1007" i="1"/>
  <c r="AG1007" i="1"/>
  <c r="Z1007" i="1"/>
  <c r="K1007" i="1"/>
  <c r="J1007" i="1"/>
  <c r="A1007" i="1"/>
  <c r="AG1006" i="1"/>
  <c r="Z1006" i="1"/>
  <c r="K1006" i="1"/>
  <c r="J1006" i="1"/>
  <c r="A1006" i="1"/>
  <c r="AK1005" i="1"/>
  <c r="AG1005" i="1"/>
  <c r="Z1005" i="1"/>
  <c r="M1005" i="1"/>
  <c r="A1005" i="1"/>
  <c r="A1004" i="1"/>
  <c r="N1003" i="1"/>
  <c r="L1003" i="1"/>
  <c r="C1003" i="1"/>
  <c r="A1003" i="1"/>
  <c r="A1002" i="1"/>
  <c r="AK1001" i="1"/>
  <c r="AG1001" i="1"/>
  <c r="Z1001" i="1"/>
  <c r="K1001" i="1"/>
  <c r="J1001" i="1"/>
  <c r="A1001" i="1"/>
  <c r="AK1000" i="1"/>
  <c r="AG1000" i="1"/>
  <c r="Z1000" i="1"/>
  <c r="K1000" i="1"/>
  <c r="J1000" i="1"/>
  <c r="A1000" i="1"/>
  <c r="AK999" i="1"/>
  <c r="AG999" i="1"/>
  <c r="Z999" i="1"/>
  <c r="K999" i="1"/>
  <c r="J999" i="1"/>
  <c r="A999" i="1"/>
  <c r="AK998" i="1"/>
  <c r="AG998" i="1"/>
  <c r="Z998" i="1"/>
  <c r="K998" i="1"/>
  <c r="J998" i="1"/>
  <c r="A998" i="1"/>
  <c r="AK997" i="1"/>
  <c r="AG997" i="1"/>
  <c r="Z997" i="1"/>
  <c r="K997" i="1"/>
  <c r="J997" i="1"/>
  <c r="A997" i="1"/>
  <c r="AK996" i="1"/>
  <c r="AG996" i="1"/>
  <c r="Z996" i="1"/>
  <c r="K996" i="1"/>
  <c r="J996" i="1"/>
  <c r="A996" i="1"/>
  <c r="AK995" i="1"/>
  <c r="AG995" i="1"/>
  <c r="Z995" i="1"/>
  <c r="K995" i="1"/>
  <c r="J995" i="1"/>
  <c r="A995" i="1"/>
  <c r="AK994" i="1"/>
  <c r="AG994" i="1"/>
  <c r="Z994" i="1"/>
  <c r="K994" i="1"/>
  <c r="J994" i="1"/>
  <c r="A994" i="1"/>
  <c r="AG993" i="1"/>
  <c r="Z993" i="1"/>
  <c r="K993" i="1"/>
  <c r="J993" i="1"/>
  <c r="A993" i="1"/>
  <c r="AK992" i="1"/>
  <c r="AG992" i="1"/>
  <c r="Z992" i="1"/>
  <c r="K992" i="1"/>
  <c r="J992" i="1"/>
  <c r="A992" i="1"/>
  <c r="AK991" i="1"/>
  <c r="AG991" i="1"/>
  <c r="Z991" i="1"/>
  <c r="K991" i="1"/>
  <c r="J991" i="1"/>
  <c r="A991" i="1"/>
  <c r="AK990" i="1"/>
  <c r="AG990" i="1"/>
  <c r="Z990" i="1"/>
  <c r="K990" i="1"/>
  <c r="J990" i="1"/>
  <c r="A990" i="1"/>
  <c r="AK989" i="1"/>
  <c r="AG989" i="1"/>
  <c r="Z989" i="1"/>
  <c r="K989" i="1"/>
  <c r="J989" i="1"/>
  <c r="A989" i="1"/>
  <c r="AK988" i="1"/>
  <c r="AG988" i="1"/>
  <c r="Z988" i="1"/>
  <c r="K988" i="1"/>
  <c r="J988" i="1"/>
  <c r="A988" i="1"/>
  <c r="AK987" i="1"/>
  <c r="AG987" i="1"/>
  <c r="Z987" i="1"/>
  <c r="K987" i="1"/>
  <c r="J987" i="1"/>
  <c r="A987" i="1"/>
  <c r="AG986" i="1"/>
  <c r="Z986" i="1"/>
  <c r="K986" i="1"/>
  <c r="J986" i="1"/>
  <c r="A986" i="1"/>
  <c r="AK985" i="1"/>
  <c r="AG985" i="1"/>
  <c r="Z985" i="1"/>
  <c r="K985" i="1"/>
  <c r="J985" i="1"/>
  <c r="A985" i="1"/>
  <c r="AG984" i="1"/>
  <c r="Z984" i="1"/>
  <c r="K984" i="1"/>
  <c r="J984" i="1"/>
  <c r="A984" i="1"/>
  <c r="AK983" i="1"/>
  <c r="AG983" i="1"/>
  <c r="Z983" i="1"/>
  <c r="K983" i="1"/>
  <c r="J983" i="1"/>
  <c r="A983" i="1"/>
  <c r="AG982" i="1"/>
  <c r="Z982" i="1"/>
  <c r="K982" i="1"/>
  <c r="J982" i="1"/>
  <c r="A982" i="1"/>
  <c r="AK981" i="1"/>
  <c r="AG981" i="1"/>
  <c r="Z981" i="1"/>
  <c r="M981" i="1"/>
  <c r="S1001" i="1" s="1"/>
  <c r="A981" i="1"/>
  <c r="A980" i="1"/>
  <c r="N979" i="1"/>
  <c r="L979" i="1"/>
  <c r="C979" i="1"/>
  <c r="A979" i="1"/>
  <c r="A978" i="1"/>
  <c r="AK977" i="1"/>
  <c r="AG977" i="1"/>
  <c r="Z977" i="1"/>
  <c r="K977" i="1"/>
  <c r="J977" i="1"/>
  <c r="A977" i="1"/>
  <c r="AK976" i="1"/>
  <c r="AG976" i="1"/>
  <c r="Z976" i="1"/>
  <c r="K976" i="1"/>
  <c r="J976" i="1"/>
  <c r="A976" i="1"/>
  <c r="AK975" i="1"/>
  <c r="AG975" i="1"/>
  <c r="Z975" i="1"/>
  <c r="K975" i="1"/>
  <c r="J975" i="1"/>
  <c r="A975" i="1"/>
  <c r="AK974" i="1"/>
  <c r="AG974" i="1"/>
  <c r="Z974" i="1"/>
  <c r="K974" i="1"/>
  <c r="J974" i="1"/>
  <c r="A974" i="1"/>
  <c r="AK973" i="1"/>
  <c r="AG973" i="1"/>
  <c r="Z973" i="1"/>
  <c r="K973" i="1"/>
  <c r="J973" i="1"/>
  <c r="A973" i="1"/>
  <c r="AK972" i="1"/>
  <c r="AG972" i="1"/>
  <c r="Z972" i="1"/>
  <c r="K972" i="1"/>
  <c r="J972" i="1"/>
  <c r="A972" i="1"/>
  <c r="AK971" i="1"/>
  <c r="AG971" i="1"/>
  <c r="Z971" i="1"/>
  <c r="K971" i="1"/>
  <c r="J971" i="1"/>
  <c r="A971" i="1"/>
  <c r="AK970" i="1"/>
  <c r="AG970" i="1"/>
  <c r="Z970" i="1"/>
  <c r="K970" i="1"/>
  <c r="J970" i="1"/>
  <c r="A970" i="1"/>
  <c r="AG969" i="1"/>
  <c r="Z969" i="1"/>
  <c r="K969" i="1"/>
  <c r="J969" i="1"/>
  <c r="A969" i="1"/>
  <c r="AK968" i="1"/>
  <c r="AG968" i="1"/>
  <c r="Z968" i="1"/>
  <c r="K968" i="1"/>
  <c r="J968" i="1"/>
  <c r="A968" i="1"/>
  <c r="AK967" i="1"/>
  <c r="AG967" i="1"/>
  <c r="Z967" i="1"/>
  <c r="K967" i="1"/>
  <c r="J967" i="1"/>
  <c r="A967" i="1"/>
  <c r="AK966" i="1"/>
  <c r="AG966" i="1"/>
  <c r="Z966" i="1"/>
  <c r="K966" i="1"/>
  <c r="J966" i="1"/>
  <c r="A966" i="1"/>
  <c r="AK965" i="1"/>
  <c r="AG965" i="1"/>
  <c r="Z965" i="1"/>
  <c r="K965" i="1"/>
  <c r="J965" i="1"/>
  <c r="A965" i="1"/>
  <c r="AK964" i="1"/>
  <c r="AG964" i="1"/>
  <c r="Z964" i="1"/>
  <c r="K964" i="1"/>
  <c r="J964" i="1"/>
  <c r="A964" i="1"/>
  <c r="AK963" i="1"/>
  <c r="AG963" i="1"/>
  <c r="Z963" i="1"/>
  <c r="K963" i="1"/>
  <c r="J963" i="1"/>
  <c r="A963" i="1"/>
  <c r="AK962" i="1"/>
  <c r="AG962" i="1"/>
  <c r="Z962" i="1"/>
  <c r="K962" i="1"/>
  <c r="J962" i="1"/>
  <c r="A962" i="1"/>
  <c r="AK961" i="1"/>
  <c r="AG961" i="1"/>
  <c r="Z961" i="1"/>
  <c r="K961" i="1"/>
  <c r="J961" i="1"/>
  <c r="A961" i="1"/>
  <c r="AG960" i="1"/>
  <c r="Z960" i="1"/>
  <c r="K960" i="1"/>
  <c r="J960" i="1"/>
  <c r="A960" i="1"/>
  <c r="AK959" i="1"/>
  <c r="AG959" i="1"/>
  <c r="Z959" i="1"/>
  <c r="K959" i="1"/>
  <c r="J959" i="1"/>
  <c r="A959" i="1"/>
  <c r="AG958" i="1"/>
  <c r="Z958" i="1"/>
  <c r="K958" i="1"/>
  <c r="J958" i="1"/>
  <c r="A958" i="1"/>
  <c r="AK957" i="1"/>
  <c r="AG957" i="1"/>
  <c r="Z957" i="1"/>
  <c r="M957" i="1"/>
  <c r="S975" i="1" s="1"/>
  <c r="A957" i="1"/>
  <c r="A956" i="1"/>
  <c r="AN955" i="1"/>
  <c r="D955" i="1"/>
  <c r="A955" i="1"/>
  <c r="N954" i="1"/>
  <c r="L954" i="1"/>
  <c r="C954" i="1"/>
  <c r="D954" i="1" s="1"/>
  <c r="A954" i="1"/>
  <c r="A953" i="1"/>
  <c r="AK952" i="1"/>
  <c r="AG952" i="1"/>
  <c r="Z952" i="1"/>
  <c r="K952" i="1"/>
  <c r="J952" i="1"/>
  <c r="A952" i="1"/>
  <c r="AK951" i="1"/>
  <c r="AG951" i="1"/>
  <c r="Z951" i="1"/>
  <c r="K951" i="1"/>
  <c r="J951" i="1"/>
  <c r="A951" i="1"/>
  <c r="AK950" i="1"/>
  <c r="AG950" i="1"/>
  <c r="Z950" i="1"/>
  <c r="K950" i="1"/>
  <c r="J950" i="1"/>
  <c r="A950" i="1"/>
  <c r="AK949" i="1"/>
  <c r="AG949" i="1"/>
  <c r="Z949" i="1"/>
  <c r="K949" i="1"/>
  <c r="J949" i="1"/>
  <c r="A949" i="1"/>
  <c r="AK948" i="1"/>
  <c r="AG948" i="1"/>
  <c r="Z948" i="1"/>
  <c r="K948" i="1"/>
  <c r="J948" i="1"/>
  <c r="A948" i="1"/>
  <c r="AK947" i="1"/>
  <c r="AG947" i="1"/>
  <c r="Z947" i="1"/>
  <c r="K947" i="1"/>
  <c r="J947" i="1"/>
  <c r="A947" i="1"/>
  <c r="AK946" i="1"/>
  <c r="AG946" i="1"/>
  <c r="Z946" i="1"/>
  <c r="K946" i="1"/>
  <c r="J946" i="1"/>
  <c r="A946" i="1"/>
  <c r="AK945" i="1"/>
  <c r="AG945" i="1"/>
  <c r="Z945" i="1"/>
  <c r="K945" i="1"/>
  <c r="J945" i="1"/>
  <c r="A945" i="1"/>
  <c r="AG944" i="1"/>
  <c r="Z944" i="1"/>
  <c r="K944" i="1"/>
  <c r="J944" i="1"/>
  <c r="A944" i="1"/>
  <c r="AG943" i="1"/>
  <c r="Z943" i="1"/>
  <c r="K943" i="1"/>
  <c r="J943" i="1"/>
  <c r="A943" i="1"/>
  <c r="AK942" i="1"/>
  <c r="AG942" i="1"/>
  <c r="Z942" i="1"/>
  <c r="K942" i="1"/>
  <c r="J942" i="1"/>
  <c r="A942" i="1"/>
  <c r="AK941" i="1"/>
  <c r="AG941" i="1"/>
  <c r="Z941" i="1"/>
  <c r="K941" i="1"/>
  <c r="J941" i="1"/>
  <c r="A941" i="1"/>
  <c r="AK940" i="1"/>
  <c r="AG940" i="1"/>
  <c r="Z940" i="1"/>
  <c r="K940" i="1"/>
  <c r="J940" i="1"/>
  <c r="A940" i="1"/>
  <c r="AK939" i="1"/>
  <c r="AG939" i="1"/>
  <c r="Z939" i="1"/>
  <c r="K939" i="1"/>
  <c r="J939" i="1"/>
  <c r="A939" i="1"/>
  <c r="AK938" i="1"/>
  <c r="AG938" i="1"/>
  <c r="Z938" i="1"/>
  <c r="K938" i="1"/>
  <c r="J938" i="1"/>
  <c r="A938" i="1"/>
  <c r="AG937" i="1"/>
  <c r="Z937" i="1"/>
  <c r="K937" i="1"/>
  <c r="J937" i="1"/>
  <c r="A937" i="1"/>
  <c r="AK936" i="1"/>
  <c r="AG936" i="1"/>
  <c r="Z936" i="1"/>
  <c r="K936" i="1"/>
  <c r="J936" i="1"/>
  <c r="A936" i="1"/>
  <c r="AK935" i="1"/>
  <c r="AG935" i="1"/>
  <c r="Z935" i="1"/>
  <c r="K935" i="1"/>
  <c r="J935" i="1"/>
  <c r="A935" i="1"/>
  <c r="AG934" i="1"/>
  <c r="Z934" i="1"/>
  <c r="K934" i="1"/>
  <c r="J934" i="1"/>
  <c r="A934" i="1"/>
  <c r="AK933" i="1"/>
  <c r="AG933" i="1"/>
  <c r="Z933" i="1"/>
  <c r="K933" i="1"/>
  <c r="J933" i="1"/>
  <c r="A933" i="1"/>
  <c r="AK932" i="1"/>
  <c r="AG932" i="1"/>
  <c r="Z932" i="1"/>
  <c r="M932" i="1"/>
  <c r="S952" i="1" s="1"/>
  <c r="A932" i="1"/>
  <c r="A931" i="1"/>
  <c r="N930" i="1"/>
  <c r="L930" i="1"/>
  <c r="C930" i="1"/>
  <c r="D930" i="1" s="1"/>
  <c r="A930" i="1"/>
  <c r="A929" i="1"/>
  <c r="AK928" i="1"/>
  <c r="AG928" i="1"/>
  <c r="Z928" i="1"/>
  <c r="K928" i="1"/>
  <c r="J928" i="1"/>
  <c r="A928" i="1"/>
  <c r="AK927" i="1"/>
  <c r="AG927" i="1"/>
  <c r="Z927" i="1"/>
  <c r="K927" i="1"/>
  <c r="J927" i="1"/>
  <c r="A927" i="1"/>
  <c r="AK926" i="1"/>
  <c r="AG926" i="1"/>
  <c r="Z926" i="1"/>
  <c r="K926" i="1"/>
  <c r="J926" i="1"/>
  <c r="A926" i="1"/>
  <c r="AK925" i="1"/>
  <c r="AG925" i="1"/>
  <c r="Z925" i="1"/>
  <c r="K925" i="1"/>
  <c r="J925" i="1"/>
  <c r="A925" i="1"/>
  <c r="AK924" i="1"/>
  <c r="AG924" i="1"/>
  <c r="Z924" i="1"/>
  <c r="K924" i="1"/>
  <c r="J924" i="1"/>
  <c r="A924" i="1"/>
  <c r="AK923" i="1"/>
  <c r="AG923" i="1"/>
  <c r="Z923" i="1"/>
  <c r="K923" i="1"/>
  <c r="J923" i="1"/>
  <c r="A923" i="1"/>
  <c r="AK922" i="1"/>
  <c r="AG922" i="1"/>
  <c r="Z922" i="1"/>
  <c r="K922" i="1"/>
  <c r="J922" i="1"/>
  <c r="A922" i="1"/>
  <c r="AK921" i="1"/>
  <c r="AG921" i="1"/>
  <c r="Z921" i="1"/>
  <c r="K921" i="1"/>
  <c r="J921" i="1"/>
  <c r="A921" i="1"/>
  <c r="AG920" i="1"/>
  <c r="Z920" i="1"/>
  <c r="K920" i="1"/>
  <c r="J920" i="1"/>
  <c r="A920" i="1"/>
  <c r="AG919" i="1"/>
  <c r="Z919" i="1"/>
  <c r="K919" i="1"/>
  <c r="J919" i="1"/>
  <c r="A919" i="1"/>
  <c r="AK918" i="1"/>
  <c r="AG918" i="1"/>
  <c r="Z918" i="1"/>
  <c r="K918" i="1"/>
  <c r="J918" i="1"/>
  <c r="A918" i="1"/>
  <c r="AK917" i="1"/>
  <c r="AG917" i="1"/>
  <c r="Z917" i="1"/>
  <c r="K917" i="1"/>
  <c r="J917" i="1"/>
  <c r="A917" i="1"/>
  <c r="AK916" i="1"/>
  <c r="AG916" i="1"/>
  <c r="Z916" i="1"/>
  <c r="K916" i="1"/>
  <c r="J916" i="1"/>
  <c r="A916" i="1"/>
  <c r="AK915" i="1"/>
  <c r="AG915" i="1"/>
  <c r="Z915" i="1"/>
  <c r="K915" i="1"/>
  <c r="J915" i="1"/>
  <c r="A915" i="1"/>
  <c r="AK914" i="1"/>
  <c r="AG914" i="1"/>
  <c r="Z914" i="1"/>
  <c r="K914" i="1"/>
  <c r="J914" i="1"/>
  <c r="A914" i="1"/>
  <c r="AG913" i="1"/>
  <c r="Z913" i="1"/>
  <c r="K913" i="1"/>
  <c r="J913" i="1"/>
  <c r="A913" i="1"/>
  <c r="AK912" i="1"/>
  <c r="AG912" i="1"/>
  <c r="Z912" i="1"/>
  <c r="K912" i="1"/>
  <c r="J912" i="1"/>
  <c r="A912" i="1"/>
  <c r="AK911" i="1"/>
  <c r="AG911" i="1"/>
  <c r="Z911" i="1"/>
  <c r="K911" i="1"/>
  <c r="J911" i="1"/>
  <c r="A911" i="1"/>
  <c r="AG910" i="1"/>
  <c r="Z910" i="1"/>
  <c r="K910" i="1"/>
  <c r="J910" i="1"/>
  <c r="A910" i="1"/>
  <c r="AK909" i="1"/>
  <c r="AG909" i="1"/>
  <c r="Z909" i="1"/>
  <c r="K909" i="1"/>
  <c r="J909" i="1"/>
  <c r="A909" i="1"/>
  <c r="AK908" i="1"/>
  <c r="AG908" i="1"/>
  <c r="Z908" i="1"/>
  <c r="M908" i="1"/>
  <c r="S923" i="1" s="1"/>
  <c r="A908" i="1"/>
  <c r="A907" i="1"/>
  <c r="N906" i="1"/>
  <c r="L906" i="1"/>
  <c r="C906" i="1"/>
  <c r="D906" i="1" s="1"/>
  <c r="A906" i="1"/>
  <c r="A905" i="1"/>
  <c r="AK904" i="1"/>
  <c r="AG904" i="1"/>
  <c r="Z904" i="1"/>
  <c r="K904" i="1"/>
  <c r="J904" i="1"/>
  <c r="A904" i="1"/>
  <c r="AK903" i="1"/>
  <c r="AG903" i="1"/>
  <c r="Z903" i="1"/>
  <c r="K903" i="1"/>
  <c r="J903" i="1"/>
  <c r="A903" i="1"/>
  <c r="AK902" i="1"/>
  <c r="AG902" i="1"/>
  <c r="Z902" i="1"/>
  <c r="K902" i="1"/>
  <c r="J902" i="1"/>
  <c r="A902" i="1"/>
  <c r="AK901" i="1"/>
  <c r="AG901" i="1"/>
  <c r="Z901" i="1"/>
  <c r="K901" i="1"/>
  <c r="J901" i="1"/>
  <c r="A901" i="1"/>
  <c r="AK900" i="1"/>
  <c r="AG900" i="1"/>
  <c r="Z900" i="1"/>
  <c r="K900" i="1"/>
  <c r="J900" i="1"/>
  <c r="A900" i="1"/>
  <c r="AK899" i="1"/>
  <c r="AG899" i="1"/>
  <c r="Z899" i="1"/>
  <c r="K899" i="1"/>
  <c r="J899" i="1"/>
  <c r="A899" i="1"/>
  <c r="AK898" i="1"/>
  <c r="AG898" i="1"/>
  <c r="Z898" i="1"/>
  <c r="K898" i="1"/>
  <c r="J898" i="1"/>
  <c r="A898" i="1"/>
  <c r="AK897" i="1"/>
  <c r="AG897" i="1"/>
  <c r="Z897" i="1"/>
  <c r="K897" i="1"/>
  <c r="J897" i="1"/>
  <c r="A897" i="1"/>
  <c r="AG896" i="1"/>
  <c r="Z896" i="1"/>
  <c r="K896" i="1"/>
  <c r="J896" i="1"/>
  <c r="A896" i="1"/>
  <c r="AG895" i="1"/>
  <c r="Z895" i="1"/>
  <c r="K895" i="1"/>
  <c r="J895" i="1"/>
  <c r="A895" i="1"/>
  <c r="AK894" i="1"/>
  <c r="AG894" i="1"/>
  <c r="Z894" i="1"/>
  <c r="K894" i="1"/>
  <c r="J894" i="1"/>
  <c r="A894" i="1"/>
  <c r="AK893" i="1"/>
  <c r="AG893" i="1"/>
  <c r="Z893" i="1"/>
  <c r="K893" i="1"/>
  <c r="J893" i="1"/>
  <c r="A893" i="1"/>
  <c r="AK892" i="1"/>
  <c r="AG892" i="1"/>
  <c r="Z892" i="1"/>
  <c r="K892" i="1"/>
  <c r="J892" i="1"/>
  <c r="A892" i="1"/>
  <c r="AK891" i="1"/>
  <c r="AG891" i="1"/>
  <c r="Z891" i="1"/>
  <c r="K891" i="1"/>
  <c r="J891" i="1"/>
  <c r="A891" i="1"/>
  <c r="AK890" i="1"/>
  <c r="AG890" i="1"/>
  <c r="Z890" i="1"/>
  <c r="K890" i="1"/>
  <c r="J890" i="1"/>
  <c r="A890" i="1"/>
  <c r="AG889" i="1"/>
  <c r="Z889" i="1"/>
  <c r="K889" i="1"/>
  <c r="J889" i="1"/>
  <c r="A889" i="1"/>
  <c r="AK888" i="1"/>
  <c r="AG888" i="1"/>
  <c r="Z888" i="1"/>
  <c r="K888" i="1"/>
  <c r="J888" i="1"/>
  <c r="A888" i="1"/>
  <c r="AK887" i="1"/>
  <c r="AG887" i="1"/>
  <c r="Z887" i="1"/>
  <c r="K887" i="1"/>
  <c r="J887" i="1"/>
  <c r="A887" i="1"/>
  <c r="AG886" i="1"/>
  <c r="Z886" i="1"/>
  <c r="K886" i="1"/>
  <c r="J886" i="1"/>
  <c r="A886" i="1"/>
  <c r="AK885" i="1"/>
  <c r="AG885" i="1"/>
  <c r="Z885" i="1"/>
  <c r="K885" i="1"/>
  <c r="J885" i="1"/>
  <c r="A885" i="1"/>
  <c r="AK884" i="1"/>
  <c r="AG884" i="1"/>
  <c r="Z884" i="1"/>
  <c r="M884" i="1"/>
  <c r="S904" i="1" s="1"/>
  <c r="A884" i="1"/>
  <c r="A883" i="1"/>
  <c r="N882" i="1"/>
  <c r="L882" i="1"/>
  <c r="C882" i="1"/>
  <c r="D882" i="1" s="1"/>
  <c r="A882" i="1"/>
  <c r="A881" i="1"/>
  <c r="AK880" i="1"/>
  <c r="AG880" i="1"/>
  <c r="Z880" i="1"/>
  <c r="K880" i="1"/>
  <c r="J880" i="1"/>
  <c r="A880" i="1"/>
  <c r="AK879" i="1"/>
  <c r="AG879" i="1"/>
  <c r="Z879" i="1"/>
  <c r="K879" i="1"/>
  <c r="J879" i="1"/>
  <c r="A879" i="1"/>
  <c r="AK878" i="1"/>
  <c r="AG878" i="1"/>
  <c r="Z878" i="1"/>
  <c r="K878" i="1"/>
  <c r="J878" i="1"/>
  <c r="A878" i="1"/>
  <c r="AK877" i="1"/>
  <c r="AG877" i="1"/>
  <c r="Z877" i="1"/>
  <c r="K877" i="1"/>
  <c r="J877" i="1"/>
  <c r="A877" i="1"/>
  <c r="AK876" i="1"/>
  <c r="AG876" i="1"/>
  <c r="Z876" i="1"/>
  <c r="K876" i="1"/>
  <c r="J876" i="1"/>
  <c r="A876" i="1"/>
  <c r="AK875" i="1"/>
  <c r="AG875" i="1"/>
  <c r="Z875" i="1"/>
  <c r="K875" i="1"/>
  <c r="J875" i="1"/>
  <c r="A875" i="1"/>
  <c r="AK874" i="1"/>
  <c r="AG874" i="1"/>
  <c r="Z874" i="1"/>
  <c r="K874" i="1"/>
  <c r="J874" i="1"/>
  <c r="A874" i="1"/>
  <c r="AK873" i="1"/>
  <c r="AG873" i="1"/>
  <c r="Z873" i="1"/>
  <c r="K873" i="1"/>
  <c r="J873" i="1"/>
  <c r="A873" i="1"/>
  <c r="AG872" i="1"/>
  <c r="Z872" i="1"/>
  <c r="K872" i="1"/>
  <c r="J872" i="1"/>
  <c r="A872" i="1"/>
  <c r="AG871" i="1"/>
  <c r="Z871" i="1"/>
  <c r="K871" i="1"/>
  <c r="J871" i="1"/>
  <c r="A871" i="1"/>
  <c r="AK870" i="1"/>
  <c r="AG870" i="1"/>
  <c r="Z870" i="1"/>
  <c r="K870" i="1"/>
  <c r="J870" i="1"/>
  <c r="A870" i="1"/>
  <c r="AK869" i="1"/>
  <c r="AG869" i="1"/>
  <c r="Z869" i="1"/>
  <c r="K869" i="1"/>
  <c r="J869" i="1"/>
  <c r="A869" i="1"/>
  <c r="AK868" i="1"/>
  <c r="AG868" i="1"/>
  <c r="Z868" i="1"/>
  <c r="K868" i="1"/>
  <c r="J868" i="1"/>
  <c r="A868" i="1"/>
  <c r="AK867" i="1"/>
  <c r="AG867" i="1"/>
  <c r="Z867" i="1"/>
  <c r="K867" i="1"/>
  <c r="J867" i="1"/>
  <c r="A867" i="1"/>
  <c r="AK866" i="1"/>
  <c r="AG866" i="1"/>
  <c r="Z866" i="1"/>
  <c r="K866" i="1"/>
  <c r="J866" i="1"/>
  <c r="A866" i="1"/>
  <c r="AG865" i="1"/>
  <c r="Z865" i="1"/>
  <c r="K865" i="1"/>
  <c r="J865" i="1"/>
  <c r="A865" i="1"/>
  <c r="AK864" i="1"/>
  <c r="AG864" i="1"/>
  <c r="Z864" i="1"/>
  <c r="K864" i="1"/>
  <c r="J864" i="1"/>
  <c r="A864" i="1"/>
  <c r="AK863" i="1"/>
  <c r="AG863" i="1"/>
  <c r="Z863" i="1"/>
  <c r="K863" i="1"/>
  <c r="J863" i="1"/>
  <c r="A863" i="1"/>
  <c r="AG862" i="1"/>
  <c r="Z862" i="1"/>
  <c r="K862" i="1"/>
  <c r="J862" i="1"/>
  <c r="A862" i="1"/>
  <c r="AK861" i="1"/>
  <c r="AG861" i="1"/>
  <c r="Z861" i="1"/>
  <c r="K861" i="1"/>
  <c r="J861" i="1"/>
  <c r="A861" i="1"/>
  <c r="AK860" i="1"/>
  <c r="AG860" i="1"/>
  <c r="Z860" i="1"/>
  <c r="M860" i="1"/>
  <c r="S879" i="1" s="1"/>
  <c r="A860" i="1"/>
  <c r="A859" i="1"/>
  <c r="N858" i="1"/>
  <c r="L858" i="1"/>
  <c r="C858" i="1"/>
  <c r="D858" i="1" s="1"/>
  <c r="A858" i="1"/>
  <c r="A857" i="1"/>
  <c r="AK856" i="1"/>
  <c r="AG856" i="1"/>
  <c r="Z856" i="1"/>
  <c r="K856" i="1"/>
  <c r="J856" i="1"/>
  <c r="A856" i="1"/>
  <c r="AK855" i="1"/>
  <c r="AG855" i="1"/>
  <c r="Z855" i="1"/>
  <c r="K855" i="1"/>
  <c r="J855" i="1"/>
  <c r="A855" i="1"/>
  <c r="AK854" i="1"/>
  <c r="AG854" i="1"/>
  <c r="Z854" i="1"/>
  <c r="K854" i="1"/>
  <c r="J854" i="1"/>
  <c r="A854" i="1"/>
  <c r="AK853" i="1"/>
  <c r="AG853" i="1"/>
  <c r="Z853" i="1"/>
  <c r="K853" i="1"/>
  <c r="J853" i="1"/>
  <c r="A853" i="1"/>
  <c r="AK852" i="1"/>
  <c r="AG852" i="1"/>
  <c r="Z852" i="1"/>
  <c r="K852" i="1"/>
  <c r="J852" i="1"/>
  <c r="A852" i="1"/>
  <c r="AK851" i="1"/>
  <c r="AG851" i="1"/>
  <c r="Z851" i="1"/>
  <c r="K851" i="1"/>
  <c r="J851" i="1"/>
  <c r="A851" i="1"/>
  <c r="AK850" i="1"/>
  <c r="AG850" i="1"/>
  <c r="Z850" i="1"/>
  <c r="K850" i="1"/>
  <c r="J850" i="1"/>
  <c r="A850" i="1"/>
  <c r="AK849" i="1"/>
  <c r="AG849" i="1"/>
  <c r="Z849" i="1"/>
  <c r="K849" i="1"/>
  <c r="J849" i="1"/>
  <c r="A849" i="1"/>
  <c r="AG848" i="1"/>
  <c r="Z848" i="1"/>
  <c r="K848" i="1"/>
  <c r="J848" i="1"/>
  <c r="A848" i="1"/>
  <c r="AG847" i="1"/>
  <c r="Z847" i="1"/>
  <c r="K847" i="1"/>
  <c r="J847" i="1"/>
  <c r="A847" i="1"/>
  <c r="AK846" i="1"/>
  <c r="AG846" i="1"/>
  <c r="Z846" i="1"/>
  <c r="K846" i="1"/>
  <c r="J846" i="1"/>
  <c r="A846" i="1"/>
  <c r="AK845" i="1"/>
  <c r="AG845" i="1"/>
  <c r="Z845" i="1"/>
  <c r="K845" i="1"/>
  <c r="J845" i="1"/>
  <c r="A845" i="1"/>
  <c r="AK844" i="1"/>
  <c r="AG844" i="1"/>
  <c r="Z844" i="1"/>
  <c r="K844" i="1"/>
  <c r="J844" i="1"/>
  <c r="A844" i="1"/>
  <c r="AK843" i="1"/>
  <c r="AG843" i="1"/>
  <c r="Z843" i="1"/>
  <c r="K843" i="1"/>
  <c r="J843" i="1"/>
  <c r="A843" i="1"/>
  <c r="AK842" i="1"/>
  <c r="AG842" i="1"/>
  <c r="Z842" i="1"/>
  <c r="K842" i="1"/>
  <c r="J842" i="1"/>
  <c r="A842" i="1"/>
  <c r="AG841" i="1"/>
  <c r="Z841" i="1"/>
  <c r="K841" i="1"/>
  <c r="J841" i="1"/>
  <c r="A841" i="1"/>
  <c r="AK840" i="1"/>
  <c r="AG840" i="1"/>
  <c r="Z840" i="1"/>
  <c r="K840" i="1"/>
  <c r="J840" i="1"/>
  <c r="A840" i="1"/>
  <c r="AK839" i="1"/>
  <c r="AG839" i="1"/>
  <c r="Z839" i="1"/>
  <c r="K839" i="1"/>
  <c r="J839" i="1"/>
  <c r="A839" i="1"/>
  <c r="AG838" i="1"/>
  <c r="Z838" i="1"/>
  <c r="K838" i="1"/>
  <c r="J838" i="1"/>
  <c r="A838" i="1"/>
  <c r="AK837" i="1"/>
  <c r="AG837" i="1"/>
  <c r="Z837" i="1"/>
  <c r="K837" i="1"/>
  <c r="J837" i="1"/>
  <c r="A837" i="1"/>
  <c r="AK836" i="1"/>
  <c r="AG836" i="1"/>
  <c r="Z836" i="1"/>
  <c r="M836" i="1"/>
  <c r="S845" i="1" s="1"/>
  <c r="A836" i="1"/>
  <c r="A835" i="1"/>
  <c r="N834" i="1"/>
  <c r="L834" i="1"/>
  <c r="C834" i="1"/>
  <c r="D834" i="1" s="1"/>
  <c r="A834" i="1"/>
  <c r="A833" i="1"/>
  <c r="AK832" i="1"/>
  <c r="AG832" i="1"/>
  <c r="Z832" i="1"/>
  <c r="K832" i="1"/>
  <c r="J832" i="1"/>
  <c r="A832" i="1"/>
  <c r="AK831" i="1"/>
  <c r="AG831" i="1"/>
  <c r="Z831" i="1"/>
  <c r="K831" i="1"/>
  <c r="J831" i="1"/>
  <c r="A831" i="1"/>
  <c r="AK830" i="1"/>
  <c r="AG830" i="1"/>
  <c r="Z830" i="1"/>
  <c r="K830" i="1"/>
  <c r="J830" i="1"/>
  <c r="A830" i="1"/>
  <c r="AK829" i="1"/>
  <c r="AG829" i="1"/>
  <c r="Z829" i="1"/>
  <c r="K829" i="1"/>
  <c r="J829" i="1"/>
  <c r="A829" i="1"/>
  <c r="AK828" i="1"/>
  <c r="AG828" i="1"/>
  <c r="Z828" i="1"/>
  <c r="K828" i="1"/>
  <c r="J828" i="1"/>
  <c r="A828" i="1"/>
  <c r="AK827" i="1"/>
  <c r="AG827" i="1"/>
  <c r="Z827" i="1"/>
  <c r="K827" i="1"/>
  <c r="J827" i="1"/>
  <c r="A827" i="1"/>
  <c r="AK826" i="1"/>
  <c r="AG826" i="1"/>
  <c r="Z826" i="1"/>
  <c r="K826" i="1"/>
  <c r="J826" i="1"/>
  <c r="A826" i="1"/>
  <c r="AK825" i="1"/>
  <c r="AG825" i="1"/>
  <c r="Z825" i="1"/>
  <c r="K825" i="1"/>
  <c r="J825" i="1"/>
  <c r="A825" i="1"/>
  <c r="AG824" i="1"/>
  <c r="Z824" i="1"/>
  <c r="K824" i="1"/>
  <c r="J824" i="1"/>
  <c r="A824" i="1"/>
  <c r="AG823" i="1"/>
  <c r="Z823" i="1"/>
  <c r="K823" i="1"/>
  <c r="J823" i="1"/>
  <c r="A823" i="1"/>
  <c r="AK822" i="1"/>
  <c r="AG822" i="1"/>
  <c r="Z822" i="1"/>
  <c r="K822" i="1"/>
  <c r="J822" i="1"/>
  <c r="A822" i="1"/>
  <c r="AK821" i="1"/>
  <c r="AG821" i="1"/>
  <c r="Z821" i="1"/>
  <c r="K821" i="1"/>
  <c r="J821" i="1"/>
  <c r="A821" i="1"/>
  <c r="AK820" i="1"/>
  <c r="AG820" i="1"/>
  <c r="Z820" i="1"/>
  <c r="K820" i="1"/>
  <c r="J820" i="1"/>
  <c r="A820" i="1"/>
  <c r="AK819" i="1"/>
  <c r="AG819" i="1"/>
  <c r="Z819" i="1"/>
  <c r="K819" i="1"/>
  <c r="J819" i="1"/>
  <c r="A819" i="1"/>
  <c r="AK818" i="1"/>
  <c r="AG818" i="1"/>
  <c r="Z818" i="1"/>
  <c r="K818" i="1"/>
  <c r="J818" i="1"/>
  <c r="A818" i="1"/>
  <c r="AG817" i="1"/>
  <c r="Z817" i="1"/>
  <c r="K817" i="1"/>
  <c r="J817" i="1"/>
  <c r="A817" i="1"/>
  <c r="AK816" i="1"/>
  <c r="AG816" i="1"/>
  <c r="Z816" i="1"/>
  <c r="K816" i="1"/>
  <c r="J816" i="1"/>
  <c r="A816" i="1"/>
  <c r="AK815" i="1"/>
  <c r="AG815" i="1"/>
  <c r="Z815" i="1"/>
  <c r="K815" i="1"/>
  <c r="J815" i="1"/>
  <c r="A815" i="1"/>
  <c r="AG814" i="1"/>
  <c r="Z814" i="1"/>
  <c r="K814" i="1"/>
  <c r="J814" i="1"/>
  <c r="A814" i="1"/>
  <c r="AK813" i="1"/>
  <c r="AG813" i="1"/>
  <c r="Z813" i="1"/>
  <c r="K813" i="1"/>
  <c r="J813" i="1"/>
  <c r="A813" i="1"/>
  <c r="AK812" i="1"/>
  <c r="AG812" i="1"/>
  <c r="Z812" i="1"/>
  <c r="M812" i="1"/>
  <c r="S827" i="1" s="1"/>
  <c r="A812" i="1"/>
  <c r="A811" i="1"/>
  <c r="N810" i="1"/>
  <c r="L810" i="1"/>
  <c r="C810" i="1"/>
  <c r="D810" i="1" s="1"/>
  <c r="A810" i="1"/>
  <c r="A809" i="1"/>
  <c r="AK808" i="1"/>
  <c r="AG808" i="1"/>
  <c r="Z808" i="1"/>
  <c r="K808" i="1"/>
  <c r="J808" i="1"/>
  <c r="A808" i="1"/>
  <c r="AK807" i="1"/>
  <c r="AG807" i="1"/>
  <c r="Z807" i="1"/>
  <c r="K807" i="1"/>
  <c r="J807" i="1"/>
  <c r="A807" i="1"/>
  <c r="AK806" i="1"/>
  <c r="AG806" i="1"/>
  <c r="Z806" i="1"/>
  <c r="K806" i="1"/>
  <c r="J806" i="1"/>
  <c r="A806" i="1"/>
  <c r="AK805" i="1"/>
  <c r="AG805" i="1"/>
  <c r="Z805" i="1"/>
  <c r="K805" i="1"/>
  <c r="J805" i="1"/>
  <c r="A805" i="1"/>
  <c r="AK804" i="1"/>
  <c r="AG804" i="1"/>
  <c r="Z804" i="1"/>
  <c r="K804" i="1"/>
  <c r="J804" i="1"/>
  <c r="A804" i="1"/>
  <c r="AK803" i="1"/>
  <c r="AG803" i="1"/>
  <c r="Z803" i="1"/>
  <c r="K803" i="1"/>
  <c r="J803" i="1"/>
  <c r="A803" i="1"/>
  <c r="AK802" i="1"/>
  <c r="AG802" i="1"/>
  <c r="Z802" i="1"/>
  <c r="K802" i="1"/>
  <c r="J802" i="1"/>
  <c r="A802" i="1"/>
  <c r="AK801" i="1"/>
  <c r="AG801" i="1"/>
  <c r="Z801" i="1"/>
  <c r="K801" i="1"/>
  <c r="J801" i="1"/>
  <c r="A801" i="1"/>
  <c r="AG800" i="1"/>
  <c r="Z800" i="1"/>
  <c r="K800" i="1"/>
  <c r="J800" i="1"/>
  <c r="A800" i="1"/>
  <c r="AG799" i="1"/>
  <c r="Z799" i="1"/>
  <c r="K799" i="1"/>
  <c r="J799" i="1"/>
  <c r="A799" i="1"/>
  <c r="AK798" i="1"/>
  <c r="AG798" i="1"/>
  <c r="Z798" i="1"/>
  <c r="K798" i="1"/>
  <c r="J798" i="1"/>
  <c r="A798" i="1"/>
  <c r="AK797" i="1"/>
  <c r="AG797" i="1"/>
  <c r="Z797" i="1"/>
  <c r="K797" i="1"/>
  <c r="J797" i="1"/>
  <c r="A797" i="1"/>
  <c r="AK796" i="1"/>
  <c r="AG796" i="1"/>
  <c r="Z796" i="1"/>
  <c r="K796" i="1"/>
  <c r="J796" i="1"/>
  <c r="A796" i="1"/>
  <c r="AK795" i="1"/>
  <c r="AG795" i="1"/>
  <c r="Z795" i="1"/>
  <c r="K795" i="1"/>
  <c r="J795" i="1"/>
  <c r="A795" i="1"/>
  <c r="AK794" i="1"/>
  <c r="AG794" i="1"/>
  <c r="Z794" i="1"/>
  <c r="K794" i="1"/>
  <c r="J794" i="1"/>
  <c r="A794" i="1"/>
  <c r="AG793" i="1"/>
  <c r="Z793" i="1"/>
  <c r="K793" i="1"/>
  <c r="J793" i="1"/>
  <c r="A793" i="1"/>
  <c r="AK792" i="1"/>
  <c r="AG792" i="1"/>
  <c r="Z792" i="1"/>
  <c r="K792" i="1"/>
  <c r="J792" i="1"/>
  <c r="A792" i="1"/>
  <c r="AK791" i="1"/>
  <c r="AG791" i="1"/>
  <c r="Z791" i="1"/>
  <c r="K791" i="1"/>
  <c r="J791" i="1"/>
  <c r="A791" i="1"/>
  <c r="AG790" i="1"/>
  <c r="Z790" i="1"/>
  <c r="K790" i="1"/>
  <c r="J790" i="1"/>
  <c r="A790" i="1"/>
  <c r="AK789" i="1"/>
  <c r="AG789" i="1"/>
  <c r="Z789" i="1"/>
  <c r="K789" i="1"/>
  <c r="J789" i="1"/>
  <c r="A789" i="1"/>
  <c r="AK788" i="1"/>
  <c r="AG788" i="1"/>
  <c r="Z788" i="1"/>
  <c r="M788" i="1"/>
  <c r="S799" i="1" s="1"/>
  <c r="A788" i="1"/>
  <c r="A787" i="1"/>
  <c r="N786" i="1"/>
  <c r="L786" i="1"/>
  <c r="C786" i="1"/>
  <c r="D786" i="1" s="1"/>
  <c r="A786" i="1"/>
  <c r="A785" i="1"/>
  <c r="AK784" i="1"/>
  <c r="AG784" i="1"/>
  <c r="Z784" i="1"/>
  <c r="K784" i="1"/>
  <c r="J784" i="1"/>
  <c r="A784" i="1"/>
  <c r="AK783" i="1"/>
  <c r="AG783" i="1"/>
  <c r="Z783" i="1"/>
  <c r="K783" i="1"/>
  <c r="J783" i="1"/>
  <c r="A783" i="1"/>
  <c r="AK782" i="1"/>
  <c r="AG782" i="1"/>
  <c r="Z782" i="1"/>
  <c r="K782" i="1"/>
  <c r="J782" i="1"/>
  <c r="A782" i="1"/>
  <c r="AK781" i="1"/>
  <c r="AG781" i="1"/>
  <c r="Z781" i="1"/>
  <c r="K781" i="1"/>
  <c r="J781" i="1"/>
  <c r="A781" i="1"/>
  <c r="AK780" i="1"/>
  <c r="AG780" i="1"/>
  <c r="Z780" i="1"/>
  <c r="K780" i="1"/>
  <c r="J780" i="1"/>
  <c r="A780" i="1"/>
  <c r="AK779" i="1"/>
  <c r="AG779" i="1"/>
  <c r="Z779" i="1"/>
  <c r="K779" i="1"/>
  <c r="J779" i="1"/>
  <c r="A779" i="1"/>
  <c r="AK778" i="1"/>
  <c r="AG778" i="1"/>
  <c r="Z778" i="1"/>
  <c r="K778" i="1"/>
  <c r="J778" i="1"/>
  <c r="A778" i="1"/>
  <c r="AK777" i="1"/>
  <c r="AG777" i="1"/>
  <c r="Z777" i="1"/>
  <c r="K777" i="1"/>
  <c r="J777" i="1"/>
  <c r="A777" i="1"/>
  <c r="AG776" i="1"/>
  <c r="Z776" i="1"/>
  <c r="K776" i="1"/>
  <c r="J776" i="1"/>
  <c r="A776" i="1"/>
  <c r="AG775" i="1"/>
  <c r="Z775" i="1"/>
  <c r="K775" i="1"/>
  <c r="J775" i="1"/>
  <c r="A775" i="1"/>
  <c r="AK774" i="1"/>
  <c r="AG774" i="1"/>
  <c r="Z774" i="1"/>
  <c r="K774" i="1"/>
  <c r="J774" i="1"/>
  <c r="A774" i="1"/>
  <c r="AK773" i="1"/>
  <c r="AG773" i="1"/>
  <c r="Z773" i="1"/>
  <c r="K773" i="1"/>
  <c r="J773" i="1"/>
  <c r="A773" i="1"/>
  <c r="AK772" i="1"/>
  <c r="AG772" i="1"/>
  <c r="Z772" i="1"/>
  <c r="K772" i="1"/>
  <c r="J772" i="1"/>
  <c r="A772" i="1"/>
  <c r="AK771" i="1"/>
  <c r="AG771" i="1"/>
  <c r="Z771" i="1"/>
  <c r="K771" i="1"/>
  <c r="J771" i="1"/>
  <c r="A771" i="1"/>
  <c r="AK770" i="1"/>
  <c r="AG770" i="1"/>
  <c r="Z770" i="1"/>
  <c r="K770" i="1"/>
  <c r="J770" i="1"/>
  <c r="A770" i="1"/>
  <c r="AG769" i="1"/>
  <c r="Z769" i="1"/>
  <c r="K769" i="1"/>
  <c r="J769" i="1"/>
  <c r="A769" i="1"/>
  <c r="AK768" i="1"/>
  <c r="AG768" i="1"/>
  <c r="Z768" i="1"/>
  <c r="K768" i="1"/>
  <c r="J768" i="1"/>
  <c r="A768" i="1"/>
  <c r="AK767" i="1"/>
  <c r="AG767" i="1"/>
  <c r="Z767" i="1"/>
  <c r="K767" i="1"/>
  <c r="J767" i="1"/>
  <c r="A767" i="1"/>
  <c r="AG766" i="1"/>
  <c r="Z766" i="1"/>
  <c r="K766" i="1"/>
  <c r="J766" i="1"/>
  <c r="A766" i="1"/>
  <c r="AK765" i="1"/>
  <c r="AG765" i="1"/>
  <c r="Z765" i="1"/>
  <c r="K765" i="1"/>
  <c r="J765" i="1"/>
  <c r="A765" i="1"/>
  <c r="AK764" i="1"/>
  <c r="AG764" i="1"/>
  <c r="Z764" i="1"/>
  <c r="M764" i="1"/>
  <c r="S771" i="1" s="1"/>
  <c r="A764" i="1"/>
  <c r="A763" i="1"/>
  <c r="N762" i="1"/>
  <c r="L762" i="1"/>
  <c r="C762" i="1"/>
  <c r="D762" i="1" s="1"/>
  <c r="A762" i="1"/>
  <c r="A761" i="1"/>
  <c r="AK760" i="1"/>
  <c r="AG760" i="1"/>
  <c r="Z760" i="1"/>
  <c r="K760" i="1"/>
  <c r="J760" i="1"/>
  <c r="A760" i="1"/>
  <c r="AK759" i="1"/>
  <c r="AG759" i="1"/>
  <c r="Z759" i="1"/>
  <c r="K759" i="1"/>
  <c r="J759" i="1"/>
  <c r="A759" i="1"/>
  <c r="AK758" i="1"/>
  <c r="AG758" i="1"/>
  <c r="Z758" i="1"/>
  <c r="K758" i="1"/>
  <c r="J758" i="1"/>
  <c r="A758" i="1"/>
  <c r="AK757" i="1"/>
  <c r="AG757" i="1"/>
  <c r="Z757" i="1"/>
  <c r="K757" i="1"/>
  <c r="J757" i="1"/>
  <c r="A757" i="1"/>
  <c r="AK756" i="1"/>
  <c r="AG756" i="1"/>
  <c r="Z756" i="1"/>
  <c r="K756" i="1"/>
  <c r="J756" i="1"/>
  <c r="A756" i="1"/>
  <c r="AK755" i="1"/>
  <c r="AG755" i="1"/>
  <c r="Z755" i="1"/>
  <c r="K755" i="1"/>
  <c r="J755" i="1"/>
  <c r="A755" i="1"/>
  <c r="AK754" i="1"/>
  <c r="AG754" i="1"/>
  <c r="Z754" i="1"/>
  <c r="K754" i="1"/>
  <c r="J754" i="1"/>
  <c r="A754" i="1"/>
  <c r="AK753" i="1"/>
  <c r="AG753" i="1"/>
  <c r="Z753" i="1"/>
  <c r="K753" i="1"/>
  <c r="J753" i="1"/>
  <c r="A753" i="1"/>
  <c r="AG752" i="1"/>
  <c r="Z752" i="1"/>
  <c r="K752" i="1"/>
  <c r="J752" i="1"/>
  <c r="A752" i="1"/>
  <c r="AG751" i="1"/>
  <c r="Z751" i="1"/>
  <c r="K751" i="1"/>
  <c r="J751" i="1"/>
  <c r="A751" i="1"/>
  <c r="AK750" i="1"/>
  <c r="AG750" i="1"/>
  <c r="Z750" i="1"/>
  <c r="K750" i="1"/>
  <c r="J750" i="1"/>
  <c r="A750" i="1"/>
  <c r="AK749" i="1"/>
  <c r="AG749" i="1"/>
  <c r="Z749" i="1"/>
  <c r="K749" i="1"/>
  <c r="J749" i="1"/>
  <c r="A749" i="1"/>
  <c r="AK748" i="1"/>
  <c r="AG748" i="1"/>
  <c r="Z748" i="1"/>
  <c r="K748" i="1"/>
  <c r="J748" i="1"/>
  <c r="A748" i="1"/>
  <c r="AK747" i="1"/>
  <c r="AG747" i="1"/>
  <c r="Z747" i="1"/>
  <c r="K747" i="1"/>
  <c r="J747" i="1"/>
  <c r="A747" i="1"/>
  <c r="AK746" i="1"/>
  <c r="AG746" i="1"/>
  <c r="Z746" i="1"/>
  <c r="K746" i="1"/>
  <c r="J746" i="1"/>
  <c r="A746" i="1"/>
  <c r="AG745" i="1"/>
  <c r="Z745" i="1"/>
  <c r="K745" i="1"/>
  <c r="J745" i="1"/>
  <c r="A745" i="1"/>
  <c r="AK744" i="1"/>
  <c r="AG744" i="1"/>
  <c r="Z744" i="1"/>
  <c r="K744" i="1"/>
  <c r="J744" i="1"/>
  <c r="A744" i="1"/>
  <c r="AK743" i="1"/>
  <c r="AG743" i="1"/>
  <c r="Z743" i="1"/>
  <c r="K743" i="1"/>
  <c r="J743" i="1"/>
  <c r="A743" i="1"/>
  <c r="AG742" i="1"/>
  <c r="Z742" i="1"/>
  <c r="K742" i="1"/>
  <c r="J742" i="1"/>
  <c r="A742" i="1"/>
  <c r="AK741" i="1"/>
  <c r="AG741" i="1"/>
  <c r="Z741" i="1"/>
  <c r="K741" i="1"/>
  <c r="J741" i="1"/>
  <c r="A741" i="1"/>
  <c r="AK740" i="1"/>
  <c r="AG740" i="1"/>
  <c r="Z740" i="1"/>
  <c r="M740" i="1"/>
  <c r="S760" i="1" s="1"/>
  <c r="A740" i="1"/>
  <c r="A739" i="1"/>
  <c r="N738" i="1"/>
  <c r="L738" i="1"/>
  <c r="C738" i="1"/>
  <c r="D738" i="1" s="1"/>
  <c r="A738" i="1"/>
  <c r="A737" i="1"/>
  <c r="AK736" i="1"/>
  <c r="AG736" i="1"/>
  <c r="Z736" i="1"/>
  <c r="K736" i="1"/>
  <c r="J736" i="1"/>
  <c r="A736" i="1"/>
  <c r="AK735" i="1"/>
  <c r="AG735" i="1"/>
  <c r="Z735" i="1"/>
  <c r="K735" i="1"/>
  <c r="J735" i="1"/>
  <c r="A735" i="1"/>
  <c r="AK734" i="1"/>
  <c r="AG734" i="1"/>
  <c r="Z734" i="1"/>
  <c r="K734" i="1"/>
  <c r="J734" i="1"/>
  <c r="A734" i="1"/>
  <c r="AK733" i="1"/>
  <c r="AG733" i="1"/>
  <c r="Z733" i="1"/>
  <c r="K733" i="1"/>
  <c r="J733" i="1"/>
  <c r="A733" i="1"/>
  <c r="AK732" i="1"/>
  <c r="AG732" i="1"/>
  <c r="Z732" i="1"/>
  <c r="K732" i="1"/>
  <c r="J732" i="1"/>
  <c r="A732" i="1"/>
  <c r="AK731" i="1"/>
  <c r="AG731" i="1"/>
  <c r="Z731" i="1"/>
  <c r="K731" i="1"/>
  <c r="J731" i="1"/>
  <c r="A731" i="1"/>
  <c r="AK730" i="1"/>
  <c r="AG730" i="1"/>
  <c r="Z730" i="1"/>
  <c r="K730" i="1"/>
  <c r="J730" i="1"/>
  <c r="A730" i="1"/>
  <c r="AK729" i="1"/>
  <c r="AG729" i="1"/>
  <c r="Z729" i="1"/>
  <c r="K729" i="1"/>
  <c r="J729" i="1"/>
  <c r="A729" i="1"/>
  <c r="AG728" i="1"/>
  <c r="Z728" i="1"/>
  <c r="K728" i="1"/>
  <c r="J728" i="1"/>
  <c r="A728" i="1"/>
  <c r="AG727" i="1"/>
  <c r="Z727" i="1"/>
  <c r="K727" i="1"/>
  <c r="J727" i="1"/>
  <c r="A727" i="1"/>
  <c r="AK726" i="1"/>
  <c r="AG726" i="1"/>
  <c r="Z726" i="1"/>
  <c r="K726" i="1"/>
  <c r="J726" i="1"/>
  <c r="A726" i="1"/>
  <c r="AK725" i="1"/>
  <c r="AG725" i="1"/>
  <c r="Z725" i="1"/>
  <c r="K725" i="1"/>
  <c r="J725" i="1"/>
  <c r="A725" i="1"/>
  <c r="AK724" i="1"/>
  <c r="AG724" i="1"/>
  <c r="Z724" i="1"/>
  <c r="K724" i="1"/>
  <c r="J724" i="1"/>
  <c r="A724" i="1"/>
  <c r="AK723" i="1"/>
  <c r="AG723" i="1"/>
  <c r="Z723" i="1"/>
  <c r="K723" i="1"/>
  <c r="J723" i="1"/>
  <c r="A723" i="1"/>
  <c r="AK722" i="1"/>
  <c r="AG722" i="1"/>
  <c r="Z722" i="1"/>
  <c r="K722" i="1"/>
  <c r="J722" i="1"/>
  <c r="A722" i="1"/>
  <c r="AG721" i="1"/>
  <c r="Z721" i="1"/>
  <c r="K721" i="1"/>
  <c r="J721" i="1"/>
  <c r="A721" i="1"/>
  <c r="AK720" i="1"/>
  <c r="AG720" i="1"/>
  <c r="Z720" i="1"/>
  <c r="K720" i="1"/>
  <c r="J720" i="1"/>
  <c r="A720" i="1"/>
  <c r="AK719" i="1"/>
  <c r="AG719" i="1"/>
  <c r="Z719" i="1"/>
  <c r="K719" i="1"/>
  <c r="J719" i="1"/>
  <c r="A719" i="1"/>
  <c r="AG718" i="1"/>
  <c r="Z718" i="1"/>
  <c r="K718" i="1"/>
  <c r="J718" i="1"/>
  <c r="A718" i="1"/>
  <c r="AK717" i="1"/>
  <c r="AG717" i="1"/>
  <c r="Z717" i="1"/>
  <c r="K717" i="1"/>
  <c r="J717" i="1"/>
  <c r="A717" i="1"/>
  <c r="AK716" i="1"/>
  <c r="AG716" i="1"/>
  <c r="Z716" i="1"/>
  <c r="M716" i="1"/>
  <c r="S733" i="1" s="1"/>
  <c r="A716" i="1"/>
  <c r="A715" i="1"/>
  <c r="N714" i="1"/>
  <c r="L714" i="1"/>
  <c r="C714" i="1"/>
  <c r="D714" i="1" s="1"/>
  <c r="A714" i="1"/>
  <c r="A713" i="1"/>
  <c r="AK712" i="1"/>
  <c r="AG712" i="1"/>
  <c r="Z712" i="1"/>
  <c r="K712" i="1"/>
  <c r="J712" i="1"/>
  <c r="A712" i="1"/>
  <c r="AK711" i="1"/>
  <c r="AG711" i="1"/>
  <c r="Z711" i="1"/>
  <c r="K711" i="1"/>
  <c r="J711" i="1"/>
  <c r="A711" i="1"/>
  <c r="AK710" i="1"/>
  <c r="AG710" i="1"/>
  <c r="Z710" i="1"/>
  <c r="K710" i="1"/>
  <c r="J710" i="1"/>
  <c r="A710" i="1"/>
  <c r="AK709" i="1"/>
  <c r="AG709" i="1"/>
  <c r="Z709" i="1"/>
  <c r="K709" i="1"/>
  <c r="J709" i="1"/>
  <c r="A709" i="1"/>
  <c r="AK708" i="1"/>
  <c r="AG708" i="1"/>
  <c r="Z708" i="1"/>
  <c r="K708" i="1"/>
  <c r="J708" i="1"/>
  <c r="A708" i="1"/>
  <c r="AK707" i="1"/>
  <c r="AG707" i="1"/>
  <c r="Z707" i="1"/>
  <c r="K707" i="1"/>
  <c r="J707" i="1"/>
  <c r="A707" i="1"/>
  <c r="AK706" i="1"/>
  <c r="AG706" i="1"/>
  <c r="Z706" i="1"/>
  <c r="K706" i="1"/>
  <c r="J706" i="1"/>
  <c r="A706" i="1"/>
  <c r="AK705" i="1"/>
  <c r="AG705" i="1"/>
  <c r="Z705" i="1"/>
  <c r="K705" i="1"/>
  <c r="J705" i="1"/>
  <c r="A705" i="1"/>
  <c r="AG704" i="1"/>
  <c r="Z704" i="1"/>
  <c r="K704" i="1"/>
  <c r="J704" i="1"/>
  <c r="A704" i="1"/>
  <c r="AG703" i="1"/>
  <c r="Z703" i="1"/>
  <c r="K703" i="1"/>
  <c r="J703" i="1"/>
  <c r="A703" i="1"/>
  <c r="AK702" i="1"/>
  <c r="AG702" i="1"/>
  <c r="Z702" i="1"/>
  <c r="K702" i="1"/>
  <c r="J702" i="1"/>
  <c r="A702" i="1"/>
  <c r="AK701" i="1"/>
  <c r="AG701" i="1"/>
  <c r="Z701" i="1"/>
  <c r="K701" i="1"/>
  <c r="J701" i="1"/>
  <c r="A701" i="1"/>
  <c r="AK700" i="1"/>
  <c r="AG700" i="1"/>
  <c r="Z700" i="1"/>
  <c r="K700" i="1"/>
  <c r="J700" i="1"/>
  <c r="A700" i="1"/>
  <c r="AK699" i="1"/>
  <c r="AG699" i="1"/>
  <c r="Z699" i="1"/>
  <c r="K699" i="1"/>
  <c r="J699" i="1"/>
  <c r="A699" i="1"/>
  <c r="AK698" i="1"/>
  <c r="AG698" i="1"/>
  <c r="Z698" i="1"/>
  <c r="K698" i="1"/>
  <c r="J698" i="1"/>
  <c r="A698" i="1"/>
  <c r="AG697" i="1"/>
  <c r="Z697" i="1"/>
  <c r="K697" i="1"/>
  <c r="J697" i="1"/>
  <c r="A697" i="1"/>
  <c r="AK696" i="1"/>
  <c r="AG696" i="1"/>
  <c r="Z696" i="1"/>
  <c r="K696" i="1"/>
  <c r="J696" i="1"/>
  <c r="A696" i="1"/>
  <c r="AK695" i="1"/>
  <c r="AG695" i="1"/>
  <c r="Z695" i="1"/>
  <c r="K695" i="1"/>
  <c r="J695" i="1"/>
  <c r="A695" i="1"/>
  <c r="AG694" i="1"/>
  <c r="Z694" i="1"/>
  <c r="K694" i="1"/>
  <c r="J694" i="1"/>
  <c r="A694" i="1"/>
  <c r="AK693" i="1"/>
  <c r="AG693" i="1"/>
  <c r="Z693" i="1"/>
  <c r="K693" i="1"/>
  <c r="J693" i="1"/>
  <c r="A693" i="1"/>
  <c r="AK692" i="1"/>
  <c r="AG692" i="1"/>
  <c r="Z692" i="1"/>
  <c r="M692" i="1"/>
  <c r="S706" i="1" s="1"/>
  <c r="A692" i="1"/>
  <c r="A691" i="1"/>
  <c r="N690" i="1"/>
  <c r="L690" i="1"/>
  <c r="C690" i="1"/>
  <c r="D690" i="1" s="1"/>
  <c r="A690" i="1"/>
  <c r="A689" i="1"/>
  <c r="AK688" i="1"/>
  <c r="AG688" i="1"/>
  <c r="Z688" i="1"/>
  <c r="K688" i="1"/>
  <c r="J688" i="1"/>
  <c r="A688" i="1"/>
  <c r="AK687" i="1"/>
  <c r="AG687" i="1"/>
  <c r="Z687" i="1"/>
  <c r="K687" i="1"/>
  <c r="J687" i="1"/>
  <c r="A687" i="1"/>
  <c r="AK686" i="1"/>
  <c r="AG686" i="1"/>
  <c r="Z686" i="1"/>
  <c r="K686" i="1"/>
  <c r="J686" i="1"/>
  <c r="A686" i="1"/>
  <c r="AK685" i="1"/>
  <c r="AG685" i="1"/>
  <c r="Z685" i="1"/>
  <c r="K685" i="1"/>
  <c r="J685" i="1"/>
  <c r="A685" i="1"/>
  <c r="AK684" i="1"/>
  <c r="AG684" i="1"/>
  <c r="Z684" i="1"/>
  <c r="K684" i="1"/>
  <c r="J684" i="1"/>
  <c r="A684" i="1"/>
  <c r="AK683" i="1"/>
  <c r="AG683" i="1"/>
  <c r="Z683" i="1"/>
  <c r="K683" i="1"/>
  <c r="J683" i="1"/>
  <c r="A683" i="1"/>
  <c r="AK682" i="1"/>
  <c r="AG682" i="1"/>
  <c r="Z682" i="1"/>
  <c r="K682" i="1"/>
  <c r="J682" i="1"/>
  <c r="A682" i="1"/>
  <c r="AK681" i="1"/>
  <c r="AG681" i="1"/>
  <c r="Z681" i="1"/>
  <c r="K681" i="1"/>
  <c r="J681" i="1"/>
  <c r="A681" i="1"/>
  <c r="AG680" i="1"/>
  <c r="Z680" i="1"/>
  <c r="K680" i="1"/>
  <c r="J680" i="1"/>
  <c r="A680" i="1"/>
  <c r="AG679" i="1"/>
  <c r="Z679" i="1"/>
  <c r="K679" i="1"/>
  <c r="J679" i="1"/>
  <c r="A679" i="1"/>
  <c r="AK678" i="1"/>
  <c r="AG678" i="1"/>
  <c r="Z678" i="1"/>
  <c r="K678" i="1"/>
  <c r="J678" i="1"/>
  <c r="A678" i="1"/>
  <c r="AK677" i="1"/>
  <c r="AG677" i="1"/>
  <c r="Z677" i="1"/>
  <c r="K677" i="1"/>
  <c r="J677" i="1"/>
  <c r="A677" i="1"/>
  <c r="AK676" i="1"/>
  <c r="AG676" i="1"/>
  <c r="Z676" i="1"/>
  <c r="K676" i="1"/>
  <c r="J676" i="1"/>
  <c r="A676" i="1"/>
  <c r="AK675" i="1"/>
  <c r="AG675" i="1"/>
  <c r="Z675" i="1"/>
  <c r="K675" i="1"/>
  <c r="J675" i="1"/>
  <c r="A675" i="1"/>
  <c r="AK674" i="1"/>
  <c r="AG674" i="1"/>
  <c r="Z674" i="1"/>
  <c r="K674" i="1"/>
  <c r="J674" i="1"/>
  <c r="A674" i="1"/>
  <c r="AG673" i="1"/>
  <c r="Z673" i="1"/>
  <c r="K673" i="1"/>
  <c r="J673" i="1"/>
  <c r="A673" i="1"/>
  <c r="AK672" i="1"/>
  <c r="AG672" i="1"/>
  <c r="Z672" i="1"/>
  <c r="K672" i="1"/>
  <c r="J672" i="1"/>
  <c r="A672" i="1"/>
  <c r="AK671" i="1"/>
  <c r="AG671" i="1"/>
  <c r="Z671" i="1"/>
  <c r="K671" i="1"/>
  <c r="J671" i="1"/>
  <c r="A671" i="1"/>
  <c r="AG670" i="1"/>
  <c r="Z670" i="1"/>
  <c r="K670" i="1"/>
  <c r="J670" i="1"/>
  <c r="A670" i="1"/>
  <c r="AK669" i="1"/>
  <c r="AG669" i="1"/>
  <c r="Z669" i="1"/>
  <c r="K669" i="1"/>
  <c r="J669" i="1"/>
  <c r="A669" i="1"/>
  <c r="AK668" i="1"/>
  <c r="AG668" i="1"/>
  <c r="Z668" i="1"/>
  <c r="M668" i="1"/>
  <c r="S686" i="1" s="1"/>
  <c r="A668" i="1"/>
  <c r="A667" i="1"/>
  <c r="N666" i="1"/>
  <c r="L666" i="1"/>
  <c r="C666" i="1"/>
  <c r="D666" i="1" s="1"/>
  <c r="A666" i="1"/>
  <c r="A665" i="1"/>
  <c r="AK664" i="1"/>
  <c r="AG664" i="1"/>
  <c r="Z664" i="1"/>
  <c r="K664" i="1"/>
  <c r="J664" i="1"/>
  <c r="A664" i="1"/>
  <c r="AK663" i="1"/>
  <c r="AG663" i="1"/>
  <c r="Z663" i="1"/>
  <c r="K663" i="1"/>
  <c r="J663" i="1"/>
  <c r="A663" i="1"/>
  <c r="AK662" i="1"/>
  <c r="AG662" i="1"/>
  <c r="Z662" i="1"/>
  <c r="K662" i="1"/>
  <c r="J662" i="1"/>
  <c r="A662" i="1"/>
  <c r="AK661" i="1"/>
  <c r="AG661" i="1"/>
  <c r="Z661" i="1"/>
  <c r="K661" i="1"/>
  <c r="J661" i="1"/>
  <c r="A661" i="1"/>
  <c r="AK660" i="1"/>
  <c r="AG660" i="1"/>
  <c r="Z660" i="1"/>
  <c r="K660" i="1"/>
  <c r="J660" i="1"/>
  <c r="A660" i="1"/>
  <c r="AK659" i="1"/>
  <c r="AG659" i="1"/>
  <c r="Z659" i="1"/>
  <c r="K659" i="1"/>
  <c r="J659" i="1"/>
  <c r="A659" i="1"/>
  <c r="AK658" i="1"/>
  <c r="AG658" i="1"/>
  <c r="Z658" i="1"/>
  <c r="K658" i="1"/>
  <c r="J658" i="1"/>
  <c r="A658" i="1"/>
  <c r="AK657" i="1"/>
  <c r="AG657" i="1"/>
  <c r="Z657" i="1"/>
  <c r="K657" i="1"/>
  <c r="J657" i="1"/>
  <c r="A657" i="1"/>
  <c r="AG656" i="1"/>
  <c r="Z656" i="1"/>
  <c r="K656" i="1"/>
  <c r="J656" i="1"/>
  <c r="A656" i="1"/>
  <c r="AG655" i="1"/>
  <c r="Z655" i="1"/>
  <c r="K655" i="1"/>
  <c r="J655" i="1"/>
  <c r="A655" i="1"/>
  <c r="AK654" i="1"/>
  <c r="AG654" i="1"/>
  <c r="Z654" i="1"/>
  <c r="K654" i="1"/>
  <c r="J654" i="1"/>
  <c r="A654" i="1"/>
  <c r="AK653" i="1"/>
  <c r="AG653" i="1"/>
  <c r="Z653" i="1"/>
  <c r="K653" i="1"/>
  <c r="J653" i="1"/>
  <c r="A653" i="1"/>
  <c r="AK652" i="1"/>
  <c r="AG652" i="1"/>
  <c r="Z652" i="1"/>
  <c r="K652" i="1"/>
  <c r="J652" i="1"/>
  <c r="A652" i="1"/>
  <c r="AK651" i="1"/>
  <c r="AG651" i="1"/>
  <c r="Z651" i="1"/>
  <c r="K651" i="1"/>
  <c r="J651" i="1"/>
  <c r="A651" i="1"/>
  <c r="AK650" i="1"/>
  <c r="AG650" i="1"/>
  <c r="Z650" i="1"/>
  <c r="K650" i="1"/>
  <c r="J650" i="1"/>
  <c r="A650" i="1"/>
  <c r="AG649" i="1"/>
  <c r="Z649" i="1"/>
  <c r="K649" i="1"/>
  <c r="J649" i="1"/>
  <c r="A649" i="1"/>
  <c r="AK648" i="1"/>
  <c r="AG648" i="1"/>
  <c r="Z648" i="1"/>
  <c r="K648" i="1"/>
  <c r="J648" i="1"/>
  <c r="A648" i="1"/>
  <c r="AK647" i="1"/>
  <c r="AG647" i="1"/>
  <c r="Z647" i="1"/>
  <c r="K647" i="1"/>
  <c r="J647" i="1"/>
  <c r="A647" i="1"/>
  <c r="AG646" i="1"/>
  <c r="Z646" i="1"/>
  <c r="K646" i="1"/>
  <c r="J646" i="1"/>
  <c r="A646" i="1"/>
  <c r="AK645" i="1"/>
  <c r="AG645" i="1"/>
  <c r="Z645" i="1"/>
  <c r="K645" i="1"/>
  <c r="J645" i="1"/>
  <c r="A645" i="1"/>
  <c r="AK644" i="1"/>
  <c r="AG644" i="1"/>
  <c r="Z644" i="1"/>
  <c r="M644" i="1"/>
  <c r="S661" i="1" s="1"/>
  <c r="A644" i="1"/>
  <c r="A643" i="1"/>
  <c r="N642" i="1"/>
  <c r="L642" i="1"/>
  <c r="C642" i="1"/>
  <c r="D642" i="1" s="1"/>
  <c r="A642" i="1"/>
  <c r="A641" i="1"/>
  <c r="AK640" i="1"/>
  <c r="AG640" i="1"/>
  <c r="Z640" i="1"/>
  <c r="K640" i="1"/>
  <c r="J640" i="1"/>
  <c r="A640" i="1"/>
  <c r="AK639" i="1"/>
  <c r="AG639" i="1"/>
  <c r="Z639" i="1"/>
  <c r="K639" i="1"/>
  <c r="J639" i="1"/>
  <c r="A639" i="1"/>
  <c r="AK638" i="1"/>
  <c r="AG638" i="1"/>
  <c r="Z638" i="1"/>
  <c r="K638" i="1"/>
  <c r="J638" i="1"/>
  <c r="A638" i="1"/>
  <c r="AK637" i="1"/>
  <c r="AG637" i="1"/>
  <c r="Z637" i="1"/>
  <c r="K637" i="1"/>
  <c r="J637" i="1"/>
  <c r="A637" i="1"/>
  <c r="AK636" i="1"/>
  <c r="AG636" i="1"/>
  <c r="Z636" i="1"/>
  <c r="K636" i="1"/>
  <c r="J636" i="1"/>
  <c r="A636" i="1"/>
  <c r="AK635" i="1"/>
  <c r="AG635" i="1"/>
  <c r="Z635" i="1"/>
  <c r="K635" i="1"/>
  <c r="J635" i="1"/>
  <c r="A635" i="1"/>
  <c r="AK634" i="1"/>
  <c r="AG634" i="1"/>
  <c r="Z634" i="1"/>
  <c r="K634" i="1"/>
  <c r="J634" i="1"/>
  <c r="A634" i="1"/>
  <c r="AK633" i="1"/>
  <c r="AG633" i="1"/>
  <c r="Z633" i="1"/>
  <c r="K633" i="1"/>
  <c r="J633" i="1"/>
  <c r="A633" i="1"/>
  <c r="AG632" i="1"/>
  <c r="Z632" i="1"/>
  <c r="K632" i="1"/>
  <c r="J632" i="1"/>
  <c r="A632" i="1"/>
  <c r="AG631" i="1"/>
  <c r="Z631" i="1"/>
  <c r="K631" i="1"/>
  <c r="J631" i="1"/>
  <c r="A631" i="1"/>
  <c r="AK630" i="1"/>
  <c r="AG630" i="1"/>
  <c r="Z630" i="1"/>
  <c r="K630" i="1"/>
  <c r="J630" i="1"/>
  <c r="A630" i="1"/>
  <c r="AK629" i="1"/>
  <c r="AG629" i="1"/>
  <c r="Z629" i="1"/>
  <c r="K629" i="1"/>
  <c r="J629" i="1"/>
  <c r="A629" i="1"/>
  <c r="AK628" i="1"/>
  <c r="AG628" i="1"/>
  <c r="Z628" i="1"/>
  <c r="K628" i="1"/>
  <c r="J628" i="1"/>
  <c r="A628" i="1"/>
  <c r="AK627" i="1"/>
  <c r="AG627" i="1"/>
  <c r="Z627" i="1"/>
  <c r="K627" i="1"/>
  <c r="J627" i="1"/>
  <c r="A627" i="1"/>
  <c r="AK626" i="1"/>
  <c r="AG626" i="1"/>
  <c r="Z626" i="1"/>
  <c r="K626" i="1"/>
  <c r="J626" i="1"/>
  <c r="A626" i="1"/>
  <c r="AG625" i="1"/>
  <c r="Z625" i="1"/>
  <c r="K625" i="1"/>
  <c r="J625" i="1"/>
  <c r="A625" i="1"/>
  <c r="AK624" i="1"/>
  <c r="AG624" i="1"/>
  <c r="Z624" i="1"/>
  <c r="K624" i="1"/>
  <c r="J624" i="1"/>
  <c r="A624" i="1"/>
  <c r="AK623" i="1"/>
  <c r="AG623" i="1"/>
  <c r="Z623" i="1"/>
  <c r="K623" i="1"/>
  <c r="J623" i="1"/>
  <c r="A623" i="1"/>
  <c r="AG622" i="1"/>
  <c r="Z622" i="1"/>
  <c r="K622" i="1"/>
  <c r="J622" i="1"/>
  <c r="A622" i="1"/>
  <c r="AK621" i="1"/>
  <c r="AG621" i="1"/>
  <c r="Z621" i="1"/>
  <c r="K621" i="1"/>
  <c r="J621" i="1"/>
  <c r="A621" i="1"/>
  <c r="AK620" i="1"/>
  <c r="AG620" i="1"/>
  <c r="Z620" i="1"/>
  <c r="M620" i="1"/>
  <c r="S638" i="1" s="1"/>
  <c r="A620" i="1"/>
  <c r="A619" i="1"/>
  <c r="N618" i="1"/>
  <c r="L618" i="1"/>
  <c r="C618" i="1"/>
  <c r="D618" i="1" s="1"/>
  <c r="A618" i="1"/>
  <c r="A617" i="1"/>
  <c r="AK616" i="1"/>
  <c r="AG616" i="1"/>
  <c r="Z616" i="1"/>
  <c r="K616" i="1"/>
  <c r="J616" i="1"/>
  <c r="A616" i="1"/>
  <c r="AK615" i="1"/>
  <c r="AG615" i="1"/>
  <c r="Z615" i="1"/>
  <c r="K615" i="1"/>
  <c r="J615" i="1"/>
  <c r="A615" i="1"/>
  <c r="AK614" i="1"/>
  <c r="AG614" i="1"/>
  <c r="Z614" i="1"/>
  <c r="K614" i="1"/>
  <c r="J614" i="1"/>
  <c r="A614" i="1"/>
  <c r="AK613" i="1"/>
  <c r="AG613" i="1"/>
  <c r="Z613" i="1"/>
  <c r="K613" i="1"/>
  <c r="J613" i="1"/>
  <c r="A613" i="1"/>
  <c r="AK612" i="1"/>
  <c r="AG612" i="1"/>
  <c r="Z612" i="1"/>
  <c r="K612" i="1"/>
  <c r="J612" i="1"/>
  <c r="A612" i="1"/>
  <c r="AK611" i="1"/>
  <c r="AG611" i="1"/>
  <c r="Z611" i="1"/>
  <c r="K611" i="1"/>
  <c r="J611" i="1"/>
  <c r="A611" i="1"/>
  <c r="AK610" i="1"/>
  <c r="AG610" i="1"/>
  <c r="Z610" i="1"/>
  <c r="K610" i="1"/>
  <c r="J610" i="1"/>
  <c r="A610" i="1"/>
  <c r="AK609" i="1"/>
  <c r="AG609" i="1"/>
  <c r="Z609" i="1"/>
  <c r="K609" i="1"/>
  <c r="J609" i="1"/>
  <c r="A609" i="1"/>
  <c r="AG608" i="1"/>
  <c r="Z608" i="1"/>
  <c r="K608" i="1"/>
  <c r="J608" i="1"/>
  <c r="A608" i="1"/>
  <c r="AG607" i="1"/>
  <c r="Z607" i="1"/>
  <c r="K607" i="1"/>
  <c r="J607" i="1"/>
  <c r="A607" i="1"/>
  <c r="AK606" i="1"/>
  <c r="AG606" i="1"/>
  <c r="Z606" i="1"/>
  <c r="K606" i="1"/>
  <c r="J606" i="1"/>
  <c r="A606" i="1"/>
  <c r="AK605" i="1"/>
  <c r="AG605" i="1"/>
  <c r="Z605" i="1"/>
  <c r="K605" i="1"/>
  <c r="J605" i="1"/>
  <c r="A605" i="1"/>
  <c r="AK604" i="1"/>
  <c r="AG604" i="1"/>
  <c r="Z604" i="1"/>
  <c r="K604" i="1"/>
  <c r="J604" i="1"/>
  <c r="A604" i="1"/>
  <c r="AK603" i="1"/>
  <c r="AG603" i="1"/>
  <c r="Z603" i="1"/>
  <c r="K603" i="1"/>
  <c r="J603" i="1"/>
  <c r="A603" i="1"/>
  <c r="AK602" i="1"/>
  <c r="AG602" i="1"/>
  <c r="Z602" i="1"/>
  <c r="K602" i="1"/>
  <c r="J602" i="1"/>
  <c r="A602" i="1"/>
  <c r="AG601" i="1"/>
  <c r="Z601" i="1"/>
  <c r="K601" i="1"/>
  <c r="J601" i="1"/>
  <c r="A601" i="1"/>
  <c r="AK600" i="1"/>
  <c r="AG600" i="1"/>
  <c r="Z600" i="1"/>
  <c r="K600" i="1"/>
  <c r="J600" i="1"/>
  <c r="A600" i="1"/>
  <c r="AK599" i="1"/>
  <c r="AG599" i="1"/>
  <c r="Z599" i="1"/>
  <c r="K599" i="1"/>
  <c r="J599" i="1"/>
  <c r="A599" i="1"/>
  <c r="AG598" i="1"/>
  <c r="Z598" i="1"/>
  <c r="K598" i="1"/>
  <c r="J598" i="1"/>
  <c r="A598" i="1"/>
  <c r="AK597" i="1"/>
  <c r="AG597" i="1"/>
  <c r="Z597" i="1"/>
  <c r="K597" i="1"/>
  <c r="J597" i="1"/>
  <c r="A597" i="1"/>
  <c r="AK596" i="1"/>
  <c r="AG596" i="1"/>
  <c r="Z596" i="1"/>
  <c r="M596" i="1"/>
  <c r="S616" i="1" s="1"/>
  <c r="A596" i="1"/>
  <c r="A595" i="1"/>
  <c r="N594" i="1"/>
  <c r="L594" i="1"/>
  <c r="C594" i="1"/>
  <c r="D594" i="1" s="1"/>
  <c r="A594" i="1"/>
  <c r="A593" i="1"/>
  <c r="AK592" i="1"/>
  <c r="AG592" i="1"/>
  <c r="Z592" i="1"/>
  <c r="K592" i="1"/>
  <c r="J592" i="1"/>
  <c r="A592" i="1"/>
  <c r="AK591" i="1"/>
  <c r="AG591" i="1"/>
  <c r="Z591" i="1"/>
  <c r="K591" i="1"/>
  <c r="J591" i="1"/>
  <c r="A591" i="1"/>
  <c r="AK590" i="1"/>
  <c r="AG590" i="1"/>
  <c r="Z590" i="1"/>
  <c r="K590" i="1"/>
  <c r="J590" i="1"/>
  <c r="A590" i="1"/>
  <c r="AK589" i="1"/>
  <c r="AG589" i="1"/>
  <c r="Z589" i="1"/>
  <c r="K589" i="1"/>
  <c r="J589" i="1"/>
  <c r="A589" i="1"/>
  <c r="AK588" i="1"/>
  <c r="AG588" i="1"/>
  <c r="Z588" i="1"/>
  <c r="K588" i="1"/>
  <c r="J588" i="1"/>
  <c r="A588" i="1"/>
  <c r="AK587" i="1"/>
  <c r="AG587" i="1"/>
  <c r="Z587" i="1"/>
  <c r="K587" i="1"/>
  <c r="J587" i="1"/>
  <c r="A587" i="1"/>
  <c r="AK586" i="1"/>
  <c r="AG586" i="1"/>
  <c r="Z586" i="1"/>
  <c r="K586" i="1"/>
  <c r="J586" i="1"/>
  <c r="A586" i="1"/>
  <c r="AK585" i="1"/>
  <c r="AG585" i="1"/>
  <c r="Z585" i="1"/>
  <c r="K585" i="1"/>
  <c r="J585" i="1"/>
  <c r="A585" i="1"/>
  <c r="AG584" i="1"/>
  <c r="Z584" i="1"/>
  <c r="K584" i="1"/>
  <c r="J584" i="1"/>
  <c r="A584" i="1"/>
  <c r="AG583" i="1"/>
  <c r="Z583" i="1"/>
  <c r="K583" i="1"/>
  <c r="J583" i="1"/>
  <c r="A583" i="1"/>
  <c r="AK582" i="1"/>
  <c r="AG582" i="1"/>
  <c r="Z582" i="1"/>
  <c r="K582" i="1"/>
  <c r="J582" i="1"/>
  <c r="A582" i="1"/>
  <c r="AK581" i="1"/>
  <c r="AG581" i="1"/>
  <c r="Z581" i="1"/>
  <c r="K581" i="1"/>
  <c r="J581" i="1"/>
  <c r="A581" i="1"/>
  <c r="AK580" i="1"/>
  <c r="AG580" i="1"/>
  <c r="Z580" i="1"/>
  <c r="K580" i="1"/>
  <c r="J580" i="1"/>
  <c r="A580" i="1"/>
  <c r="AK579" i="1"/>
  <c r="AG579" i="1"/>
  <c r="Z579" i="1"/>
  <c r="K579" i="1"/>
  <c r="J579" i="1"/>
  <c r="A579" i="1"/>
  <c r="AK578" i="1"/>
  <c r="AG578" i="1"/>
  <c r="Z578" i="1"/>
  <c r="K578" i="1"/>
  <c r="J578" i="1"/>
  <c r="A578" i="1"/>
  <c r="AG577" i="1"/>
  <c r="Z577" i="1"/>
  <c r="K577" i="1"/>
  <c r="J577" i="1"/>
  <c r="A577" i="1"/>
  <c r="AK576" i="1"/>
  <c r="AG576" i="1"/>
  <c r="Z576" i="1"/>
  <c r="K576" i="1"/>
  <c r="J576" i="1"/>
  <c r="A576" i="1"/>
  <c r="AK575" i="1"/>
  <c r="AG575" i="1"/>
  <c r="Z575" i="1"/>
  <c r="K575" i="1"/>
  <c r="J575" i="1"/>
  <c r="A575" i="1"/>
  <c r="AG574" i="1"/>
  <c r="Z574" i="1"/>
  <c r="K574" i="1"/>
  <c r="J574" i="1"/>
  <c r="A574" i="1"/>
  <c r="AK573" i="1"/>
  <c r="AG573" i="1"/>
  <c r="Z573" i="1"/>
  <c r="K573" i="1"/>
  <c r="J573" i="1"/>
  <c r="A573" i="1"/>
  <c r="AK572" i="1"/>
  <c r="AG572" i="1"/>
  <c r="Z572" i="1"/>
  <c r="M572" i="1"/>
  <c r="S590" i="1" s="1"/>
  <c r="A572" i="1"/>
  <c r="A571" i="1"/>
  <c r="N570" i="1"/>
  <c r="L570" i="1"/>
  <c r="C570" i="1"/>
  <c r="D570" i="1" s="1"/>
  <c r="A570" i="1"/>
  <c r="A569" i="1"/>
  <c r="AK568" i="1"/>
  <c r="AG568" i="1"/>
  <c r="Z568" i="1"/>
  <c r="K568" i="1"/>
  <c r="J568" i="1"/>
  <c r="A568" i="1"/>
  <c r="AK567" i="1"/>
  <c r="AG567" i="1"/>
  <c r="Z567" i="1"/>
  <c r="K567" i="1"/>
  <c r="J567" i="1"/>
  <c r="A567" i="1"/>
  <c r="AK566" i="1"/>
  <c r="AG566" i="1"/>
  <c r="Z566" i="1"/>
  <c r="K566" i="1"/>
  <c r="J566" i="1"/>
  <c r="A566" i="1"/>
  <c r="AK565" i="1"/>
  <c r="AG565" i="1"/>
  <c r="Z565" i="1"/>
  <c r="K565" i="1"/>
  <c r="J565" i="1"/>
  <c r="A565" i="1"/>
  <c r="AK564" i="1"/>
  <c r="AG564" i="1"/>
  <c r="Z564" i="1"/>
  <c r="K564" i="1"/>
  <c r="J564" i="1"/>
  <c r="A564" i="1"/>
  <c r="AK563" i="1"/>
  <c r="AG563" i="1"/>
  <c r="Z563" i="1"/>
  <c r="K563" i="1"/>
  <c r="J563" i="1"/>
  <c r="A563" i="1"/>
  <c r="AK562" i="1"/>
  <c r="AG562" i="1"/>
  <c r="Z562" i="1"/>
  <c r="K562" i="1"/>
  <c r="J562" i="1"/>
  <c r="A562" i="1"/>
  <c r="AK561" i="1"/>
  <c r="AG561" i="1"/>
  <c r="Z561" i="1"/>
  <c r="K561" i="1"/>
  <c r="J561" i="1"/>
  <c r="A561" i="1"/>
  <c r="AG560" i="1"/>
  <c r="Z560" i="1"/>
  <c r="K560" i="1"/>
  <c r="J560" i="1"/>
  <c r="A560" i="1"/>
  <c r="AG559" i="1"/>
  <c r="Z559" i="1"/>
  <c r="K559" i="1"/>
  <c r="J559" i="1"/>
  <c r="A559" i="1"/>
  <c r="AK558" i="1"/>
  <c r="AG558" i="1"/>
  <c r="Z558" i="1"/>
  <c r="K558" i="1"/>
  <c r="J558" i="1"/>
  <c r="A558" i="1"/>
  <c r="AK557" i="1"/>
  <c r="AG557" i="1"/>
  <c r="Z557" i="1"/>
  <c r="K557" i="1"/>
  <c r="J557" i="1"/>
  <c r="A557" i="1"/>
  <c r="AK556" i="1"/>
  <c r="AG556" i="1"/>
  <c r="Z556" i="1"/>
  <c r="K556" i="1"/>
  <c r="J556" i="1"/>
  <c r="A556" i="1"/>
  <c r="AK555" i="1"/>
  <c r="AG555" i="1"/>
  <c r="Z555" i="1"/>
  <c r="K555" i="1"/>
  <c r="J555" i="1"/>
  <c r="A555" i="1"/>
  <c r="AK554" i="1"/>
  <c r="AG554" i="1"/>
  <c r="Z554" i="1"/>
  <c r="K554" i="1"/>
  <c r="J554" i="1"/>
  <c r="A554" i="1"/>
  <c r="AK553" i="1"/>
  <c r="AG553" i="1"/>
  <c r="Z553" i="1"/>
  <c r="K553" i="1"/>
  <c r="J553" i="1"/>
  <c r="A553" i="1"/>
  <c r="AK552" i="1"/>
  <c r="AG552" i="1"/>
  <c r="Z552" i="1"/>
  <c r="K552" i="1"/>
  <c r="J552" i="1"/>
  <c r="A552" i="1"/>
  <c r="AK551" i="1"/>
  <c r="AG551" i="1"/>
  <c r="Z551" i="1"/>
  <c r="K551" i="1"/>
  <c r="J551" i="1"/>
  <c r="A551" i="1"/>
  <c r="AG550" i="1"/>
  <c r="Z550" i="1"/>
  <c r="K550" i="1"/>
  <c r="J550" i="1"/>
  <c r="A550" i="1"/>
  <c r="AK549" i="1"/>
  <c r="AG549" i="1"/>
  <c r="Z549" i="1"/>
  <c r="K549" i="1"/>
  <c r="J549" i="1"/>
  <c r="A549" i="1"/>
  <c r="AK548" i="1"/>
  <c r="AG548" i="1"/>
  <c r="Z548" i="1"/>
  <c r="M548" i="1"/>
  <c r="S558" i="1" s="1"/>
  <c r="V558" i="1" s="1"/>
  <c r="W558" i="1" s="1"/>
  <c r="A548" i="1"/>
  <c r="A547" i="1"/>
  <c r="N546" i="1"/>
  <c r="L546" i="1"/>
  <c r="C546" i="1"/>
  <c r="D546" i="1" s="1"/>
  <c r="A546" i="1"/>
  <c r="A545" i="1"/>
  <c r="AK544" i="1"/>
  <c r="AG544" i="1"/>
  <c r="Z544" i="1"/>
  <c r="K544" i="1"/>
  <c r="J544" i="1"/>
  <c r="A544" i="1"/>
  <c r="AK543" i="1"/>
  <c r="AG543" i="1"/>
  <c r="Z543" i="1"/>
  <c r="K543" i="1"/>
  <c r="J543" i="1"/>
  <c r="A543" i="1"/>
  <c r="AK542" i="1"/>
  <c r="AG542" i="1"/>
  <c r="Z542" i="1"/>
  <c r="K542" i="1"/>
  <c r="J542" i="1"/>
  <c r="A542" i="1"/>
  <c r="AK541" i="1"/>
  <c r="AG541" i="1"/>
  <c r="Z541" i="1"/>
  <c r="K541" i="1"/>
  <c r="J541" i="1"/>
  <c r="A541" i="1"/>
  <c r="AK540" i="1"/>
  <c r="AG540" i="1"/>
  <c r="Z540" i="1"/>
  <c r="K540" i="1"/>
  <c r="J540" i="1"/>
  <c r="A540" i="1"/>
  <c r="AK539" i="1"/>
  <c r="AG539" i="1"/>
  <c r="Z539" i="1"/>
  <c r="K539" i="1"/>
  <c r="J539" i="1"/>
  <c r="A539" i="1"/>
  <c r="AK538" i="1"/>
  <c r="AG538" i="1"/>
  <c r="Z538" i="1"/>
  <c r="K538" i="1"/>
  <c r="J538" i="1"/>
  <c r="A538" i="1"/>
  <c r="AK537" i="1"/>
  <c r="AG537" i="1"/>
  <c r="Z537" i="1"/>
  <c r="K537" i="1"/>
  <c r="J537" i="1"/>
  <c r="A537" i="1"/>
  <c r="AG536" i="1"/>
  <c r="Z536" i="1"/>
  <c r="K536" i="1"/>
  <c r="J536" i="1"/>
  <c r="A536" i="1"/>
  <c r="AG535" i="1"/>
  <c r="Z535" i="1"/>
  <c r="K535" i="1"/>
  <c r="J535" i="1"/>
  <c r="A535" i="1"/>
  <c r="AK534" i="1"/>
  <c r="AG534" i="1"/>
  <c r="Z534" i="1"/>
  <c r="K534" i="1"/>
  <c r="J534" i="1"/>
  <c r="A534" i="1"/>
  <c r="AK533" i="1"/>
  <c r="AG533" i="1"/>
  <c r="Z533" i="1"/>
  <c r="K533" i="1"/>
  <c r="J533" i="1"/>
  <c r="A533" i="1"/>
  <c r="AK532" i="1"/>
  <c r="AG532" i="1"/>
  <c r="Z532" i="1"/>
  <c r="K532" i="1"/>
  <c r="J532" i="1"/>
  <c r="A532" i="1"/>
  <c r="AK531" i="1"/>
  <c r="AG531" i="1"/>
  <c r="Z531" i="1"/>
  <c r="K531" i="1"/>
  <c r="J531" i="1"/>
  <c r="A531" i="1"/>
  <c r="AK530" i="1"/>
  <c r="AG530" i="1"/>
  <c r="Z530" i="1"/>
  <c r="K530" i="1"/>
  <c r="J530" i="1"/>
  <c r="A530" i="1"/>
  <c r="AK529" i="1"/>
  <c r="AG529" i="1"/>
  <c r="Z529" i="1"/>
  <c r="K529" i="1"/>
  <c r="J529" i="1"/>
  <c r="A529" i="1"/>
  <c r="AK528" i="1"/>
  <c r="AG528" i="1"/>
  <c r="Z528" i="1"/>
  <c r="K528" i="1"/>
  <c r="J528" i="1"/>
  <c r="A528" i="1"/>
  <c r="AK527" i="1"/>
  <c r="AG527" i="1"/>
  <c r="Z527" i="1"/>
  <c r="K527" i="1"/>
  <c r="J527" i="1"/>
  <c r="A527" i="1"/>
  <c r="AG526" i="1"/>
  <c r="Z526" i="1"/>
  <c r="K526" i="1"/>
  <c r="J526" i="1"/>
  <c r="A526" i="1"/>
  <c r="AK525" i="1"/>
  <c r="AG525" i="1"/>
  <c r="Z525" i="1"/>
  <c r="K525" i="1"/>
  <c r="J525" i="1"/>
  <c r="A525" i="1"/>
  <c r="AK524" i="1"/>
  <c r="AG524" i="1"/>
  <c r="Z524" i="1"/>
  <c r="M524" i="1"/>
  <c r="A524" i="1"/>
  <c r="A523" i="1"/>
  <c r="N522" i="1"/>
  <c r="L522" i="1"/>
  <c r="C522" i="1"/>
  <c r="D522" i="1" s="1"/>
  <c r="A522" i="1"/>
  <c r="A521" i="1"/>
  <c r="AK520" i="1"/>
  <c r="AG520" i="1"/>
  <c r="Z520" i="1"/>
  <c r="K520" i="1"/>
  <c r="J520" i="1"/>
  <c r="A520" i="1"/>
  <c r="AK519" i="1"/>
  <c r="AG519" i="1"/>
  <c r="Z519" i="1"/>
  <c r="K519" i="1"/>
  <c r="J519" i="1"/>
  <c r="A519" i="1"/>
  <c r="AK518" i="1"/>
  <c r="AG518" i="1"/>
  <c r="Z518" i="1"/>
  <c r="K518" i="1"/>
  <c r="J518" i="1"/>
  <c r="A518" i="1"/>
  <c r="AK517" i="1"/>
  <c r="AG517" i="1"/>
  <c r="Z517" i="1"/>
  <c r="K517" i="1"/>
  <c r="J517" i="1"/>
  <c r="A517" i="1"/>
  <c r="AK516" i="1"/>
  <c r="AG516" i="1"/>
  <c r="Z516" i="1"/>
  <c r="K516" i="1"/>
  <c r="J516" i="1"/>
  <c r="A516" i="1"/>
  <c r="AK515" i="1"/>
  <c r="AG515" i="1"/>
  <c r="Z515" i="1"/>
  <c r="K515" i="1"/>
  <c r="J515" i="1"/>
  <c r="A515" i="1"/>
  <c r="AK514" i="1"/>
  <c r="AG514" i="1"/>
  <c r="Z514" i="1"/>
  <c r="K514" i="1"/>
  <c r="J514" i="1"/>
  <c r="A514" i="1"/>
  <c r="AK513" i="1"/>
  <c r="AG513" i="1"/>
  <c r="Z513" i="1"/>
  <c r="K513" i="1"/>
  <c r="J513" i="1"/>
  <c r="A513" i="1"/>
  <c r="AG512" i="1"/>
  <c r="Z512" i="1"/>
  <c r="K512" i="1"/>
  <c r="J512" i="1"/>
  <c r="A512" i="1"/>
  <c r="AG511" i="1"/>
  <c r="Z511" i="1"/>
  <c r="K511" i="1"/>
  <c r="J511" i="1"/>
  <c r="A511" i="1"/>
  <c r="AK510" i="1"/>
  <c r="AG510" i="1"/>
  <c r="Z510" i="1"/>
  <c r="K510" i="1"/>
  <c r="J510" i="1"/>
  <c r="A510" i="1"/>
  <c r="AK509" i="1"/>
  <c r="AG509" i="1"/>
  <c r="Z509" i="1"/>
  <c r="K509" i="1"/>
  <c r="J509" i="1"/>
  <c r="A509" i="1"/>
  <c r="AK508" i="1"/>
  <c r="AG508" i="1"/>
  <c r="Z508" i="1"/>
  <c r="K508" i="1"/>
  <c r="J508" i="1"/>
  <c r="A508" i="1"/>
  <c r="AK507" i="1"/>
  <c r="AG507" i="1"/>
  <c r="Z507" i="1"/>
  <c r="K507" i="1"/>
  <c r="J507" i="1"/>
  <c r="A507" i="1"/>
  <c r="AK506" i="1"/>
  <c r="AG506" i="1"/>
  <c r="Z506" i="1"/>
  <c r="K506" i="1"/>
  <c r="J506" i="1"/>
  <c r="A506" i="1"/>
  <c r="AK505" i="1"/>
  <c r="AG505" i="1"/>
  <c r="Z505" i="1"/>
  <c r="K505" i="1"/>
  <c r="J505" i="1"/>
  <c r="A505" i="1"/>
  <c r="AK504" i="1"/>
  <c r="AG504" i="1"/>
  <c r="Z504" i="1"/>
  <c r="K504" i="1"/>
  <c r="J504" i="1"/>
  <c r="A504" i="1"/>
  <c r="AK503" i="1"/>
  <c r="AG503" i="1"/>
  <c r="Z503" i="1"/>
  <c r="K503" i="1"/>
  <c r="J503" i="1"/>
  <c r="A503" i="1"/>
  <c r="AG502" i="1"/>
  <c r="Z502" i="1"/>
  <c r="K502" i="1"/>
  <c r="J502" i="1"/>
  <c r="A502" i="1"/>
  <c r="AK501" i="1"/>
  <c r="AG501" i="1"/>
  <c r="Z501" i="1"/>
  <c r="K501" i="1"/>
  <c r="J501" i="1"/>
  <c r="A501" i="1"/>
  <c r="AK500" i="1"/>
  <c r="AG500" i="1"/>
  <c r="Z500" i="1"/>
  <c r="M500" i="1"/>
  <c r="S520" i="1" s="1"/>
  <c r="A500" i="1"/>
  <c r="A499" i="1"/>
  <c r="N498" i="1"/>
  <c r="L498" i="1"/>
  <c r="C498" i="1"/>
  <c r="D498" i="1" s="1"/>
  <c r="A498" i="1"/>
  <c r="A497" i="1"/>
  <c r="AK496" i="1"/>
  <c r="AG496" i="1"/>
  <c r="Z496" i="1"/>
  <c r="K496" i="1"/>
  <c r="J496" i="1"/>
  <c r="A496" i="1"/>
  <c r="AK495" i="1"/>
  <c r="AG495" i="1"/>
  <c r="Z495" i="1"/>
  <c r="K495" i="1"/>
  <c r="J495" i="1"/>
  <c r="A495" i="1"/>
  <c r="AK494" i="1"/>
  <c r="AG494" i="1"/>
  <c r="Z494" i="1"/>
  <c r="K494" i="1"/>
  <c r="J494" i="1"/>
  <c r="A494" i="1"/>
  <c r="AK493" i="1"/>
  <c r="AG493" i="1"/>
  <c r="Z493" i="1"/>
  <c r="K493" i="1"/>
  <c r="J493" i="1"/>
  <c r="A493" i="1"/>
  <c r="AK492" i="1"/>
  <c r="AG492" i="1"/>
  <c r="Z492" i="1"/>
  <c r="K492" i="1"/>
  <c r="J492" i="1"/>
  <c r="A492" i="1"/>
  <c r="AK491" i="1"/>
  <c r="AG491" i="1"/>
  <c r="Z491" i="1"/>
  <c r="K491" i="1"/>
  <c r="J491" i="1"/>
  <c r="A491" i="1"/>
  <c r="AK490" i="1"/>
  <c r="AG490" i="1"/>
  <c r="Z490" i="1"/>
  <c r="K490" i="1"/>
  <c r="J490" i="1"/>
  <c r="A490" i="1"/>
  <c r="AK489" i="1"/>
  <c r="AG489" i="1"/>
  <c r="Z489" i="1"/>
  <c r="K489" i="1"/>
  <c r="J489" i="1"/>
  <c r="A489" i="1"/>
  <c r="AG488" i="1"/>
  <c r="Z488" i="1"/>
  <c r="K488" i="1"/>
  <c r="J488" i="1"/>
  <c r="A488" i="1"/>
  <c r="AG487" i="1"/>
  <c r="Z487" i="1"/>
  <c r="K487" i="1"/>
  <c r="J487" i="1"/>
  <c r="A487" i="1"/>
  <c r="AK486" i="1"/>
  <c r="AG486" i="1"/>
  <c r="Z486" i="1"/>
  <c r="K486" i="1"/>
  <c r="J486" i="1"/>
  <c r="A486" i="1"/>
  <c r="AK485" i="1"/>
  <c r="AG485" i="1"/>
  <c r="Z485" i="1"/>
  <c r="K485" i="1"/>
  <c r="J485" i="1"/>
  <c r="A485" i="1"/>
  <c r="AK484" i="1"/>
  <c r="AG484" i="1"/>
  <c r="Z484" i="1"/>
  <c r="K484" i="1"/>
  <c r="J484" i="1"/>
  <c r="A484" i="1"/>
  <c r="AK483" i="1"/>
  <c r="AG483" i="1"/>
  <c r="Z483" i="1"/>
  <c r="K483" i="1"/>
  <c r="J483" i="1"/>
  <c r="A483" i="1"/>
  <c r="AK482" i="1"/>
  <c r="AG482" i="1"/>
  <c r="Z482" i="1"/>
  <c r="K482" i="1"/>
  <c r="J482" i="1"/>
  <c r="A482" i="1"/>
  <c r="AK481" i="1"/>
  <c r="AG481" i="1"/>
  <c r="Z481" i="1"/>
  <c r="K481" i="1"/>
  <c r="J481" i="1"/>
  <c r="A481" i="1"/>
  <c r="AK480" i="1"/>
  <c r="AG480" i="1"/>
  <c r="Z480" i="1"/>
  <c r="K480" i="1"/>
  <c r="J480" i="1"/>
  <c r="A480" i="1"/>
  <c r="AK479" i="1"/>
  <c r="AG479" i="1"/>
  <c r="Z479" i="1"/>
  <c r="K479" i="1"/>
  <c r="J479" i="1"/>
  <c r="A479" i="1"/>
  <c r="AG478" i="1"/>
  <c r="Z478" i="1"/>
  <c r="K478" i="1"/>
  <c r="J478" i="1"/>
  <c r="A478" i="1"/>
  <c r="AK477" i="1"/>
  <c r="AG477" i="1"/>
  <c r="Z477" i="1"/>
  <c r="K477" i="1"/>
  <c r="J477" i="1"/>
  <c r="A477" i="1"/>
  <c r="AK476" i="1"/>
  <c r="AG476" i="1"/>
  <c r="Z476" i="1"/>
  <c r="M476" i="1"/>
  <c r="S496" i="1" s="1"/>
  <c r="A476" i="1"/>
  <c r="A475" i="1"/>
  <c r="N474" i="1"/>
  <c r="L474" i="1"/>
  <c r="C474" i="1"/>
  <c r="D474" i="1" s="1"/>
  <c r="A474" i="1"/>
  <c r="A473" i="1"/>
  <c r="AK472" i="1"/>
  <c r="AG472" i="1"/>
  <c r="Z472" i="1"/>
  <c r="K472" i="1"/>
  <c r="J472" i="1"/>
  <c r="A472" i="1"/>
  <c r="AK471" i="1"/>
  <c r="AG471" i="1"/>
  <c r="Z471" i="1"/>
  <c r="K471" i="1"/>
  <c r="J471" i="1"/>
  <c r="A471" i="1"/>
  <c r="AK470" i="1"/>
  <c r="AG470" i="1"/>
  <c r="Z470" i="1"/>
  <c r="K470" i="1"/>
  <c r="J470" i="1"/>
  <c r="A470" i="1"/>
  <c r="AK469" i="1"/>
  <c r="AG469" i="1"/>
  <c r="Z469" i="1"/>
  <c r="K469" i="1"/>
  <c r="J469" i="1"/>
  <c r="A469" i="1"/>
  <c r="AK468" i="1"/>
  <c r="AG468" i="1"/>
  <c r="Z468" i="1"/>
  <c r="K468" i="1"/>
  <c r="J468" i="1"/>
  <c r="A468" i="1"/>
  <c r="AK467" i="1"/>
  <c r="AG467" i="1"/>
  <c r="Z467" i="1"/>
  <c r="K467" i="1"/>
  <c r="J467" i="1"/>
  <c r="A467" i="1"/>
  <c r="AK466" i="1"/>
  <c r="AG466" i="1"/>
  <c r="Z466" i="1"/>
  <c r="K466" i="1"/>
  <c r="J466" i="1"/>
  <c r="A466" i="1"/>
  <c r="AK465" i="1"/>
  <c r="AG465" i="1"/>
  <c r="Z465" i="1"/>
  <c r="K465" i="1"/>
  <c r="J465" i="1"/>
  <c r="A465" i="1"/>
  <c r="AG464" i="1"/>
  <c r="Z464" i="1"/>
  <c r="K464" i="1"/>
  <c r="J464" i="1"/>
  <c r="A464" i="1"/>
  <c r="AG463" i="1"/>
  <c r="Z463" i="1"/>
  <c r="K463" i="1"/>
  <c r="J463" i="1"/>
  <c r="A463" i="1"/>
  <c r="AK462" i="1"/>
  <c r="AG462" i="1"/>
  <c r="Z462" i="1"/>
  <c r="K462" i="1"/>
  <c r="J462" i="1"/>
  <c r="A462" i="1"/>
  <c r="AK461" i="1"/>
  <c r="AG461" i="1"/>
  <c r="Z461" i="1"/>
  <c r="K461" i="1"/>
  <c r="J461" i="1"/>
  <c r="A461" i="1"/>
  <c r="AK460" i="1"/>
  <c r="AG460" i="1"/>
  <c r="Z460" i="1"/>
  <c r="K460" i="1"/>
  <c r="J460" i="1"/>
  <c r="A460" i="1"/>
  <c r="AK459" i="1"/>
  <c r="AG459" i="1"/>
  <c r="Z459" i="1"/>
  <c r="K459" i="1"/>
  <c r="J459" i="1"/>
  <c r="A459" i="1"/>
  <c r="AK458" i="1"/>
  <c r="AG458" i="1"/>
  <c r="Z458" i="1"/>
  <c r="K458" i="1"/>
  <c r="J458" i="1"/>
  <c r="A458" i="1"/>
  <c r="AK457" i="1"/>
  <c r="AG457" i="1"/>
  <c r="Z457" i="1"/>
  <c r="K457" i="1"/>
  <c r="J457" i="1"/>
  <c r="A457" i="1"/>
  <c r="AK456" i="1"/>
  <c r="AG456" i="1"/>
  <c r="Z456" i="1"/>
  <c r="K456" i="1"/>
  <c r="J456" i="1"/>
  <c r="A456" i="1"/>
  <c r="AK455" i="1"/>
  <c r="AG455" i="1"/>
  <c r="Z455" i="1"/>
  <c r="K455" i="1"/>
  <c r="J455" i="1"/>
  <c r="A455" i="1"/>
  <c r="AK454" i="1"/>
  <c r="AG454" i="1"/>
  <c r="Z454" i="1"/>
  <c r="K454" i="1"/>
  <c r="J454" i="1"/>
  <c r="A454" i="1"/>
  <c r="AK453" i="1"/>
  <c r="AG453" i="1"/>
  <c r="Z453" i="1"/>
  <c r="K453" i="1"/>
  <c r="J453" i="1"/>
  <c r="A453" i="1"/>
  <c r="AK452" i="1"/>
  <c r="AG452" i="1"/>
  <c r="Z452" i="1"/>
  <c r="M452" i="1"/>
  <c r="S471" i="1" s="1"/>
  <c r="A452" i="1"/>
  <c r="A451" i="1"/>
  <c r="N450" i="1"/>
  <c r="L450" i="1"/>
  <c r="C450" i="1"/>
  <c r="D450" i="1" s="1"/>
  <c r="A450" i="1"/>
  <c r="A449" i="1"/>
  <c r="AK448" i="1"/>
  <c r="AG448" i="1"/>
  <c r="Z448" i="1"/>
  <c r="K448" i="1"/>
  <c r="J448" i="1"/>
  <c r="A448" i="1"/>
  <c r="AK447" i="1"/>
  <c r="AG447" i="1"/>
  <c r="Z447" i="1"/>
  <c r="K447" i="1"/>
  <c r="J447" i="1"/>
  <c r="A447" i="1"/>
  <c r="AK446" i="1"/>
  <c r="AG446" i="1"/>
  <c r="Z446" i="1"/>
  <c r="K446" i="1"/>
  <c r="J446" i="1"/>
  <c r="A446" i="1"/>
  <c r="AK445" i="1"/>
  <c r="AG445" i="1"/>
  <c r="Z445" i="1"/>
  <c r="K445" i="1"/>
  <c r="J445" i="1"/>
  <c r="A445" i="1"/>
  <c r="AK444" i="1"/>
  <c r="AG444" i="1"/>
  <c r="Z444" i="1"/>
  <c r="K444" i="1"/>
  <c r="J444" i="1"/>
  <c r="A444" i="1"/>
  <c r="AK443" i="1"/>
  <c r="AG443" i="1"/>
  <c r="Z443" i="1"/>
  <c r="K443" i="1"/>
  <c r="J443" i="1"/>
  <c r="A443" i="1"/>
  <c r="AK442" i="1"/>
  <c r="AG442" i="1"/>
  <c r="Z442" i="1"/>
  <c r="K442" i="1"/>
  <c r="J442" i="1"/>
  <c r="A442" i="1"/>
  <c r="AK441" i="1"/>
  <c r="AG441" i="1"/>
  <c r="Z441" i="1"/>
  <c r="K441" i="1"/>
  <c r="J441" i="1"/>
  <c r="A441" i="1"/>
  <c r="AG440" i="1"/>
  <c r="Z440" i="1"/>
  <c r="K440" i="1"/>
  <c r="J440" i="1"/>
  <c r="A440" i="1"/>
  <c r="AG439" i="1"/>
  <c r="Z439" i="1"/>
  <c r="K439" i="1"/>
  <c r="J439" i="1"/>
  <c r="A439" i="1"/>
  <c r="AK438" i="1"/>
  <c r="AG438" i="1"/>
  <c r="Z438" i="1"/>
  <c r="K438" i="1"/>
  <c r="J438" i="1"/>
  <c r="A438" i="1"/>
  <c r="AK437" i="1"/>
  <c r="AG437" i="1"/>
  <c r="Z437" i="1"/>
  <c r="K437" i="1"/>
  <c r="J437" i="1"/>
  <c r="A437" i="1"/>
  <c r="AK436" i="1"/>
  <c r="AG436" i="1"/>
  <c r="Z436" i="1"/>
  <c r="K436" i="1"/>
  <c r="J436" i="1"/>
  <c r="A436" i="1"/>
  <c r="AK435" i="1"/>
  <c r="AG435" i="1"/>
  <c r="Z435" i="1"/>
  <c r="K435" i="1"/>
  <c r="J435" i="1"/>
  <c r="A435" i="1"/>
  <c r="AK434" i="1"/>
  <c r="AG434" i="1"/>
  <c r="Z434" i="1"/>
  <c r="K434" i="1"/>
  <c r="J434" i="1"/>
  <c r="A434" i="1"/>
  <c r="AK433" i="1"/>
  <c r="AG433" i="1"/>
  <c r="Z433" i="1"/>
  <c r="K433" i="1"/>
  <c r="J433" i="1"/>
  <c r="A433" i="1"/>
  <c r="AK432" i="1"/>
  <c r="AG432" i="1"/>
  <c r="Z432" i="1"/>
  <c r="K432" i="1"/>
  <c r="J432" i="1"/>
  <c r="A432" i="1"/>
  <c r="AK431" i="1"/>
  <c r="AG431" i="1"/>
  <c r="Z431" i="1"/>
  <c r="K431" i="1"/>
  <c r="J431" i="1"/>
  <c r="A431" i="1"/>
  <c r="AG430" i="1"/>
  <c r="Z430" i="1"/>
  <c r="K430" i="1"/>
  <c r="J430" i="1"/>
  <c r="A430" i="1"/>
  <c r="AK429" i="1"/>
  <c r="AG429" i="1"/>
  <c r="Z429" i="1"/>
  <c r="K429" i="1"/>
  <c r="J429" i="1"/>
  <c r="A429" i="1"/>
  <c r="AK428" i="1"/>
  <c r="AG428" i="1"/>
  <c r="Z428" i="1"/>
  <c r="M428" i="1"/>
  <c r="S447" i="1" s="1"/>
  <c r="A428" i="1"/>
  <c r="A427" i="1"/>
  <c r="N426" i="1"/>
  <c r="L426" i="1"/>
  <c r="C426" i="1"/>
  <c r="D426" i="1" s="1"/>
  <c r="A426" i="1"/>
  <c r="A425" i="1"/>
  <c r="AK424" i="1"/>
  <c r="AG424" i="1"/>
  <c r="Z424" i="1"/>
  <c r="K424" i="1"/>
  <c r="J424" i="1"/>
  <c r="A424" i="1"/>
  <c r="AK423" i="1"/>
  <c r="AG423" i="1"/>
  <c r="Z423" i="1"/>
  <c r="K423" i="1"/>
  <c r="J423" i="1"/>
  <c r="A423" i="1"/>
  <c r="AK422" i="1"/>
  <c r="AG422" i="1"/>
  <c r="Z422" i="1"/>
  <c r="K422" i="1"/>
  <c r="J422" i="1"/>
  <c r="A422" i="1"/>
  <c r="AK421" i="1"/>
  <c r="AG421" i="1"/>
  <c r="Z421" i="1"/>
  <c r="K421" i="1"/>
  <c r="J421" i="1"/>
  <c r="A421" i="1"/>
  <c r="AK420" i="1"/>
  <c r="AG420" i="1"/>
  <c r="Z420" i="1"/>
  <c r="K420" i="1"/>
  <c r="J420" i="1"/>
  <c r="A420" i="1"/>
  <c r="AK419" i="1"/>
  <c r="AG419" i="1"/>
  <c r="Z419" i="1"/>
  <c r="K419" i="1"/>
  <c r="J419" i="1"/>
  <c r="A419" i="1"/>
  <c r="AK418" i="1"/>
  <c r="AG418" i="1"/>
  <c r="Z418" i="1"/>
  <c r="K418" i="1"/>
  <c r="J418" i="1"/>
  <c r="A418" i="1"/>
  <c r="AK417" i="1"/>
  <c r="AG417" i="1"/>
  <c r="Z417" i="1"/>
  <c r="K417" i="1"/>
  <c r="J417" i="1"/>
  <c r="A417" i="1"/>
  <c r="AG416" i="1"/>
  <c r="Z416" i="1"/>
  <c r="K416" i="1"/>
  <c r="J416" i="1"/>
  <c r="A416" i="1"/>
  <c r="AG415" i="1"/>
  <c r="Z415" i="1"/>
  <c r="K415" i="1"/>
  <c r="J415" i="1"/>
  <c r="A415" i="1"/>
  <c r="AK414" i="1"/>
  <c r="AG414" i="1"/>
  <c r="Z414" i="1"/>
  <c r="K414" i="1"/>
  <c r="J414" i="1"/>
  <c r="A414" i="1"/>
  <c r="AK413" i="1"/>
  <c r="AG413" i="1"/>
  <c r="Z413" i="1"/>
  <c r="K413" i="1"/>
  <c r="J413" i="1"/>
  <c r="A413" i="1"/>
  <c r="AK412" i="1"/>
  <c r="AG412" i="1"/>
  <c r="Z412" i="1"/>
  <c r="K412" i="1"/>
  <c r="J412" i="1"/>
  <c r="A412" i="1"/>
  <c r="AK411" i="1"/>
  <c r="AG411" i="1"/>
  <c r="Z411" i="1"/>
  <c r="K411" i="1"/>
  <c r="J411" i="1"/>
  <c r="A411" i="1"/>
  <c r="AK410" i="1"/>
  <c r="AG410" i="1"/>
  <c r="Z410" i="1"/>
  <c r="K410" i="1"/>
  <c r="J410" i="1"/>
  <c r="A410" i="1"/>
  <c r="AK409" i="1"/>
  <c r="AG409" i="1"/>
  <c r="Z409" i="1"/>
  <c r="K409" i="1"/>
  <c r="J409" i="1"/>
  <c r="A409" i="1"/>
  <c r="AK408" i="1"/>
  <c r="AG408" i="1"/>
  <c r="Z408" i="1"/>
  <c r="K408" i="1"/>
  <c r="J408" i="1"/>
  <c r="A408" i="1"/>
  <c r="AK407" i="1"/>
  <c r="AG407" i="1"/>
  <c r="Z407" i="1"/>
  <c r="K407" i="1"/>
  <c r="J407" i="1"/>
  <c r="A407" i="1"/>
  <c r="AG406" i="1"/>
  <c r="Z406" i="1"/>
  <c r="K406" i="1"/>
  <c r="J406" i="1"/>
  <c r="A406" i="1"/>
  <c r="AK405" i="1"/>
  <c r="AG405" i="1"/>
  <c r="Z405" i="1"/>
  <c r="K405" i="1"/>
  <c r="J405" i="1"/>
  <c r="A405" i="1"/>
  <c r="AK404" i="1"/>
  <c r="AG404" i="1"/>
  <c r="Z404" i="1"/>
  <c r="M404" i="1"/>
  <c r="S421" i="1" s="1"/>
  <c r="A404" i="1"/>
  <c r="A403" i="1"/>
  <c r="N402" i="1"/>
  <c r="L402" i="1"/>
  <c r="C402" i="1"/>
  <c r="D402" i="1" s="1"/>
  <c r="A402" i="1"/>
  <c r="A401" i="1"/>
  <c r="AK400" i="1"/>
  <c r="AG400" i="1"/>
  <c r="Z400" i="1"/>
  <c r="K400" i="1"/>
  <c r="J400" i="1"/>
  <c r="A400" i="1"/>
  <c r="AK399" i="1"/>
  <c r="AG399" i="1"/>
  <c r="Z399" i="1"/>
  <c r="K399" i="1"/>
  <c r="J399" i="1"/>
  <c r="A399" i="1"/>
  <c r="AK398" i="1"/>
  <c r="AG398" i="1"/>
  <c r="Z398" i="1"/>
  <c r="K398" i="1"/>
  <c r="J398" i="1"/>
  <c r="A398" i="1"/>
  <c r="AK397" i="1"/>
  <c r="AG397" i="1"/>
  <c r="Z397" i="1"/>
  <c r="K397" i="1"/>
  <c r="J397" i="1"/>
  <c r="A397" i="1"/>
  <c r="AK396" i="1"/>
  <c r="AG396" i="1"/>
  <c r="Z396" i="1"/>
  <c r="K396" i="1"/>
  <c r="J396" i="1"/>
  <c r="A396" i="1"/>
  <c r="AK395" i="1"/>
  <c r="AG395" i="1"/>
  <c r="Z395" i="1"/>
  <c r="K395" i="1"/>
  <c r="J395" i="1"/>
  <c r="A395" i="1"/>
  <c r="AK394" i="1"/>
  <c r="AG394" i="1"/>
  <c r="Z394" i="1"/>
  <c r="K394" i="1"/>
  <c r="J394" i="1"/>
  <c r="A394" i="1"/>
  <c r="AK393" i="1"/>
  <c r="AG393" i="1"/>
  <c r="Z393" i="1"/>
  <c r="K393" i="1"/>
  <c r="J393" i="1"/>
  <c r="A393" i="1"/>
  <c r="AG392" i="1"/>
  <c r="Z392" i="1"/>
  <c r="K392" i="1"/>
  <c r="J392" i="1"/>
  <c r="A392" i="1"/>
  <c r="AG391" i="1"/>
  <c r="Z391" i="1"/>
  <c r="K391" i="1"/>
  <c r="J391" i="1"/>
  <c r="A391" i="1"/>
  <c r="AK390" i="1"/>
  <c r="AG390" i="1"/>
  <c r="Z390" i="1"/>
  <c r="K390" i="1"/>
  <c r="J390" i="1"/>
  <c r="A390" i="1"/>
  <c r="AK389" i="1"/>
  <c r="AG389" i="1"/>
  <c r="Z389" i="1"/>
  <c r="K389" i="1"/>
  <c r="J389" i="1"/>
  <c r="A389" i="1"/>
  <c r="AK388" i="1"/>
  <c r="AG388" i="1"/>
  <c r="Z388" i="1"/>
  <c r="K388" i="1"/>
  <c r="J388" i="1"/>
  <c r="A388" i="1"/>
  <c r="AK387" i="1"/>
  <c r="AG387" i="1"/>
  <c r="Z387" i="1"/>
  <c r="K387" i="1"/>
  <c r="J387" i="1"/>
  <c r="A387" i="1"/>
  <c r="AK386" i="1"/>
  <c r="AG386" i="1"/>
  <c r="Z386" i="1"/>
  <c r="K386" i="1"/>
  <c r="J386" i="1"/>
  <c r="A386" i="1"/>
  <c r="AK385" i="1"/>
  <c r="AG385" i="1"/>
  <c r="Z385" i="1"/>
  <c r="K385" i="1"/>
  <c r="J385" i="1"/>
  <c r="A385" i="1"/>
  <c r="AK384" i="1"/>
  <c r="AG384" i="1"/>
  <c r="Z384" i="1"/>
  <c r="K384" i="1"/>
  <c r="J384" i="1"/>
  <c r="A384" i="1"/>
  <c r="AK383" i="1"/>
  <c r="AG383" i="1"/>
  <c r="Z383" i="1"/>
  <c r="K383" i="1"/>
  <c r="J383" i="1"/>
  <c r="A383" i="1"/>
  <c r="AG382" i="1"/>
  <c r="Z382" i="1"/>
  <c r="K382" i="1"/>
  <c r="J382" i="1"/>
  <c r="A382" i="1"/>
  <c r="AK381" i="1"/>
  <c r="AG381" i="1"/>
  <c r="Z381" i="1"/>
  <c r="K381" i="1"/>
  <c r="J381" i="1"/>
  <c r="A381" i="1"/>
  <c r="AK380" i="1"/>
  <c r="AG380" i="1"/>
  <c r="Z380" i="1"/>
  <c r="M380" i="1"/>
  <c r="S400" i="1" s="1"/>
  <c r="A380" i="1"/>
  <c r="A379" i="1"/>
  <c r="N378" i="1"/>
  <c r="L378" i="1"/>
  <c r="C378" i="1"/>
  <c r="D378" i="1" s="1"/>
  <c r="A378" i="1"/>
  <c r="A377" i="1"/>
  <c r="AK376" i="1"/>
  <c r="AG376" i="1"/>
  <c r="Z376" i="1"/>
  <c r="K376" i="1"/>
  <c r="J376" i="1"/>
  <c r="A376" i="1"/>
  <c r="AK375" i="1"/>
  <c r="AG375" i="1"/>
  <c r="Z375" i="1"/>
  <c r="K375" i="1"/>
  <c r="J375" i="1"/>
  <c r="A375" i="1"/>
  <c r="AK374" i="1"/>
  <c r="AG374" i="1"/>
  <c r="Z374" i="1"/>
  <c r="K374" i="1"/>
  <c r="J374" i="1"/>
  <c r="A374" i="1"/>
  <c r="AK373" i="1"/>
  <c r="AG373" i="1"/>
  <c r="Z373" i="1"/>
  <c r="K373" i="1"/>
  <c r="J373" i="1"/>
  <c r="A373" i="1"/>
  <c r="AK372" i="1"/>
  <c r="AG372" i="1"/>
  <c r="Z372" i="1"/>
  <c r="K372" i="1"/>
  <c r="J372" i="1"/>
  <c r="A372" i="1"/>
  <c r="AK371" i="1"/>
  <c r="AG371" i="1"/>
  <c r="Z371" i="1"/>
  <c r="K371" i="1"/>
  <c r="J371" i="1"/>
  <c r="A371" i="1"/>
  <c r="AK370" i="1"/>
  <c r="AG370" i="1"/>
  <c r="Z370" i="1"/>
  <c r="K370" i="1"/>
  <c r="J370" i="1"/>
  <c r="A370" i="1"/>
  <c r="AK369" i="1"/>
  <c r="AG369" i="1"/>
  <c r="Z369" i="1"/>
  <c r="K369" i="1"/>
  <c r="J369" i="1"/>
  <c r="A369" i="1"/>
  <c r="AG368" i="1"/>
  <c r="Z368" i="1"/>
  <c r="K368" i="1"/>
  <c r="J368" i="1"/>
  <c r="A368" i="1"/>
  <c r="AG367" i="1"/>
  <c r="Z367" i="1"/>
  <c r="K367" i="1"/>
  <c r="J367" i="1"/>
  <c r="A367" i="1"/>
  <c r="AK366" i="1"/>
  <c r="AG366" i="1"/>
  <c r="Z366" i="1"/>
  <c r="K366" i="1"/>
  <c r="J366" i="1"/>
  <c r="A366" i="1"/>
  <c r="AK365" i="1"/>
  <c r="AG365" i="1"/>
  <c r="Z365" i="1"/>
  <c r="K365" i="1"/>
  <c r="J365" i="1"/>
  <c r="A365" i="1"/>
  <c r="AK364" i="1"/>
  <c r="AG364" i="1"/>
  <c r="Z364" i="1"/>
  <c r="K364" i="1"/>
  <c r="J364" i="1"/>
  <c r="A364" i="1"/>
  <c r="AK363" i="1"/>
  <c r="AG363" i="1"/>
  <c r="Z363" i="1"/>
  <c r="K363" i="1"/>
  <c r="J363" i="1"/>
  <c r="A363" i="1"/>
  <c r="AK362" i="1"/>
  <c r="AG362" i="1"/>
  <c r="Z362" i="1"/>
  <c r="K362" i="1"/>
  <c r="J362" i="1"/>
  <c r="A362" i="1"/>
  <c r="AK361" i="1"/>
  <c r="AG361" i="1"/>
  <c r="Z361" i="1"/>
  <c r="K361" i="1"/>
  <c r="J361" i="1"/>
  <c r="A361" i="1"/>
  <c r="AK360" i="1"/>
  <c r="AG360" i="1"/>
  <c r="Z360" i="1"/>
  <c r="K360" i="1"/>
  <c r="J360" i="1"/>
  <c r="A360" i="1"/>
  <c r="AK359" i="1"/>
  <c r="AG359" i="1"/>
  <c r="Z359" i="1"/>
  <c r="K359" i="1"/>
  <c r="J359" i="1"/>
  <c r="A359" i="1"/>
  <c r="AG358" i="1"/>
  <c r="Z358" i="1"/>
  <c r="K358" i="1"/>
  <c r="J358" i="1"/>
  <c r="A358" i="1"/>
  <c r="AK357" i="1"/>
  <c r="AG357" i="1"/>
  <c r="Z357" i="1"/>
  <c r="K357" i="1"/>
  <c r="J357" i="1"/>
  <c r="A357" i="1"/>
  <c r="AK356" i="1"/>
  <c r="AG356" i="1"/>
  <c r="Z356" i="1"/>
  <c r="M356" i="1"/>
  <c r="S376" i="1" s="1"/>
  <c r="A356" i="1"/>
  <c r="A355" i="1"/>
  <c r="N354" i="1"/>
  <c r="L354" i="1"/>
  <c r="C354" i="1"/>
  <c r="D354" i="1" s="1"/>
  <c r="A354" i="1"/>
  <c r="A353" i="1"/>
  <c r="AK352" i="1"/>
  <c r="AG352" i="1"/>
  <c r="Z352" i="1"/>
  <c r="K352" i="1"/>
  <c r="J352" i="1"/>
  <c r="A352" i="1"/>
  <c r="AK351" i="1"/>
  <c r="AG351" i="1"/>
  <c r="Z351" i="1"/>
  <c r="K351" i="1"/>
  <c r="J351" i="1"/>
  <c r="A351" i="1"/>
  <c r="AK350" i="1"/>
  <c r="AG350" i="1"/>
  <c r="Z350" i="1"/>
  <c r="K350" i="1"/>
  <c r="J350" i="1"/>
  <c r="A350" i="1"/>
  <c r="AK349" i="1"/>
  <c r="AG349" i="1"/>
  <c r="Z349" i="1"/>
  <c r="K349" i="1"/>
  <c r="J349" i="1"/>
  <c r="A349" i="1"/>
  <c r="AK348" i="1"/>
  <c r="AG348" i="1"/>
  <c r="Z348" i="1"/>
  <c r="K348" i="1"/>
  <c r="J348" i="1"/>
  <c r="A348" i="1"/>
  <c r="AK347" i="1"/>
  <c r="AG347" i="1"/>
  <c r="Z347" i="1"/>
  <c r="K347" i="1"/>
  <c r="J347" i="1"/>
  <c r="A347" i="1"/>
  <c r="AK346" i="1"/>
  <c r="AG346" i="1"/>
  <c r="Z346" i="1"/>
  <c r="K346" i="1"/>
  <c r="J346" i="1"/>
  <c r="A346" i="1"/>
  <c r="AK345" i="1"/>
  <c r="AG345" i="1"/>
  <c r="Z345" i="1"/>
  <c r="K345" i="1"/>
  <c r="J345" i="1"/>
  <c r="A345" i="1"/>
  <c r="AG344" i="1"/>
  <c r="Z344" i="1"/>
  <c r="K344" i="1"/>
  <c r="J344" i="1"/>
  <c r="A344" i="1"/>
  <c r="AG343" i="1"/>
  <c r="Z343" i="1"/>
  <c r="K343" i="1"/>
  <c r="J343" i="1"/>
  <c r="A343" i="1"/>
  <c r="AK342" i="1"/>
  <c r="AG342" i="1"/>
  <c r="Z342" i="1"/>
  <c r="K342" i="1"/>
  <c r="J342" i="1"/>
  <c r="A342" i="1"/>
  <c r="AK341" i="1"/>
  <c r="AG341" i="1"/>
  <c r="Z341" i="1"/>
  <c r="K341" i="1"/>
  <c r="J341" i="1"/>
  <c r="A341" i="1"/>
  <c r="AK340" i="1"/>
  <c r="AG340" i="1"/>
  <c r="Z340" i="1"/>
  <c r="K340" i="1"/>
  <c r="J340" i="1"/>
  <c r="A340" i="1"/>
  <c r="AK339" i="1"/>
  <c r="AG339" i="1"/>
  <c r="Z339" i="1"/>
  <c r="K339" i="1"/>
  <c r="J339" i="1"/>
  <c r="A339" i="1"/>
  <c r="AK338" i="1"/>
  <c r="AG338" i="1"/>
  <c r="Z338" i="1"/>
  <c r="K338" i="1"/>
  <c r="J338" i="1"/>
  <c r="A338" i="1"/>
  <c r="AK337" i="1"/>
  <c r="AG337" i="1"/>
  <c r="Z337" i="1"/>
  <c r="K337" i="1"/>
  <c r="J337" i="1"/>
  <c r="A337" i="1"/>
  <c r="AK336" i="1"/>
  <c r="AG336" i="1"/>
  <c r="Z336" i="1"/>
  <c r="K336" i="1"/>
  <c r="J336" i="1"/>
  <c r="A336" i="1"/>
  <c r="AK335" i="1"/>
  <c r="AG335" i="1"/>
  <c r="Z335" i="1"/>
  <c r="K335" i="1"/>
  <c r="J335" i="1"/>
  <c r="A335" i="1"/>
  <c r="AG334" i="1"/>
  <c r="Z334" i="1"/>
  <c r="K334" i="1"/>
  <c r="J334" i="1"/>
  <c r="A334" i="1"/>
  <c r="AK333" i="1"/>
  <c r="AG333" i="1"/>
  <c r="Z333" i="1"/>
  <c r="K333" i="1"/>
  <c r="J333" i="1"/>
  <c r="A333" i="1"/>
  <c r="AK332" i="1"/>
  <c r="AG332" i="1"/>
  <c r="Z332" i="1"/>
  <c r="M332" i="1"/>
  <c r="S351" i="1" s="1"/>
  <c r="A332" i="1"/>
  <c r="A331" i="1"/>
  <c r="N330" i="1"/>
  <c r="L330" i="1"/>
  <c r="C330" i="1"/>
  <c r="D330" i="1" s="1"/>
  <c r="A330" i="1"/>
  <c r="A329" i="1"/>
  <c r="AK328" i="1"/>
  <c r="AG328" i="1"/>
  <c r="Z328" i="1"/>
  <c r="K328" i="1"/>
  <c r="J328" i="1"/>
  <c r="A328" i="1"/>
  <c r="AK327" i="1"/>
  <c r="AG327" i="1"/>
  <c r="Z327" i="1"/>
  <c r="K327" i="1"/>
  <c r="J327" i="1"/>
  <c r="A327" i="1"/>
  <c r="AK326" i="1"/>
  <c r="AG326" i="1"/>
  <c r="Z326" i="1"/>
  <c r="K326" i="1"/>
  <c r="J326" i="1"/>
  <c r="A326" i="1"/>
  <c r="AK325" i="1"/>
  <c r="AG325" i="1"/>
  <c r="Z325" i="1"/>
  <c r="K325" i="1"/>
  <c r="J325" i="1"/>
  <c r="A325" i="1"/>
  <c r="AG324" i="1"/>
  <c r="Z324" i="1"/>
  <c r="K324" i="1"/>
  <c r="J324" i="1"/>
  <c r="A324" i="1"/>
  <c r="AK323" i="1"/>
  <c r="AG323" i="1"/>
  <c r="Z323" i="1"/>
  <c r="K323" i="1"/>
  <c r="J323" i="1"/>
  <c r="A323" i="1"/>
  <c r="AK322" i="1"/>
  <c r="AG322" i="1"/>
  <c r="Z322" i="1"/>
  <c r="K322" i="1"/>
  <c r="J322" i="1"/>
  <c r="A322" i="1"/>
  <c r="AK321" i="1"/>
  <c r="AG321" i="1"/>
  <c r="Z321" i="1"/>
  <c r="K321" i="1"/>
  <c r="J321" i="1"/>
  <c r="A321" i="1"/>
  <c r="AG320" i="1"/>
  <c r="Z320" i="1"/>
  <c r="K320" i="1"/>
  <c r="J320" i="1"/>
  <c r="A320" i="1"/>
  <c r="AG319" i="1"/>
  <c r="Z319" i="1"/>
  <c r="K319" i="1"/>
  <c r="J319" i="1"/>
  <c r="A319" i="1"/>
  <c r="AK318" i="1"/>
  <c r="AG318" i="1"/>
  <c r="Z318" i="1"/>
  <c r="K318" i="1"/>
  <c r="J318" i="1"/>
  <c r="A318" i="1"/>
  <c r="AK317" i="1"/>
  <c r="AG317" i="1"/>
  <c r="Z317" i="1"/>
  <c r="K317" i="1"/>
  <c r="J317" i="1"/>
  <c r="A317" i="1"/>
  <c r="AK316" i="1"/>
  <c r="AG316" i="1"/>
  <c r="Z316" i="1"/>
  <c r="K316" i="1"/>
  <c r="J316" i="1"/>
  <c r="A316" i="1"/>
  <c r="AK315" i="1"/>
  <c r="AG315" i="1"/>
  <c r="Z315" i="1"/>
  <c r="K315" i="1"/>
  <c r="J315" i="1"/>
  <c r="A315" i="1"/>
  <c r="AK314" i="1"/>
  <c r="AG314" i="1"/>
  <c r="Z314" i="1"/>
  <c r="K314" i="1"/>
  <c r="J314" i="1"/>
  <c r="A314" i="1"/>
  <c r="AK313" i="1"/>
  <c r="AG313" i="1"/>
  <c r="Z313" i="1"/>
  <c r="K313" i="1"/>
  <c r="J313" i="1"/>
  <c r="A313" i="1"/>
  <c r="AK312" i="1"/>
  <c r="AG312" i="1"/>
  <c r="Z312" i="1"/>
  <c r="K312" i="1"/>
  <c r="J312" i="1"/>
  <c r="A312" i="1"/>
  <c r="AK311" i="1"/>
  <c r="AG311" i="1"/>
  <c r="Z311" i="1"/>
  <c r="K311" i="1"/>
  <c r="J311" i="1"/>
  <c r="A311" i="1"/>
  <c r="AG310" i="1"/>
  <c r="Z310" i="1"/>
  <c r="K310" i="1"/>
  <c r="J310" i="1"/>
  <c r="A310" i="1"/>
  <c r="AK309" i="1"/>
  <c r="AG309" i="1"/>
  <c r="Z309" i="1"/>
  <c r="K309" i="1"/>
  <c r="J309" i="1"/>
  <c r="A309" i="1"/>
  <c r="AK308" i="1"/>
  <c r="AG308" i="1"/>
  <c r="Z308" i="1"/>
  <c r="M308" i="1"/>
  <c r="S309" i="1" s="1"/>
  <c r="A308" i="1"/>
  <c r="A307" i="1"/>
  <c r="N306" i="1"/>
  <c r="L306" i="1"/>
  <c r="C306" i="1"/>
  <c r="A306" i="1"/>
  <c r="A305" i="1"/>
  <c r="AK304" i="1"/>
  <c r="AG304" i="1"/>
  <c r="Z304" i="1"/>
  <c r="K304" i="1"/>
  <c r="J304" i="1"/>
  <c r="A304" i="1"/>
  <c r="AK303" i="1"/>
  <c r="AG303" i="1"/>
  <c r="Z303" i="1"/>
  <c r="K303" i="1"/>
  <c r="J303" i="1"/>
  <c r="A303" i="1"/>
  <c r="AK302" i="1"/>
  <c r="AG302" i="1"/>
  <c r="Z302" i="1"/>
  <c r="K302" i="1"/>
  <c r="J302" i="1"/>
  <c r="A302" i="1"/>
  <c r="AK301" i="1"/>
  <c r="AG301" i="1"/>
  <c r="Z301" i="1"/>
  <c r="K301" i="1"/>
  <c r="J301" i="1"/>
  <c r="A301" i="1"/>
  <c r="AK300" i="1"/>
  <c r="AG300" i="1"/>
  <c r="Z300" i="1"/>
  <c r="K300" i="1"/>
  <c r="J300" i="1"/>
  <c r="A300" i="1"/>
  <c r="AK299" i="1"/>
  <c r="AG299" i="1"/>
  <c r="Z299" i="1"/>
  <c r="K299" i="1"/>
  <c r="J299" i="1"/>
  <c r="A299" i="1"/>
  <c r="AK298" i="1"/>
  <c r="AG298" i="1"/>
  <c r="Z298" i="1"/>
  <c r="K298" i="1"/>
  <c r="J298" i="1"/>
  <c r="A298" i="1"/>
  <c r="AK297" i="1"/>
  <c r="AG297" i="1"/>
  <c r="Z297" i="1"/>
  <c r="K297" i="1"/>
  <c r="J297" i="1"/>
  <c r="A297" i="1"/>
  <c r="AK296" i="1"/>
  <c r="AG296" i="1"/>
  <c r="Z296" i="1"/>
  <c r="K296" i="1"/>
  <c r="J296" i="1"/>
  <c r="A296" i="1"/>
  <c r="AG295" i="1"/>
  <c r="Z295" i="1"/>
  <c r="K295" i="1"/>
  <c r="J295" i="1"/>
  <c r="A295" i="1"/>
  <c r="AK294" i="1"/>
  <c r="AG294" i="1"/>
  <c r="Z294" i="1"/>
  <c r="K294" i="1"/>
  <c r="J294" i="1"/>
  <c r="A294" i="1"/>
  <c r="AG293" i="1"/>
  <c r="Z293" i="1"/>
  <c r="K293" i="1"/>
  <c r="J293" i="1"/>
  <c r="A293" i="1"/>
  <c r="AK292" i="1"/>
  <c r="AG292" i="1"/>
  <c r="Z292" i="1"/>
  <c r="K292" i="1"/>
  <c r="J292" i="1"/>
  <c r="A292" i="1"/>
  <c r="AK291" i="1"/>
  <c r="AG291" i="1"/>
  <c r="Z291" i="1"/>
  <c r="K291" i="1"/>
  <c r="J291" i="1"/>
  <c r="A291" i="1"/>
  <c r="AK290" i="1"/>
  <c r="AG290" i="1"/>
  <c r="Z290" i="1"/>
  <c r="K290" i="1"/>
  <c r="J290" i="1"/>
  <c r="A290" i="1"/>
  <c r="AG289" i="1"/>
  <c r="Z289" i="1"/>
  <c r="K289" i="1"/>
  <c r="J289" i="1"/>
  <c r="A289" i="1"/>
  <c r="AK288" i="1"/>
  <c r="AG288" i="1"/>
  <c r="Z288" i="1"/>
  <c r="K288" i="1"/>
  <c r="J288" i="1"/>
  <c r="A288" i="1"/>
  <c r="AG287" i="1"/>
  <c r="Z287" i="1"/>
  <c r="K287" i="1"/>
  <c r="J287" i="1"/>
  <c r="A287" i="1"/>
  <c r="AK286" i="1"/>
  <c r="AG286" i="1"/>
  <c r="Z286" i="1"/>
  <c r="K286" i="1"/>
  <c r="J286" i="1"/>
  <c r="A286" i="1"/>
  <c r="AG285" i="1"/>
  <c r="Z285" i="1"/>
  <c r="K285" i="1"/>
  <c r="J285" i="1"/>
  <c r="A285" i="1"/>
  <c r="AK284" i="1"/>
  <c r="AG284" i="1"/>
  <c r="Z284" i="1"/>
  <c r="M284" i="1"/>
  <c r="S300" i="1" s="1"/>
  <c r="AC300" i="1" s="1"/>
  <c r="AB300" i="1" s="1"/>
  <c r="A284" i="1"/>
  <c r="A283" i="1"/>
  <c r="N282" i="1"/>
  <c r="L282" i="1"/>
  <c r="C282" i="1"/>
  <c r="D282" i="1" s="1"/>
  <c r="A282" i="1"/>
  <c r="A281" i="1"/>
  <c r="AK280" i="1"/>
  <c r="AG280" i="1"/>
  <c r="Z280" i="1"/>
  <c r="K280" i="1"/>
  <c r="J280" i="1"/>
  <c r="A280" i="1"/>
  <c r="AK279" i="1"/>
  <c r="AG279" i="1"/>
  <c r="Z279" i="1"/>
  <c r="K279" i="1"/>
  <c r="J279" i="1"/>
  <c r="A279" i="1"/>
  <c r="AK278" i="1"/>
  <c r="AG278" i="1"/>
  <c r="Z278" i="1"/>
  <c r="K278" i="1"/>
  <c r="J278" i="1"/>
  <c r="A278" i="1"/>
  <c r="AK277" i="1"/>
  <c r="AG277" i="1"/>
  <c r="Z277" i="1"/>
  <c r="K277" i="1"/>
  <c r="J277" i="1"/>
  <c r="A277" i="1"/>
  <c r="AK276" i="1"/>
  <c r="AG276" i="1"/>
  <c r="Z276" i="1"/>
  <c r="K276" i="1"/>
  <c r="J276" i="1"/>
  <c r="A276" i="1"/>
  <c r="AK275" i="1"/>
  <c r="AG275" i="1"/>
  <c r="Z275" i="1"/>
  <c r="K275" i="1"/>
  <c r="J275" i="1"/>
  <c r="A275" i="1"/>
  <c r="AK274" i="1"/>
  <c r="AG274" i="1"/>
  <c r="Z274" i="1"/>
  <c r="K274" i="1"/>
  <c r="J274" i="1"/>
  <c r="A274" i="1"/>
  <c r="AK273" i="1"/>
  <c r="AG273" i="1"/>
  <c r="Z273" i="1"/>
  <c r="K273" i="1"/>
  <c r="J273" i="1"/>
  <c r="A273" i="1"/>
  <c r="AG272" i="1"/>
  <c r="Z272" i="1"/>
  <c r="K272" i="1"/>
  <c r="J272" i="1"/>
  <c r="A272" i="1"/>
  <c r="AG271" i="1"/>
  <c r="Z271" i="1"/>
  <c r="K271" i="1"/>
  <c r="J271" i="1"/>
  <c r="A271" i="1"/>
  <c r="AK270" i="1"/>
  <c r="AG270" i="1"/>
  <c r="Z270" i="1"/>
  <c r="K270" i="1"/>
  <c r="J270" i="1"/>
  <c r="A270" i="1"/>
  <c r="AK269" i="1"/>
  <c r="AG269" i="1"/>
  <c r="Z269" i="1"/>
  <c r="K269" i="1"/>
  <c r="J269" i="1"/>
  <c r="A269" i="1"/>
  <c r="AK268" i="1"/>
  <c r="AG268" i="1"/>
  <c r="Z268" i="1"/>
  <c r="K268" i="1"/>
  <c r="J268" i="1"/>
  <c r="A268" i="1"/>
  <c r="AK267" i="1"/>
  <c r="AG267" i="1"/>
  <c r="Z267" i="1"/>
  <c r="K267" i="1"/>
  <c r="J267" i="1"/>
  <c r="A267" i="1"/>
  <c r="AK266" i="1"/>
  <c r="AG266" i="1"/>
  <c r="Z266" i="1"/>
  <c r="K266" i="1"/>
  <c r="J266" i="1"/>
  <c r="A266" i="1"/>
  <c r="AK265" i="1"/>
  <c r="AG265" i="1"/>
  <c r="Z265" i="1"/>
  <c r="K265" i="1"/>
  <c r="J265" i="1"/>
  <c r="A265" i="1"/>
  <c r="AK264" i="1"/>
  <c r="AG264" i="1"/>
  <c r="Z264" i="1"/>
  <c r="K264" i="1"/>
  <c r="J264" i="1"/>
  <c r="A264" i="1"/>
  <c r="AK263" i="1"/>
  <c r="AG263" i="1"/>
  <c r="Z263" i="1"/>
  <c r="K263" i="1"/>
  <c r="J263" i="1"/>
  <c r="A263" i="1"/>
  <c r="AG262" i="1"/>
  <c r="Z262" i="1"/>
  <c r="K262" i="1"/>
  <c r="J262" i="1"/>
  <c r="A262" i="1"/>
  <c r="AK261" i="1"/>
  <c r="AG261" i="1"/>
  <c r="Z261" i="1"/>
  <c r="K261" i="1"/>
  <c r="J261" i="1"/>
  <c r="A261" i="1"/>
  <c r="AK260" i="1"/>
  <c r="AG260" i="1"/>
  <c r="Z260" i="1"/>
  <c r="M260" i="1"/>
  <c r="S280" i="1" s="1"/>
  <c r="AC280" i="1" s="1"/>
  <c r="AB280" i="1" s="1"/>
  <c r="A260" i="1"/>
  <c r="A259" i="1"/>
  <c r="N258" i="1"/>
  <c r="L258" i="1"/>
  <c r="C258" i="1"/>
  <c r="D258" i="1" s="1"/>
  <c r="A258" i="1"/>
  <c r="A257" i="1"/>
  <c r="AK256" i="1"/>
  <c r="AG256" i="1"/>
  <c r="Z256" i="1"/>
  <c r="K256" i="1"/>
  <c r="J256" i="1"/>
  <c r="A256" i="1"/>
  <c r="AK255" i="1"/>
  <c r="AG255" i="1"/>
  <c r="Z255" i="1"/>
  <c r="K255" i="1"/>
  <c r="J255" i="1"/>
  <c r="A255" i="1"/>
  <c r="AK254" i="1"/>
  <c r="AG254" i="1"/>
  <c r="Z254" i="1"/>
  <c r="K254" i="1"/>
  <c r="J254" i="1"/>
  <c r="A254" i="1"/>
  <c r="AK253" i="1"/>
  <c r="AG253" i="1"/>
  <c r="Z253" i="1"/>
  <c r="K253" i="1"/>
  <c r="J253" i="1"/>
  <c r="A253" i="1"/>
  <c r="AK252" i="1"/>
  <c r="AG252" i="1"/>
  <c r="Z252" i="1"/>
  <c r="K252" i="1"/>
  <c r="J252" i="1"/>
  <c r="A252" i="1"/>
  <c r="AK251" i="1"/>
  <c r="AG251" i="1"/>
  <c r="Z251" i="1"/>
  <c r="K251" i="1"/>
  <c r="J251" i="1"/>
  <c r="A251" i="1"/>
  <c r="AK250" i="1"/>
  <c r="AG250" i="1"/>
  <c r="Z250" i="1"/>
  <c r="K250" i="1"/>
  <c r="J250" i="1"/>
  <c r="A250" i="1"/>
  <c r="AK249" i="1"/>
  <c r="AG249" i="1"/>
  <c r="Z249" i="1"/>
  <c r="K249" i="1"/>
  <c r="J249" i="1"/>
  <c r="A249" i="1"/>
  <c r="AG248" i="1"/>
  <c r="Z248" i="1"/>
  <c r="K248" i="1"/>
  <c r="J248" i="1"/>
  <c r="A248" i="1"/>
  <c r="AG247" i="1"/>
  <c r="Z247" i="1"/>
  <c r="K247" i="1"/>
  <c r="J247" i="1"/>
  <c r="A247" i="1"/>
  <c r="AK246" i="1"/>
  <c r="AG246" i="1"/>
  <c r="Z246" i="1"/>
  <c r="K246" i="1"/>
  <c r="J246" i="1"/>
  <c r="A246" i="1"/>
  <c r="AK245" i="1"/>
  <c r="AG245" i="1"/>
  <c r="Z245" i="1"/>
  <c r="K245" i="1"/>
  <c r="J245" i="1"/>
  <c r="A245" i="1"/>
  <c r="AK244" i="1"/>
  <c r="AG244" i="1"/>
  <c r="Z244" i="1"/>
  <c r="K244" i="1"/>
  <c r="J244" i="1"/>
  <c r="A244" i="1"/>
  <c r="AK243" i="1"/>
  <c r="AG243" i="1"/>
  <c r="Z243" i="1"/>
  <c r="K243" i="1"/>
  <c r="J243" i="1"/>
  <c r="A243" i="1"/>
  <c r="AK242" i="1"/>
  <c r="AG242" i="1"/>
  <c r="Z242" i="1"/>
  <c r="K242" i="1"/>
  <c r="J242" i="1"/>
  <c r="A242" i="1"/>
  <c r="AK241" i="1"/>
  <c r="AG241" i="1"/>
  <c r="Z241" i="1"/>
  <c r="K241" i="1"/>
  <c r="J241" i="1"/>
  <c r="A241" i="1"/>
  <c r="AK240" i="1"/>
  <c r="AG240" i="1"/>
  <c r="Z240" i="1"/>
  <c r="K240" i="1"/>
  <c r="J240" i="1"/>
  <c r="A240" i="1"/>
  <c r="AK239" i="1"/>
  <c r="AG239" i="1"/>
  <c r="Z239" i="1"/>
  <c r="K239" i="1"/>
  <c r="J239" i="1"/>
  <c r="A239" i="1"/>
  <c r="AG238" i="1"/>
  <c r="Z238" i="1"/>
  <c r="K238" i="1"/>
  <c r="J238" i="1"/>
  <c r="A238" i="1"/>
  <c r="AK237" i="1"/>
  <c r="AG237" i="1"/>
  <c r="Z237" i="1"/>
  <c r="K237" i="1"/>
  <c r="J237" i="1"/>
  <c r="A237" i="1"/>
  <c r="AK236" i="1"/>
  <c r="AG236" i="1"/>
  <c r="Z236" i="1"/>
  <c r="M236" i="1"/>
  <c r="S249" i="1" s="1"/>
  <c r="A236" i="1"/>
  <c r="A235" i="1"/>
  <c r="N234" i="1"/>
  <c r="L234" i="1"/>
  <c r="C234" i="1"/>
  <c r="D234" i="1" s="1"/>
  <c r="A234" i="1"/>
  <c r="A233" i="1"/>
  <c r="AK232" i="1"/>
  <c r="AG232" i="1"/>
  <c r="Z232" i="1"/>
  <c r="M232" i="1"/>
  <c r="K232" i="1"/>
  <c r="J232" i="1"/>
  <c r="A232" i="1"/>
  <c r="AK231" i="1"/>
  <c r="AG231" i="1"/>
  <c r="Z231" i="1"/>
  <c r="M231" i="1"/>
  <c r="K231" i="1"/>
  <c r="J231" i="1"/>
  <c r="A231" i="1"/>
  <c r="AK230" i="1"/>
  <c r="AG230" i="1"/>
  <c r="Z230" i="1"/>
  <c r="M230" i="1"/>
  <c r="K230" i="1"/>
  <c r="J230" i="1"/>
  <c r="A230" i="1"/>
  <c r="AK229" i="1"/>
  <c r="AG229" i="1"/>
  <c r="Z229" i="1"/>
  <c r="M229" i="1"/>
  <c r="K229" i="1"/>
  <c r="J229" i="1"/>
  <c r="A229" i="1"/>
  <c r="AK228" i="1"/>
  <c r="AG228" i="1"/>
  <c r="Z228" i="1"/>
  <c r="M228" i="1"/>
  <c r="K228" i="1"/>
  <c r="J228" i="1"/>
  <c r="A228" i="1"/>
  <c r="AK227" i="1"/>
  <c r="AG227" i="1"/>
  <c r="Z227" i="1"/>
  <c r="M227" i="1"/>
  <c r="K227" i="1"/>
  <c r="J227" i="1"/>
  <c r="A227" i="1"/>
  <c r="AK226" i="1"/>
  <c r="AG226" i="1"/>
  <c r="Z226" i="1"/>
  <c r="M226" i="1"/>
  <c r="K226" i="1"/>
  <c r="J226" i="1"/>
  <c r="A226" i="1"/>
  <c r="AK225" i="1"/>
  <c r="AG225" i="1"/>
  <c r="Z225" i="1"/>
  <c r="M225" i="1"/>
  <c r="K225" i="1"/>
  <c r="J225" i="1"/>
  <c r="A225" i="1"/>
  <c r="AG224" i="1"/>
  <c r="Z224" i="1"/>
  <c r="M224" i="1"/>
  <c r="K224" i="1"/>
  <c r="J224" i="1"/>
  <c r="A224" i="1"/>
  <c r="AG223" i="1"/>
  <c r="Z223" i="1"/>
  <c r="M223" i="1"/>
  <c r="K223" i="1"/>
  <c r="J223" i="1"/>
  <c r="A223" i="1"/>
  <c r="AK222" i="1"/>
  <c r="AG222" i="1"/>
  <c r="Z222" i="1"/>
  <c r="M222" i="1"/>
  <c r="K222" i="1"/>
  <c r="J222" i="1"/>
  <c r="A222" i="1"/>
  <c r="AK221" i="1"/>
  <c r="AG221" i="1"/>
  <c r="Z221" i="1"/>
  <c r="M221" i="1"/>
  <c r="K221" i="1"/>
  <c r="J221" i="1"/>
  <c r="A221" i="1"/>
  <c r="AK220" i="1"/>
  <c r="AG220" i="1"/>
  <c r="Z220" i="1"/>
  <c r="M220" i="1"/>
  <c r="K220" i="1"/>
  <c r="J220" i="1"/>
  <c r="A220" i="1"/>
  <c r="AK219" i="1"/>
  <c r="AG219" i="1"/>
  <c r="Z219" i="1"/>
  <c r="M219" i="1"/>
  <c r="K219" i="1"/>
  <c r="J219" i="1"/>
  <c r="A219" i="1"/>
  <c r="AK218" i="1"/>
  <c r="AG218" i="1"/>
  <c r="Z218" i="1"/>
  <c r="M218" i="1"/>
  <c r="K218" i="1"/>
  <c r="J218" i="1"/>
  <c r="A218" i="1"/>
  <c r="AK217" i="1"/>
  <c r="AG217" i="1"/>
  <c r="Z217" i="1"/>
  <c r="M217" i="1"/>
  <c r="K217" i="1"/>
  <c r="J217" i="1"/>
  <c r="A217" i="1"/>
  <c r="AK216" i="1"/>
  <c r="AG216" i="1"/>
  <c r="Z216" i="1"/>
  <c r="M216" i="1"/>
  <c r="K216" i="1"/>
  <c r="J216" i="1"/>
  <c r="A216" i="1"/>
  <c r="AK215" i="1"/>
  <c r="AG215" i="1"/>
  <c r="Z215" i="1"/>
  <c r="M215" i="1"/>
  <c r="K215" i="1"/>
  <c r="J215" i="1"/>
  <c r="A215" i="1"/>
  <c r="AG214" i="1"/>
  <c r="Z214" i="1"/>
  <c r="M214" i="1"/>
  <c r="K214" i="1"/>
  <c r="J214" i="1"/>
  <c r="A214" i="1"/>
  <c r="AK213" i="1"/>
  <c r="AG213" i="1"/>
  <c r="Z213" i="1"/>
  <c r="M213" i="1"/>
  <c r="K213" i="1"/>
  <c r="J213" i="1"/>
  <c r="A213" i="1"/>
  <c r="AK212" i="1"/>
  <c r="AG212" i="1"/>
  <c r="Z212" i="1"/>
  <c r="M212" i="1"/>
  <c r="S231" i="1" s="1"/>
  <c r="A212" i="1"/>
  <c r="A211" i="1"/>
  <c r="A210" i="1"/>
  <c r="N209" i="1"/>
  <c r="L209" i="1"/>
  <c r="C209" i="1"/>
  <c r="D209" i="1" s="1"/>
  <c r="A209" i="1"/>
  <c r="A208" i="1"/>
  <c r="AK207" i="1"/>
  <c r="AG207" i="1"/>
  <c r="Z207" i="1"/>
  <c r="K207" i="1"/>
  <c r="J207" i="1"/>
  <c r="A207" i="1"/>
  <c r="AG206" i="1"/>
  <c r="Z206" i="1"/>
  <c r="K206" i="1"/>
  <c r="J206" i="1"/>
  <c r="A206" i="1"/>
  <c r="AG205" i="1"/>
  <c r="Z205" i="1"/>
  <c r="K205" i="1"/>
  <c r="J205" i="1"/>
  <c r="A205" i="1"/>
  <c r="AG204" i="1"/>
  <c r="Z204" i="1"/>
  <c r="K204" i="1"/>
  <c r="J204" i="1"/>
  <c r="A204" i="1"/>
  <c r="AG203" i="1"/>
  <c r="Z203" i="1"/>
  <c r="K203" i="1"/>
  <c r="J203" i="1"/>
  <c r="A203" i="1"/>
  <c r="AG202" i="1"/>
  <c r="Z202" i="1"/>
  <c r="K202" i="1"/>
  <c r="J202" i="1"/>
  <c r="A202" i="1"/>
  <c r="AG201" i="1"/>
  <c r="Z201" i="1"/>
  <c r="K201" i="1"/>
  <c r="J201" i="1"/>
  <c r="A201" i="1"/>
  <c r="AG200" i="1"/>
  <c r="Z200" i="1"/>
  <c r="K200" i="1"/>
  <c r="J200" i="1"/>
  <c r="A200" i="1"/>
  <c r="AG199" i="1"/>
  <c r="Z199" i="1"/>
  <c r="K199" i="1"/>
  <c r="J199" i="1"/>
  <c r="A199" i="1"/>
  <c r="AG198" i="1"/>
  <c r="Z198" i="1"/>
  <c r="K198" i="1"/>
  <c r="J198" i="1"/>
  <c r="A198" i="1"/>
  <c r="AG197" i="1"/>
  <c r="Z197" i="1"/>
  <c r="K197" i="1"/>
  <c r="J197" i="1"/>
  <c r="A197" i="1"/>
  <c r="AG196" i="1"/>
  <c r="Z196" i="1"/>
  <c r="K196" i="1"/>
  <c r="J196" i="1"/>
  <c r="A196" i="1"/>
  <c r="AG195" i="1"/>
  <c r="Z195" i="1"/>
  <c r="K195" i="1"/>
  <c r="J195" i="1"/>
  <c r="A195" i="1"/>
  <c r="AG194" i="1"/>
  <c r="Z194" i="1"/>
  <c r="K194" i="1"/>
  <c r="J194" i="1"/>
  <c r="A194" i="1"/>
  <c r="AG193" i="1"/>
  <c r="Z193" i="1"/>
  <c r="K193" i="1"/>
  <c r="J193" i="1"/>
  <c r="A193" i="1"/>
  <c r="AG192" i="1"/>
  <c r="Z192" i="1"/>
  <c r="K192" i="1"/>
  <c r="J192" i="1"/>
  <c r="A192" i="1"/>
  <c r="AG191" i="1"/>
  <c r="Z191" i="1"/>
  <c r="K191" i="1"/>
  <c r="J191" i="1"/>
  <c r="A191" i="1"/>
  <c r="AG190" i="1"/>
  <c r="Z190" i="1"/>
  <c r="K190" i="1"/>
  <c r="J190" i="1"/>
  <c r="A190" i="1"/>
  <c r="AG189" i="1"/>
  <c r="Z189" i="1"/>
  <c r="K189" i="1"/>
  <c r="J189" i="1"/>
  <c r="A189" i="1"/>
  <c r="AG188" i="1"/>
  <c r="K188" i="1"/>
  <c r="J188" i="1"/>
  <c r="A188" i="1"/>
  <c r="AG187" i="1"/>
  <c r="Z187" i="1"/>
  <c r="M187" i="1"/>
  <c r="L187" i="1" s="1"/>
  <c r="A187" i="1"/>
  <c r="A186" i="1"/>
  <c r="N185" i="1"/>
  <c r="L185" i="1"/>
  <c r="C185" i="1"/>
  <c r="D185" i="1" s="1"/>
  <c r="A185" i="1"/>
  <c r="A184" i="1"/>
  <c r="AK183" i="1"/>
  <c r="AG183" i="1"/>
  <c r="Z183" i="1"/>
  <c r="K183" i="1"/>
  <c r="J183" i="1"/>
  <c r="A183" i="1"/>
  <c r="AK182" i="1"/>
  <c r="AG182" i="1"/>
  <c r="Z182" i="1"/>
  <c r="K182" i="1"/>
  <c r="J182" i="1"/>
  <c r="A182" i="1"/>
  <c r="AK181" i="1"/>
  <c r="AG181" i="1"/>
  <c r="Z181" i="1"/>
  <c r="K181" i="1"/>
  <c r="J181" i="1"/>
  <c r="A181" i="1"/>
  <c r="AG180" i="1"/>
  <c r="Z180" i="1"/>
  <c r="K180" i="1"/>
  <c r="J180" i="1"/>
  <c r="A180" i="1"/>
  <c r="AG179" i="1"/>
  <c r="Z179" i="1"/>
  <c r="K179" i="1"/>
  <c r="J179" i="1"/>
  <c r="A179" i="1"/>
  <c r="AG178" i="1"/>
  <c r="Z178" i="1"/>
  <c r="K178" i="1"/>
  <c r="J178" i="1"/>
  <c r="A178" i="1"/>
  <c r="AG177" i="1"/>
  <c r="Z177" i="1"/>
  <c r="K177" i="1"/>
  <c r="J177" i="1"/>
  <c r="A177" i="1"/>
  <c r="AG176" i="1"/>
  <c r="Z176" i="1"/>
  <c r="K176" i="1"/>
  <c r="J176" i="1"/>
  <c r="A176" i="1"/>
  <c r="AG175" i="1"/>
  <c r="Z175" i="1"/>
  <c r="K175" i="1"/>
  <c r="J175" i="1"/>
  <c r="A175" i="1"/>
  <c r="AG174" i="1"/>
  <c r="Z174" i="1"/>
  <c r="K174" i="1"/>
  <c r="J174" i="1"/>
  <c r="A174" i="1"/>
  <c r="AG173" i="1"/>
  <c r="Z173" i="1"/>
  <c r="K173" i="1"/>
  <c r="J173" i="1"/>
  <c r="A173" i="1"/>
  <c r="AG172" i="1"/>
  <c r="Z172" i="1"/>
  <c r="K172" i="1"/>
  <c r="J172" i="1"/>
  <c r="A172" i="1"/>
  <c r="AG171" i="1"/>
  <c r="Z171" i="1"/>
  <c r="K171" i="1"/>
  <c r="J171" i="1"/>
  <c r="A171" i="1"/>
  <c r="AG170" i="1"/>
  <c r="Z170" i="1"/>
  <c r="K170" i="1"/>
  <c r="J170" i="1"/>
  <c r="A170" i="1"/>
  <c r="AG169" i="1"/>
  <c r="Z169" i="1"/>
  <c r="K169" i="1"/>
  <c r="J169" i="1"/>
  <c r="A169" i="1"/>
  <c r="AG168" i="1"/>
  <c r="Z168" i="1"/>
  <c r="K168" i="1"/>
  <c r="J168" i="1"/>
  <c r="A168" i="1"/>
  <c r="AG167" i="1"/>
  <c r="Z167" i="1"/>
  <c r="K167" i="1"/>
  <c r="J167" i="1"/>
  <c r="A167" i="1"/>
  <c r="AG166" i="1"/>
  <c r="Z166" i="1"/>
  <c r="K166" i="1"/>
  <c r="J166" i="1"/>
  <c r="A166" i="1"/>
  <c r="AG165" i="1"/>
  <c r="Z165" i="1"/>
  <c r="K165" i="1"/>
  <c r="J165" i="1"/>
  <c r="A165" i="1"/>
  <c r="AG164" i="1"/>
  <c r="K164" i="1"/>
  <c r="J164" i="1"/>
  <c r="A164" i="1"/>
  <c r="AG163" i="1"/>
  <c r="Z163" i="1"/>
  <c r="M163" i="1"/>
  <c r="S183" i="1" s="1"/>
  <c r="A163" i="1"/>
  <c r="A162" i="1"/>
  <c r="N161" i="1"/>
  <c r="L161" i="1"/>
  <c r="C161" i="1"/>
  <c r="D161" i="1" s="1"/>
  <c r="A161" i="1"/>
  <c r="A160" i="1"/>
  <c r="AK159" i="1"/>
  <c r="AG159" i="1"/>
  <c r="Z159" i="1"/>
  <c r="K159" i="1"/>
  <c r="J159" i="1"/>
  <c r="A159" i="1"/>
  <c r="AK158" i="1"/>
  <c r="AG158" i="1"/>
  <c r="Z158" i="1"/>
  <c r="K158" i="1"/>
  <c r="J158" i="1"/>
  <c r="A158" i="1"/>
  <c r="AK157" i="1"/>
  <c r="AG157" i="1"/>
  <c r="Z157" i="1"/>
  <c r="K157" i="1"/>
  <c r="J157" i="1"/>
  <c r="A157" i="1"/>
  <c r="AG156" i="1"/>
  <c r="Z156" i="1"/>
  <c r="K156" i="1"/>
  <c r="J156" i="1"/>
  <c r="A156" i="1"/>
  <c r="AG155" i="1"/>
  <c r="Z155" i="1"/>
  <c r="K155" i="1"/>
  <c r="J155" i="1"/>
  <c r="A155" i="1"/>
  <c r="AG154" i="1"/>
  <c r="Z154" i="1"/>
  <c r="K154" i="1"/>
  <c r="J154" i="1"/>
  <c r="A154" i="1"/>
  <c r="AG153" i="1"/>
  <c r="Z153" i="1"/>
  <c r="K153" i="1"/>
  <c r="J153" i="1"/>
  <c r="A153" i="1"/>
  <c r="AG152" i="1"/>
  <c r="Z152" i="1"/>
  <c r="K152" i="1"/>
  <c r="J152" i="1"/>
  <c r="A152" i="1"/>
  <c r="AG151" i="1"/>
  <c r="Z151" i="1"/>
  <c r="K151" i="1"/>
  <c r="J151" i="1"/>
  <c r="A151" i="1"/>
  <c r="AG150" i="1"/>
  <c r="Z150" i="1"/>
  <c r="K150" i="1"/>
  <c r="J150" i="1"/>
  <c r="A150" i="1"/>
  <c r="AG149" i="1"/>
  <c r="Z149" i="1"/>
  <c r="K149" i="1"/>
  <c r="J149" i="1"/>
  <c r="A149" i="1"/>
  <c r="AG148" i="1"/>
  <c r="Z148" i="1"/>
  <c r="K148" i="1"/>
  <c r="J148" i="1"/>
  <c r="A148" i="1"/>
  <c r="AG147" i="1"/>
  <c r="Z147" i="1"/>
  <c r="K147" i="1"/>
  <c r="J147" i="1"/>
  <c r="A147" i="1"/>
  <c r="AG146" i="1"/>
  <c r="Z146" i="1"/>
  <c r="K146" i="1"/>
  <c r="J146" i="1"/>
  <c r="A146" i="1"/>
  <c r="AG145" i="1"/>
  <c r="Z145" i="1"/>
  <c r="K145" i="1"/>
  <c r="J145" i="1"/>
  <c r="A145" i="1"/>
  <c r="AG144" i="1"/>
  <c r="Z144" i="1"/>
  <c r="K144" i="1"/>
  <c r="J144" i="1"/>
  <c r="A144" i="1"/>
  <c r="AG143" i="1"/>
  <c r="Z143" i="1"/>
  <c r="K143" i="1"/>
  <c r="J143" i="1"/>
  <c r="A143" i="1"/>
  <c r="AG142" i="1"/>
  <c r="Z142" i="1"/>
  <c r="K142" i="1"/>
  <c r="J142" i="1"/>
  <c r="A142" i="1"/>
  <c r="AG141" i="1"/>
  <c r="Z141" i="1"/>
  <c r="K141" i="1"/>
  <c r="J141" i="1"/>
  <c r="A141" i="1"/>
  <c r="AG140" i="1"/>
  <c r="K140" i="1"/>
  <c r="J140" i="1"/>
  <c r="A140" i="1"/>
  <c r="AG139" i="1"/>
  <c r="Z139" i="1"/>
  <c r="M139" i="1"/>
  <c r="S158" i="1" s="1"/>
  <c r="A139" i="1"/>
  <c r="A138" i="1"/>
  <c r="P137" i="1"/>
  <c r="N137" i="1"/>
  <c r="L137" i="1"/>
  <c r="C137" i="1"/>
  <c r="D137" i="1" s="1"/>
  <c r="A137" i="1"/>
  <c r="A136" i="1"/>
  <c r="AK135" i="1"/>
  <c r="AG135" i="1"/>
  <c r="Z135" i="1"/>
  <c r="K135" i="1"/>
  <c r="J135" i="1"/>
  <c r="A135" i="1"/>
  <c r="AK134" i="1"/>
  <c r="AG134" i="1"/>
  <c r="Z134" i="1"/>
  <c r="K134" i="1"/>
  <c r="J134" i="1"/>
  <c r="A134" i="1"/>
  <c r="AK133" i="1"/>
  <c r="AG133" i="1"/>
  <c r="Z133" i="1"/>
  <c r="K133" i="1"/>
  <c r="J133" i="1"/>
  <c r="A133" i="1"/>
  <c r="AG132" i="1"/>
  <c r="Z132" i="1"/>
  <c r="K132" i="1"/>
  <c r="J132" i="1"/>
  <c r="A132" i="1"/>
  <c r="AG131" i="1"/>
  <c r="Z131" i="1"/>
  <c r="K131" i="1"/>
  <c r="J131" i="1"/>
  <c r="A131" i="1"/>
  <c r="AG130" i="1"/>
  <c r="Z130" i="1"/>
  <c r="K130" i="1"/>
  <c r="J130" i="1"/>
  <c r="A130" i="1"/>
  <c r="AG129" i="1"/>
  <c r="Z129" i="1"/>
  <c r="K129" i="1"/>
  <c r="J129" i="1"/>
  <c r="A129" i="1"/>
  <c r="AG128" i="1"/>
  <c r="Z128" i="1"/>
  <c r="K128" i="1"/>
  <c r="J128" i="1"/>
  <c r="A128" i="1"/>
  <c r="AG127" i="1"/>
  <c r="Z127" i="1"/>
  <c r="K127" i="1"/>
  <c r="J127" i="1"/>
  <c r="A127" i="1"/>
  <c r="AG126" i="1"/>
  <c r="Z126" i="1"/>
  <c r="K126" i="1"/>
  <c r="J126" i="1"/>
  <c r="A126" i="1"/>
  <c r="AG125" i="1"/>
  <c r="Z125" i="1"/>
  <c r="K125" i="1"/>
  <c r="J125" i="1"/>
  <c r="A125" i="1"/>
  <c r="AG124" i="1"/>
  <c r="Z124" i="1"/>
  <c r="K124" i="1"/>
  <c r="J124" i="1"/>
  <c r="A124" i="1"/>
  <c r="AG123" i="1"/>
  <c r="Z123" i="1"/>
  <c r="K123" i="1"/>
  <c r="J123" i="1"/>
  <c r="A123" i="1"/>
  <c r="AG122" i="1"/>
  <c r="Z122" i="1"/>
  <c r="K122" i="1"/>
  <c r="J122" i="1"/>
  <c r="A122" i="1"/>
  <c r="AG121" i="1"/>
  <c r="Z121" i="1"/>
  <c r="K121" i="1"/>
  <c r="J121" i="1"/>
  <c r="A121" i="1"/>
  <c r="AG120" i="1"/>
  <c r="Z120" i="1"/>
  <c r="K120" i="1"/>
  <c r="J120" i="1"/>
  <c r="A120" i="1"/>
  <c r="AG119" i="1"/>
  <c r="Z119" i="1"/>
  <c r="K119" i="1"/>
  <c r="J119" i="1"/>
  <c r="A119" i="1"/>
  <c r="AG118" i="1"/>
  <c r="Z118" i="1"/>
  <c r="K118" i="1"/>
  <c r="J118" i="1"/>
  <c r="A118" i="1"/>
  <c r="AG117" i="1"/>
  <c r="Z117" i="1"/>
  <c r="K117" i="1"/>
  <c r="J117" i="1"/>
  <c r="A117" i="1"/>
  <c r="AG116" i="1"/>
  <c r="K116" i="1"/>
  <c r="J116" i="1"/>
  <c r="A116" i="1"/>
  <c r="AG115" i="1"/>
  <c r="Z115" i="1"/>
  <c r="M115" i="1"/>
  <c r="S135" i="1" s="1"/>
  <c r="A115" i="1"/>
  <c r="A114" i="1"/>
  <c r="P113" i="1"/>
  <c r="N113" i="1"/>
  <c r="L113" i="1"/>
  <c r="C113" i="1"/>
  <c r="D113" i="1" s="1"/>
  <c r="A113" i="1"/>
  <c r="A112" i="1"/>
  <c r="AK111" i="1"/>
  <c r="AG111" i="1"/>
  <c r="Z111" i="1"/>
  <c r="K111" i="1"/>
  <c r="J111" i="1"/>
  <c r="A111" i="1"/>
  <c r="AK110" i="1"/>
  <c r="AG110" i="1"/>
  <c r="Z110" i="1"/>
  <c r="K110" i="1"/>
  <c r="J110" i="1"/>
  <c r="A110" i="1"/>
  <c r="AK109" i="1"/>
  <c r="AG109" i="1"/>
  <c r="Z109" i="1"/>
  <c r="K109" i="1"/>
  <c r="J109" i="1"/>
  <c r="A109" i="1"/>
  <c r="AG108" i="1"/>
  <c r="Z108" i="1"/>
  <c r="K108" i="1"/>
  <c r="J108" i="1"/>
  <c r="A108" i="1"/>
  <c r="AG107" i="1"/>
  <c r="Z107" i="1"/>
  <c r="K107" i="1"/>
  <c r="J107" i="1"/>
  <c r="A107" i="1"/>
  <c r="AG106" i="1"/>
  <c r="Z106" i="1"/>
  <c r="K106" i="1"/>
  <c r="J106" i="1"/>
  <c r="A106" i="1"/>
  <c r="AG105" i="1"/>
  <c r="Z105" i="1"/>
  <c r="K105" i="1"/>
  <c r="J105" i="1"/>
  <c r="A105" i="1"/>
  <c r="AG104" i="1"/>
  <c r="Z104" i="1"/>
  <c r="K104" i="1"/>
  <c r="J104" i="1"/>
  <c r="A104" i="1"/>
  <c r="AG103" i="1"/>
  <c r="Z103" i="1"/>
  <c r="K103" i="1"/>
  <c r="J103" i="1"/>
  <c r="A103" i="1"/>
  <c r="AG102" i="1"/>
  <c r="Z102" i="1"/>
  <c r="K102" i="1"/>
  <c r="J102" i="1"/>
  <c r="A102" i="1"/>
  <c r="AG101" i="1"/>
  <c r="Z101" i="1"/>
  <c r="K101" i="1"/>
  <c r="J101" i="1"/>
  <c r="A101" i="1"/>
  <c r="AG100" i="1"/>
  <c r="Z100" i="1"/>
  <c r="K100" i="1"/>
  <c r="J100" i="1"/>
  <c r="A100" i="1"/>
  <c r="AG99" i="1"/>
  <c r="Z99" i="1"/>
  <c r="K99" i="1"/>
  <c r="J99" i="1"/>
  <c r="A99" i="1"/>
  <c r="AG98" i="1"/>
  <c r="Z98" i="1"/>
  <c r="K98" i="1"/>
  <c r="J98" i="1"/>
  <c r="A98" i="1"/>
  <c r="AG97" i="1"/>
  <c r="Z97" i="1"/>
  <c r="K97" i="1"/>
  <c r="J97" i="1"/>
  <c r="A97" i="1"/>
  <c r="AG96" i="1"/>
  <c r="Z96" i="1"/>
  <c r="K96" i="1"/>
  <c r="J96" i="1"/>
  <c r="A96" i="1"/>
  <c r="AG95" i="1"/>
  <c r="Z95" i="1"/>
  <c r="K95" i="1"/>
  <c r="J95" i="1"/>
  <c r="A95" i="1"/>
  <c r="AG94" i="1"/>
  <c r="Z94" i="1"/>
  <c r="K94" i="1"/>
  <c r="J94" i="1"/>
  <c r="A94" i="1"/>
  <c r="AG93" i="1"/>
  <c r="Z93" i="1"/>
  <c r="K93" i="1"/>
  <c r="J93" i="1"/>
  <c r="A93" i="1"/>
  <c r="AG92" i="1"/>
  <c r="K92" i="1"/>
  <c r="J92" i="1"/>
  <c r="A92" i="1"/>
  <c r="AG91" i="1"/>
  <c r="Z91" i="1"/>
  <c r="M91" i="1"/>
  <c r="A91" i="1"/>
  <c r="A90" i="1"/>
  <c r="P89" i="1"/>
  <c r="N89" i="1"/>
  <c r="L89" i="1"/>
  <c r="C89" i="1"/>
  <c r="D89" i="1" s="1"/>
  <c r="A89" i="1"/>
  <c r="A88" i="1"/>
  <c r="AK87" i="1"/>
  <c r="AG87" i="1"/>
  <c r="Z87" i="1"/>
  <c r="K87" i="1"/>
  <c r="J87" i="1"/>
  <c r="A87" i="1"/>
  <c r="AK86" i="1"/>
  <c r="AG86" i="1"/>
  <c r="Z86" i="1"/>
  <c r="K86" i="1"/>
  <c r="J86" i="1"/>
  <c r="A86" i="1"/>
  <c r="AK85" i="1"/>
  <c r="AG85" i="1"/>
  <c r="Z85" i="1"/>
  <c r="K85" i="1"/>
  <c r="J85" i="1"/>
  <c r="A85" i="1"/>
  <c r="AG84" i="1"/>
  <c r="Z84" i="1"/>
  <c r="K84" i="1"/>
  <c r="J84" i="1"/>
  <c r="A84" i="1"/>
  <c r="AG83" i="1"/>
  <c r="Z83" i="1"/>
  <c r="K83" i="1"/>
  <c r="J83" i="1"/>
  <c r="A83" i="1"/>
  <c r="AG82" i="1"/>
  <c r="Z82" i="1"/>
  <c r="K82" i="1"/>
  <c r="J82" i="1"/>
  <c r="A82" i="1"/>
  <c r="AG81" i="1"/>
  <c r="Z81" i="1"/>
  <c r="K81" i="1"/>
  <c r="J81" i="1"/>
  <c r="A81" i="1"/>
  <c r="AG80" i="1"/>
  <c r="Z80" i="1"/>
  <c r="K80" i="1"/>
  <c r="J80" i="1"/>
  <c r="A80" i="1"/>
  <c r="AG79" i="1"/>
  <c r="Z79" i="1"/>
  <c r="K79" i="1"/>
  <c r="J79" i="1"/>
  <c r="A79" i="1"/>
  <c r="AG78" i="1"/>
  <c r="Z78" i="1"/>
  <c r="K78" i="1"/>
  <c r="J78" i="1"/>
  <c r="A78" i="1"/>
  <c r="AG77" i="1"/>
  <c r="Z77" i="1"/>
  <c r="K77" i="1"/>
  <c r="J77" i="1"/>
  <c r="A77" i="1"/>
  <c r="AG76" i="1"/>
  <c r="Z76" i="1"/>
  <c r="K76" i="1"/>
  <c r="J76" i="1"/>
  <c r="A76" i="1"/>
  <c r="AG75" i="1"/>
  <c r="Z75" i="1"/>
  <c r="K75" i="1"/>
  <c r="J75" i="1"/>
  <c r="A75" i="1"/>
  <c r="AG74" i="1"/>
  <c r="Z74" i="1"/>
  <c r="K74" i="1"/>
  <c r="J74" i="1"/>
  <c r="A74" i="1"/>
  <c r="AG73" i="1"/>
  <c r="Z73" i="1"/>
  <c r="K73" i="1"/>
  <c r="J73" i="1"/>
  <c r="A73" i="1"/>
  <c r="AG72" i="1"/>
  <c r="Z72" i="1"/>
  <c r="K72" i="1"/>
  <c r="J72" i="1"/>
  <c r="A72" i="1"/>
  <c r="AG71" i="1"/>
  <c r="Z71" i="1"/>
  <c r="K71" i="1"/>
  <c r="J71" i="1"/>
  <c r="A71" i="1"/>
  <c r="AG70" i="1"/>
  <c r="Z70" i="1"/>
  <c r="K70" i="1"/>
  <c r="J70" i="1"/>
  <c r="A70" i="1"/>
  <c r="AG69" i="1"/>
  <c r="Z69" i="1"/>
  <c r="K69" i="1"/>
  <c r="J69" i="1"/>
  <c r="A69" i="1"/>
  <c r="AG68" i="1"/>
  <c r="K68" i="1"/>
  <c r="J68" i="1"/>
  <c r="A68" i="1"/>
  <c r="AG67" i="1"/>
  <c r="Z67" i="1"/>
  <c r="M67" i="1"/>
  <c r="A67" i="1"/>
  <c r="A66" i="1"/>
  <c r="P65" i="1"/>
  <c r="N65" i="1"/>
  <c r="L65" i="1"/>
  <c r="C65" i="1"/>
  <c r="D65" i="1" s="1"/>
  <c r="A65" i="1"/>
  <c r="A64" i="1"/>
  <c r="AK63" i="1"/>
  <c r="AG63" i="1"/>
  <c r="Z63" i="1"/>
  <c r="K63" i="1"/>
  <c r="J63" i="1"/>
  <c r="A63" i="1"/>
  <c r="AK62" i="1"/>
  <c r="AG62" i="1"/>
  <c r="Z62" i="1"/>
  <c r="K62" i="1"/>
  <c r="J62" i="1"/>
  <c r="A62" i="1"/>
  <c r="AK61" i="1"/>
  <c r="AG61" i="1"/>
  <c r="Z61" i="1"/>
  <c r="K61" i="1"/>
  <c r="J61" i="1"/>
  <c r="A61" i="1"/>
  <c r="AG60" i="1"/>
  <c r="Z60" i="1"/>
  <c r="K60" i="1"/>
  <c r="J60" i="1"/>
  <c r="A60" i="1"/>
  <c r="AG59" i="1"/>
  <c r="Z59" i="1"/>
  <c r="K59" i="1"/>
  <c r="J59" i="1"/>
  <c r="A59" i="1"/>
  <c r="AG58" i="1"/>
  <c r="Z58" i="1"/>
  <c r="K58" i="1"/>
  <c r="J58" i="1"/>
  <c r="A58" i="1"/>
  <c r="AG57" i="1"/>
  <c r="Z57" i="1"/>
  <c r="K57" i="1"/>
  <c r="J57" i="1"/>
  <c r="A57" i="1"/>
  <c r="AG56" i="1"/>
  <c r="Z56" i="1"/>
  <c r="K56" i="1"/>
  <c r="J56" i="1"/>
  <c r="A56" i="1"/>
  <c r="AG55" i="1"/>
  <c r="Z55" i="1"/>
  <c r="K55" i="1"/>
  <c r="J55" i="1"/>
  <c r="A55" i="1"/>
  <c r="AG54" i="1"/>
  <c r="Z54" i="1"/>
  <c r="K54" i="1"/>
  <c r="J54" i="1"/>
  <c r="A54" i="1"/>
  <c r="AG53" i="1"/>
  <c r="Z53" i="1"/>
  <c r="K53" i="1"/>
  <c r="J53" i="1"/>
  <c r="A53" i="1"/>
  <c r="AG52" i="1"/>
  <c r="Z52" i="1"/>
  <c r="K52" i="1"/>
  <c r="J52" i="1"/>
  <c r="A52" i="1"/>
  <c r="AG51" i="1"/>
  <c r="Z51" i="1"/>
  <c r="K51" i="1"/>
  <c r="J51" i="1"/>
  <c r="A51" i="1"/>
  <c r="AG50" i="1"/>
  <c r="Z50" i="1"/>
  <c r="K50" i="1"/>
  <c r="J50" i="1"/>
  <c r="A50" i="1"/>
  <c r="AG49" i="1"/>
  <c r="Z49" i="1"/>
  <c r="K49" i="1"/>
  <c r="J49" i="1"/>
  <c r="A49" i="1"/>
  <c r="AG48" i="1"/>
  <c r="Z48" i="1"/>
  <c r="K48" i="1"/>
  <c r="J48" i="1"/>
  <c r="A48" i="1"/>
  <c r="AG47" i="1"/>
  <c r="Z47" i="1"/>
  <c r="K47" i="1"/>
  <c r="J47" i="1"/>
  <c r="A47" i="1"/>
  <c r="AG46" i="1"/>
  <c r="Z46" i="1"/>
  <c r="K46" i="1"/>
  <c r="J46" i="1"/>
  <c r="A46" i="1"/>
  <c r="AG45" i="1"/>
  <c r="Z45" i="1"/>
  <c r="K45" i="1"/>
  <c r="J45" i="1"/>
  <c r="A45" i="1"/>
  <c r="AG44" i="1"/>
  <c r="Z44" i="1"/>
  <c r="K44" i="1"/>
  <c r="J44" i="1"/>
  <c r="A44" i="1"/>
  <c r="AG43" i="1"/>
  <c r="Z43" i="1"/>
  <c r="M43" i="1"/>
  <c r="A43" i="1"/>
  <c r="A42" i="1"/>
  <c r="P41" i="1"/>
  <c r="N41" i="1"/>
  <c r="L41" i="1"/>
  <c r="C41" i="1"/>
  <c r="D41" i="1" s="1"/>
  <c r="A41" i="1"/>
  <c r="A40" i="1"/>
  <c r="AK39" i="1"/>
  <c r="AG39" i="1"/>
  <c r="Z39" i="1"/>
  <c r="K39" i="1"/>
  <c r="J39" i="1"/>
  <c r="A39" i="1"/>
  <c r="AK38" i="1"/>
  <c r="AG38" i="1"/>
  <c r="Z38" i="1"/>
  <c r="K38" i="1"/>
  <c r="J38" i="1"/>
  <c r="A38" i="1"/>
  <c r="AK37" i="1"/>
  <c r="AG37" i="1"/>
  <c r="Z37" i="1"/>
  <c r="K37" i="1"/>
  <c r="J37" i="1"/>
  <c r="A37" i="1"/>
  <c r="AG36" i="1"/>
  <c r="Z36" i="1"/>
  <c r="K36" i="1"/>
  <c r="J36" i="1"/>
  <c r="A36" i="1"/>
  <c r="AG35" i="1"/>
  <c r="Z35" i="1"/>
  <c r="K35" i="1"/>
  <c r="J35" i="1"/>
  <c r="A35" i="1"/>
  <c r="AG34" i="1"/>
  <c r="Z34" i="1"/>
  <c r="K34" i="1"/>
  <c r="J34" i="1"/>
  <c r="A34" i="1"/>
  <c r="AG33" i="1"/>
  <c r="Z33" i="1"/>
  <c r="K33" i="1"/>
  <c r="J33" i="1"/>
  <c r="A33" i="1"/>
  <c r="AG32" i="1"/>
  <c r="Z32" i="1"/>
  <c r="K32" i="1"/>
  <c r="J32" i="1"/>
  <c r="A32" i="1"/>
  <c r="AG31" i="1"/>
  <c r="Z31" i="1"/>
  <c r="K31" i="1"/>
  <c r="J31" i="1"/>
  <c r="A31" i="1"/>
  <c r="AG30" i="1"/>
  <c r="Z30" i="1"/>
  <c r="K30" i="1"/>
  <c r="J30" i="1"/>
  <c r="A30" i="1"/>
  <c r="AG29" i="1"/>
  <c r="Z29" i="1"/>
  <c r="K29" i="1"/>
  <c r="J29" i="1"/>
  <c r="A29" i="1"/>
  <c r="AG28" i="1"/>
  <c r="Z28" i="1"/>
  <c r="K28" i="1"/>
  <c r="J28" i="1"/>
  <c r="A28" i="1"/>
  <c r="AG27" i="1"/>
  <c r="Z27" i="1"/>
  <c r="K27" i="1"/>
  <c r="J27" i="1"/>
  <c r="A27" i="1"/>
  <c r="AG26" i="1"/>
  <c r="Z26" i="1"/>
  <c r="K26" i="1"/>
  <c r="J26" i="1"/>
  <c r="A26" i="1"/>
  <c r="AG25" i="1"/>
  <c r="Z25" i="1"/>
  <c r="K25" i="1"/>
  <c r="J25" i="1"/>
  <c r="A25" i="1"/>
  <c r="AG24" i="1"/>
  <c r="Z24" i="1"/>
  <c r="K24" i="1"/>
  <c r="J24" i="1"/>
  <c r="A24" i="1"/>
  <c r="AG23" i="1"/>
  <c r="Z23" i="1"/>
  <c r="K23" i="1"/>
  <c r="J23" i="1"/>
  <c r="A23" i="1"/>
  <c r="AG22" i="1"/>
  <c r="Z22" i="1"/>
  <c r="K22" i="1"/>
  <c r="J22" i="1"/>
  <c r="A22" i="1"/>
  <c r="AG21" i="1"/>
  <c r="Z21" i="1"/>
  <c r="K21" i="1"/>
  <c r="J21" i="1"/>
  <c r="A21" i="1"/>
  <c r="AG20" i="1"/>
  <c r="Z20" i="1"/>
  <c r="K20" i="1"/>
  <c r="J20" i="1"/>
  <c r="A20" i="1"/>
  <c r="AG19" i="1"/>
  <c r="Z19" i="1"/>
  <c r="M19" i="1"/>
  <c r="A19" i="1"/>
  <c r="A18" i="1"/>
  <c r="AN17" i="1"/>
  <c r="D17" i="1"/>
  <c r="A17" i="1"/>
  <c r="A16" i="1"/>
  <c r="A15" i="1"/>
  <c r="A14" i="1"/>
  <c r="A13" i="1"/>
  <c r="A12" i="1"/>
  <c r="A11" i="1"/>
  <c r="A10" i="1"/>
  <c r="A9" i="1"/>
  <c r="A8" i="1"/>
  <c r="A7" i="1"/>
  <c r="A6" i="1"/>
  <c r="C5" i="1"/>
  <c r="A5" i="1"/>
  <c r="A4" i="1"/>
  <c r="A3" i="1"/>
  <c r="A2" i="1"/>
  <c r="A1" i="1"/>
  <c r="AG2096" i="1"/>
  <c r="Z188" i="1"/>
  <c r="C42" i="5"/>
  <c r="C41" i="5"/>
  <c r="Y4" i="12" l="1"/>
  <c r="AH5" i="12"/>
  <c r="Z6" i="12"/>
  <c r="AG5" i="12"/>
  <c r="AB5" i="12"/>
  <c r="AF5" i="12" s="1"/>
  <c r="AI5" i="12"/>
  <c r="P112" i="1"/>
  <c r="S1422" i="1"/>
  <c r="AJ1422" i="1" s="1"/>
  <c r="AI1422" i="1" s="1"/>
  <c r="AH1422" i="1" s="1"/>
  <c r="P64" i="1"/>
  <c r="K65" i="1" s="1"/>
  <c r="AN65" i="1" s="1"/>
  <c r="S869" i="1"/>
  <c r="AC869" i="1" s="1"/>
  <c r="AB869" i="1" s="1"/>
  <c r="AA869" i="1" s="1"/>
  <c r="P40" i="1"/>
  <c r="K41" i="1" s="1"/>
  <c r="AN41" i="1" s="1"/>
  <c r="P88" i="1"/>
  <c r="K89" i="1" s="1"/>
  <c r="AN89" i="1" s="1"/>
  <c r="S746" i="1"/>
  <c r="AJ746" i="1" s="1"/>
  <c r="AI746" i="1" s="1"/>
  <c r="AH746" i="1" s="1"/>
  <c r="S1764" i="1"/>
  <c r="AC1764" i="1" s="1"/>
  <c r="AB1764" i="1" s="1"/>
  <c r="AA1764" i="1" s="1"/>
  <c r="AA1288" i="1"/>
  <c r="L1753" i="1"/>
  <c r="S1761" i="1"/>
  <c r="V1761" i="1" s="1"/>
  <c r="W1761" i="1" s="1"/>
  <c r="AH2102" i="1"/>
  <c r="AH2104" i="1"/>
  <c r="S866" i="1"/>
  <c r="AJ866" i="1" s="1"/>
  <c r="AI866" i="1" s="1"/>
  <c r="AH866" i="1" s="1"/>
  <c r="S860" i="1"/>
  <c r="AJ860" i="1" s="1"/>
  <c r="AI860" i="1" s="1"/>
  <c r="AH860" i="1" s="1"/>
  <c r="L236" i="1"/>
  <c r="J258" i="1" s="1"/>
  <c r="S339" i="1"/>
  <c r="AJ339" i="1" s="1"/>
  <c r="AI339" i="1" s="1"/>
  <c r="AH339" i="1" s="1"/>
  <c r="S430" i="1"/>
  <c r="AJ430" i="1" s="1"/>
  <c r="AI430" i="1" s="1"/>
  <c r="AA1456" i="1"/>
  <c r="S1226" i="1"/>
  <c r="V1226" i="1" s="1"/>
  <c r="W1226" i="1" s="1"/>
  <c r="S862" i="1"/>
  <c r="AC862" i="1" s="1"/>
  <c r="AB862" i="1" s="1"/>
  <c r="AA862" i="1" s="1"/>
  <c r="S868" i="1"/>
  <c r="AC868" i="1" s="1"/>
  <c r="AB868" i="1" s="1"/>
  <c r="AA868" i="1" s="1"/>
  <c r="S238" i="1"/>
  <c r="AJ238" i="1" s="1"/>
  <c r="AI238" i="1" s="1"/>
  <c r="S240" i="1"/>
  <c r="AJ240" i="1" s="1"/>
  <c r="AI240" i="1" s="1"/>
  <c r="AH240" i="1" s="1"/>
  <c r="S265" i="1"/>
  <c r="AJ265" i="1" s="1"/>
  <c r="AI265" i="1" s="1"/>
  <c r="AH265" i="1" s="1"/>
  <c r="S478" i="1"/>
  <c r="AJ478" i="1" s="1"/>
  <c r="AI478" i="1" s="1"/>
  <c r="S489" i="1"/>
  <c r="AJ489" i="1" s="1"/>
  <c r="AI489" i="1" s="1"/>
  <c r="AH489" i="1" s="1"/>
  <c r="S704" i="1"/>
  <c r="AJ704" i="1" s="1"/>
  <c r="AI704" i="1" s="1"/>
  <c r="AH704" i="1" s="1"/>
  <c r="S1551" i="1"/>
  <c r="V1551" i="1" s="1"/>
  <c r="W1551" i="1" s="1"/>
  <c r="S1695" i="1"/>
  <c r="AJ1695" i="1" s="1"/>
  <c r="AI1695" i="1" s="1"/>
  <c r="AH1695" i="1" s="1"/>
  <c r="S2004" i="1"/>
  <c r="V2004" i="1" s="1"/>
  <c r="W2004" i="1" s="1"/>
  <c r="S2014" i="1"/>
  <c r="AC2014" i="1" s="1"/>
  <c r="AB2014" i="1" s="1"/>
  <c r="AA2014" i="1" s="1"/>
  <c r="S2069" i="1"/>
  <c r="AC2069" i="1" s="1"/>
  <c r="AB2069" i="1" s="1"/>
  <c r="AA2069" i="1" s="1"/>
  <c r="S253" i="1"/>
  <c r="V253" i="1" s="1"/>
  <c r="W253" i="1" s="1"/>
  <c r="S563" i="1"/>
  <c r="V563" i="1" s="1"/>
  <c r="W563" i="1" s="1"/>
  <c r="L692" i="1"/>
  <c r="J714" i="1" s="1"/>
  <c r="S1717" i="1"/>
  <c r="V1717" i="1" s="1"/>
  <c r="W1717" i="1" s="1"/>
  <c r="S1772" i="1"/>
  <c r="S452" i="1"/>
  <c r="AJ452" i="1" s="1"/>
  <c r="AI452" i="1" s="1"/>
  <c r="AH452" i="1" s="1"/>
  <c r="S1228" i="1"/>
  <c r="AJ1228" i="1" s="1"/>
  <c r="AI1228" i="1" s="1"/>
  <c r="AH1228" i="1" s="1"/>
  <c r="S1470" i="1"/>
  <c r="AC1470" i="1" s="1"/>
  <c r="AB1470" i="1" s="1"/>
  <c r="AA1470" i="1" s="1"/>
  <c r="S1517" i="1"/>
  <c r="V1517" i="1" s="1"/>
  <c r="W1517" i="1" s="1"/>
  <c r="S1621" i="1"/>
  <c r="V1621" i="1" s="1"/>
  <c r="W1621" i="1" s="1"/>
  <c r="L1705" i="1"/>
  <c r="J1727" i="1" s="1"/>
  <c r="S1725" i="1"/>
  <c r="V1725" i="1" s="1"/>
  <c r="W1725" i="1" s="1"/>
  <c r="S1808" i="1"/>
  <c r="AJ1808" i="1" s="1"/>
  <c r="AI1808" i="1" s="1"/>
  <c r="AH1808" i="1" s="1"/>
  <c r="S1812" i="1"/>
  <c r="AJ1812" i="1" s="1"/>
  <c r="AI1812" i="1" s="1"/>
  <c r="AH1812" i="1" s="1"/>
  <c r="S1818" i="1"/>
  <c r="AJ1818" i="1" s="1"/>
  <c r="AI1818" i="1" s="1"/>
  <c r="AH1818" i="1" s="1"/>
  <c r="S2076" i="1"/>
  <c r="AJ2076" i="1" s="1"/>
  <c r="AI2076" i="1" s="1"/>
  <c r="AH2076" i="1" s="1"/>
  <c r="S2084" i="1"/>
  <c r="AI2112" i="1"/>
  <c r="AH2112" i="1" s="1"/>
  <c r="S1628" i="1"/>
  <c r="AJ1628" i="1" s="1"/>
  <c r="AI1628" i="1" s="1"/>
  <c r="AH1628" i="1" s="1"/>
  <c r="S332" i="1"/>
  <c r="AJ332" i="1" s="1"/>
  <c r="AI332" i="1" s="1"/>
  <c r="AH332" i="1" s="1"/>
  <c r="S344" i="1"/>
  <c r="AC344" i="1" s="1"/>
  <c r="AB344" i="1" s="1"/>
  <c r="S370" i="1"/>
  <c r="AJ370" i="1" s="1"/>
  <c r="S404" i="1"/>
  <c r="AJ404" i="1" s="1"/>
  <c r="AI404" i="1" s="1"/>
  <c r="AH404" i="1" s="1"/>
  <c r="S410" i="1"/>
  <c r="AC410" i="1" s="1"/>
  <c r="AB410" i="1" s="1"/>
  <c r="AA410" i="1" s="1"/>
  <c r="S483" i="1"/>
  <c r="AC483" i="1" s="1"/>
  <c r="AB483" i="1" s="1"/>
  <c r="S701" i="1"/>
  <c r="V701" i="1" s="1"/>
  <c r="W701" i="1" s="1"/>
  <c r="S1102" i="1"/>
  <c r="AJ1102" i="1" s="1"/>
  <c r="AI1102" i="1" s="1"/>
  <c r="AH1102" i="1" s="1"/>
  <c r="L1222" i="1"/>
  <c r="J1244" i="1" s="1"/>
  <c r="S1223" i="1"/>
  <c r="V1223" i="1" s="1"/>
  <c r="W1223" i="1" s="1"/>
  <c r="S1236" i="1"/>
  <c r="AJ1236" i="1" s="1"/>
  <c r="AI1236" i="1" s="1"/>
  <c r="AH1236" i="1" s="1"/>
  <c r="S1521" i="1"/>
  <c r="AC1521" i="1" s="1"/>
  <c r="AB1521" i="1" s="1"/>
  <c r="AA1521" i="1" s="1"/>
  <c r="S1620" i="1"/>
  <c r="AC1620" i="1" s="1"/>
  <c r="AB1620" i="1" s="1"/>
  <c r="AA1620" i="1" s="1"/>
  <c r="S1720" i="1"/>
  <c r="V1720" i="1" s="1"/>
  <c r="W1720" i="1" s="1"/>
  <c r="S1781" i="1"/>
  <c r="AJ1781" i="1" s="1"/>
  <c r="AI1781" i="1" s="1"/>
  <c r="L2069" i="1"/>
  <c r="J2091" i="1" s="1"/>
  <c r="S2070" i="1"/>
  <c r="V2070" i="1" s="1"/>
  <c r="W2070" i="1" s="1"/>
  <c r="S2078" i="1"/>
  <c r="V2078" i="1" s="1"/>
  <c r="W2078" i="1" s="1"/>
  <c r="AA2104" i="1"/>
  <c r="S273" i="1"/>
  <c r="AC273" i="1" s="1"/>
  <c r="AB273" i="1" s="1"/>
  <c r="AA273" i="1" s="1"/>
  <c r="S476" i="1"/>
  <c r="AJ476" i="1" s="1"/>
  <c r="AI476" i="1" s="1"/>
  <c r="AH476" i="1" s="1"/>
  <c r="S550" i="1"/>
  <c r="AC550" i="1" s="1"/>
  <c r="AB550" i="1" s="1"/>
  <c r="AA550" i="1" s="1"/>
  <c r="S561" i="1"/>
  <c r="AJ561" i="1" s="1"/>
  <c r="AI561" i="1" s="1"/>
  <c r="AH561" i="1" s="1"/>
  <c r="S749" i="1"/>
  <c r="V749" i="1" s="1"/>
  <c r="W749" i="1" s="1"/>
  <c r="S1041" i="1"/>
  <c r="AJ1041" i="1" s="1"/>
  <c r="AI1041" i="1" s="1"/>
  <c r="AH1041" i="1" s="1"/>
  <c r="AA1467" i="1"/>
  <c r="L1608" i="1"/>
  <c r="J1630" i="1" s="1"/>
  <c r="S1609" i="1"/>
  <c r="AC1609" i="1" s="1"/>
  <c r="AB1609" i="1" s="1"/>
  <c r="AA1609" i="1" s="1"/>
  <c r="S1613" i="1"/>
  <c r="AJ1613" i="1" s="1"/>
  <c r="AI1613" i="1" s="1"/>
  <c r="AH1613" i="1" s="1"/>
  <c r="L1778" i="1"/>
  <c r="J1800" i="1" s="1"/>
  <c r="L1972" i="1"/>
  <c r="S673" i="1"/>
  <c r="V673" i="1" s="1"/>
  <c r="W673" i="1" s="1"/>
  <c r="S1562" i="1"/>
  <c r="AJ1562" i="1" s="1"/>
  <c r="AI1562" i="1" s="1"/>
  <c r="AH1562" i="1" s="1"/>
  <c r="S1586" i="1"/>
  <c r="AJ1586" i="1" s="1"/>
  <c r="AI1586" i="1" s="1"/>
  <c r="AH1586" i="1" s="1"/>
  <c r="S1593" i="1"/>
  <c r="AC1593" i="1" s="1"/>
  <c r="AB1593" i="1" s="1"/>
  <c r="AA1593" i="1" s="1"/>
  <c r="S1708" i="1"/>
  <c r="AC1708" i="1" s="1"/>
  <c r="AB1708" i="1" s="1"/>
  <c r="AA1708" i="1" s="1"/>
  <c r="S1713" i="1"/>
  <c r="V1713" i="1" s="1"/>
  <c r="W1713" i="1" s="1"/>
  <c r="S1721" i="1"/>
  <c r="V1721" i="1" s="1"/>
  <c r="W1721" i="1" s="1"/>
  <c r="S1792" i="1"/>
  <c r="L1826" i="1"/>
  <c r="J1848" i="1" s="1"/>
  <c r="S1828" i="1"/>
  <c r="S1843" i="1"/>
  <c r="V1843" i="1" s="1"/>
  <c r="W1843" i="1" s="1"/>
  <c r="AI1880" i="1"/>
  <c r="AH1880" i="1" s="1"/>
  <c r="S2046" i="1"/>
  <c r="AJ2046" i="1" s="1"/>
  <c r="AI2046" i="1" s="1"/>
  <c r="AH2046" i="1" s="1"/>
  <c r="S2047" i="1"/>
  <c r="V2047" i="1" s="1"/>
  <c r="W2047" i="1" s="1"/>
  <c r="S2053" i="1"/>
  <c r="AA2099" i="1"/>
  <c r="S225" i="1"/>
  <c r="AC225" i="1" s="1"/>
  <c r="AB225" i="1" s="1"/>
  <c r="AA225" i="1" s="1"/>
  <c r="S668" i="1"/>
  <c r="AJ668" i="1" s="1"/>
  <c r="AI668" i="1" s="1"/>
  <c r="AH668" i="1" s="1"/>
  <c r="S672" i="1"/>
  <c r="V672" i="1" s="1"/>
  <c r="W672" i="1" s="1"/>
  <c r="S682" i="1"/>
  <c r="AJ682" i="1" s="1"/>
  <c r="AI682" i="1" s="1"/>
  <c r="AH682" i="1" s="1"/>
  <c r="S698" i="1"/>
  <c r="AC698" i="1" s="1"/>
  <c r="AB698" i="1" s="1"/>
  <c r="AA698" i="1" s="1"/>
  <c r="S1270" i="1"/>
  <c r="V1270" i="1" s="1"/>
  <c r="W1270" i="1" s="1"/>
  <c r="S1327" i="1"/>
  <c r="S1441" i="1"/>
  <c r="AJ1441" i="1" s="1"/>
  <c r="AI1441" i="1" s="1"/>
  <c r="AH1441" i="1" s="1"/>
  <c r="S1568" i="1"/>
  <c r="V1568" i="1" s="1"/>
  <c r="W1568" i="1" s="1"/>
  <c r="S1745" i="1"/>
  <c r="AJ1745" i="1" s="1"/>
  <c r="AI1745" i="1" s="1"/>
  <c r="AH1745" i="1" s="1"/>
  <c r="S1837" i="1"/>
  <c r="AC1837" i="1" s="1"/>
  <c r="AB1837" i="1" s="1"/>
  <c r="AA1837" i="1" s="1"/>
  <c r="S2011" i="1"/>
  <c r="AC2011" i="1" s="1"/>
  <c r="AB2011" i="1" s="1"/>
  <c r="AA2011" i="1" s="1"/>
  <c r="L2045" i="1"/>
  <c r="J2067" i="1" s="1"/>
  <c r="S2061" i="1"/>
  <c r="AC2061" i="1" s="1"/>
  <c r="AB2061" i="1" s="1"/>
  <c r="AA2061" i="1" s="1"/>
  <c r="S2080" i="1"/>
  <c r="AC2080" i="1" s="1"/>
  <c r="AB2080" i="1" s="1"/>
  <c r="AA2080" i="1" s="1"/>
  <c r="S2088" i="1"/>
  <c r="AJ2088" i="1" s="1"/>
  <c r="AI2088" i="1" s="1"/>
  <c r="AH2088" i="1" s="1"/>
  <c r="AH2095" i="1"/>
  <c r="AH2101" i="1"/>
  <c r="AA2106" i="1"/>
  <c r="AH2108" i="1"/>
  <c r="AH2096" i="1"/>
  <c r="S39" i="1"/>
  <c r="V39" i="1" s="1"/>
  <c r="W39" i="1" s="1"/>
  <c r="S246" i="1"/>
  <c r="S248" i="1"/>
  <c r="AJ248" i="1" s="1"/>
  <c r="AI248" i="1" s="1"/>
  <c r="S271" i="1"/>
  <c r="AC271" i="1" s="1"/>
  <c r="AB271" i="1" s="1"/>
  <c r="AA271" i="1" s="1"/>
  <c r="S433" i="1"/>
  <c r="AJ433" i="1" s="1"/>
  <c r="AI433" i="1" s="1"/>
  <c r="AH433" i="1" s="1"/>
  <c r="S676" i="1"/>
  <c r="V676" i="1" s="1"/>
  <c r="W676" i="1" s="1"/>
  <c r="S692" i="1"/>
  <c r="AJ692" i="1" s="1"/>
  <c r="AI692" i="1" s="1"/>
  <c r="AH692" i="1" s="1"/>
  <c r="S703" i="1"/>
  <c r="V703" i="1" s="1"/>
  <c r="W703" i="1" s="1"/>
  <c r="L860" i="1"/>
  <c r="J882" i="1" s="1"/>
  <c r="S872" i="1"/>
  <c r="S876" i="1"/>
  <c r="AJ876" i="1" s="1"/>
  <c r="AI876" i="1" s="1"/>
  <c r="AH876" i="1" s="1"/>
  <c r="S989" i="1"/>
  <c r="AJ989" i="1" s="1"/>
  <c r="AI989" i="1" s="1"/>
  <c r="AH989" i="1" s="1"/>
  <c r="S1323" i="1"/>
  <c r="AJ1323" i="1" s="1"/>
  <c r="AI1323" i="1" s="1"/>
  <c r="AH1323" i="1" s="1"/>
  <c r="S1611" i="1"/>
  <c r="S1619" i="1"/>
  <c r="AJ1619" i="1" s="1"/>
  <c r="AI1619" i="1" s="1"/>
  <c r="AH1619" i="1" s="1"/>
  <c r="P1654" i="1"/>
  <c r="K1655" i="1" s="1"/>
  <c r="AN1655" i="1" s="1"/>
  <c r="S1710" i="1"/>
  <c r="AJ1710" i="1" s="1"/>
  <c r="AI1710" i="1" s="1"/>
  <c r="AH1710" i="1" s="1"/>
  <c r="S1719" i="1"/>
  <c r="AJ1719" i="1" s="1"/>
  <c r="AI1719" i="1" s="1"/>
  <c r="AH1719" i="1" s="1"/>
  <c r="S1731" i="1"/>
  <c r="AJ1731" i="1" s="1"/>
  <c r="AI1731" i="1" s="1"/>
  <c r="S1733" i="1"/>
  <c r="AC1733" i="1" s="1"/>
  <c r="AB1733" i="1" s="1"/>
  <c r="AA1733" i="1" s="1"/>
  <c r="S1735" i="1"/>
  <c r="AC1735" i="1" s="1"/>
  <c r="AB1735" i="1" s="1"/>
  <c r="AA1735" i="1" s="1"/>
  <c r="S1780" i="1"/>
  <c r="S1783" i="1"/>
  <c r="AC1783" i="1" s="1"/>
  <c r="AB1783" i="1" s="1"/>
  <c r="AA1783" i="1" s="1"/>
  <c r="S1789" i="1"/>
  <c r="AJ1789" i="1" s="1"/>
  <c r="AI1789" i="1" s="1"/>
  <c r="AH1789" i="1" s="1"/>
  <c r="V1798" i="1"/>
  <c r="W1798" i="1" s="1"/>
  <c r="AJ1798" i="1"/>
  <c r="AI1798" i="1" s="1"/>
  <c r="AH1798" i="1" s="1"/>
  <c r="S1826" i="1"/>
  <c r="AJ1826" i="1" s="1"/>
  <c r="AI1826" i="1" s="1"/>
  <c r="S1829" i="1"/>
  <c r="AC1829" i="1" s="1"/>
  <c r="AB1829" i="1" s="1"/>
  <c r="AA1829" i="1" s="1"/>
  <c r="S1831" i="1"/>
  <c r="S1839" i="1"/>
  <c r="AJ1839" i="1" s="1"/>
  <c r="AI1839" i="1" s="1"/>
  <c r="AH1839" i="1" s="1"/>
  <c r="S2058" i="1"/>
  <c r="V2058" i="1" s="1"/>
  <c r="W2058" i="1" s="1"/>
  <c r="AH2105" i="1"/>
  <c r="AJ1288" i="1"/>
  <c r="AI1288" i="1" s="1"/>
  <c r="AH1288" i="1" s="1"/>
  <c r="S236" i="1"/>
  <c r="AC236" i="1" s="1"/>
  <c r="AB236" i="1" s="1"/>
  <c r="AA236" i="1" s="1"/>
  <c r="S243" i="1"/>
  <c r="AJ243" i="1" s="1"/>
  <c r="AI243" i="1" s="1"/>
  <c r="AH243" i="1" s="1"/>
  <c r="S270" i="1"/>
  <c r="V270" i="1" s="1"/>
  <c r="W270" i="1" s="1"/>
  <c r="S418" i="1"/>
  <c r="AC418" i="1" s="1"/>
  <c r="AB418" i="1" s="1"/>
  <c r="AA418" i="1" s="1"/>
  <c r="S439" i="1"/>
  <c r="AJ439" i="1" s="1"/>
  <c r="AI439" i="1" s="1"/>
  <c r="S481" i="1"/>
  <c r="AJ481" i="1" s="1"/>
  <c r="AI481" i="1" s="1"/>
  <c r="AH481" i="1" s="1"/>
  <c r="S486" i="1"/>
  <c r="AC486" i="1" s="1"/>
  <c r="AB486" i="1" s="1"/>
  <c r="AA486" i="1" s="1"/>
  <c r="L668" i="1"/>
  <c r="J690" i="1" s="1"/>
  <c r="S702" i="1"/>
  <c r="V702" i="1" s="1"/>
  <c r="W702" i="1" s="1"/>
  <c r="L764" i="1"/>
  <c r="J786" i="1" s="1"/>
  <c r="S949" i="1"/>
  <c r="AJ949" i="1" s="1"/>
  <c r="AI949" i="1" s="1"/>
  <c r="AH949" i="1" s="1"/>
  <c r="L1438" i="1"/>
  <c r="J1460" i="1" s="1"/>
  <c r="S1539" i="1"/>
  <c r="AC1539" i="1" s="1"/>
  <c r="AB1539" i="1" s="1"/>
  <c r="S1552" i="1"/>
  <c r="V1552" i="1" s="1"/>
  <c r="W1552" i="1" s="1"/>
  <c r="S1610" i="1"/>
  <c r="AC1610" i="1" s="1"/>
  <c r="AB1610" i="1" s="1"/>
  <c r="AA1610" i="1" s="1"/>
  <c r="S1614" i="1"/>
  <c r="AJ1614" i="1" s="1"/>
  <c r="AI1614" i="1" s="1"/>
  <c r="AH1614" i="1" s="1"/>
  <c r="S1622" i="1"/>
  <c r="AJ1622" i="1" s="1"/>
  <c r="AI1622" i="1" s="1"/>
  <c r="AH1622" i="1" s="1"/>
  <c r="L1633" i="1"/>
  <c r="J1655" i="1" s="1"/>
  <c r="S1644" i="1"/>
  <c r="V1644" i="1" s="1"/>
  <c r="W1644" i="1" s="1"/>
  <c r="S1709" i="1"/>
  <c r="AC1709" i="1" s="1"/>
  <c r="AB1709" i="1" s="1"/>
  <c r="AA1709" i="1" s="1"/>
  <c r="S1718" i="1"/>
  <c r="AJ1718" i="1" s="1"/>
  <c r="AI1718" i="1" s="1"/>
  <c r="AH1718" i="1" s="1"/>
  <c r="S1782" i="1"/>
  <c r="V1782" i="1" s="1"/>
  <c r="W1782" i="1" s="1"/>
  <c r="S1788" i="1"/>
  <c r="V1788" i="1" s="1"/>
  <c r="W1788" i="1" s="1"/>
  <c r="S1797" i="1"/>
  <c r="AJ1797" i="1" s="1"/>
  <c r="AI1797" i="1" s="1"/>
  <c r="AH1797" i="1" s="1"/>
  <c r="S1834" i="1"/>
  <c r="S1838" i="1"/>
  <c r="AC1838" i="1" s="1"/>
  <c r="AB1838" i="1" s="1"/>
  <c r="AA1838" i="1" s="1"/>
  <c r="S1841" i="1"/>
  <c r="AC1841" i="1" s="1"/>
  <c r="AB1841" i="1" s="1"/>
  <c r="AA1841" i="1" s="1"/>
  <c r="S2008" i="1"/>
  <c r="V2008" i="1" s="1"/>
  <c r="W2008" i="1" s="1"/>
  <c r="S2049" i="1"/>
  <c r="S2054" i="1"/>
  <c r="AJ2054" i="1" s="1"/>
  <c r="AI2054" i="1" s="1"/>
  <c r="AH2054" i="1" s="1"/>
  <c r="AH2099" i="1"/>
  <c r="AI2109" i="1"/>
  <c r="AH2109" i="1" s="1"/>
  <c r="AJ309" i="1"/>
  <c r="AI309" i="1" s="1"/>
  <c r="AC309" i="1"/>
  <c r="AB309" i="1" s="1"/>
  <c r="AA309" i="1" s="1"/>
  <c r="S148" i="1"/>
  <c r="AC148" i="1" s="1"/>
  <c r="AB148" i="1" s="1"/>
  <c r="AA148" i="1" s="1"/>
  <c r="S156" i="1"/>
  <c r="AJ156" i="1" s="1"/>
  <c r="AI156" i="1" s="1"/>
  <c r="AH156" i="1" s="1"/>
  <c r="S159" i="1"/>
  <c r="AC159" i="1" s="1"/>
  <c r="AB159" i="1" s="1"/>
  <c r="S291" i="1"/>
  <c r="AJ291" i="1" s="1"/>
  <c r="AI291" i="1" s="1"/>
  <c r="AH291" i="1" s="1"/>
  <c r="S1669" i="1"/>
  <c r="AJ1669" i="1" s="1"/>
  <c r="AI1669" i="1" s="1"/>
  <c r="AH1669" i="1" s="1"/>
  <c r="S1661" i="1"/>
  <c r="AJ1661" i="1" s="1"/>
  <c r="AI1661" i="1" s="1"/>
  <c r="AH1661" i="1" s="1"/>
  <c r="S1664" i="1"/>
  <c r="AC1664" i="1" s="1"/>
  <c r="AB1664" i="1" s="1"/>
  <c r="S1660" i="1"/>
  <c r="AC1660" i="1" s="1"/>
  <c r="AB1660" i="1" s="1"/>
  <c r="AA1660" i="1" s="1"/>
  <c r="L1657" i="1"/>
  <c r="J1679" i="1" s="1"/>
  <c r="S1668" i="1"/>
  <c r="AC1668" i="1" s="1"/>
  <c r="AB1668" i="1" s="1"/>
  <c r="AA1668" i="1" s="1"/>
  <c r="L19" i="1"/>
  <c r="J41" i="1" s="1"/>
  <c r="S20" i="1"/>
  <c r="V20" i="1" s="1"/>
  <c r="W20" i="1" s="1"/>
  <c r="S38" i="1"/>
  <c r="S139" i="1"/>
  <c r="S140" i="1"/>
  <c r="AJ140" i="1" s="1"/>
  <c r="AI140" i="1" s="1"/>
  <c r="AH140" i="1" s="1"/>
  <c r="S142" i="1"/>
  <c r="AJ142" i="1" s="1"/>
  <c r="AI142" i="1" s="1"/>
  <c r="AH142" i="1" s="1"/>
  <c r="S147" i="1"/>
  <c r="AC147" i="1" s="1"/>
  <c r="AB147" i="1" s="1"/>
  <c r="AA147" i="1" s="1"/>
  <c r="S150" i="1"/>
  <c r="AJ150" i="1" s="1"/>
  <c r="AI150" i="1" s="1"/>
  <c r="AH150" i="1" s="1"/>
  <c r="S155" i="1"/>
  <c r="J209" i="1"/>
  <c r="S214" i="1"/>
  <c r="AC214" i="1" s="1"/>
  <c r="AB214" i="1" s="1"/>
  <c r="AA214" i="1" s="1"/>
  <c r="S254" i="1"/>
  <c r="AC254" i="1" s="1"/>
  <c r="AB254" i="1" s="1"/>
  <c r="AA254" i="1" s="1"/>
  <c r="L260" i="1"/>
  <c r="J282" i="1" s="1"/>
  <c r="S264" i="1"/>
  <c r="AC264" i="1" s="1"/>
  <c r="AB264" i="1" s="1"/>
  <c r="AA264" i="1" s="1"/>
  <c r="S279" i="1"/>
  <c r="V279" i="1" s="1"/>
  <c r="W279" i="1" s="1"/>
  <c r="S284" i="1"/>
  <c r="AJ284" i="1" s="1"/>
  <c r="AI284" i="1" s="1"/>
  <c r="AH284" i="1" s="1"/>
  <c r="S293" i="1"/>
  <c r="AC293" i="1" s="1"/>
  <c r="AB293" i="1" s="1"/>
  <c r="AA293" i="1" s="1"/>
  <c r="S308" i="1"/>
  <c r="AC308" i="1" s="1"/>
  <c r="AB308" i="1" s="1"/>
  <c r="AA308" i="1" s="1"/>
  <c r="S311" i="1"/>
  <c r="V311" i="1" s="1"/>
  <c r="W311" i="1" s="1"/>
  <c r="S324" i="1"/>
  <c r="AC324" i="1" s="1"/>
  <c r="AB324" i="1" s="1"/>
  <c r="AA324" i="1" s="1"/>
  <c r="S348" i="1"/>
  <c r="AC348" i="1" s="1"/>
  <c r="AB348" i="1" s="1"/>
  <c r="AA348" i="1" s="1"/>
  <c r="S358" i="1"/>
  <c r="AJ358" i="1" s="1"/>
  <c r="AI358" i="1" s="1"/>
  <c r="AH358" i="1" s="1"/>
  <c r="S369" i="1"/>
  <c r="S375" i="1"/>
  <c r="L428" i="1"/>
  <c r="J450" i="1" s="1"/>
  <c r="S432" i="1"/>
  <c r="AC432" i="1" s="1"/>
  <c r="AB432" i="1" s="1"/>
  <c r="AA432" i="1" s="1"/>
  <c r="S438" i="1"/>
  <c r="V438" i="1" s="1"/>
  <c r="W438" i="1" s="1"/>
  <c r="S448" i="1"/>
  <c r="AJ448" i="1" s="1"/>
  <c r="AI448" i="1" s="1"/>
  <c r="AH448" i="1" s="1"/>
  <c r="L452" i="1"/>
  <c r="J474" i="1" s="1"/>
  <c r="S453" i="1"/>
  <c r="S454" i="1"/>
  <c r="AJ454" i="1" s="1"/>
  <c r="AI454" i="1" s="1"/>
  <c r="AH454" i="1" s="1"/>
  <c r="S460" i="1"/>
  <c r="S464" i="1"/>
  <c r="AJ464" i="1" s="1"/>
  <c r="AI464" i="1" s="1"/>
  <c r="AH464" i="1" s="1"/>
  <c r="S468" i="1"/>
  <c r="AJ468" i="1" s="1"/>
  <c r="S482" i="1"/>
  <c r="S487" i="1"/>
  <c r="AJ487" i="1" s="1"/>
  <c r="AI487" i="1" s="1"/>
  <c r="AH487" i="1" s="1"/>
  <c r="S564" i="1"/>
  <c r="AJ564" i="1" s="1"/>
  <c r="AI564" i="1" s="1"/>
  <c r="AH564" i="1" s="1"/>
  <c r="S559" i="1"/>
  <c r="AJ559" i="1" s="1"/>
  <c r="AI559" i="1" s="1"/>
  <c r="AH559" i="1" s="1"/>
  <c r="S555" i="1"/>
  <c r="S554" i="1"/>
  <c r="S548" i="1"/>
  <c r="S567" i="1"/>
  <c r="AJ567" i="1" s="1"/>
  <c r="AI567" i="1" s="1"/>
  <c r="S562" i="1"/>
  <c r="S552" i="1"/>
  <c r="AC552" i="1" s="1"/>
  <c r="AB552" i="1" s="1"/>
  <c r="AA552" i="1" s="1"/>
  <c r="L548" i="1"/>
  <c r="J570" i="1" s="1"/>
  <c r="S553" i="1"/>
  <c r="AJ553" i="1" s="1"/>
  <c r="AI553" i="1" s="1"/>
  <c r="AH553" i="1" s="1"/>
  <c r="S566" i="1"/>
  <c r="AJ566" i="1" s="1"/>
  <c r="AI566" i="1" s="1"/>
  <c r="AH566" i="1" s="1"/>
  <c r="S1073" i="1"/>
  <c r="S1054" i="1"/>
  <c r="AJ1054" i="1" s="1"/>
  <c r="AI1054" i="1" s="1"/>
  <c r="AH1054" i="1" s="1"/>
  <c r="S1137" i="1"/>
  <c r="AC1137" i="1" s="1"/>
  <c r="AB1137" i="1" s="1"/>
  <c r="AA1137" i="1" s="1"/>
  <c r="S1130" i="1"/>
  <c r="V1130" i="1" s="1"/>
  <c r="W1130" i="1" s="1"/>
  <c r="S1126" i="1"/>
  <c r="AC1126" i="1" s="1"/>
  <c r="AB1126" i="1" s="1"/>
  <c r="S1144" i="1"/>
  <c r="AJ1144" i="1" s="1"/>
  <c r="AI1144" i="1" s="1"/>
  <c r="AH1144" i="1" s="1"/>
  <c r="S1145" i="1"/>
  <c r="AJ1145" i="1" s="1"/>
  <c r="AI1145" i="1" s="1"/>
  <c r="AH1145" i="1" s="1"/>
  <c r="S1386" i="1"/>
  <c r="S1385" i="1"/>
  <c r="AC1385" i="1" s="1"/>
  <c r="AB1385" i="1" s="1"/>
  <c r="S1384" i="1"/>
  <c r="AC1384" i="1" s="1"/>
  <c r="AB1384" i="1" s="1"/>
  <c r="AA1384" i="1" s="1"/>
  <c r="S1372" i="1"/>
  <c r="AC1372" i="1" s="1"/>
  <c r="AB1372" i="1" s="1"/>
  <c r="AA1372" i="1" s="1"/>
  <c r="S1371" i="1"/>
  <c r="S1370" i="1"/>
  <c r="S1367" i="1"/>
  <c r="S1383" i="1"/>
  <c r="AC1383" i="1" s="1"/>
  <c r="AB1383" i="1" s="1"/>
  <c r="AA1383" i="1" s="1"/>
  <c r="S1381" i="1"/>
  <c r="V1381" i="1" s="1"/>
  <c r="W1381" i="1" s="1"/>
  <c r="S1373" i="1"/>
  <c r="AJ1373" i="1" s="1"/>
  <c r="S1366" i="1"/>
  <c r="S1382" i="1"/>
  <c r="S1374" i="1"/>
  <c r="V1374" i="1" s="1"/>
  <c r="W1374" i="1" s="1"/>
  <c r="S1369" i="1"/>
  <c r="AJ1369" i="1" s="1"/>
  <c r="AI1369" i="1" s="1"/>
  <c r="AH1369" i="1" s="1"/>
  <c r="L1366" i="1"/>
  <c r="J1388" i="1" s="1"/>
  <c r="S1375" i="1"/>
  <c r="S1376" i="1"/>
  <c r="V1422" i="1"/>
  <c r="W1422" i="1" s="1"/>
  <c r="AC1578" i="1"/>
  <c r="AB1578" i="1" s="1"/>
  <c r="AA1578" i="1" s="1"/>
  <c r="V1578" i="1"/>
  <c r="W1578" i="1" s="1"/>
  <c r="AJ1578" i="1"/>
  <c r="AI1578" i="1" s="1"/>
  <c r="AH1578" i="1" s="1"/>
  <c r="S145" i="1"/>
  <c r="S153" i="1"/>
  <c r="AC153" i="1" s="1"/>
  <c r="AB153" i="1" s="1"/>
  <c r="AA153" i="1" s="1"/>
  <c r="S304" i="1"/>
  <c r="AC304" i="1" s="1"/>
  <c r="AB304" i="1" s="1"/>
  <c r="AA304" i="1" s="1"/>
  <c r="S320" i="1"/>
  <c r="AC320" i="1" s="1"/>
  <c r="AB320" i="1" s="1"/>
  <c r="AA320" i="1" s="1"/>
  <c r="S1408" i="1"/>
  <c r="S1400" i="1"/>
  <c r="AC1400" i="1" s="1"/>
  <c r="AB1400" i="1" s="1"/>
  <c r="AA1400" i="1" s="1"/>
  <c r="S1404" i="1"/>
  <c r="AJ1404" i="1" s="1"/>
  <c r="AI1404" i="1" s="1"/>
  <c r="AH1404" i="1" s="1"/>
  <c r="S1409" i="1"/>
  <c r="AC1409" i="1" s="1"/>
  <c r="AB1409" i="1" s="1"/>
  <c r="AA1409" i="1" s="1"/>
  <c r="S1390" i="1"/>
  <c r="S141" i="1"/>
  <c r="AC141" i="1" s="1"/>
  <c r="AB141" i="1" s="1"/>
  <c r="AA141" i="1" s="1"/>
  <c r="S144" i="1"/>
  <c r="V144" i="1" s="1"/>
  <c r="W144" i="1" s="1"/>
  <c r="S149" i="1"/>
  <c r="AC149" i="1" s="1"/>
  <c r="AB149" i="1" s="1"/>
  <c r="AA149" i="1" s="1"/>
  <c r="S152" i="1"/>
  <c r="AJ152" i="1" s="1"/>
  <c r="AI152" i="1" s="1"/>
  <c r="AH152" i="1" s="1"/>
  <c r="S157" i="1"/>
  <c r="AC157" i="1" s="1"/>
  <c r="AB157" i="1" s="1"/>
  <c r="AA157" i="1" s="1"/>
  <c r="S229" i="1"/>
  <c r="V229" i="1" s="1"/>
  <c r="W229" i="1" s="1"/>
  <c r="S275" i="1"/>
  <c r="V275" i="1" s="1"/>
  <c r="W275" i="1" s="1"/>
  <c r="S278" i="1"/>
  <c r="AC278" i="1" s="1"/>
  <c r="AB278" i="1" s="1"/>
  <c r="AA278" i="1" s="1"/>
  <c r="S286" i="1"/>
  <c r="AC286" i="1" s="1"/>
  <c r="AB286" i="1" s="1"/>
  <c r="AA286" i="1" s="1"/>
  <c r="S288" i="1"/>
  <c r="AJ288" i="1" s="1"/>
  <c r="AI288" i="1" s="1"/>
  <c r="AH288" i="1" s="1"/>
  <c r="S299" i="1"/>
  <c r="AJ299" i="1" s="1"/>
  <c r="AI299" i="1" s="1"/>
  <c r="AH299" i="1" s="1"/>
  <c r="S323" i="1"/>
  <c r="AC323" i="1" s="1"/>
  <c r="AB323" i="1" s="1"/>
  <c r="AA323" i="1" s="1"/>
  <c r="S362" i="1"/>
  <c r="S367" i="1"/>
  <c r="AJ367" i="1" s="1"/>
  <c r="AI367" i="1" s="1"/>
  <c r="AH367" i="1" s="1"/>
  <c r="S374" i="1"/>
  <c r="S442" i="1"/>
  <c r="S455" i="1"/>
  <c r="S459" i="1"/>
  <c r="AJ459" i="1" s="1"/>
  <c r="AI459" i="1" s="1"/>
  <c r="AH459" i="1" s="1"/>
  <c r="S461" i="1"/>
  <c r="AJ461" i="1" s="1"/>
  <c r="AI461" i="1" s="1"/>
  <c r="AH461" i="1" s="1"/>
  <c r="S541" i="1"/>
  <c r="V541" i="1" s="1"/>
  <c r="W541" i="1" s="1"/>
  <c r="S531" i="1"/>
  <c r="AJ531" i="1" s="1"/>
  <c r="AI531" i="1" s="1"/>
  <c r="AH531" i="1" s="1"/>
  <c r="S852" i="1"/>
  <c r="V852" i="1" s="1"/>
  <c r="W852" i="1" s="1"/>
  <c r="S842" i="1"/>
  <c r="AJ842" i="1" s="1"/>
  <c r="AI842" i="1" s="1"/>
  <c r="AH842" i="1" s="1"/>
  <c r="S841" i="1"/>
  <c r="S840" i="1"/>
  <c r="AJ840" i="1" s="1"/>
  <c r="AI840" i="1" s="1"/>
  <c r="AH840" i="1" s="1"/>
  <c r="L836" i="1"/>
  <c r="J858" i="1" s="1"/>
  <c r="S848" i="1"/>
  <c r="AC848" i="1" s="1"/>
  <c r="AB848" i="1" s="1"/>
  <c r="AA848" i="1" s="1"/>
  <c r="S843" i="1"/>
  <c r="S849" i="1"/>
  <c r="AJ849" i="1" s="1"/>
  <c r="AI849" i="1" s="1"/>
  <c r="AH849" i="1" s="1"/>
  <c r="S844" i="1"/>
  <c r="AJ844" i="1" s="1"/>
  <c r="AI844" i="1" s="1"/>
  <c r="AH844" i="1" s="1"/>
  <c r="S836" i="1"/>
  <c r="S839" i="1"/>
  <c r="AJ839" i="1" s="1"/>
  <c r="AI839" i="1" s="1"/>
  <c r="AH839" i="1" s="1"/>
  <c r="AJ1309" i="1"/>
  <c r="AI1309" i="1" s="1"/>
  <c r="AH1309" i="1" s="1"/>
  <c r="AC1309" i="1"/>
  <c r="AB1309" i="1" s="1"/>
  <c r="AA1309" i="1" s="1"/>
  <c r="S285" i="1"/>
  <c r="V285" i="1" s="1"/>
  <c r="W285" i="1" s="1"/>
  <c r="AC845" i="1"/>
  <c r="AB845" i="1" s="1"/>
  <c r="AA845" i="1" s="1"/>
  <c r="V845" i="1"/>
  <c r="W845" i="1" s="1"/>
  <c r="S19" i="1"/>
  <c r="L139" i="1"/>
  <c r="J161" i="1" s="1"/>
  <c r="S143" i="1"/>
  <c r="AC143" i="1" s="1"/>
  <c r="AB143" i="1" s="1"/>
  <c r="AA143" i="1" s="1"/>
  <c r="S146" i="1"/>
  <c r="S151" i="1"/>
  <c r="S154" i="1"/>
  <c r="AJ154" i="1" s="1"/>
  <c r="AI154" i="1" s="1"/>
  <c r="AH154" i="1" s="1"/>
  <c r="S227" i="1"/>
  <c r="AC227" i="1" s="1"/>
  <c r="AB227" i="1" s="1"/>
  <c r="AA227" i="1" s="1"/>
  <c r="S237" i="1"/>
  <c r="S241" i="1"/>
  <c r="AC241" i="1" s="1"/>
  <c r="AB241" i="1" s="1"/>
  <c r="S262" i="1"/>
  <c r="S266" i="1"/>
  <c r="AJ266" i="1" s="1"/>
  <c r="AI266" i="1" s="1"/>
  <c r="AH266" i="1" s="1"/>
  <c r="S274" i="1"/>
  <c r="V274" i="1" s="1"/>
  <c r="W274" i="1" s="1"/>
  <c r="L284" i="1"/>
  <c r="J306" i="1" s="1"/>
  <c r="S296" i="1"/>
  <c r="V296" i="1" s="1"/>
  <c r="W296" i="1" s="1"/>
  <c r="S301" i="1"/>
  <c r="AC301" i="1" s="1"/>
  <c r="AB301" i="1" s="1"/>
  <c r="AA301" i="1" s="1"/>
  <c r="S302" i="1"/>
  <c r="S356" i="1"/>
  <c r="S361" i="1"/>
  <c r="AJ361" i="1" s="1"/>
  <c r="AI361" i="1" s="1"/>
  <c r="AH361" i="1" s="1"/>
  <c r="S363" i="1"/>
  <c r="AJ363" i="1" s="1"/>
  <c r="AI363" i="1" s="1"/>
  <c r="AH363" i="1" s="1"/>
  <c r="S366" i="1"/>
  <c r="AC366" i="1" s="1"/>
  <c r="AB366" i="1" s="1"/>
  <c r="AA366" i="1" s="1"/>
  <c r="S411" i="1"/>
  <c r="AJ411" i="1" s="1"/>
  <c r="AI411" i="1" s="1"/>
  <c r="AH411" i="1" s="1"/>
  <c r="S423" i="1"/>
  <c r="AJ423" i="1" s="1"/>
  <c r="AI423" i="1" s="1"/>
  <c r="AH423" i="1" s="1"/>
  <c r="S428" i="1"/>
  <c r="S434" i="1"/>
  <c r="AC434" i="1" s="1"/>
  <c r="AB434" i="1" s="1"/>
  <c r="AA434" i="1" s="1"/>
  <c r="S441" i="1"/>
  <c r="AJ441" i="1" s="1"/>
  <c r="AI441" i="1" s="1"/>
  <c r="AH441" i="1" s="1"/>
  <c r="S443" i="1"/>
  <c r="AJ443" i="1" s="1"/>
  <c r="AI443" i="1" s="1"/>
  <c r="AH443" i="1" s="1"/>
  <c r="S446" i="1"/>
  <c r="AC446" i="1" s="1"/>
  <c r="AB446" i="1" s="1"/>
  <c r="AA446" i="1" s="1"/>
  <c r="S458" i="1"/>
  <c r="V458" i="1" s="1"/>
  <c r="W458" i="1" s="1"/>
  <c r="S524" i="1"/>
  <c r="S530" i="1"/>
  <c r="AC530" i="1" s="1"/>
  <c r="AB530" i="1" s="1"/>
  <c r="AA530" i="1" s="1"/>
  <c r="S846" i="1"/>
  <c r="S850" i="1"/>
  <c r="AJ850" i="1" s="1"/>
  <c r="AI850" i="1" s="1"/>
  <c r="AH850" i="1" s="1"/>
  <c r="AJ1338" i="1"/>
  <c r="AI1338" i="1" s="1"/>
  <c r="AH1338" i="1" s="1"/>
  <c r="V1338" i="1"/>
  <c r="W1338" i="1" s="1"/>
  <c r="AC1338" i="1"/>
  <c r="AB1338" i="1" s="1"/>
  <c r="AA1338" i="1" s="1"/>
  <c r="S1394" i="1"/>
  <c r="V1394" i="1" s="1"/>
  <c r="W1394" i="1" s="1"/>
  <c r="S1396" i="1"/>
  <c r="AC1396" i="1" s="1"/>
  <c r="AB1396" i="1" s="1"/>
  <c r="AA1396" i="1" s="1"/>
  <c r="S671" i="1"/>
  <c r="AJ671" i="1" s="1"/>
  <c r="AI671" i="1" s="1"/>
  <c r="AH671" i="1" s="1"/>
  <c r="S675" i="1"/>
  <c r="S681" i="1"/>
  <c r="V681" i="1" s="1"/>
  <c r="W681" i="1" s="1"/>
  <c r="S695" i="1"/>
  <c r="S696" i="1"/>
  <c r="AC696" i="1" s="1"/>
  <c r="AB696" i="1" s="1"/>
  <c r="AA696" i="1" s="1"/>
  <c r="S697" i="1"/>
  <c r="AC697" i="1" s="1"/>
  <c r="AB697" i="1" s="1"/>
  <c r="AA697" i="1" s="1"/>
  <c r="L740" i="1"/>
  <c r="J762" i="1" s="1"/>
  <c r="S744" i="1"/>
  <c r="S745" i="1"/>
  <c r="AC745" i="1" s="1"/>
  <c r="AB745" i="1" s="1"/>
  <c r="AA745" i="1" s="1"/>
  <c r="S751" i="1"/>
  <c r="AJ751" i="1" s="1"/>
  <c r="AI751" i="1" s="1"/>
  <c r="AH751" i="1" s="1"/>
  <c r="S865" i="1"/>
  <c r="AC865" i="1" s="1"/>
  <c r="AB865" i="1" s="1"/>
  <c r="AA865" i="1" s="1"/>
  <c r="S877" i="1"/>
  <c r="AJ877" i="1" s="1"/>
  <c r="AI877" i="1" s="1"/>
  <c r="AH877" i="1" s="1"/>
  <c r="L932" i="1"/>
  <c r="J954" i="1" s="1"/>
  <c r="S943" i="1"/>
  <c r="AJ943" i="1" s="1"/>
  <c r="AI943" i="1" s="1"/>
  <c r="AH943" i="1" s="1"/>
  <c r="S1049" i="1"/>
  <c r="AC1049" i="1" s="1"/>
  <c r="AB1049" i="1" s="1"/>
  <c r="AA1049" i="1" s="1"/>
  <c r="S1078" i="1"/>
  <c r="AJ1078" i="1" s="1"/>
  <c r="AI1078" i="1" s="1"/>
  <c r="AH1078" i="1" s="1"/>
  <c r="V1288" i="1"/>
  <c r="W1288" i="1" s="1"/>
  <c r="S1311" i="1"/>
  <c r="S1314" i="1"/>
  <c r="AC1314" i="1" s="1"/>
  <c r="AB1314" i="1" s="1"/>
  <c r="AA1314" i="1" s="1"/>
  <c r="S1295" i="1"/>
  <c r="AC1295" i="1" s="1"/>
  <c r="AB1295" i="1" s="1"/>
  <c r="AA1295" i="1" s="1"/>
  <c r="S1297" i="1"/>
  <c r="AC1297" i="1" s="1"/>
  <c r="AB1297" i="1" s="1"/>
  <c r="AA1297" i="1" s="1"/>
  <c r="S1298" i="1"/>
  <c r="V1298" i="1" s="1"/>
  <c r="W1298" i="1" s="1"/>
  <c r="S1299" i="1"/>
  <c r="S1302" i="1"/>
  <c r="AC1302" i="1" s="1"/>
  <c r="AB1302" i="1" s="1"/>
  <c r="AA1302" i="1" s="1"/>
  <c r="S1306" i="1"/>
  <c r="AJ1306" i="1" s="1"/>
  <c r="AI1306" i="1" s="1"/>
  <c r="AH1306" i="1" s="1"/>
  <c r="S1308" i="1"/>
  <c r="S1330" i="1"/>
  <c r="V1330" i="1" s="1"/>
  <c r="W1330" i="1" s="1"/>
  <c r="S1356" i="1"/>
  <c r="AJ1356" i="1" s="1"/>
  <c r="AI1356" i="1" s="1"/>
  <c r="AH1356" i="1" s="1"/>
  <c r="L1342" i="1"/>
  <c r="J1364" i="1" s="1"/>
  <c r="S1354" i="1"/>
  <c r="AC1354" i="1" s="1"/>
  <c r="AB1354" i="1" s="1"/>
  <c r="AA1354" i="1" s="1"/>
  <c r="S1355" i="1"/>
  <c r="AC1355" i="1" s="1"/>
  <c r="AB1355" i="1" s="1"/>
  <c r="AA1355" i="1" s="1"/>
  <c r="S1458" i="1"/>
  <c r="AC1458" i="1" s="1"/>
  <c r="AB1458" i="1" s="1"/>
  <c r="AA1458" i="1" s="1"/>
  <c r="S1454" i="1"/>
  <c r="S1452" i="1"/>
  <c r="AC1452" i="1" s="1"/>
  <c r="AB1452" i="1" s="1"/>
  <c r="AA1452" i="1" s="1"/>
  <c r="S1448" i="1"/>
  <c r="AJ1448" i="1" s="1"/>
  <c r="AI1448" i="1" s="1"/>
  <c r="AH1448" i="1" s="1"/>
  <c r="S1446" i="1"/>
  <c r="AC1446" i="1" s="1"/>
  <c r="AB1446" i="1" s="1"/>
  <c r="AA1446" i="1" s="1"/>
  <c r="S1440" i="1"/>
  <c r="AC1440" i="1" s="1"/>
  <c r="AB1440" i="1" s="1"/>
  <c r="AA1440" i="1" s="1"/>
  <c r="S1439" i="1"/>
  <c r="S1453" i="1"/>
  <c r="S1451" i="1"/>
  <c r="S1447" i="1"/>
  <c r="S1444" i="1"/>
  <c r="V1444" i="1" s="1"/>
  <c r="W1444" i="1" s="1"/>
  <c r="S1438" i="1"/>
  <c r="S1566" i="1"/>
  <c r="S1574" i="1"/>
  <c r="S743" i="1"/>
  <c r="AJ743" i="1" s="1"/>
  <c r="AI743" i="1" s="1"/>
  <c r="AH743" i="1" s="1"/>
  <c r="S1232" i="1"/>
  <c r="AC1232" i="1" s="1"/>
  <c r="AB1232" i="1" s="1"/>
  <c r="AA1232" i="1" s="1"/>
  <c r="S1294" i="1"/>
  <c r="AJ1294" i="1" s="1"/>
  <c r="AI1294" i="1" s="1"/>
  <c r="AH1294" i="1" s="1"/>
  <c r="S1307" i="1"/>
  <c r="AJ1307" i="1" s="1"/>
  <c r="AI1307" i="1" s="1"/>
  <c r="AH1307" i="1" s="1"/>
  <c r="S1332" i="1"/>
  <c r="S1318" i="1"/>
  <c r="AC1318" i="1" s="1"/>
  <c r="AB1318" i="1" s="1"/>
  <c r="AA1318" i="1" s="1"/>
  <c r="S1335" i="1"/>
  <c r="AJ1335" i="1" s="1"/>
  <c r="AI1335" i="1" s="1"/>
  <c r="AH1335" i="1" s="1"/>
  <c r="S1328" i="1"/>
  <c r="AJ1328" i="1" s="1"/>
  <c r="AI1328" i="1" s="1"/>
  <c r="AH1328" i="1" s="1"/>
  <c r="S1322" i="1"/>
  <c r="AC1322" i="1" s="1"/>
  <c r="AB1322" i="1" s="1"/>
  <c r="AA1322" i="1" s="1"/>
  <c r="S1329" i="1"/>
  <c r="V1329" i="1" s="1"/>
  <c r="W1329" i="1" s="1"/>
  <c r="S1337" i="1"/>
  <c r="V1337" i="1" s="1"/>
  <c r="W1337" i="1" s="1"/>
  <c r="S1427" i="1"/>
  <c r="S1420" i="1"/>
  <c r="AC1420" i="1" s="1"/>
  <c r="AB1420" i="1" s="1"/>
  <c r="AA1420" i="1" s="1"/>
  <c r="S1415" i="1"/>
  <c r="AJ1415" i="1" s="1"/>
  <c r="AI1415" i="1" s="1"/>
  <c r="AH1415" i="1" s="1"/>
  <c r="L1414" i="1"/>
  <c r="J1436" i="1" s="1"/>
  <c r="S1430" i="1"/>
  <c r="V1430" i="1" s="1"/>
  <c r="W1430" i="1" s="1"/>
  <c r="S1429" i="1"/>
  <c r="AC1429" i="1" s="1"/>
  <c r="AB1429" i="1" s="1"/>
  <c r="AA1429" i="1" s="1"/>
  <c r="S1416" i="1"/>
  <c r="AC1416" i="1" s="1"/>
  <c r="AB1416" i="1" s="1"/>
  <c r="AA1416" i="1" s="1"/>
  <c r="S1426" i="1"/>
  <c r="AC1426" i="1" s="1"/>
  <c r="AB1426" i="1" s="1"/>
  <c r="AA1426" i="1" s="1"/>
  <c r="S1433" i="1"/>
  <c r="AC1433" i="1" s="1"/>
  <c r="AB1433" i="1" s="1"/>
  <c r="AA1433" i="1" s="1"/>
  <c r="S1443" i="1"/>
  <c r="S1445" i="1"/>
  <c r="S1580" i="1"/>
  <c r="S1565" i="1"/>
  <c r="AC1565" i="1" s="1"/>
  <c r="AB1565" i="1" s="1"/>
  <c r="AA1565" i="1" s="1"/>
  <c r="L1560" i="1"/>
  <c r="J1582" i="1" s="1"/>
  <c r="S1575" i="1"/>
  <c r="AJ1575" i="1" s="1"/>
  <c r="AI1575" i="1" s="1"/>
  <c r="AH1575" i="1" s="1"/>
  <c r="S1573" i="1"/>
  <c r="V1573" i="1" s="1"/>
  <c r="W1573" i="1" s="1"/>
  <c r="S1567" i="1"/>
  <c r="AC1567" i="1" s="1"/>
  <c r="AB1567" i="1" s="1"/>
  <c r="AA1567" i="1" s="1"/>
  <c r="S1561" i="1"/>
  <c r="V1561" i="1" s="1"/>
  <c r="W1561" i="1" s="1"/>
  <c r="S1570" i="1"/>
  <c r="S1577" i="1"/>
  <c r="V1577" i="1" s="1"/>
  <c r="W1577" i="1" s="1"/>
  <c r="S1601" i="1"/>
  <c r="S1604" i="1"/>
  <c r="V1604" i="1" s="1"/>
  <c r="W1604" i="1" s="1"/>
  <c r="S1599" i="1"/>
  <c r="AC1599" i="1" s="1"/>
  <c r="AB1599" i="1" s="1"/>
  <c r="AA1599" i="1" s="1"/>
  <c r="S1598" i="1"/>
  <c r="S1597" i="1"/>
  <c r="AC1597" i="1" s="1"/>
  <c r="AB1597" i="1" s="1"/>
  <c r="AA1597" i="1" s="1"/>
  <c r="S1591" i="1"/>
  <c r="AJ1591" i="1" s="1"/>
  <c r="AI1591" i="1" s="1"/>
  <c r="AH1591" i="1" s="1"/>
  <c r="S1590" i="1"/>
  <c r="AJ1590" i="1" s="1"/>
  <c r="AI1590" i="1" s="1"/>
  <c r="AH1590" i="1" s="1"/>
  <c r="S1588" i="1"/>
  <c r="L1584" i="1"/>
  <c r="J1606" i="1" s="1"/>
  <c r="S1603" i="1"/>
  <c r="S1595" i="1"/>
  <c r="S1592" i="1"/>
  <c r="AJ1592" i="1" s="1"/>
  <c r="AI1592" i="1" s="1"/>
  <c r="AH1592" i="1" s="1"/>
  <c r="S1585" i="1"/>
  <c r="AJ1585" i="1" s="1"/>
  <c r="AI1585" i="1" s="1"/>
  <c r="AH1585" i="1" s="1"/>
  <c r="S1602" i="1"/>
  <c r="S677" i="1"/>
  <c r="AC677" i="1" s="1"/>
  <c r="AB677" i="1" s="1"/>
  <c r="AA677" i="1" s="1"/>
  <c r="S678" i="1"/>
  <c r="AC678" i="1" s="1"/>
  <c r="AB678" i="1" s="1"/>
  <c r="AA678" i="1" s="1"/>
  <c r="S740" i="1"/>
  <c r="AC740" i="1" s="1"/>
  <c r="AB740" i="1" s="1"/>
  <c r="AA740" i="1" s="1"/>
  <c r="S861" i="1"/>
  <c r="AJ861" i="1" s="1"/>
  <c r="AI861" i="1" s="1"/>
  <c r="AH861" i="1" s="1"/>
  <c r="S867" i="1"/>
  <c r="AJ867" i="1" s="1"/>
  <c r="AI867" i="1" s="1"/>
  <c r="AH867" i="1" s="1"/>
  <c r="S932" i="1"/>
  <c r="S950" i="1"/>
  <c r="S990" i="1"/>
  <c r="V990" i="1" s="1"/>
  <c r="W990" i="1" s="1"/>
  <c r="S1224" i="1"/>
  <c r="AJ1224" i="1" s="1"/>
  <c r="AI1224" i="1" s="1"/>
  <c r="AH1224" i="1" s="1"/>
  <c r="S1241" i="1"/>
  <c r="AJ1241" i="1" s="1"/>
  <c r="AI1241" i="1" s="1"/>
  <c r="AH1241" i="1" s="1"/>
  <c r="S1301" i="1"/>
  <c r="S1321" i="1"/>
  <c r="S1336" i="1"/>
  <c r="AC1336" i="1" s="1"/>
  <c r="AB1336" i="1" s="1"/>
  <c r="AA1336" i="1" s="1"/>
  <c r="S1442" i="1"/>
  <c r="AC1442" i="1" s="1"/>
  <c r="AB1442" i="1" s="1"/>
  <c r="AA1442" i="1" s="1"/>
  <c r="S1455" i="1"/>
  <c r="AC1455" i="1" s="1"/>
  <c r="AB1455" i="1" s="1"/>
  <c r="AA1455" i="1" s="1"/>
  <c r="S1560" i="1"/>
  <c r="S1569" i="1"/>
  <c r="AJ1569" i="1" s="1"/>
  <c r="AI1569" i="1" s="1"/>
  <c r="AH1569" i="1" s="1"/>
  <c r="S1576" i="1"/>
  <c r="AC1576" i="1" s="1"/>
  <c r="AB1576" i="1" s="1"/>
  <c r="AA1576" i="1" s="1"/>
  <c r="S1584" i="1"/>
  <c r="S1594" i="1"/>
  <c r="AC1594" i="1" s="1"/>
  <c r="AB1594" i="1" s="1"/>
  <c r="AA1594" i="1" s="1"/>
  <c r="S1596" i="1"/>
  <c r="AJ1596" i="1" s="1"/>
  <c r="AI1596" i="1" s="1"/>
  <c r="AH1596" i="1" s="1"/>
  <c r="AC1695" i="1"/>
  <c r="AB1695" i="1" s="1"/>
  <c r="AA1695" i="1" s="1"/>
  <c r="S1465" i="1"/>
  <c r="V1465" i="1" s="1"/>
  <c r="W1465" i="1" s="1"/>
  <c r="S1474" i="1"/>
  <c r="AJ1474" i="1" s="1"/>
  <c r="AI1474" i="1" s="1"/>
  <c r="AH1474" i="1" s="1"/>
  <c r="S1512" i="1"/>
  <c r="AC1512" i="1" s="1"/>
  <c r="AB1512" i="1" s="1"/>
  <c r="AA1512" i="1" s="1"/>
  <c r="S1535" i="1"/>
  <c r="V1535" i="1" s="1"/>
  <c r="W1535" i="1" s="1"/>
  <c r="S1537" i="1"/>
  <c r="AC1537" i="1" s="1"/>
  <c r="AB1537" i="1" s="1"/>
  <c r="AA1537" i="1" s="1"/>
  <c r="S1543" i="1"/>
  <c r="AC1543" i="1" s="1"/>
  <c r="AB1543" i="1" s="1"/>
  <c r="AA1543" i="1" s="1"/>
  <c r="S1548" i="1"/>
  <c r="AJ1548" i="1" s="1"/>
  <c r="AI1548" i="1" s="1"/>
  <c r="AH1548" i="1" s="1"/>
  <c r="S1554" i="1"/>
  <c r="AJ1554" i="1" s="1"/>
  <c r="AI1554" i="1" s="1"/>
  <c r="AH1554" i="1" s="1"/>
  <c r="S1697" i="1"/>
  <c r="AC1697" i="1" s="1"/>
  <c r="AB1697" i="1" s="1"/>
  <c r="AA1697" i="1" s="1"/>
  <c r="S1693" i="1"/>
  <c r="AC1693" i="1" s="1"/>
  <c r="AB1693" i="1" s="1"/>
  <c r="AA1693" i="1" s="1"/>
  <c r="S1685" i="1"/>
  <c r="AC1685" i="1" s="1"/>
  <c r="AB1685" i="1" s="1"/>
  <c r="AA1685" i="1" s="1"/>
  <c r="S1682" i="1"/>
  <c r="V1682" i="1" s="1"/>
  <c r="W1682" i="1" s="1"/>
  <c r="L1681" i="1"/>
  <c r="J1703" i="1" s="1"/>
  <c r="S1692" i="1"/>
  <c r="S1689" i="1"/>
  <c r="AC1689" i="1" s="1"/>
  <c r="AB1689" i="1" s="1"/>
  <c r="AA1689" i="1" s="1"/>
  <c r="S1688" i="1"/>
  <c r="V1688" i="1" s="1"/>
  <c r="W1688" i="1" s="1"/>
  <c r="S1687" i="1"/>
  <c r="AC1687" i="1" s="1"/>
  <c r="AB1687" i="1" s="1"/>
  <c r="AA1687" i="1" s="1"/>
  <c r="S1686" i="1"/>
  <c r="AC1686" i="1" s="1"/>
  <c r="AB1686" i="1" s="1"/>
  <c r="AA1686" i="1" s="1"/>
  <c r="AJ1749" i="1"/>
  <c r="AI1749" i="1" s="1"/>
  <c r="AH1749" i="1" s="1"/>
  <c r="V1749" i="1"/>
  <c r="W1749" i="1" s="1"/>
  <c r="S1462" i="1"/>
  <c r="AC1462" i="1" s="1"/>
  <c r="AB1462" i="1" s="1"/>
  <c r="AA1462" i="1" s="1"/>
  <c r="S1463" i="1"/>
  <c r="AJ1463" i="1" s="1"/>
  <c r="AI1463" i="1" s="1"/>
  <c r="AH1463" i="1" s="1"/>
  <c r="S1534" i="1"/>
  <c r="AC1534" i="1" s="1"/>
  <c r="AB1534" i="1" s="1"/>
  <c r="AA1534" i="1" s="1"/>
  <c r="S1545" i="1"/>
  <c r="AC1545" i="1" s="1"/>
  <c r="AB1545" i="1" s="1"/>
  <c r="AA1545" i="1" s="1"/>
  <c r="S1546" i="1"/>
  <c r="S1701" i="1"/>
  <c r="AJ1701" i="1" s="1"/>
  <c r="AI1701" i="1" s="1"/>
  <c r="AH1701" i="1" s="1"/>
  <c r="S1746" i="1"/>
  <c r="AJ1746" i="1" s="1"/>
  <c r="AI1746" i="1" s="1"/>
  <c r="AH1746" i="1" s="1"/>
  <c r="S1743" i="1"/>
  <c r="AC1743" i="1" s="1"/>
  <c r="AB1743" i="1" s="1"/>
  <c r="AA1743" i="1" s="1"/>
  <c r="S1741" i="1"/>
  <c r="V1741" i="1" s="1"/>
  <c r="W1741" i="1" s="1"/>
  <c r="S1739" i="1"/>
  <c r="AJ1739" i="1" s="1"/>
  <c r="AI1739" i="1" s="1"/>
  <c r="AH1739" i="1" s="1"/>
  <c r="S1744" i="1"/>
  <c r="AC1744" i="1" s="1"/>
  <c r="AB1744" i="1" s="1"/>
  <c r="AA1744" i="1" s="1"/>
  <c r="S1730" i="1"/>
  <c r="AJ1730" i="1" s="1"/>
  <c r="AI1730" i="1" s="1"/>
  <c r="AH1730" i="1" s="1"/>
  <c r="S1729" i="1"/>
  <c r="AC1729" i="1" s="1"/>
  <c r="AB1729" i="1" s="1"/>
  <c r="AA1729" i="1" s="1"/>
  <c r="S1738" i="1"/>
  <c r="S1748" i="1"/>
  <c r="AJ1833" i="1"/>
  <c r="AI1833" i="1" s="1"/>
  <c r="AH1833" i="1" s="1"/>
  <c r="AC1833" i="1"/>
  <c r="AB1833" i="1" s="1"/>
  <c r="AA1833" i="1" s="1"/>
  <c r="L2021" i="1"/>
  <c r="J2043" i="1" s="1"/>
  <c r="S2035" i="1"/>
  <c r="AC2035" i="1" s="1"/>
  <c r="AB2035" i="1" s="1"/>
  <c r="AA2035" i="1" s="1"/>
  <c r="AA1798" i="1"/>
  <c r="S2010" i="1"/>
  <c r="AJ2010" i="1" s="1"/>
  <c r="AI2010" i="1" s="1"/>
  <c r="AH2010" i="1" s="1"/>
  <c r="AI2110" i="1"/>
  <c r="AH2110" i="1" s="1"/>
  <c r="AI2115" i="1"/>
  <c r="AH2115" i="1" s="1"/>
  <c r="AJ1624" i="1"/>
  <c r="AI1624" i="1" s="1"/>
  <c r="AH1624" i="1" s="1"/>
  <c r="S1711" i="1"/>
  <c r="AJ1711" i="1" s="1"/>
  <c r="AI1711" i="1" s="1"/>
  <c r="AH1711" i="1" s="1"/>
  <c r="S1712" i="1"/>
  <c r="V1712" i="1" s="1"/>
  <c r="W1712" i="1" s="1"/>
  <c r="S1714" i="1"/>
  <c r="V1714" i="1" s="1"/>
  <c r="W1714" i="1" s="1"/>
  <c r="S1715" i="1"/>
  <c r="AC1715" i="1" s="1"/>
  <c r="AB1715" i="1" s="1"/>
  <c r="AA1715" i="1" s="1"/>
  <c r="S1724" i="1"/>
  <c r="V1724" i="1" s="1"/>
  <c r="W1724" i="1" s="1"/>
  <c r="S1779" i="1"/>
  <c r="AJ1779" i="1" s="1"/>
  <c r="AI1779" i="1" s="1"/>
  <c r="AH1779" i="1" s="1"/>
  <c r="S1793" i="1"/>
  <c r="AJ1793" i="1" s="1"/>
  <c r="AI1793" i="1" s="1"/>
  <c r="AH1793" i="1" s="1"/>
  <c r="S1794" i="1"/>
  <c r="S1804" i="1"/>
  <c r="V1804" i="1" s="1"/>
  <c r="W1804" i="1" s="1"/>
  <c r="S1806" i="1"/>
  <c r="AJ1806" i="1" s="1"/>
  <c r="AI1806" i="1" s="1"/>
  <c r="AH1806" i="1" s="1"/>
  <c r="S1807" i="1"/>
  <c r="V1807" i="1" s="1"/>
  <c r="W1807" i="1" s="1"/>
  <c r="S1820" i="1"/>
  <c r="AC1820" i="1" s="1"/>
  <c r="AB1820" i="1" s="1"/>
  <c r="AA1820" i="1" s="1"/>
  <c r="S1992" i="1"/>
  <c r="AJ1992" i="1" s="1"/>
  <c r="AI1992" i="1" s="1"/>
  <c r="AH1992" i="1" s="1"/>
  <c r="S2002" i="1"/>
  <c r="AJ2002" i="1" s="1"/>
  <c r="AI2002" i="1" s="1"/>
  <c r="AH2002" i="1" s="1"/>
  <c r="S2006" i="1"/>
  <c r="AJ2006" i="1" s="1"/>
  <c r="AI2006" i="1" s="1"/>
  <c r="AH2006" i="1" s="1"/>
  <c r="S2051" i="1"/>
  <c r="V2051" i="1" s="1"/>
  <c r="W2051" i="1" s="1"/>
  <c r="S2052" i="1"/>
  <c r="AJ2052" i="1" s="1"/>
  <c r="AI2052" i="1" s="1"/>
  <c r="AH2052" i="1" s="1"/>
  <c r="S2056" i="1"/>
  <c r="S2060" i="1"/>
  <c r="S2063" i="1"/>
  <c r="V2063" i="1" s="1"/>
  <c r="W2063" i="1" s="1"/>
  <c r="S2064" i="1"/>
  <c r="AC2064" i="1" s="1"/>
  <c r="AB2064" i="1" s="1"/>
  <c r="AA2064" i="1" s="1"/>
  <c r="S2065" i="1"/>
  <c r="V2065" i="1" s="1"/>
  <c r="W2065" i="1" s="1"/>
  <c r="AH2103" i="1"/>
  <c r="AI2113" i="1"/>
  <c r="AH2113" i="1" s="1"/>
  <c r="AA1624" i="1"/>
  <c r="S1612" i="1"/>
  <c r="AJ1612" i="1" s="1"/>
  <c r="AI1612" i="1" s="1"/>
  <c r="AH1612" i="1" s="1"/>
  <c r="V1624" i="1"/>
  <c r="W1624" i="1" s="1"/>
  <c r="S1627" i="1"/>
  <c r="S1705" i="1"/>
  <c r="AC1705" i="1" s="1"/>
  <c r="AB1705" i="1" s="1"/>
  <c r="AA1705" i="1" s="1"/>
  <c r="S1778" i="1"/>
  <c r="AC1778" i="1" s="1"/>
  <c r="AB1778" i="1" s="1"/>
  <c r="AA1778" i="1" s="1"/>
  <c r="S1784" i="1"/>
  <c r="V1784" i="1" s="1"/>
  <c r="W1784" i="1" s="1"/>
  <c r="S1785" i="1"/>
  <c r="AJ1785" i="1" s="1"/>
  <c r="AI1785" i="1" s="1"/>
  <c r="AH1785" i="1" s="1"/>
  <c r="S1795" i="1"/>
  <c r="V1795" i="1" s="1"/>
  <c r="W1795" i="1" s="1"/>
  <c r="S1796" i="1"/>
  <c r="S1813" i="1"/>
  <c r="V1813" i="1" s="1"/>
  <c r="W1813" i="1" s="1"/>
  <c r="S1815" i="1"/>
  <c r="AJ1815" i="1" s="1"/>
  <c r="AI1815" i="1" s="1"/>
  <c r="AH1815" i="1" s="1"/>
  <c r="S1832" i="1"/>
  <c r="AC1832" i="1" s="1"/>
  <c r="AB1832" i="1" s="1"/>
  <c r="AA1832" i="1" s="1"/>
  <c r="S2015" i="1"/>
  <c r="AC2015" i="1" s="1"/>
  <c r="AB2015" i="1" s="1"/>
  <c r="AA2015" i="1" s="1"/>
  <c r="S2045" i="1"/>
  <c r="S2050" i="1"/>
  <c r="AJ2050" i="1" s="1"/>
  <c r="AI2050" i="1" s="1"/>
  <c r="AH2050" i="1" s="1"/>
  <c r="S2055" i="1"/>
  <c r="AJ2055" i="1" s="1"/>
  <c r="AI2055" i="1" s="1"/>
  <c r="AH2055" i="1" s="1"/>
  <c r="S2057" i="1"/>
  <c r="S2059" i="1"/>
  <c r="AJ2059" i="1" s="1"/>
  <c r="AI2059" i="1" s="1"/>
  <c r="AH2059" i="1" s="1"/>
  <c r="S2062" i="1"/>
  <c r="AJ2062" i="1" s="1"/>
  <c r="AI2062" i="1" s="1"/>
  <c r="AH2062" i="1" s="1"/>
  <c r="AH2107" i="1"/>
  <c r="AI2111" i="1"/>
  <c r="AH2111" i="1" s="1"/>
  <c r="AI2114" i="1"/>
  <c r="AH2114" i="1" s="1"/>
  <c r="AM64" i="1"/>
  <c r="AC135" i="1"/>
  <c r="AB135" i="1" s="1"/>
  <c r="AA135" i="1" s="1"/>
  <c r="AJ135" i="1"/>
  <c r="AI135" i="1" s="1"/>
  <c r="AH135" i="1" s="1"/>
  <c r="V135" i="1"/>
  <c r="W135" i="1" s="1"/>
  <c r="AC231" i="1"/>
  <c r="AB231" i="1" s="1"/>
  <c r="AA231" i="1" s="1"/>
  <c r="AJ231" i="1"/>
  <c r="AI231" i="1" s="1"/>
  <c r="AH231" i="1" s="1"/>
  <c r="V231" i="1"/>
  <c r="W231" i="1" s="1"/>
  <c r="AC249" i="1"/>
  <c r="AB249" i="1" s="1"/>
  <c r="AA249" i="1" s="1"/>
  <c r="V249" i="1"/>
  <c r="W249" i="1" s="1"/>
  <c r="AJ249" i="1"/>
  <c r="AI249" i="1" s="1"/>
  <c r="AH249" i="1" s="1"/>
  <c r="K113" i="1"/>
  <c r="AN113" i="1" s="1"/>
  <c r="AM112" i="1"/>
  <c r="AJ158" i="1"/>
  <c r="AI158" i="1" s="1"/>
  <c r="AH158" i="1" s="1"/>
  <c r="V158" i="1"/>
  <c r="W158" i="1" s="1"/>
  <c r="AC158" i="1"/>
  <c r="AB158" i="1" s="1"/>
  <c r="AA158" i="1" s="1"/>
  <c r="AC183" i="1"/>
  <c r="AB183" i="1" s="1"/>
  <c r="AA183" i="1" s="1"/>
  <c r="AJ183" i="1"/>
  <c r="AI183" i="1" s="1"/>
  <c r="AH183" i="1" s="1"/>
  <c r="V183" i="1"/>
  <c r="W183" i="1" s="1"/>
  <c r="S110" i="1"/>
  <c r="S120" i="1"/>
  <c r="S124" i="1"/>
  <c r="P136" i="1"/>
  <c r="S166" i="1"/>
  <c r="S170" i="1"/>
  <c r="S172" i="1"/>
  <c r="S176" i="1"/>
  <c r="S178" i="1"/>
  <c r="S180" i="1"/>
  <c r="AJ253" i="1"/>
  <c r="AI253" i="1" s="1"/>
  <c r="AH253" i="1" s="1"/>
  <c r="AJ300" i="1"/>
  <c r="AI300" i="1" s="1"/>
  <c r="AH300" i="1" s="1"/>
  <c r="AJ496" i="1"/>
  <c r="AI496" i="1" s="1"/>
  <c r="AH496" i="1" s="1"/>
  <c r="AC496" i="1"/>
  <c r="AB496" i="1" s="1"/>
  <c r="AA496" i="1" s="1"/>
  <c r="V496" i="1"/>
  <c r="W496" i="1" s="1"/>
  <c r="AC661" i="1"/>
  <c r="AB661" i="1" s="1"/>
  <c r="AA661" i="1" s="1"/>
  <c r="AJ661" i="1"/>
  <c r="AI661" i="1" s="1"/>
  <c r="AH661" i="1" s="1"/>
  <c r="V661" i="1"/>
  <c r="W661" i="1" s="1"/>
  <c r="AJ799" i="1"/>
  <c r="AI799" i="1" s="1"/>
  <c r="AH799" i="1" s="1"/>
  <c r="V799" i="1"/>
  <c r="W799" i="1" s="1"/>
  <c r="AC799" i="1"/>
  <c r="AB799" i="1" s="1"/>
  <c r="AA799" i="1" s="1"/>
  <c r="S62" i="1"/>
  <c r="S122" i="1"/>
  <c r="S128" i="1"/>
  <c r="S130" i="1"/>
  <c r="S132" i="1"/>
  <c r="S168" i="1"/>
  <c r="S174" i="1"/>
  <c r="S21" i="1"/>
  <c r="S23" i="1"/>
  <c r="S25" i="1"/>
  <c r="S27" i="1"/>
  <c r="S29" i="1"/>
  <c r="S31" i="1"/>
  <c r="S33" i="1"/>
  <c r="S35" i="1"/>
  <c r="S37" i="1"/>
  <c r="S43" i="1"/>
  <c r="S45" i="1"/>
  <c r="S47" i="1"/>
  <c r="S49" i="1"/>
  <c r="S51" i="1"/>
  <c r="S53" i="1"/>
  <c r="S55" i="1"/>
  <c r="S57" i="1"/>
  <c r="S59" i="1"/>
  <c r="S61" i="1"/>
  <c r="S67" i="1"/>
  <c r="Z68" i="1"/>
  <c r="S69" i="1"/>
  <c r="S71" i="1"/>
  <c r="S73" i="1"/>
  <c r="S75" i="1"/>
  <c r="S77" i="1"/>
  <c r="S79" i="1"/>
  <c r="S81" i="1"/>
  <c r="S83" i="1"/>
  <c r="S85" i="1"/>
  <c r="S91" i="1"/>
  <c r="S93" i="1"/>
  <c r="S95" i="1"/>
  <c r="S97" i="1"/>
  <c r="S99" i="1"/>
  <c r="S101" i="1"/>
  <c r="S103" i="1"/>
  <c r="S105" i="1"/>
  <c r="S107" i="1"/>
  <c r="S109" i="1"/>
  <c r="S115" i="1"/>
  <c r="Z116" i="1"/>
  <c r="S134" i="1"/>
  <c r="S163" i="1"/>
  <c r="Z164" i="1"/>
  <c r="S182" i="1"/>
  <c r="S187" i="1"/>
  <c r="S188" i="1"/>
  <c r="S190" i="1"/>
  <c r="S192" i="1"/>
  <c r="S194" i="1"/>
  <c r="S196" i="1"/>
  <c r="S198" i="1"/>
  <c r="S200" i="1"/>
  <c r="S202" i="1"/>
  <c r="S204" i="1"/>
  <c r="S206" i="1"/>
  <c r="L212" i="1"/>
  <c r="J234" i="1" s="1"/>
  <c r="S224" i="1"/>
  <c r="S251" i="1"/>
  <c r="AJ280" i="1"/>
  <c r="AI280" i="1" s="1"/>
  <c r="AH280" i="1" s="1"/>
  <c r="V300" i="1"/>
  <c r="W300" i="1" s="1"/>
  <c r="AC351" i="1"/>
  <c r="AB351" i="1" s="1"/>
  <c r="AA351" i="1" s="1"/>
  <c r="V351" i="1"/>
  <c r="W351" i="1" s="1"/>
  <c r="AC447" i="1"/>
  <c r="AB447" i="1" s="1"/>
  <c r="AA447" i="1" s="1"/>
  <c r="AJ447" i="1"/>
  <c r="AI447" i="1" s="1"/>
  <c r="AH447" i="1" s="1"/>
  <c r="V447" i="1"/>
  <c r="W447" i="1" s="1"/>
  <c r="AC471" i="1"/>
  <c r="AB471" i="1" s="1"/>
  <c r="AA471" i="1" s="1"/>
  <c r="AJ471" i="1"/>
  <c r="AI471" i="1" s="1"/>
  <c r="AH471" i="1" s="1"/>
  <c r="V471" i="1"/>
  <c r="W471" i="1" s="1"/>
  <c r="AC520" i="1"/>
  <c r="AB520" i="1" s="1"/>
  <c r="AA520" i="1" s="1"/>
  <c r="AJ520" i="1"/>
  <c r="AI520" i="1" s="1"/>
  <c r="AH520" i="1" s="1"/>
  <c r="V520" i="1"/>
  <c r="W520" i="1" s="1"/>
  <c r="AC638" i="1"/>
  <c r="AB638" i="1" s="1"/>
  <c r="AA638" i="1" s="1"/>
  <c r="AJ638" i="1"/>
  <c r="AI638" i="1" s="1"/>
  <c r="AH638" i="1" s="1"/>
  <c r="V638" i="1"/>
  <c r="W638" i="1" s="1"/>
  <c r="AC686" i="1"/>
  <c r="AB686" i="1" s="1"/>
  <c r="AA686" i="1" s="1"/>
  <c r="AJ686" i="1"/>
  <c r="AI686" i="1" s="1"/>
  <c r="AH686" i="1" s="1"/>
  <c r="V686" i="1"/>
  <c r="W686" i="1" s="1"/>
  <c r="AC706" i="1"/>
  <c r="AB706" i="1" s="1"/>
  <c r="AA706" i="1" s="1"/>
  <c r="AJ706" i="1"/>
  <c r="AI706" i="1" s="1"/>
  <c r="AH706" i="1" s="1"/>
  <c r="V706" i="1"/>
  <c r="W706" i="1" s="1"/>
  <c r="AC733" i="1"/>
  <c r="AB733" i="1" s="1"/>
  <c r="AA733" i="1" s="1"/>
  <c r="AJ733" i="1"/>
  <c r="AI733" i="1" s="1"/>
  <c r="AH733" i="1" s="1"/>
  <c r="V733" i="1"/>
  <c r="W733" i="1" s="1"/>
  <c r="AJ771" i="1"/>
  <c r="AI771" i="1" s="1"/>
  <c r="AH771" i="1" s="1"/>
  <c r="V771" i="1"/>
  <c r="W771" i="1" s="1"/>
  <c r="AC771" i="1"/>
  <c r="AB771" i="1" s="1"/>
  <c r="AA771" i="1" s="1"/>
  <c r="S87" i="1"/>
  <c r="Z92" i="1"/>
  <c r="S117" i="1"/>
  <c r="S119" i="1"/>
  <c r="S121" i="1"/>
  <c r="S123" i="1"/>
  <c r="S125" i="1"/>
  <c r="S127" i="1"/>
  <c r="S129" i="1"/>
  <c r="S131" i="1"/>
  <c r="S133" i="1"/>
  <c r="S165" i="1"/>
  <c r="S167" i="1"/>
  <c r="S169" i="1"/>
  <c r="S171" i="1"/>
  <c r="S173" i="1"/>
  <c r="S175" i="1"/>
  <c r="S177" i="1"/>
  <c r="S179" i="1"/>
  <c r="S181" i="1"/>
  <c r="S189" i="1"/>
  <c r="S191" i="1"/>
  <c r="S193" i="1"/>
  <c r="S195" i="1"/>
  <c r="S197" i="1"/>
  <c r="S199" i="1"/>
  <c r="S201" i="1"/>
  <c r="S203" i="1"/>
  <c r="S205" i="1"/>
  <c r="S207" i="1"/>
  <c r="S216" i="1"/>
  <c r="S218" i="1"/>
  <c r="S220" i="1"/>
  <c r="S222" i="1"/>
  <c r="S232" i="1"/>
  <c r="S242" i="1"/>
  <c r="S245" i="1"/>
  <c r="AC253" i="1"/>
  <c r="AB253" i="1" s="1"/>
  <c r="AA253" i="1" s="1"/>
  <c r="V280" i="1"/>
  <c r="W280" i="1" s="1"/>
  <c r="AA300" i="1"/>
  <c r="V309" i="1"/>
  <c r="W309" i="1" s="1"/>
  <c r="AC400" i="1"/>
  <c r="AB400" i="1" s="1"/>
  <c r="AA400" i="1" s="1"/>
  <c r="AJ400" i="1"/>
  <c r="AI400" i="1" s="1"/>
  <c r="AH400" i="1" s="1"/>
  <c r="V400" i="1"/>
  <c r="W400" i="1" s="1"/>
  <c r="AC421" i="1"/>
  <c r="AB421" i="1" s="1"/>
  <c r="AA421" i="1" s="1"/>
  <c r="AJ421" i="1"/>
  <c r="AI421" i="1" s="1"/>
  <c r="AH421" i="1" s="1"/>
  <c r="V421" i="1"/>
  <c r="W421" i="1" s="1"/>
  <c r="AJ616" i="1"/>
  <c r="AI616" i="1" s="1"/>
  <c r="AH616" i="1" s="1"/>
  <c r="AC616" i="1"/>
  <c r="AB616" i="1" s="1"/>
  <c r="AA616" i="1" s="1"/>
  <c r="V616" i="1"/>
  <c r="W616" i="1" s="1"/>
  <c r="V760" i="1"/>
  <c r="W760" i="1" s="1"/>
  <c r="AC760" i="1"/>
  <c r="AB760" i="1" s="1"/>
  <c r="AA760" i="1" s="1"/>
  <c r="AJ760" i="1"/>
  <c r="AI760" i="1" s="1"/>
  <c r="AH760" i="1" s="1"/>
  <c r="S86" i="1"/>
  <c r="S118" i="1"/>
  <c r="S126" i="1"/>
  <c r="S22" i="1"/>
  <c r="S24" i="1"/>
  <c r="S26" i="1"/>
  <c r="S28" i="1"/>
  <c r="S30" i="1"/>
  <c r="S32" i="1"/>
  <c r="S34" i="1"/>
  <c r="S36" i="1"/>
  <c r="L43" i="1"/>
  <c r="J65" i="1" s="1"/>
  <c r="S44" i="1"/>
  <c r="S46" i="1"/>
  <c r="S48" i="1"/>
  <c r="S50" i="1"/>
  <c r="S52" i="1"/>
  <c r="S54" i="1"/>
  <c r="S56" i="1"/>
  <c r="S58" i="1"/>
  <c r="S60" i="1"/>
  <c r="S63" i="1"/>
  <c r="L67" i="1"/>
  <c r="J89" i="1" s="1"/>
  <c r="S68" i="1"/>
  <c r="S70" i="1"/>
  <c r="S72" i="1"/>
  <c r="S74" i="1"/>
  <c r="S76" i="1"/>
  <c r="S78" i="1"/>
  <c r="S80" i="1"/>
  <c r="S82" i="1"/>
  <c r="S84" i="1"/>
  <c r="L91" i="1"/>
  <c r="J113" i="1" s="1"/>
  <c r="S92" i="1"/>
  <c r="S94" i="1"/>
  <c r="S96" i="1"/>
  <c r="S98" i="1"/>
  <c r="S100" i="1"/>
  <c r="S102" i="1"/>
  <c r="S104" i="1"/>
  <c r="S106" i="1"/>
  <c r="S108" i="1"/>
  <c r="S111" i="1"/>
  <c r="L115" i="1"/>
  <c r="J137" i="1" s="1"/>
  <c r="S116" i="1"/>
  <c r="Z140" i="1"/>
  <c r="L163" i="1"/>
  <c r="J185" i="1" s="1"/>
  <c r="S164" i="1"/>
  <c r="S212" i="1"/>
  <c r="S213" i="1"/>
  <c r="S215" i="1"/>
  <c r="S217" i="1"/>
  <c r="S219" i="1"/>
  <c r="S221" i="1"/>
  <c r="S223" i="1"/>
  <c r="S226" i="1"/>
  <c r="S228" i="1"/>
  <c r="S230" i="1"/>
  <c r="S255" i="1"/>
  <c r="S252" i="1"/>
  <c r="S239" i="1"/>
  <c r="S244" i="1"/>
  <c r="S247" i="1"/>
  <c r="S250" i="1"/>
  <c r="S256" i="1"/>
  <c r="S327" i="1"/>
  <c r="S326" i="1"/>
  <c r="W324" i="1"/>
  <c r="S318" i="1"/>
  <c r="S317" i="1"/>
  <c r="S312" i="1"/>
  <c r="S310" i="1"/>
  <c r="L308" i="1"/>
  <c r="J330" i="1" s="1"/>
  <c r="S328" i="1"/>
  <c r="S322" i="1"/>
  <c r="S321" i="1"/>
  <c r="S319" i="1"/>
  <c r="S314" i="1"/>
  <c r="S313" i="1"/>
  <c r="S325" i="1"/>
  <c r="S315" i="1"/>
  <c r="S316" i="1"/>
  <c r="AJ351" i="1"/>
  <c r="AI351" i="1" s="1"/>
  <c r="AH351" i="1" s="1"/>
  <c r="AJ376" i="1"/>
  <c r="AI376" i="1" s="1"/>
  <c r="AH376" i="1" s="1"/>
  <c r="AC376" i="1"/>
  <c r="AB376" i="1" s="1"/>
  <c r="AA376" i="1" s="1"/>
  <c r="V376" i="1"/>
  <c r="W376" i="1" s="1"/>
  <c r="AC590" i="1"/>
  <c r="AB590" i="1" s="1"/>
  <c r="AA590" i="1" s="1"/>
  <c r="AJ590" i="1"/>
  <c r="AI590" i="1" s="1"/>
  <c r="AH590" i="1" s="1"/>
  <c r="V590" i="1"/>
  <c r="W590" i="1" s="1"/>
  <c r="S333" i="1"/>
  <c r="S335" i="1"/>
  <c r="S340" i="1"/>
  <c r="S341" i="1"/>
  <c r="S349" i="1"/>
  <c r="AC370" i="1"/>
  <c r="AB370" i="1" s="1"/>
  <c r="AA370" i="1" s="1"/>
  <c r="L380" i="1"/>
  <c r="J402" i="1" s="1"/>
  <c r="S384" i="1"/>
  <c r="S385" i="1"/>
  <c r="S390" i="1"/>
  <c r="S391" i="1"/>
  <c r="S393" i="1"/>
  <c r="S398" i="1"/>
  <c r="S399" i="1"/>
  <c r="S405" i="1"/>
  <c r="S407" i="1"/>
  <c r="S412" i="1"/>
  <c r="S416" i="1"/>
  <c r="S419" i="1"/>
  <c r="S424" i="1"/>
  <c r="AC430" i="1"/>
  <c r="AB430" i="1" s="1"/>
  <c r="AA430" i="1" s="1"/>
  <c r="S469" i="1"/>
  <c r="S490" i="1"/>
  <c r="S495" i="1"/>
  <c r="L500" i="1"/>
  <c r="J522" i="1" s="1"/>
  <c r="S504" i="1"/>
  <c r="S505" i="1"/>
  <c r="S510" i="1"/>
  <c r="S511" i="1"/>
  <c r="S513" i="1"/>
  <c r="S518" i="1"/>
  <c r="S519" i="1"/>
  <c r="S525" i="1"/>
  <c r="S527" i="1"/>
  <c r="S532" i="1"/>
  <c r="S536" i="1"/>
  <c r="S539" i="1"/>
  <c r="S544" i="1"/>
  <c r="AJ558" i="1"/>
  <c r="AI558" i="1" s="1"/>
  <c r="AH558" i="1" s="1"/>
  <c r="AC561" i="1"/>
  <c r="AB561" i="1" s="1"/>
  <c r="AA561" i="1" s="1"/>
  <c r="S568" i="1"/>
  <c r="L572" i="1"/>
  <c r="J594" i="1" s="1"/>
  <c r="S576" i="1"/>
  <c r="S577" i="1"/>
  <c r="S582" i="1"/>
  <c r="S584" i="1"/>
  <c r="S587" i="1"/>
  <c r="S592" i="1"/>
  <c r="L596" i="1"/>
  <c r="J618" i="1" s="1"/>
  <c r="S610" i="1"/>
  <c r="S615" i="1"/>
  <c r="L620" i="1"/>
  <c r="J642" i="1" s="1"/>
  <c r="S624" i="1"/>
  <c r="S625" i="1"/>
  <c r="S630" i="1"/>
  <c r="S632" i="1"/>
  <c r="S635" i="1"/>
  <c r="S640" i="1"/>
  <c r="L644" i="1"/>
  <c r="J666" i="1" s="1"/>
  <c r="S649" i="1"/>
  <c r="S658" i="1"/>
  <c r="S659" i="1"/>
  <c r="S683" i="1"/>
  <c r="S684" i="1"/>
  <c r="S711" i="1"/>
  <c r="S712" i="1"/>
  <c r="L716" i="1"/>
  <c r="J738" i="1" s="1"/>
  <c r="S721" i="1"/>
  <c r="S730" i="1"/>
  <c r="S731" i="1"/>
  <c r="S757" i="1"/>
  <c r="S759" i="1"/>
  <c r="S766" i="1"/>
  <c r="S770" i="1"/>
  <c r="S780" i="1"/>
  <c r="S781" i="1"/>
  <c r="S789" i="1"/>
  <c r="S790" i="1"/>
  <c r="S381" i="1"/>
  <c r="S383" i="1"/>
  <c r="S388" i="1"/>
  <c r="S389" i="1"/>
  <c r="S397" i="1"/>
  <c r="AC478" i="1"/>
  <c r="AB478" i="1" s="1"/>
  <c r="AA478" i="1" s="1"/>
  <c r="S494" i="1"/>
  <c r="S501" i="1"/>
  <c r="S503" i="1"/>
  <c r="S508" i="1"/>
  <c r="S509" i="1"/>
  <c r="S517" i="1"/>
  <c r="S538" i="1"/>
  <c r="S543" i="1"/>
  <c r="AC558" i="1"/>
  <c r="AB558" i="1" s="1"/>
  <c r="AA558" i="1" s="1"/>
  <c r="S573" i="1"/>
  <c r="S575" i="1"/>
  <c r="S579" i="1"/>
  <c r="S586" i="1"/>
  <c r="S589" i="1"/>
  <c r="S599" i="1"/>
  <c r="S606" i="1"/>
  <c r="S607" i="1"/>
  <c r="S609" i="1"/>
  <c r="S614" i="1"/>
  <c r="S621" i="1"/>
  <c r="S623" i="1"/>
  <c r="S627" i="1"/>
  <c r="S634" i="1"/>
  <c r="S637" i="1"/>
  <c r="S647" i="1"/>
  <c r="S648" i="1"/>
  <c r="S654" i="1"/>
  <c r="S655" i="1"/>
  <c r="S657" i="1"/>
  <c r="S664" i="1"/>
  <c r="S709" i="1"/>
  <c r="S710" i="1"/>
  <c r="S719" i="1"/>
  <c r="S720" i="1"/>
  <c r="S726" i="1"/>
  <c r="S727" i="1"/>
  <c r="S729" i="1"/>
  <c r="S736" i="1"/>
  <c r="S808" i="1"/>
  <c r="S807" i="1"/>
  <c r="S800" i="1"/>
  <c r="S794" i="1"/>
  <c r="L788" i="1"/>
  <c r="J810" i="1" s="1"/>
  <c r="S802" i="1"/>
  <c r="S801" i="1"/>
  <c r="S796" i="1"/>
  <c r="S795" i="1"/>
  <c r="S791" i="1"/>
  <c r="S804" i="1"/>
  <c r="S803" i="1"/>
  <c r="S798" i="1"/>
  <c r="S797" i="1"/>
  <c r="S793" i="1"/>
  <c r="S792" i="1"/>
  <c r="S788" i="1"/>
  <c r="S806" i="1"/>
  <c r="AC879" i="1"/>
  <c r="AB879" i="1" s="1"/>
  <c r="AA879" i="1" s="1"/>
  <c r="AJ879" i="1"/>
  <c r="AI879" i="1" s="1"/>
  <c r="AH879" i="1" s="1"/>
  <c r="V879" i="1"/>
  <c r="W879" i="1" s="1"/>
  <c r="AC923" i="1"/>
  <c r="AB923" i="1" s="1"/>
  <c r="AA923" i="1" s="1"/>
  <c r="AJ923" i="1"/>
  <c r="AI923" i="1" s="1"/>
  <c r="AH923" i="1" s="1"/>
  <c r="V923" i="1"/>
  <c r="W923" i="1" s="1"/>
  <c r="S261" i="1"/>
  <c r="S263" i="1"/>
  <c r="S268" i="1"/>
  <c r="S269" i="1"/>
  <c r="S277" i="1"/>
  <c r="S287" i="1"/>
  <c r="S290" i="1"/>
  <c r="S295" i="1"/>
  <c r="S298" i="1"/>
  <c r="S303" i="1"/>
  <c r="S334" i="1"/>
  <c r="S338" i="1"/>
  <c r="S346" i="1"/>
  <c r="S347" i="1"/>
  <c r="S352" i="1"/>
  <c r="L356" i="1"/>
  <c r="J378" i="1" s="1"/>
  <c r="S360" i="1"/>
  <c r="S365" i="1"/>
  <c r="S372" i="1"/>
  <c r="S373" i="1"/>
  <c r="S380" i="1"/>
  <c r="S387" i="1"/>
  <c r="S392" i="1"/>
  <c r="S396" i="1"/>
  <c r="S406" i="1"/>
  <c r="S409" i="1"/>
  <c r="S414" i="1"/>
  <c r="S415" i="1"/>
  <c r="S417" i="1"/>
  <c r="S422" i="1"/>
  <c r="S429" i="1"/>
  <c r="S431" i="1"/>
  <c r="S436" i="1"/>
  <c r="S437" i="1"/>
  <c r="S445" i="1"/>
  <c r="S456" i="1"/>
  <c r="S457" i="1"/>
  <c r="S466" i="1"/>
  <c r="S467" i="1"/>
  <c r="S472" i="1"/>
  <c r="L476" i="1"/>
  <c r="J498" i="1" s="1"/>
  <c r="S480" i="1"/>
  <c r="AJ483" i="1"/>
  <c r="AI483" i="1" s="1"/>
  <c r="AH483" i="1" s="1"/>
  <c r="S485" i="1"/>
  <c r="S492" i="1"/>
  <c r="S493" i="1"/>
  <c r="S500" i="1"/>
  <c r="S507" i="1"/>
  <c r="S512" i="1"/>
  <c r="S516" i="1"/>
  <c r="S526" i="1"/>
  <c r="S529" i="1"/>
  <c r="S534" i="1"/>
  <c r="S535" i="1"/>
  <c r="S537" i="1"/>
  <c r="S542" i="1"/>
  <c r="S549" i="1"/>
  <c r="S551" i="1"/>
  <c r="S556" i="1"/>
  <c r="S557" i="1"/>
  <c r="S565" i="1"/>
  <c r="S572" i="1"/>
  <c r="S578" i="1"/>
  <c r="S581" i="1"/>
  <c r="S588" i="1"/>
  <c r="S591" i="1"/>
  <c r="S596" i="1"/>
  <c r="S598" i="1"/>
  <c r="S601" i="1"/>
  <c r="S604" i="1"/>
  <c r="S605" i="1"/>
  <c r="S612" i="1"/>
  <c r="S613" i="1"/>
  <c r="S620" i="1"/>
  <c r="S626" i="1"/>
  <c r="S629" i="1"/>
  <c r="S636" i="1"/>
  <c r="S639" i="1"/>
  <c r="S644" i="1"/>
  <c r="S646" i="1"/>
  <c r="S652" i="1"/>
  <c r="S653" i="1"/>
  <c r="S662" i="1"/>
  <c r="S663" i="1"/>
  <c r="S674" i="1"/>
  <c r="S680" i="1"/>
  <c r="S687" i="1"/>
  <c r="S688" i="1"/>
  <c r="AC701" i="1"/>
  <c r="AB701" i="1" s="1"/>
  <c r="AA701" i="1" s="1"/>
  <c r="S707" i="1"/>
  <c r="S708" i="1"/>
  <c r="S716" i="1"/>
  <c r="S718" i="1"/>
  <c r="S724" i="1"/>
  <c r="S725" i="1"/>
  <c r="S734" i="1"/>
  <c r="S735" i="1"/>
  <c r="AC746" i="1"/>
  <c r="AB746" i="1" s="1"/>
  <c r="AA746" i="1" s="1"/>
  <c r="S756" i="1"/>
  <c r="S783" i="1"/>
  <c r="S782" i="1"/>
  <c r="S773" i="1"/>
  <c r="S772" i="1"/>
  <c r="S784" i="1"/>
  <c r="S777" i="1"/>
  <c r="S775" i="1"/>
  <c r="S774" i="1"/>
  <c r="S768" i="1"/>
  <c r="S767" i="1"/>
  <c r="S765" i="1"/>
  <c r="S779" i="1"/>
  <c r="S778" i="1"/>
  <c r="S805" i="1"/>
  <c r="AC904" i="1"/>
  <c r="AB904" i="1" s="1"/>
  <c r="AA904" i="1" s="1"/>
  <c r="AJ904" i="1"/>
  <c r="AI904" i="1" s="1"/>
  <c r="AH904" i="1" s="1"/>
  <c r="V904" i="1"/>
  <c r="W904" i="1" s="1"/>
  <c r="AC952" i="1"/>
  <c r="AB952" i="1" s="1"/>
  <c r="AA952" i="1" s="1"/>
  <c r="AJ952" i="1"/>
  <c r="AI952" i="1" s="1"/>
  <c r="AH952" i="1" s="1"/>
  <c r="V952" i="1"/>
  <c r="W952" i="1" s="1"/>
  <c r="AC975" i="1"/>
  <c r="AB975" i="1" s="1"/>
  <c r="AA975" i="1" s="1"/>
  <c r="AJ975" i="1"/>
  <c r="AI975" i="1" s="1"/>
  <c r="AH975" i="1" s="1"/>
  <c r="V975" i="1"/>
  <c r="W975" i="1" s="1"/>
  <c r="AJ1001" i="1"/>
  <c r="AI1001" i="1" s="1"/>
  <c r="AH1001" i="1" s="1"/>
  <c r="V1001" i="1"/>
  <c r="W1001" i="1" s="1"/>
  <c r="AC1001" i="1"/>
  <c r="AB1001" i="1" s="1"/>
  <c r="AA1001" i="1" s="1"/>
  <c r="S260" i="1"/>
  <c r="S267" i="1"/>
  <c r="S272" i="1"/>
  <c r="S276" i="1"/>
  <c r="S289" i="1"/>
  <c r="S292" i="1"/>
  <c r="S294" i="1"/>
  <c r="S297" i="1"/>
  <c r="L332" i="1"/>
  <c r="J354" i="1" s="1"/>
  <c r="S336" i="1"/>
  <c r="S337" i="1"/>
  <c r="S342" i="1"/>
  <c r="S343" i="1"/>
  <c r="S345" i="1"/>
  <c r="S350" i="1"/>
  <c r="S357" i="1"/>
  <c r="S359" i="1"/>
  <c r="S364" i="1"/>
  <c r="S368" i="1"/>
  <c r="S371" i="1"/>
  <c r="S382" i="1"/>
  <c r="S386" i="1"/>
  <c r="S394" i="1"/>
  <c r="S395" i="1"/>
  <c r="L404" i="1"/>
  <c r="J426" i="1" s="1"/>
  <c r="S408" i="1"/>
  <c r="S413" i="1"/>
  <c r="S420" i="1"/>
  <c r="S435" i="1"/>
  <c r="S440" i="1"/>
  <c r="S444" i="1"/>
  <c r="S462" i="1"/>
  <c r="S463" i="1"/>
  <c r="S465" i="1"/>
  <c r="S470" i="1"/>
  <c r="S477" i="1"/>
  <c r="S479" i="1"/>
  <c r="S484" i="1"/>
  <c r="S488" i="1"/>
  <c r="S491" i="1"/>
  <c r="S502" i="1"/>
  <c r="S506" i="1"/>
  <c r="S514" i="1"/>
  <c r="S515" i="1"/>
  <c r="L524" i="1"/>
  <c r="J546" i="1" s="1"/>
  <c r="S528" i="1"/>
  <c r="S533" i="1"/>
  <c r="S540" i="1"/>
  <c r="S560" i="1"/>
  <c r="S574" i="1"/>
  <c r="S580" i="1"/>
  <c r="S583" i="1"/>
  <c r="S585" i="1"/>
  <c r="S597" i="1"/>
  <c r="S600" i="1"/>
  <c r="S602" i="1"/>
  <c r="S603" i="1"/>
  <c r="S608" i="1"/>
  <c r="S611" i="1"/>
  <c r="S622" i="1"/>
  <c r="S628" i="1"/>
  <c r="S631" i="1"/>
  <c r="S633" i="1"/>
  <c r="S645" i="1"/>
  <c r="S650" i="1"/>
  <c r="S651" i="1"/>
  <c r="S656" i="1"/>
  <c r="S660" i="1"/>
  <c r="S669" i="1"/>
  <c r="S670" i="1"/>
  <c r="S679" i="1"/>
  <c r="S685" i="1"/>
  <c r="S693" i="1"/>
  <c r="S694" i="1"/>
  <c r="S699" i="1"/>
  <c r="S700" i="1"/>
  <c r="S705" i="1"/>
  <c r="S717" i="1"/>
  <c r="S722" i="1"/>
  <c r="S723" i="1"/>
  <c r="S728" i="1"/>
  <c r="S732" i="1"/>
  <c r="S754" i="1"/>
  <c r="S753" i="1"/>
  <c r="S748" i="1"/>
  <c r="S747" i="1"/>
  <c r="S741" i="1"/>
  <c r="S742" i="1"/>
  <c r="S750" i="1"/>
  <c r="S752" i="1"/>
  <c r="S755" i="1"/>
  <c r="S758" i="1"/>
  <c r="S764" i="1"/>
  <c r="S769" i="1"/>
  <c r="S776" i="1"/>
  <c r="AC827" i="1"/>
  <c r="AB827" i="1" s="1"/>
  <c r="AA827" i="1" s="1"/>
  <c r="AJ827" i="1"/>
  <c r="AI827" i="1" s="1"/>
  <c r="AH827" i="1" s="1"/>
  <c r="V827" i="1"/>
  <c r="W827" i="1" s="1"/>
  <c r="S815" i="1"/>
  <c r="S816" i="1"/>
  <c r="S822" i="1"/>
  <c r="S823" i="1"/>
  <c r="S825" i="1"/>
  <c r="S832" i="1"/>
  <c r="S885" i="1"/>
  <c r="S886" i="1"/>
  <c r="S895" i="1"/>
  <c r="S901" i="1"/>
  <c r="S902" i="1"/>
  <c r="S911" i="1"/>
  <c r="S912" i="1"/>
  <c r="S918" i="1"/>
  <c r="S919" i="1"/>
  <c r="S921" i="1"/>
  <c r="S928" i="1"/>
  <c r="S965" i="1"/>
  <c r="S966" i="1"/>
  <c r="S972" i="1"/>
  <c r="S973" i="1"/>
  <c r="S1019" i="1"/>
  <c r="S1018" i="1"/>
  <c r="S1012" i="1"/>
  <c r="S1011" i="1"/>
  <c r="S1008" i="1"/>
  <c r="S1007" i="1"/>
  <c r="L1005" i="1"/>
  <c r="J1027" i="1" s="1"/>
  <c r="S1023" i="1"/>
  <c r="S1022" i="1"/>
  <c r="S1009" i="1"/>
  <c r="S1014" i="1"/>
  <c r="S1021" i="1"/>
  <c r="V1044" i="1"/>
  <c r="W1044" i="1" s="1"/>
  <c r="AJ1044" i="1"/>
  <c r="AI1044" i="1" s="1"/>
  <c r="AH1044" i="1" s="1"/>
  <c r="AJ1089" i="1"/>
  <c r="AI1089" i="1" s="1"/>
  <c r="AH1089" i="1" s="1"/>
  <c r="V1089" i="1"/>
  <c r="W1089" i="1" s="1"/>
  <c r="S1165" i="1"/>
  <c r="S1162" i="1"/>
  <c r="S1156" i="1"/>
  <c r="S1155" i="1"/>
  <c r="S1152" i="1"/>
  <c r="S1151" i="1"/>
  <c r="L1149" i="1"/>
  <c r="J1171" i="1" s="1"/>
  <c r="S1163" i="1"/>
  <c r="S1158" i="1"/>
  <c r="S1157" i="1"/>
  <c r="S1167" i="1"/>
  <c r="S1166" i="1"/>
  <c r="S1160" i="1"/>
  <c r="S1159" i="1"/>
  <c r="S1153" i="1"/>
  <c r="S1149" i="1"/>
  <c r="AJ1176" i="1"/>
  <c r="AI1176" i="1" s="1"/>
  <c r="AH1176" i="1" s="1"/>
  <c r="V1176" i="1"/>
  <c r="W1176" i="1" s="1"/>
  <c r="S812" i="1"/>
  <c r="S814" i="1"/>
  <c r="S820" i="1"/>
  <c r="S821" i="1"/>
  <c r="S830" i="1"/>
  <c r="S831" i="1"/>
  <c r="S855" i="1"/>
  <c r="S856" i="1"/>
  <c r="S874" i="1"/>
  <c r="S875" i="1"/>
  <c r="V876" i="1"/>
  <c r="W876" i="1" s="1"/>
  <c r="S884" i="1"/>
  <c r="S888" i="1"/>
  <c r="S889" i="1"/>
  <c r="S893" i="1"/>
  <c r="S894" i="1"/>
  <c r="S899" i="1"/>
  <c r="S900" i="1"/>
  <c r="S908" i="1"/>
  <c r="S910" i="1"/>
  <c r="S916" i="1"/>
  <c r="S917" i="1"/>
  <c r="S926" i="1"/>
  <c r="S927" i="1"/>
  <c r="S936" i="1"/>
  <c r="S937" i="1"/>
  <c r="S941" i="1"/>
  <c r="S942" i="1"/>
  <c r="S947" i="1"/>
  <c r="S948" i="1"/>
  <c r="S957" i="1"/>
  <c r="S963" i="1"/>
  <c r="S964" i="1"/>
  <c r="S970" i="1"/>
  <c r="S971" i="1"/>
  <c r="L981" i="1"/>
  <c r="J1003" i="1" s="1"/>
  <c r="S983" i="1"/>
  <c r="S984" i="1"/>
  <c r="S987" i="1"/>
  <c r="S988" i="1"/>
  <c r="S992" i="1"/>
  <c r="S997" i="1"/>
  <c r="S1005" i="1"/>
  <c r="S1006" i="1"/>
  <c r="S1010" i="1"/>
  <c r="S1013" i="1"/>
  <c r="S1016" i="1"/>
  <c r="S1043" i="1"/>
  <c r="S1042" i="1"/>
  <c r="S1036" i="1"/>
  <c r="S1035" i="1"/>
  <c r="S1032" i="1"/>
  <c r="S1031" i="1"/>
  <c r="L1029" i="1"/>
  <c r="J1051" i="1" s="1"/>
  <c r="S1047" i="1"/>
  <c r="S1046" i="1"/>
  <c r="S1040" i="1"/>
  <c r="S1039" i="1"/>
  <c r="S1033" i="1"/>
  <c r="S1029" i="1"/>
  <c r="S1034" i="1"/>
  <c r="S1037" i="1"/>
  <c r="S1045" i="1"/>
  <c r="AJ1072" i="1"/>
  <c r="AI1072" i="1" s="1"/>
  <c r="AH1072" i="1" s="1"/>
  <c r="V1072" i="1"/>
  <c r="W1072" i="1" s="1"/>
  <c r="AJ1073" i="1"/>
  <c r="AI1073" i="1" s="1"/>
  <c r="AH1073" i="1" s="1"/>
  <c r="V1073" i="1"/>
  <c r="W1073" i="1" s="1"/>
  <c r="S1091" i="1"/>
  <c r="S1090" i="1"/>
  <c r="S1084" i="1"/>
  <c r="S1083" i="1"/>
  <c r="S1080" i="1"/>
  <c r="S1079" i="1"/>
  <c r="L1077" i="1"/>
  <c r="J1099" i="1" s="1"/>
  <c r="S1093" i="1"/>
  <c r="S1092" i="1"/>
  <c r="S1086" i="1"/>
  <c r="S1085" i="1"/>
  <c r="S1095" i="1"/>
  <c r="S1094" i="1"/>
  <c r="S1088" i="1"/>
  <c r="S1087" i="1"/>
  <c r="S1081" i="1"/>
  <c r="S1077" i="1"/>
  <c r="AJ1113" i="1"/>
  <c r="AI1113" i="1" s="1"/>
  <c r="AH1113" i="1" s="1"/>
  <c r="V1113" i="1"/>
  <c r="W1113" i="1" s="1"/>
  <c r="S1154" i="1"/>
  <c r="S813" i="1"/>
  <c r="S818" i="1"/>
  <c r="S819" i="1"/>
  <c r="S824" i="1"/>
  <c r="S828" i="1"/>
  <c r="S829" i="1"/>
  <c r="S837" i="1"/>
  <c r="S838" i="1"/>
  <c r="AJ845" i="1"/>
  <c r="AI845" i="1" s="1"/>
  <c r="AH845" i="1" s="1"/>
  <c r="S847" i="1"/>
  <c r="S853" i="1"/>
  <c r="S854" i="1"/>
  <c r="S863" i="1"/>
  <c r="S864" i="1"/>
  <c r="S870" i="1"/>
  <c r="S871" i="1"/>
  <c r="S873" i="1"/>
  <c r="S880" i="1"/>
  <c r="S887" i="1"/>
  <c r="S891" i="1"/>
  <c r="S892" i="1"/>
  <c r="S897" i="1"/>
  <c r="S898" i="1"/>
  <c r="S909" i="1"/>
  <c r="S914" i="1"/>
  <c r="S915" i="1"/>
  <c r="S920" i="1"/>
  <c r="S924" i="1"/>
  <c r="S925" i="1"/>
  <c r="S933" i="1"/>
  <c r="S934" i="1"/>
  <c r="S935" i="1"/>
  <c r="S939" i="1"/>
  <c r="S940" i="1"/>
  <c r="S945" i="1"/>
  <c r="S946" i="1"/>
  <c r="S958" i="1"/>
  <c r="S959" i="1"/>
  <c r="S961" i="1"/>
  <c r="S962" i="1"/>
  <c r="S969" i="1"/>
  <c r="S976" i="1"/>
  <c r="S977" i="1"/>
  <c r="S995" i="1"/>
  <c r="S994" i="1"/>
  <c r="S982" i="1"/>
  <c r="S986" i="1"/>
  <c r="S991" i="1"/>
  <c r="S993" i="1"/>
  <c r="S996" i="1"/>
  <c r="S999" i="1"/>
  <c r="S1015" i="1"/>
  <c r="S1017" i="1"/>
  <c r="S1024" i="1"/>
  <c r="S1038" i="1"/>
  <c r="AC1044" i="1"/>
  <c r="AB1044" i="1" s="1"/>
  <c r="AA1044" i="1" s="1"/>
  <c r="S1067" i="1"/>
  <c r="S1066" i="1"/>
  <c r="S1060" i="1"/>
  <c r="S1059" i="1"/>
  <c r="S1056" i="1"/>
  <c r="S1055" i="1"/>
  <c r="L1053" i="1"/>
  <c r="J1075" i="1" s="1"/>
  <c r="S1069" i="1"/>
  <c r="S1068" i="1"/>
  <c r="S1062" i="1"/>
  <c r="S1061" i="1"/>
  <c r="S1071" i="1"/>
  <c r="S1070" i="1"/>
  <c r="S1064" i="1"/>
  <c r="S1063" i="1"/>
  <c r="S1057" i="1"/>
  <c r="S1053" i="1"/>
  <c r="S1058" i="1"/>
  <c r="S1082" i="1"/>
  <c r="AC1089" i="1"/>
  <c r="AB1089" i="1" s="1"/>
  <c r="AA1089" i="1" s="1"/>
  <c r="S1096" i="1"/>
  <c r="S1097" i="1"/>
  <c r="S1115" i="1"/>
  <c r="S1114" i="1"/>
  <c r="S1108" i="1"/>
  <c r="S1107" i="1"/>
  <c r="S1104" i="1"/>
  <c r="S1103" i="1"/>
  <c r="L1101" i="1"/>
  <c r="J1123" i="1" s="1"/>
  <c r="S1117" i="1"/>
  <c r="S1116" i="1"/>
  <c r="S1110" i="1"/>
  <c r="S1109" i="1"/>
  <c r="S1119" i="1"/>
  <c r="S1118" i="1"/>
  <c r="S1112" i="1"/>
  <c r="S1111" i="1"/>
  <c r="S1105" i="1"/>
  <c r="S1101" i="1"/>
  <c r="AJ1126" i="1"/>
  <c r="AI1126" i="1" s="1"/>
  <c r="AH1126" i="1" s="1"/>
  <c r="V1126" i="1"/>
  <c r="W1126" i="1" s="1"/>
  <c r="S1168" i="1"/>
  <c r="S1169" i="1"/>
  <c r="S1194" i="1"/>
  <c r="S1187" i="1"/>
  <c r="S1185" i="1"/>
  <c r="S1184" i="1"/>
  <c r="S1177" i="1"/>
  <c r="S1175" i="1"/>
  <c r="L1174" i="1"/>
  <c r="J1196" i="1" s="1"/>
  <c r="S1189" i="1"/>
  <c r="S1188" i="1"/>
  <c r="S1179" i="1"/>
  <c r="S1178" i="1"/>
  <c r="S1191" i="1"/>
  <c r="S1190" i="1"/>
  <c r="S1186" i="1"/>
  <c r="S1181" i="1"/>
  <c r="S1180" i="1"/>
  <c r="S1174" i="1"/>
  <c r="S1193" i="1"/>
  <c r="S1192" i="1"/>
  <c r="S1183" i="1"/>
  <c r="S1182" i="1"/>
  <c r="AC1176" i="1"/>
  <c r="AB1176" i="1" s="1"/>
  <c r="AA1176" i="1" s="1"/>
  <c r="L812" i="1"/>
  <c r="J834" i="1" s="1"/>
  <c r="S817" i="1"/>
  <c r="S826" i="1"/>
  <c r="S851" i="1"/>
  <c r="S878" i="1"/>
  <c r="L884" i="1"/>
  <c r="J906" i="1" s="1"/>
  <c r="S890" i="1"/>
  <c r="S896" i="1"/>
  <c r="S903" i="1"/>
  <c r="L908" i="1"/>
  <c r="J930" i="1" s="1"/>
  <c r="S913" i="1"/>
  <c r="S922" i="1"/>
  <c r="S938" i="1"/>
  <c r="S944" i="1"/>
  <c r="S951" i="1"/>
  <c r="L957" i="1"/>
  <c r="J979" i="1" s="1"/>
  <c r="S960" i="1"/>
  <c r="S967" i="1"/>
  <c r="S968" i="1"/>
  <c r="S974" i="1"/>
  <c r="S981" i="1"/>
  <c r="S985" i="1"/>
  <c r="S998" i="1"/>
  <c r="S1000" i="1"/>
  <c r="S1020" i="1"/>
  <c r="S1025" i="1"/>
  <c r="S1030" i="1"/>
  <c r="S1048" i="1"/>
  <c r="S1065" i="1"/>
  <c r="AC1072" i="1"/>
  <c r="AB1072" i="1" s="1"/>
  <c r="AA1072" i="1" s="1"/>
  <c r="AC1073" i="1"/>
  <c r="AB1073" i="1" s="1"/>
  <c r="AA1073" i="1" s="1"/>
  <c r="S1106" i="1"/>
  <c r="AC1113" i="1"/>
  <c r="AB1113" i="1" s="1"/>
  <c r="AA1113" i="1" s="1"/>
  <c r="S1120" i="1"/>
  <c r="S1121" i="1"/>
  <c r="S1139" i="1"/>
  <c r="S1138" i="1"/>
  <c r="S1132" i="1"/>
  <c r="S1131" i="1"/>
  <c r="S1128" i="1"/>
  <c r="S1127" i="1"/>
  <c r="L1125" i="1"/>
  <c r="J1147" i="1" s="1"/>
  <c r="S1141" i="1"/>
  <c r="S1140" i="1"/>
  <c r="S1134" i="1"/>
  <c r="S1133" i="1"/>
  <c r="S1143" i="1"/>
  <c r="S1142" i="1"/>
  <c r="S1136" i="1"/>
  <c r="S1135" i="1"/>
  <c r="S1129" i="1"/>
  <c r="S1125" i="1"/>
  <c r="S1150" i="1"/>
  <c r="S1161" i="1"/>
  <c r="S1164" i="1"/>
  <c r="S1214" i="1"/>
  <c r="S1213" i="1"/>
  <c r="S1206" i="1"/>
  <c r="S1205" i="1"/>
  <c r="S1218" i="1"/>
  <c r="S1212" i="1"/>
  <c r="S1211" i="1"/>
  <c r="S1204" i="1"/>
  <c r="S1200" i="1"/>
  <c r="S1210" i="1"/>
  <c r="AJ1223" i="1"/>
  <c r="AI1223" i="1" s="1"/>
  <c r="AH1223" i="1" s="1"/>
  <c r="S1258" i="1"/>
  <c r="S1257" i="1"/>
  <c r="S1250" i="1"/>
  <c r="S1249" i="1"/>
  <c r="L1246" i="1"/>
  <c r="J1268" i="1" s="1"/>
  <c r="S1259" i="1"/>
  <c r="S1252" i="1"/>
  <c r="S1251" i="1"/>
  <c r="S1262" i="1"/>
  <c r="S1253" i="1"/>
  <c r="S1247" i="1"/>
  <c r="S1264" i="1"/>
  <c r="S1261" i="1"/>
  <c r="S1256" i="1"/>
  <c r="S1246" i="1"/>
  <c r="S1265" i="1"/>
  <c r="S1260" i="1"/>
  <c r="S1248" i="1"/>
  <c r="S1266" i="1"/>
  <c r="AC1308" i="1"/>
  <c r="AB1308" i="1" s="1"/>
  <c r="AA1308" i="1" s="1"/>
  <c r="V1335" i="1"/>
  <c r="W1335" i="1" s="1"/>
  <c r="S1198" i="1"/>
  <c r="S1207" i="1"/>
  <c r="S1216" i="1"/>
  <c r="S1217" i="1"/>
  <c r="V1354" i="1"/>
  <c r="W1354" i="1" s="1"/>
  <c r="AA1126" i="1"/>
  <c r="S1199" i="1"/>
  <c r="S1203" i="1"/>
  <c r="S1255" i="1"/>
  <c r="L1198" i="1"/>
  <c r="J1220" i="1" s="1"/>
  <c r="S1201" i="1"/>
  <c r="S1202" i="1"/>
  <c r="S1208" i="1"/>
  <c r="S1209" i="1"/>
  <c r="S1215" i="1"/>
  <c r="AJ1242" i="1"/>
  <c r="AI1242" i="1" s="1"/>
  <c r="AH1242" i="1" s="1"/>
  <c r="AC1242" i="1"/>
  <c r="AB1242" i="1" s="1"/>
  <c r="AA1242" i="1" s="1"/>
  <c r="S1254" i="1"/>
  <c r="S1263" i="1"/>
  <c r="AJ1314" i="1"/>
  <c r="AI1314" i="1" s="1"/>
  <c r="AH1314" i="1" s="1"/>
  <c r="S1233" i="1"/>
  <c r="S1235" i="1"/>
  <c r="S1239" i="1"/>
  <c r="S1344" i="1"/>
  <c r="S1348" i="1"/>
  <c r="V1369" i="1"/>
  <c r="W1369" i="1" s="1"/>
  <c r="AJ1417" i="1"/>
  <c r="AI1417" i="1" s="1"/>
  <c r="AH1417" i="1" s="1"/>
  <c r="V1417" i="1"/>
  <c r="W1417" i="1" s="1"/>
  <c r="AC1417" i="1"/>
  <c r="AB1417" i="1" s="1"/>
  <c r="AA1417" i="1" s="1"/>
  <c r="S1361" i="1"/>
  <c r="AC1373" i="1"/>
  <c r="AB1373" i="1" s="1"/>
  <c r="AA1373" i="1" s="1"/>
  <c r="AJ1385" i="1"/>
  <c r="AI1385" i="1" s="1"/>
  <c r="AH1385" i="1" s="1"/>
  <c r="V1385" i="1"/>
  <c r="W1385" i="1" s="1"/>
  <c r="AJ1493" i="1"/>
  <c r="AI1493" i="1" s="1"/>
  <c r="AH1493" i="1" s="1"/>
  <c r="V1493" i="1"/>
  <c r="W1493" i="1" s="1"/>
  <c r="AC1493" i="1"/>
  <c r="AB1493" i="1" s="1"/>
  <c r="AA1493" i="1" s="1"/>
  <c r="AC1369" i="1"/>
  <c r="AB1369" i="1" s="1"/>
  <c r="AA1369" i="1" s="1"/>
  <c r="S1238" i="1"/>
  <c r="S1237" i="1"/>
  <c r="S1230" i="1"/>
  <c r="S1229" i="1"/>
  <c r="S1222" i="1"/>
  <c r="S1225" i="1"/>
  <c r="S1227" i="1"/>
  <c r="S1231" i="1"/>
  <c r="S1234" i="1"/>
  <c r="S1240" i="1"/>
  <c r="V1309" i="1"/>
  <c r="W1309" i="1" s="1"/>
  <c r="S1358" i="1"/>
  <c r="S1357" i="1"/>
  <c r="S1350" i="1"/>
  <c r="S1349" i="1"/>
  <c r="S1345" i="1"/>
  <c r="S1343" i="1"/>
  <c r="S1360" i="1"/>
  <c r="S1359" i="1"/>
  <c r="S1352" i="1"/>
  <c r="S1351" i="1"/>
  <c r="S1347" i="1"/>
  <c r="S1346" i="1"/>
  <c r="S1342" i="1"/>
  <c r="S1353" i="1"/>
  <c r="S1362" i="1"/>
  <c r="V1373" i="1"/>
  <c r="W1373" i="1" s="1"/>
  <c r="AI1373" i="1"/>
  <c r="AH1373" i="1" s="1"/>
  <c r="V1408" i="1"/>
  <c r="W1408" i="1" s="1"/>
  <c r="AJ1408" i="1"/>
  <c r="AI1408" i="1" s="1"/>
  <c r="AH1408" i="1" s="1"/>
  <c r="AC1408" i="1"/>
  <c r="AB1408" i="1" s="1"/>
  <c r="AA1408" i="1" s="1"/>
  <c r="V1448" i="1"/>
  <c r="W1448" i="1" s="1"/>
  <c r="S1498" i="1"/>
  <c r="S1500" i="1"/>
  <c r="S1504" i="1"/>
  <c r="S1506" i="1"/>
  <c r="S1944" i="1"/>
  <c r="AJ1944" i="1" s="1"/>
  <c r="AI1944" i="1" s="1"/>
  <c r="AH1944" i="1" s="1"/>
  <c r="S1929" i="1"/>
  <c r="AJ1929" i="1" s="1"/>
  <c r="AI1929" i="1" s="1"/>
  <c r="AH1929" i="1" s="1"/>
  <c r="S1927" i="1"/>
  <c r="AJ1927" i="1" s="1"/>
  <c r="AI1927" i="1" s="1"/>
  <c r="AH1927" i="1" s="1"/>
  <c r="S1925" i="1"/>
  <c r="AJ1925" i="1" s="1"/>
  <c r="AI1925" i="1" s="1"/>
  <c r="AH1925" i="1" s="1"/>
  <c r="L1924" i="1"/>
  <c r="J1946" i="1" s="1"/>
  <c r="S1928" i="1"/>
  <c r="AJ1928" i="1" s="1"/>
  <c r="AI1928" i="1" s="1"/>
  <c r="AH1928" i="1" s="1"/>
  <c r="S1924" i="1"/>
  <c r="V1924" i="1" s="1"/>
  <c r="W1924" i="1" s="1"/>
  <c r="S1926" i="1"/>
  <c r="AJ1926" i="1" s="1"/>
  <c r="AI1926" i="1" s="1"/>
  <c r="AH1926" i="1" s="1"/>
  <c r="AC1390" i="1"/>
  <c r="AB1390" i="1" s="1"/>
  <c r="AA1390" i="1" s="1"/>
  <c r="V1390" i="1"/>
  <c r="W1390" i="1" s="1"/>
  <c r="AJ1390" i="1"/>
  <c r="AI1390" i="1" s="1"/>
  <c r="AH1390" i="1" s="1"/>
  <c r="AJ1456" i="1"/>
  <c r="AI1456" i="1" s="1"/>
  <c r="AH1456" i="1" s="1"/>
  <c r="V1456" i="1"/>
  <c r="W1456" i="1" s="1"/>
  <c r="S1476" i="1"/>
  <c r="S1475" i="1"/>
  <c r="S1468" i="1"/>
  <c r="L1462" i="1"/>
  <c r="J1484" i="1" s="1"/>
  <c r="S1480" i="1"/>
  <c r="S1477" i="1"/>
  <c r="S1473" i="1"/>
  <c r="S1471" i="1"/>
  <c r="S1482" i="1"/>
  <c r="S1478" i="1"/>
  <c r="S1472" i="1"/>
  <c r="S1469" i="1"/>
  <c r="S1466" i="1"/>
  <c r="S1464" i="1"/>
  <c r="S1479" i="1"/>
  <c r="S1481" i="1"/>
  <c r="S1489" i="1"/>
  <c r="S1491" i="1"/>
  <c r="AJ1587" i="1"/>
  <c r="AI1587" i="1" s="1"/>
  <c r="AH1587" i="1" s="1"/>
  <c r="AC1587" i="1"/>
  <c r="AB1587" i="1" s="1"/>
  <c r="AA1587" i="1" s="1"/>
  <c r="V1587" i="1"/>
  <c r="W1587" i="1" s="1"/>
  <c r="AJ1452" i="1"/>
  <c r="AI1452" i="1" s="1"/>
  <c r="AH1452" i="1" s="1"/>
  <c r="S1503" i="1"/>
  <c r="S1502" i="1"/>
  <c r="S1495" i="1"/>
  <c r="S1494" i="1"/>
  <c r="S1488" i="1"/>
  <c r="L1486" i="1"/>
  <c r="J1508" i="1" s="1"/>
  <c r="S1505" i="1"/>
  <c r="S1499" i="1"/>
  <c r="S1496" i="1"/>
  <c r="S1492" i="1"/>
  <c r="S1490" i="1"/>
  <c r="S1501" i="1"/>
  <c r="S1497" i="1"/>
  <c r="S1487" i="1"/>
  <c r="S1486" i="1"/>
  <c r="S1523" i="1"/>
  <c r="S1522" i="1"/>
  <c r="S1515" i="1"/>
  <c r="S1514" i="1"/>
  <c r="S1510" i="1"/>
  <c r="S1527" i="1"/>
  <c r="S1524" i="1"/>
  <c r="S1520" i="1"/>
  <c r="S1518" i="1"/>
  <c r="S1529" i="1"/>
  <c r="S1525" i="1"/>
  <c r="S1519" i="1"/>
  <c r="S1516" i="1"/>
  <c r="S1511" i="1"/>
  <c r="S1513" i="1"/>
  <c r="AC1517" i="1"/>
  <c r="AB1517" i="1" s="1"/>
  <c r="AA1517" i="1" s="1"/>
  <c r="S1526" i="1"/>
  <c r="S1528" i="1"/>
  <c r="S1530" i="1"/>
  <c r="V1619" i="1"/>
  <c r="W1619" i="1" s="1"/>
  <c r="AC1619" i="1"/>
  <c r="AB1619" i="1" s="1"/>
  <c r="AA1619" i="1" s="1"/>
  <c r="AJ1652" i="1"/>
  <c r="AI1652" i="1" s="1"/>
  <c r="AH1652" i="1" s="1"/>
  <c r="V1652" i="1"/>
  <c r="W1652" i="1" s="1"/>
  <c r="AC1652" i="1"/>
  <c r="AB1652" i="1" s="1"/>
  <c r="AA1652" i="1" s="1"/>
  <c r="AJ1444" i="1"/>
  <c r="AI1444" i="1" s="1"/>
  <c r="AH1444" i="1" s="1"/>
  <c r="AJ1467" i="1"/>
  <c r="AI1467" i="1" s="1"/>
  <c r="AH1467" i="1" s="1"/>
  <c r="V1467" i="1"/>
  <c r="W1467" i="1" s="1"/>
  <c r="V1553" i="1"/>
  <c r="W1553" i="1" s="1"/>
  <c r="AC1553" i="1"/>
  <c r="AB1553" i="1" s="1"/>
  <c r="AA1553" i="1" s="1"/>
  <c r="AJ1553" i="1"/>
  <c r="AI1553" i="1" s="1"/>
  <c r="AH1553" i="1" s="1"/>
  <c r="V1718" i="1"/>
  <c r="W1718" i="1" s="1"/>
  <c r="AJ1766" i="1"/>
  <c r="AI1766" i="1" s="1"/>
  <c r="AH1766" i="1" s="1"/>
  <c r="AC1766" i="1"/>
  <c r="AB1766" i="1" s="1"/>
  <c r="AA1766" i="1" s="1"/>
  <c r="V1766" i="1"/>
  <c r="W1766" i="1" s="1"/>
  <c r="AC1834" i="1"/>
  <c r="AB1834" i="1" s="1"/>
  <c r="AA1834" i="1" s="1"/>
  <c r="AJ1834" i="1"/>
  <c r="AI1834" i="1" s="1"/>
  <c r="AH1834" i="1" s="1"/>
  <c r="V1834" i="1"/>
  <c r="W1834" i="1" s="1"/>
  <c r="V1856" i="1"/>
  <c r="W1856" i="1" s="1"/>
  <c r="AC1856" i="1"/>
  <c r="AB1856" i="1" s="1"/>
  <c r="AA1856" i="1" s="1"/>
  <c r="AJ1856" i="1"/>
  <c r="AI1856" i="1" s="1"/>
  <c r="AH1856" i="1" s="1"/>
  <c r="S1650" i="1"/>
  <c r="S1646" i="1"/>
  <c r="S1642" i="1"/>
  <c r="S1641" i="1"/>
  <c r="S1634" i="1"/>
  <c r="S1651" i="1"/>
  <c r="S1647" i="1"/>
  <c r="S1643" i="1"/>
  <c r="S1636" i="1"/>
  <c r="S1635" i="1"/>
  <c r="S1633" i="1"/>
  <c r="S1638" i="1"/>
  <c r="S1645" i="1"/>
  <c r="S1653" i="1"/>
  <c r="AJ1664" i="1"/>
  <c r="AI1664" i="1" s="1"/>
  <c r="AH1664" i="1" s="1"/>
  <c r="V1664" i="1"/>
  <c r="W1664" i="1" s="1"/>
  <c r="V1684" i="1"/>
  <c r="W1684" i="1" s="1"/>
  <c r="AJ1684" i="1"/>
  <c r="AI1684" i="1" s="1"/>
  <c r="AH1684" i="1" s="1"/>
  <c r="J1775" i="1"/>
  <c r="AC1761" i="1"/>
  <c r="AB1761" i="1" s="1"/>
  <c r="AA1761" i="1" s="1"/>
  <c r="AJ1761" i="1"/>
  <c r="AI1761" i="1" s="1"/>
  <c r="AH1761" i="1" s="1"/>
  <c r="V1880" i="1"/>
  <c r="W1880" i="1" s="1"/>
  <c r="AC1880" i="1"/>
  <c r="AB1880" i="1" s="1"/>
  <c r="AA1880" i="1" s="1"/>
  <c r="L1270" i="1"/>
  <c r="J1292" i="1" s="1"/>
  <c r="S1289" i="1"/>
  <c r="S1290" i="1"/>
  <c r="L1294" i="1"/>
  <c r="J1316" i="1" s="1"/>
  <c r="S1300" i="1"/>
  <c r="S1304" i="1"/>
  <c r="S1305" i="1"/>
  <c r="S1312" i="1"/>
  <c r="S1313" i="1"/>
  <c r="L1318" i="1"/>
  <c r="J1340" i="1" s="1"/>
  <c r="S1320" i="1"/>
  <c r="S1326" i="1"/>
  <c r="S1333" i="1"/>
  <c r="S1334" i="1"/>
  <c r="S1380" i="1"/>
  <c r="S1379" i="1"/>
  <c r="S1368" i="1"/>
  <c r="AJ1370" i="1"/>
  <c r="AI1370" i="1" s="1"/>
  <c r="AH1370" i="1" s="1"/>
  <c r="S1377" i="1"/>
  <c r="S1378" i="1"/>
  <c r="L1390" i="1"/>
  <c r="J1412" i="1" s="1"/>
  <c r="S1399" i="1"/>
  <c r="S1402" i="1"/>
  <c r="S1432" i="1"/>
  <c r="S1431" i="1"/>
  <c r="S1424" i="1"/>
  <c r="S1423" i="1"/>
  <c r="S1419" i="1"/>
  <c r="S1418" i="1"/>
  <c r="S1414" i="1"/>
  <c r="S1421" i="1"/>
  <c r="S1425" i="1"/>
  <c r="S1428" i="1"/>
  <c r="S1434" i="1"/>
  <c r="S1547" i="1"/>
  <c r="AC1586" i="1"/>
  <c r="AB1586" i="1" s="1"/>
  <c r="AA1586" i="1" s="1"/>
  <c r="AC1622" i="1"/>
  <c r="AB1622" i="1" s="1"/>
  <c r="AA1622" i="1" s="1"/>
  <c r="S1639" i="1"/>
  <c r="S1648" i="1"/>
  <c r="S1675" i="1"/>
  <c r="S1674" i="1"/>
  <c r="S1676" i="1"/>
  <c r="S1671" i="1"/>
  <c r="S1670" i="1"/>
  <c r="S1666" i="1"/>
  <c r="S1662" i="1"/>
  <c r="S1658" i="1"/>
  <c r="S1677" i="1"/>
  <c r="S1673" i="1"/>
  <c r="S1672" i="1"/>
  <c r="S1667" i="1"/>
  <c r="S1663" i="1"/>
  <c r="S1659" i="1"/>
  <c r="S1657" i="1"/>
  <c r="S1665" i="1"/>
  <c r="P1678" i="1"/>
  <c r="AJ1720" i="1"/>
  <c r="AI1720" i="1" s="1"/>
  <c r="AH1720" i="1" s="1"/>
  <c r="AC1720" i="1"/>
  <c r="AB1720" i="1" s="1"/>
  <c r="AA1720" i="1" s="1"/>
  <c r="AC1749" i="1"/>
  <c r="AB1749" i="1" s="1"/>
  <c r="AA1749" i="1" s="1"/>
  <c r="S1770" i="1"/>
  <c r="S1769" i="1"/>
  <c r="S1765" i="1"/>
  <c r="S1760" i="1"/>
  <c r="S1759" i="1"/>
  <c r="S1753" i="1"/>
  <c r="S1768" i="1"/>
  <c r="S1762" i="1"/>
  <c r="S1757" i="1"/>
  <c r="S1773" i="1"/>
  <c r="S1755" i="1"/>
  <c r="S1771" i="1"/>
  <c r="S1767" i="1"/>
  <c r="S1763" i="1"/>
  <c r="S1754" i="1"/>
  <c r="S1756" i="1"/>
  <c r="S1758" i="1"/>
  <c r="V1783" i="1"/>
  <c r="W1783" i="1" s="1"/>
  <c r="AC1826" i="1"/>
  <c r="AB1826" i="1" s="1"/>
  <c r="S1894" i="1"/>
  <c r="S1893" i="1"/>
  <c r="S1892" i="1"/>
  <c r="S1891" i="1"/>
  <c r="S1886" i="1"/>
  <c r="S1882" i="1"/>
  <c r="S1881" i="1"/>
  <c r="S1877" i="1"/>
  <c r="S1874" i="1"/>
  <c r="S1890" i="1"/>
  <c r="V1884" i="1"/>
  <c r="W1884" i="1" s="1"/>
  <c r="S1889" i="1"/>
  <c r="S1884" i="1"/>
  <c r="S1879" i="1"/>
  <c r="S1876" i="1"/>
  <c r="S1888" i="1"/>
  <c r="S1878" i="1"/>
  <c r="S1875" i="1"/>
  <c r="L1874" i="1"/>
  <c r="J1896" i="1" s="1"/>
  <c r="S1887" i="1"/>
  <c r="V1885" i="1"/>
  <c r="W1885" i="1" s="1"/>
  <c r="V1894" i="1"/>
  <c r="W1894" i="1" s="1"/>
  <c r="S1885" i="1"/>
  <c r="S1883" i="1"/>
  <c r="S1271" i="1"/>
  <c r="S1272" i="1"/>
  <c r="S1273" i="1"/>
  <c r="S1274" i="1"/>
  <c r="S1275" i="1"/>
  <c r="S1276" i="1"/>
  <c r="S1277" i="1"/>
  <c r="S1278" i="1"/>
  <c r="S1279" i="1"/>
  <c r="S1280" i="1"/>
  <c r="S1281" i="1"/>
  <c r="S1282" i="1"/>
  <c r="S1283" i="1"/>
  <c r="S1284" i="1"/>
  <c r="S1285" i="1"/>
  <c r="S1286" i="1"/>
  <c r="S1287" i="1"/>
  <c r="S1296" i="1"/>
  <c r="S1303" i="1"/>
  <c r="S1310" i="1"/>
  <c r="S1319" i="1"/>
  <c r="S1324" i="1"/>
  <c r="S1325" i="1"/>
  <c r="S1331" i="1"/>
  <c r="AA1385" i="1"/>
  <c r="S1406" i="1"/>
  <c r="S1405" i="1"/>
  <c r="S1398" i="1"/>
  <c r="S1397" i="1"/>
  <c r="S1393" i="1"/>
  <c r="S1391" i="1"/>
  <c r="S1392" i="1"/>
  <c r="S1395" i="1"/>
  <c r="S1401" i="1"/>
  <c r="S1403" i="1"/>
  <c r="S1407" i="1"/>
  <c r="S1410" i="1"/>
  <c r="S1550" i="1"/>
  <c r="S1549" i="1"/>
  <c r="S1542" i="1"/>
  <c r="S1541" i="1"/>
  <c r="S1536" i="1"/>
  <c r="L1534" i="1"/>
  <c r="J1556" i="1" s="1"/>
  <c r="S1538" i="1"/>
  <c r="AA1539" i="1"/>
  <c r="S1540" i="1"/>
  <c r="S1544" i="1"/>
  <c r="AJ1551" i="1"/>
  <c r="AI1551" i="1" s="1"/>
  <c r="AH1551" i="1" s="1"/>
  <c r="S1637" i="1"/>
  <c r="S1640" i="1"/>
  <c r="S1649" i="1"/>
  <c r="AC1684" i="1"/>
  <c r="AB1684" i="1" s="1"/>
  <c r="AA1684" i="1" s="1"/>
  <c r="V1772" i="1"/>
  <c r="W1772" i="1" s="1"/>
  <c r="AC1772" i="1"/>
  <c r="AB1772" i="1" s="1"/>
  <c r="AA1772" i="1" s="1"/>
  <c r="AJ1772" i="1"/>
  <c r="AI1772" i="1" s="1"/>
  <c r="AH1772" i="1" s="1"/>
  <c r="V1816" i="1"/>
  <c r="W1816" i="1" s="1"/>
  <c r="AC1816" i="1"/>
  <c r="AB1816" i="1" s="1"/>
  <c r="AA1816" i="1" s="1"/>
  <c r="AJ1816" i="1"/>
  <c r="AI1816" i="1" s="1"/>
  <c r="AH1816" i="1" s="1"/>
  <c r="S1868" i="1"/>
  <c r="S1867" i="1"/>
  <c r="S1861" i="1"/>
  <c r="S1860" i="1"/>
  <c r="S1870" i="1"/>
  <c r="S1864" i="1"/>
  <c r="S1853" i="1"/>
  <c r="S1852" i="1"/>
  <c r="L1850" i="1"/>
  <c r="J1872" i="1" s="1"/>
  <c r="S1865" i="1"/>
  <c r="S1851" i="1"/>
  <c r="S1850" i="1"/>
  <c r="S1859" i="1"/>
  <c r="S1858" i="1"/>
  <c r="S1855" i="1"/>
  <c r="S1857" i="1"/>
  <c r="S1854" i="1"/>
  <c r="S1869" i="1"/>
  <c r="S1866" i="1"/>
  <c r="S1863" i="1"/>
  <c r="S1862" i="1"/>
  <c r="J1970" i="1"/>
  <c r="AC1808" i="1"/>
  <c r="AB1808" i="1" s="1"/>
  <c r="AA1808" i="1" s="1"/>
  <c r="AC1812" i="1"/>
  <c r="AB1812" i="1" s="1"/>
  <c r="AA1812" i="1" s="1"/>
  <c r="S1968" i="1"/>
  <c r="S1967" i="1"/>
  <c r="S1966" i="1"/>
  <c r="S1965" i="1"/>
  <c r="S1964" i="1"/>
  <c r="S1963" i="1"/>
  <c r="S1962" i="1"/>
  <c r="S1961" i="1"/>
  <c r="S1960" i="1"/>
  <c r="S1959" i="1"/>
  <c r="S1958" i="1"/>
  <c r="S1957" i="1"/>
  <c r="S1956" i="1"/>
  <c r="S1955" i="1"/>
  <c r="S1954" i="1"/>
  <c r="S1953" i="1"/>
  <c r="S1952" i="1"/>
  <c r="S1951" i="1"/>
  <c r="S1950" i="1"/>
  <c r="S1949" i="1"/>
  <c r="S1948" i="1"/>
  <c r="J1994" i="1"/>
  <c r="AJ2016" i="1"/>
  <c r="AI2016" i="1" s="1"/>
  <c r="AH2016" i="1" s="1"/>
  <c r="V2016" i="1"/>
  <c r="W2016" i="1" s="1"/>
  <c r="AC2016" i="1"/>
  <c r="AB2016" i="1" s="1"/>
  <c r="AA2016" i="1" s="1"/>
  <c r="S1617" i="1"/>
  <c r="S1618" i="1"/>
  <c r="S1625" i="1"/>
  <c r="S1626" i="1"/>
  <c r="AC1721" i="1"/>
  <c r="AB1721" i="1" s="1"/>
  <c r="AA1721" i="1" s="1"/>
  <c r="AC1731" i="1"/>
  <c r="AB1731" i="1" s="1"/>
  <c r="AA1731" i="1" s="1"/>
  <c r="V1781" i="1"/>
  <c r="W1781" i="1" s="1"/>
  <c r="S1822" i="1"/>
  <c r="S1821" i="1"/>
  <c r="S1814" i="1"/>
  <c r="S1810" i="1"/>
  <c r="S1809" i="1"/>
  <c r="S1805" i="1"/>
  <c r="L1802" i="1"/>
  <c r="J1824" i="1" s="1"/>
  <c r="V1808" i="1"/>
  <c r="W1808" i="1" s="1"/>
  <c r="S1817" i="1"/>
  <c r="S1819" i="1"/>
  <c r="S1449" i="1"/>
  <c r="S1450" i="1"/>
  <c r="S1457" i="1"/>
  <c r="S1563" i="1"/>
  <c r="S1564" i="1"/>
  <c r="S1571" i="1"/>
  <c r="S1572" i="1"/>
  <c r="S1579" i="1"/>
  <c r="S1589" i="1"/>
  <c r="S1600" i="1"/>
  <c r="S1608" i="1"/>
  <c r="S1615" i="1"/>
  <c r="S1616" i="1"/>
  <c r="S1623" i="1"/>
  <c r="AA1664" i="1"/>
  <c r="P1702" i="1"/>
  <c r="S1699" i="1"/>
  <c r="S1698" i="1"/>
  <c r="S1691" i="1"/>
  <c r="S1690" i="1"/>
  <c r="S1681" i="1"/>
  <c r="S1683" i="1"/>
  <c r="S1694" i="1"/>
  <c r="V1695" i="1"/>
  <c r="W1695" i="1" s="1"/>
  <c r="S1696" i="1"/>
  <c r="S1700" i="1"/>
  <c r="V1723" i="1"/>
  <c r="W1723" i="1" s="1"/>
  <c r="AJ1723" i="1"/>
  <c r="AI1723" i="1" s="1"/>
  <c r="AH1723" i="1" s="1"/>
  <c r="S1737" i="1"/>
  <c r="S1736" i="1"/>
  <c r="S1732" i="1"/>
  <c r="L1729" i="1"/>
  <c r="J1751" i="1" s="1"/>
  <c r="S1734" i="1"/>
  <c r="S1740" i="1"/>
  <c r="S1742" i="1"/>
  <c r="S1747" i="1"/>
  <c r="S1802" i="1"/>
  <c r="S1803" i="1"/>
  <c r="S1811" i="1"/>
  <c r="S1706" i="1"/>
  <c r="S1707" i="1"/>
  <c r="S1716" i="1"/>
  <c r="S1722" i="1"/>
  <c r="S1786" i="1"/>
  <c r="S1787" i="1"/>
  <c r="S1790" i="1"/>
  <c r="S1791" i="1"/>
  <c r="V1846" i="1"/>
  <c r="W1846" i="1" s="1"/>
  <c r="S1845" i="1"/>
  <c r="S1844" i="1"/>
  <c r="V1837" i="1"/>
  <c r="W1837" i="1" s="1"/>
  <c r="S1836" i="1"/>
  <c r="S1827" i="1"/>
  <c r="S1830" i="1"/>
  <c r="S1835" i="1"/>
  <c r="V1836" i="1"/>
  <c r="W1836" i="1" s="1"/>
  <c r="S1840" i="1"/>
  <c r="S1842" i="1"/>
  <c r="S1846" i="1"/>
  <c r="AC1990" i="1"/>
  <c r="AB1990" i="1" s="1"/>
  <c r="AA1990" i="1" s="1"/>
  <c r="AJ1990" i="1"/>
  <c r="AI1990" i="1" s="1"/>
  <c r="AH1990" i="1" s="1"/>
  <c r="V1990" i="1"/>
  <c r="W1990" i="1" s="1"/>
  <c r="AJ2011" i="1"/>
  <c r="AI2011" i="1" s="1"/>
  <c r="AH2011" i="1" s="1"/>
  <c r="S2040" i="1"/>
  <c r="S2038" i="1"/>
  <c r="S2036" i="1"/>
  <c r="S2034" i="1"/>
  <c r="S2024" i="1"/>
  <c r="S2021" i="1"/>
  <c r="S2039" i="1"/>
  <c r="S2033" i="1"/>
  <c r="S2032" i="1"/>
  <c r="S2031" i="1"/>
  <c r="S2030" i="1"/>
  <c r="S2029" i="1"/>
  <c r="S2028" i="1"/>
  <c r="S2027" i="1"/>
  <c r="S2026" i="1"/>
  <c r="S2025" i="1"/>
  <c r="S2022" i="1"/>
  <c r="S2037" i="1"/>
  <c r="AC2048" i="1"/>
  <c r="AB2048" i="1" s="1"/>
  <c r="AA2048" i="1" s="1"/>
  <c r="AJ2053" i="1"/>
  <c r="AI2053" i="1" s="1"/>
  <c r="AH2053" i="1" s="1"/>
  <c r="AC2053" i="1"/>
  <c r="AB2053" i="1" s="1"/>
  <c r="AA2053" i="1" s="1"/>
  <c r="L1997" i="1"/>
  <c r="J2019" i="1" s="1"/>
  <c r="S2012" i="1"/>
  <c r="S2023" i="1"/>
  <c r="V2048" i="1"/>
  <c r="W2048" i="1" s="1"/>
  <c r="AH2048" i="1"/>
  <c r="V2053" i="1"/>
  <c r="W2053" i="1" s="1"/>
  <c r="V2080" i="1"/>
  <c r="W2080" i="1" s="1"/>
  <c r="S1997" i="1"/>
  <c r="S2000" i="1"/>
  <c r="S1999" i="1"/>
  <c r="S1998" i="1"/>
  <c r="S2001" i="1"/>
  <c r="S2003" i="1"/>
  <c r="S2005" i="1"/>
  <c r="S2007" i="1"/>
  <c r="S2009" i="1"/>
  <c r="S2013" i="1"/>
  <c r="S2017" i="1"/>
  <c r="S2041" i="1"/>
  <c r="AJ2082" i="1"/>
  <c r="AI2082" i="1" s="1"/>
  <c r="AH2082" i="1" s="1"/>
  <c r="AC2082" i="1"/>
  <c r="AB2082" i="1" s="1"/>
  <c r="AA2082" i="1" s="1"/>
  <c r="V2082" i="1"/>
  <c r="W2082" i="1" s="1"/>
  <c r="AA2108" i="1"/>
  <c r="S2474" i="1"/>
  <c r="S2475" i="1"/>
  <c r="S2476" i="1"/>
  <c r="S2477" i="1"/>
  <c r="S2478" i="1"/>
  <c r="S2479" i="1"/>
  <c r="S2480" i="1"/>
  <c r="S2481" i="1"/>
  <c r="S2482" i="1"/>
  <c r="S2483" i="1"/>
  <c r="S2484" i="1"/>
  <c r="S2485" i="1"/>
  <c r="S2486" i="1"/>
  <c r="S2487" i="1"/>
  <c r="S2488" i="1"/>
  <c r="S2489" i="1"/>
  <c r="S2490" i="1"/>
  <c r="S2491" i="1"/>
  <c r="S2492" i="1"/>
  <c r="S2493" i="1"/>
  <c r="S1991" i="1"/>
  <c r="AC2047" i="1"/>
  <c r="AB2047" i="1" s="1"/>
  <c r="AA2047" i="1" s="1"/>
  <c r="AJ2049" i="1"/>
  <c r="AI2049" i="1" s="1"/>
  <c r="AH2049" i="1" s="1"/>
  <c r="AC2049" i="1"/>
  <c r="AB2049" i="1" s="1"/>
  <c r="AA2049" i="1" s="1"/>
  <c r="AC2088" i="1"/>
  <c r="AB2088" i="1" s="1"/>
  <c r="AA2088" i="1" s="1"/>
  <c r="V2088" i="1"/>
  <c r="W2088" i="1" s="1"/>
  <c r="AC2097" i="1"/>
  <c r="AB2097" i="1" s="1"/>
  <c r="AA2097" i="1" s="1"/>
  <c r="V2097" i="1"/>
  <c r="W2097" i="1" s="1"/>
  <c r="AJ2097" i="1"/>
  <c r="AI2097" i="1" s="1"/>
  <c r="AH2097" i="1" s="1"/>
  <c r="S1972" i="1"/>
  <c r="S1973" i="1"/>
  <c r="S1974" i="1"/>
  <c r="S1975" i="1"/>
  <c r="S1976" i="1"/>
  <c r="S1977" i="1"/>
  <c r="S1978" i="1"/>
  <c r="S1979" i="1"/>
  <c r="S1980" i="1"/>
  <c r="S1981" i="1"/>
  <c r="S1982" i="1"/>
  <c r="S1983" i="1"/>
  <c r="S1984" i="1"/>
  <c r="S1985" i="1"/>
  <c r="S1986" i="1"/>
  <c r="S1987" i="1"/>
  <c r="S1988" i="1"/>
  <c r="S1989" i="1"/>
  <c r="V2049" i="1"/>
  <c r="W2049" i="1" s="1"/>
  <c r="AC2054" i="1"/>
  <c r="AB2054" i="1" s="1"/>
  <c r="AA2054" i="1" s="1"/>
  <c r="AJ2058" i="1"/>
  <c r="AI2058" i="1" s="1"/>
  <c r="AH2058" i="1" s="1"/>
  <c r="AC2058" i="1"/>
  <c r="AB2058" i="1" s="1"/>
  <c r="AA2058" i="1" s="1"/>
  <c r="AC2070" i="1"/>
  <c r="AB2070" i="1" s="1"/>
  <c r="AA2070" i="1" s="1"/>
  <c r="AJ2078" i="1"/>
  <c r="AI2078" i="1" s="1"/>
  <c r="AH2078" i="1" s="1"/>
  <c r="AC2078" i="1"/>
  <c r="AB2078" i="1" s="1"/>
  <c r="AA2078" i="1" s="1"/>
  <c r="AJ2084" i="1"/>
  <c r="AI2084" i="1" s="1"/>
  <c r="AH2084" i="1" s="1"/>
  <c r="AC2084" i="1"/>
  <c r="AB2084" i="1" s="1"/>
  <c r="AA2084" i="1" s="1"/>
  <c r="V2084" i="1"/>
  <c r="W2084" i="1" s="1"/>
  <c r="AC2096" i="1"/>
  <c r="AB2096" i="1" s="1"/>
  <c r="AA2096" i="1" s="1"/>
  <c r="V2096" i="1"/>
  <c r="W2096" i="1" s="1"/>
  <c r="S2089" i="1"/>
  <c r="S2087" i="1"/>
  <c r="S2085" i="1"/>
  <c r="S2083" i="1"/>
  <c r="S2079" i="1"/>
  <c r="S2077" i="1"/>
  <c r="S2075" i="1"/>
  <c r="S2073" i="1"/>
  <c r="S2072" i="1"/>
  <c r="S2071" i="1"/>
  <c r="S2081" i="1"/>
  <c r="S2086" i="1"/>
  <c r="S2074" i="1"/>
  <c r="AA2095" i="1"/>
  <c r="AA2102" i="1"/>
  <c r="AH2106" i="1"/>
  <c r="AA2101" i="1"/>
  <c r="AA2103" i="1"/>
  <c r="AA2105" i="1"/>
  <c r="AA2107" i="1"/>
  <c r="AA2109" i="1"/>
  <c r="AA2110" i="1"/>
  <c r="AA2111" i="1"/>
  <c r="AA2112" i="1"/>
  <c r="AA2113" i="1"/>
  <c r="AA2114" i="1"/>
  <c r="AA2115" i="1"/>
  <c r="S1930" i="1"/>
  <c r="AJ1930" i="1" s="1"/>
  <c r="AI1930" i="1" s="1"/>
  <c r="AH1930" i="1" s="1"/>
  <c r="S1931" i="1"/>
  <c r="S1932" i="1"/>
  <c r="AJ1932" i="1" s="1"/>
  <c r="AI1932" i="1" s="1"/>
  <c r="AH1932" i="1" s="1"/>
  <c r="S1933" i="1"/>
  <c r="AJ1933" i="1" s="1"/>
  <c r="AI1933" i="1" s="1"/>
  <c r="AH1933" i="1" s="1"/>
  <c r="S1934" i="1"/>
  <c r="AJ1934" i="1" s="1"/>
  <c r="AI1934" i="1" s="1"/>
  <c r="AH1934" i="1" s="1"/>
  <c r="S1935" i="1"/>
  <c r="S1936" i="1"/>
  <c r="AJ1936" i="1" s="1"/>
  <c r="AI1936" i="1" s="1"/>
  <c r="AH1936" i="1" s="1"/>
  <c r="S1937" i="1"/>
  <c r="AJ1937" i="1" s="1"/>
  <c r="AI1937" i="1" s="1"/>
  <c r="AH1937" i="1" s="1"/>
  <c r="S1938" i="1"/>
  <c r="AJ1938" i="1" s="1"/>
  <c r="AI1938" i="1" s="1"/>
  <c r="AH1938" i="1" s="1"/>
  <c r="S1939" i="1"/>
  <c r="S1940" i="1"/>
  <c r="AJ1940" i="1" s="1"/>
  <c r="AI1940" i="1" s="1"/>
  <c r="AH1940" i="1" s="1"/>
  <c r="S1941" i="1"/>
  <c r="AJ1941" i="1" s="1"/>
  <c r="AI1941" i="1" s="1"/>
  <c r="AH1941" i="1" s="1"/>
  <c r="S1942" i="1"/>
  <c r="S1943" i="1"/>
  <c r="AA159" i="1"/>
  <c r="AH238" i="1"/>
  <c r="AA241" i="1"/>
  <c r="AH248" i="1"/>
  <c r="AA280" i="1"/>
  <c r="AI370" i="1"/>
  <c r="AH370" i="1" s="1"/>
  <c r="AI468" i="1"/>
  <c r="AH468" i="1" s="1"/>
  <c r="AH567" i="1"/>
  <c r="AH309" i="1"/>
  <c r="AH430" i="1"/>
  <c r="J1532" i="1"/>
  <c r="AA1723" i="1"/>
  <c r="AH1731" i="1"/>
  <c r="AH1781" i="1"/>
  <c r="AJ1900" i="1"/>
  <c r="AI1900" i="1" s="1"/>
  <c r="AH1900" i="1" s="1"/>
  <c r="AC1900" i="1"/>
  <c r="AB1900" i="1" s="1"/>
  <c r="AA1900" i="1" s="1"/>
  <c r="V1900" i="1"/>
  <c r="W1900" i="1" s="1"/>
  <c r="AJ1902" i="1"/>
  <c r="AI1902" i="1" s="1"/>
  <c r="AH1902" i="1" s="1"/>
  <c r="AC1902" i="1"/>
  <c r="AB1902" i="1" s="1"/>
  <c r="AA1902" i="1" s="1"/>
  <c r="V1902" i="1"/>
  <c r="W1902" i="1" s="1"/>
  <c r="AJ1904" i="1"/>
  <c r="AI1904" i="1" s="1"/>
  <c r="AH1904" i="1" s="1"/>
  <c r="AC1904" i="1"/>
  <c r="AB1904" i="1" s="1"/>
  <c r="AA1904" i="1" s="1"/>
  <c r="V1904" i="1"/>
  <c r="W1904" i="1" s="1"/>
  <c r="AJ1906" i="1"/>
  <c r="AI1906" i="1" s="1"/>
  <c r="AH1906" i="1" s="1"/>
  <c r="AC1906" i="1"/>
  <c r="AB1906" i="1" s="1"/>
  <c r="AA1906" i="1" s="1"/>
  <c r="V1906" i="1"/>
  <c r="W1906" i="1" s="1"/>
  <c r="AJ1908" i="1"/>
  <c r="AI1908" i="1" s="1"/>
  <c r="AH1908" i="1" s="1"/>
  <c r="AC1908" i="1"/>
  <c r="AB1908" i="1" s="1"/>
  <c r="AA1908" i="1" s="1"/>
  <c r="V1908" i="1"/>
  <c r="W1908" i="1" s="1"/>
  <c r="AJ1910" i="1"/>
  <c r="AI1910" i="1" s="1"/>
  <c r="AH1910" i="1" s="1"/>
  <c r="AC1910" i="1"/>
  <c r="AB1910" i="1" s="1"/>
  <c r="AA1910" i="1" s="1"/>
  <c r="V1910" i="1"/>
  <c r="W1910" i="1" s="1"/>
  <c r="AJ1912" i="1"/>
  <c r="AI1912" i="1" s="1"/>
  <c r="AH1912" i="1" s="1"/>
  <c r="AC1912" i="1"/>
  <c r="AB1912" i="1" s="1"/>
  <c r="AA1912" i="1" s="1"/>
  <c r="V1912" i="1"/>
  <c r="W1912" i="1" s="1"/>
  <c r="AJ1914" i="1"/>
  <c r="AI1914" i="1" s="1"/>
  <c r="AH1914" i="1" s="1"/>
  <c r="AC1914" i="1"/>
  <c r="AB1914" i="1" s="1"/>
  <c r="AA1914" i="1" s="1"/>
  <c r="V1914" i="1"/>
  <c r="W1914" i="1" s="1"/>
  <c r="AJ1916" i="1"/>
  <c r="AI1916" i="1" s="1"/>
  <c r="AH1916" i="1" s="1"/>
  <c r="AC1916" i="1"/>
  <c r="AB1916" i="1" s="1"/>
  <c r="AA1916" i="1" s="1"/>
  <c r="V1916" i="1"/>
  <c r="W1916" i="1" s="1"/>
  <c r="AJ1918" i="1"/>
  <c r="AI1918" i="1" s="1"/>
  <c r="AH1918" i="1" s="1"/>
  <c r="AC1918" i="1"/>
  <c r="AB1918" i="1" s="1"/>
  <c r="AA1918" i="1" s="1"/>
  <c r="V1918" i="1"/>
  <c r="W1918" i="1" s="1"/>
  <c r="V1920" i="1"/>
  <c r="W1920" i="1" s="1"/>
  <c r="AJ1920" i="1"/>
  <c r="AI1920" i="1" s="1"/>
  <c r="AH1920" i="1" s="1"/>
  <c r="AC1920" i="1"/>
  <c r="AB1920" i="1" s="1"/>
  <c r="AA1920" i="1" s="1"/>
  <c r="AJ1901" i="1"/>
  <c r="AI1901" i="1" s="1"/>
  <c r="AH1901" i="1" s="1"/>
  <c r="AC1901" i="1"/>
  <c r="AB1901" i="1" s="1"/>
  <c r="AA1901" i="1" s="1"/>
  <c r="V1901" i="1"/>
  <c r="W1901" i="1" s="1"/>
  <c r="AJ1903" i="1"/>
  <c r="AI1903" i="1" s="1"/>
  <c r="AH1903" i="1" s="1"/>
  <c r="AC1903" i="1"/>
  <c r="AB1903" i="1" s="1"/>
  <c r="AA1903" i="1" s="1"/>
  <c r="V1903" i="1"/>
  <c r="W1903" i="1" s="1"/>
  <c r="AJ1905" i="1"/>
  <c r="AI1905" i="1" s="1"/>
  <c r="AH1905" i="1" s="1"/>
  <c r="AC1905" i="1"/>
  <c r="AB1905" i="1" s="1"/>
  <c r="AA1905" i="1" s="1"/>
  <c r="V1905" i="1"/>
  <c r="W1905" i="1" s="1"/>
  <c r="AJ1907" i="1"/>
  <c r="AI1907" i="1" s="1"/>
  <c r="AH1907" i="1" s="1"/>
  <c r="AC1907" i="1"/>
  <c r="AB1907" i="1" s="1"/>
  <c r="AA1907" i="1" s="1"/>
  <c r="V1907" i="1"/>
  <c r="W1907" i="1" s="1"/>
  <c r="AJ1909" i="1"/>
  <c r="AI1909" i="1" s="1"/>
  <c r="AH1909" i="1" s="1"/>
  <c r="AC1909" i="1"/>
  <c r="AB1909" i="1" s="1"/>
  <c r="AA1909" i="1" s="1"/>
  <c r="V1909" i="1"/>
  <c r="W1909" i="1" s="1"/>
  <c r="AJ1911" i="1"/>
  <c r="AI1911" i="1" s="1"/>
  <c r="AH1911" i="1" s="1"/>
  <c r="AC1911" i="1"/>
  <c r="AB1911" i="1" s="1"/>
  <c r="AA1911" i="1" s="1"/>
  <c r="V1911" i="1"/>
  <c r="W1911" i="1" s="1"/>
  <c r="AJ1913" i="1"/>
  <c r="AI1913" i="1" s="1"/>
  <c r="AH1913" i="1" s="1"/>
  <c r="AC1913" i="1"/>
  <c r="AB1913" i="1" s="1"/>
  <c r="AA1913" i="1" s="1"/>
  <c r="V1913" i="1"/>
  <c r="W1913" i="1" s="1"/>
  <c r="AJ1915" i="1"/>
  <c r="AI1915" i="1" s="1"/>
  <c r="AH1915" i="1" s="1"/>
  <c r="AC1915" i="1"/>
  <c r="AB1915" i="1" s="1"/>
  <c r="AA1915" i="1" s="1"/>
  <c r="V1915" i="1"/>
  <c r="W1915" i="1" s="1"/>
  <c r="AJ1917" i="1"/>
  <c r="AI1917" i="1" s="1"/>
  <c r="AH1917" i="1" s="1"/>
  <c r="AC1917" i="1"/>
  <c r="AB1917" i="1" s="1"/>
  <c r="AA1917" i="1" s="1"/>
  <c r="V1917" i="1"/>
  <c r="W1917" i="1" s="1"/>
  <c r="AJ1919" i="1"/>
  <c r="AI1919" i="1" s="1"/>
  <c r="AH1919" i="1" s="1"/>
  <c r="AC1919" i="1"/>
  <c r="AB1919" i="1" s="1"/>
  <c r="AA1919" i="1" s="1"/>
  <c r="V1919" i="1"/>
  <c r="W1919" i="1" s="1"/>
  <c r="AA344" i="1"/>
  <c r="AH439" i="1"/>
  <c r="AH478" i="1"/>
  <c r="AA483" i="1"/>
  <c r="Y5" i="12" l="1"/>
  <c r="X4" i="6" s="1"/>
  <c r="V1236" i="1"/>
  <c r="W1236" i="1" s="1"/>
  <c r="AC1236" i="1"/>
  <c r="AB1236" i="1" s="1"/>
  <c r="AA1236" i="1" s="1"/>
  <c r="AG6" i="12"/>
  <c r="AI6" i="12"/>
  <c r="AB6" i="12"/>
  <c r="AF6" i="12" s="1"/>
  <c r="Z7" i="12"/>
  <c r="AH6" i="12"/>
  <c r="AJ2004" i="1"/>
  <c r="AI2004" i="1" s="1"/>
  <c r="AH2004" i="1" s="1"/>
  <c r="V2011" i="1"/>
  <c r="W2011" i="1" s="1"/>
  <c r="V1731" i="1"/>
  <c r="W1731" i="1" s="1"/>
  <c r="V1812" i="1"/>
  <c r="W1812" i="1" s="1"/>
  <c r="AJ1660" i="1"/>
  <c r="AI1660" i="1" s="1"/>
  <c r="AH1660" i="1" s="1"/>
  <c r="V1826" i="1"/>
  <c r="W1826" i="1" s="1"/>
  <c r="AJ1783" i="1"/>
  <c r="AI1783" i="1" s="1"/>
  <c r="AH1783" i="1" s="1"/>
  <c r="AC1441" i="1"/>
  <c r="AB1441" i="1" s="1"/>
  <c r="AA1441" i="1" s="1"/>
  <c r="AJ1426" i="1"/>
  <c r="AI1426" i="1" s="1"/>
  <c r="AH1426" i="1" s="1"/>
  <c r="AJ1552" i="1"/>
  <c r="AI1552" i="1" s="1"/>
  <c r="AH1552" i="1" s="1"/>
  <c r="V489" i="1"/>
  <c r="W489" i="1" s="1"/>
  <c r="AJ1838" i="1"/>
  <c r="AI1838" i="1" s="1"/>
  <c r="AH1838" i="1" s="1"/>
  <c r="V1426" i="1"/>
  <c r="W1426" i="1" s="1"/>
  <c r="AC1552" i="1"/>
  <c r="AB1552" i="1" s="1"/>
  <c r="AA1552" i="1" s="1"/>
  <c r="AC481" i="1"/>
  <c r="AB481" i="1" s="1"/>
  <c r="AA481" i="1" s="1"/>
  <c r="V2054" i="1"/>
  <c r="W2054" i="1" s="1"/>
  <c r="AJ1782" i="1"/>
  <c r="AI1782" i="1" s="1"/>
  <c r="AH1782" i="1" s="1"/>
  <c r="V682" i="1"/>
  <c r="W682" i="1" s="1"/>
  <c r="AC489" i="1"/>
  <c r="AB489" i="1" s="1"/>
  <c r="AA489" i="1" s="1"/>
  <c r="V238" i="1"/>
  <c r="W238" i="1" s="1"/>
  <c r="AC2004" i="1"/>
  <c r="AB2004" i="1" s="1"/>
  <c r="AA2004" i="1" s="1"/>
  <c r="V159" i="1"/>
  <c r="W159" i="1" s="1"/>
  <c r="AC2062" i="1"/>
  <c r="AB2062" i="1" s="1"/>
  <c r="AA2062" i="1" s="1"/>
  <c r="AJ2035" i="1"/>
  <c r="AI2035" i="1" s="1"/>
  <c r="AH2035" i="1" s="1"/>
  <c r="V869" i="1"/>
  <c r="W869" i="1" s="1"/>
  <c r="AC238" i="1"/>
  <c r="AB238" i="1" s="1"/>
  <c r="AA238" i="1" s="1"/>
  <c r="AC248" i="1"/>
  <c r="AB248" i="1" s="1"/>
  <c r="AA248" i="1" s="1"/>
  <c r="AC943" i="1"/>
  <c r="AB943" i="1" s="1"/>
  <c r="AA943" i="1" s="1"/>
  <c r="V743" i="1"/>
  <c r="W743" i="1" s="1"/>
  <c r="AC743" i="1"/>
  <c r="AB743" i="1" s="1"/>
  <c r="AA743" i="1" s="1"/>
  <c r="AJ563" i="1"/>
  <c r="AI563" i="1" s="1"/>
  <c r="AH563" i="1" s="1"/>
  <c r="V561" i="1"/>
  <c r="W561" i="1" s="1"/>
  <c r="AC1294" i="1"/>
  <c r="AB1294" i="1" s="1"/>
  <c r="AA1294" i="1" s="1"/>
  <c r="V1733" i="1"/>
  <c r="W1733" i="1" s="1"/>
  <c r="V531" i="1"/>
  <c r="W531" i="1" s="1"/>
  <c r="AJ1512" i="1"/>
  <c r="AI1512" i="1" s="1"/>
  <c r="AH1512" i="1" s="1"/>
  <c r="V1548" i="1"/>
  <c r="W1548" i="1" s="1"/>
  <c r="V291" i="1"/>
  <c r="W291" i="1" s="1"/>
  <c r="AC1621" i="1"/>
  <c r="AB1621" i="1" s="1"/>
  <c r="AA1621" i="1" s="1"/>
  <c r="V1592" i="1"/>
  <c r="W1592" i="1" s="1"/>
  <c r="V989" i="1"/>
  <c r="W989" i="1" s="1"/>
  <c r="AC876" i="1"/>
  <c r="AB876" i="1" s="1"/>
  <c r="AA876" i="1" s="1"/>
  <c r="AJ749" i="1"/>
  <c r="AI749" i="1" s="1"/>
  <c r="AH749" i="1" s="1"/>
  <c r="AC692" i="1"/>
  <c r="AB692" i="1" s="1"/>
  <c r="AA692" i="1" s="1"/>
  <c r="V481" i="1"/>
  <c r="W481" i="1" s="1"/>
  <c r="AJ1741" i="1"/>
  <c r="AI1741" i="1" s="1"/>
  <c r="AH1741" i="1" s="1"/>
  <c r="AC1839" i="1"/>
  <c r="AB1839" i="1" s="1"/>
  <c r="AA1839" i="1" s="1"/>
  <c r="V2062" i="1"/>
  <c r="W2062" i="1" s="1"/>
  <c r="AJ1829" i="1"/>
  <c r="AI1829" i="1" s="1"/>
  <c r="AH1829" i="1" s="1"/>
  <c r="V1521" i="1"/>
  <c r="W1521" i="1" s="1"/>
  <c r="AJ1644" i="1"/>
  <c r="AI1644" i="1" s="1"/>
  <c r="AH1644" i="1" s="1"/>
  <c r="AC1628" i="1"/>
  <c r="AB1628" i="1" s="1"/>
  <c r="AA1628" i="1" s="1"/>
  <c r="AJ1764" i="1"/>
  <c r="AI1764" i="1" s="1"/>
  <c r="AH1764" i="1" s="1"/>
  <c r="V1708" i="1"/>
  <c r="W1708" i="1" s="1"/>
  <c r="AJ1381" i="1"/>
  <c r="AI1381" i="1" s="1"/>
  <c r="AH1381" i="1" s="1"/>
  <c r="AC704" i="1"/>
  <c r="AB704" i="1" s="1"/>
  <c r="AA704" i="1" s="1"/>
  <c r="V2046" i="1"/>
  <c r="W2046" i="1" s="1"/>
  <c r="AC989" i="1"/>
  <c r="AB989" i="1" s="1"/>
  <c r="AA989" i="1" s="1"/>
  <c r="AC703" i="1"/>
  <c r="AB703" i="1" s="1"/>
  <c r="AA703" i="1" s="1"/>
  <c r="AJ703" i="1"/>
  <c r="AI703" i="1" s="1"/>
  <c r="AH703" i="1" s="1"/>
  <c r="AJ486" i="1"/>
  <c r="AI486" i="1" s="1"/>
  <c r="AH486" i="1" s="1"/>
  <c r="V271" i="1"/>
  <c r="W271" i="1" s="1"/>
  <c r="V704" i="1"/>
  <c r="W704" i="1" s="1"/>
  <c r="AJ869" i="1"/>
  <c r="AI869" i="1" s="1"/>
  <c r="AH869" i="1" s="1"/>
  <c r="V1841" i="1"/>
  <c r="W1841" i="1" s="1"/>
  <c r="AJ1521" i="1"/>
  <c r="AI1521" i="1" s="1"/>
  <c r="AH1521" i="1" s="1"/>
  <c r="AJ1708" i="1"/>
  <c r="AI1708" i="1" s="1"/>
  <c r="AH1708" i="1" s="1"/>
  <c r="V1628" i="1"/>
  <c r="W1628" i="1" s="1"/>
  <c r="AC2046" i="1"/>
  <c r="AB2046" i="1" s="1"/>
  <c r="AA2046" i="1" s="1"/>
  <c r="V1764" i="1"/>
  <c r="W1764" i="1" s="1"/>
  <c r="AJ1609" i="1"/>
  <c r="AI1609" i="1" s="1"/>
  <c r="AH1609" i="1" s="1"/>
  <c r="AJ1733" i="1"/>
  <c r="AI1733" i="1" s="1"/>
  <c r="AH1733" i="1" s="1"/>
  <c r="AC1568" i="1"/>
  <c r="AB1568" i="1" s="1"/>
  <c r="AA1568" i="1" s="1"/>
  <c r="AM1654" i="1"/>
  <c r="AC1644" i="1"/>
  <c r="AB1644" i="1" s="1"/>
  <c r="AA1644" i="1" s="1"/>
  <c r="AC1102" i="1"/>
  <c r="AB1102" i="1" s="1"/>
  <c r="AA1102" i="1" s="1"/>
  <c r="V1102" i="1"/>
  <c r="W1102" i="1" s="1"/>
  <c r="V404" i="1"/>
  <c r="W404" i="1" s="1"/>
  <c r="AC240" i="1"/>
  <c r="AB240" i="1" s="1"/>
  <c r="AA240" i="1" s="1"/>
  <c r="V692" i="1"/>
  <c r="W692" i="1" s="1"/>
  <c r="V1669" i="1"/>
  <c r="W1669" i="1" s="1"/>
  <c r="AC1381" i="1"/>
  <c r="AB1381" i="1" s="1"/>
  <c r="AA1381" i="1" s="1"/>
  <c r="AC1228" i="1"/>
  <c r="AB1228" i="1" s="1"/>
  <c r="AA1228" i="1" s="1"/>
  <c r="AJ1226" i="1"/>
  <c r="AI1226" i="1" s="1"/>
  <c r="AH1226" i="1" s="1"/>
  <c r="AJ2014" i="1"/>
  <c r="AI2014" i="1" s="1"/>
  <c r="AH2014" i="1" s="1"/>
  <c r="V1829" i="1"/>
  <c r="W1829" i="1" s="1"/>
  <c r="V1818" i="1"/>
  <c r="W1818" i="1" s="1"/>
  <c r="V1609" i="1"/>
  <c r="W1609" i="1" s="1"/>
  <c r="V949" i="1"/>
  <c r="W949" i="1" s="1"/>
  <c r="AC749" i="1"/>
  <c r="AB749" i="1" s="1"/>
  <c r="AA749" i="1" s="1"/>
  <c r="AC404" i="1"/>
  <c r="AB404" i="1" s="1"/>
  <c r="AA404" i="1" s="1"/>
  <c r="V486" i="1"/>
  <c r="W486" i="1" s="1"/>
  <c r="V423" i="1"/>
  <c r="W423" i="1" s="1"/>
  <c r="V240" i="1"/>
  <c r="W240" i="1" s="1"/>
  <c r="V564" i="1"/>
  <c r="W564" i="1" s="1"/>
  <c r="V236" i="1"/>
  <c r="W236" i="1" s="1"/>
  <c r="V1314" i="1"/>
  <c r="W1314" i="1" s="1"/>
  <c r="V553" i="1"/>
  <c r="W553" i="1" s="1"/>
  <c r="V468" i="1"/>
  <c r="W468" i="1" s="1"/>
  <c r="AC468" i="1"/>
  <c r="AB468" i="1" s="1"/>
  <c r="AA468" i="1" s="1"/>
  <c r="AJ432" i="1"/>
  <c r="AI432" i="1" s="1"/>
  <c r="AH432" i="1" s="1"/>
  <c r="AJ264" i="1"/>
  <c r="AI264" i="1" s="1"/>
  <c r="AH264" i="1" s="1"/>
  <c r="AJ1621" i="1"/>
  <c r="AI1621" i="1" s="1"/>
  <c r="AH1621" i="1" s="1"/>
  <c r="V860" i="1"/>
  <c r="W860" i="1" s="1"/>
  <c r="AC2065" i="1"/>
  <c r="AB2065" i="1" s="1"/>
  <c r="AA2065" i="1" s="1"/>
  <c r="AC1585" i="1"/>
  <c r="AB1585" i="1" s="1"/>
  <c r="AA1585" i="1" s="1"/>
  <c r="AJ1400" i="1"/>
  <c r="AI1400" i="1" s="1"/>
  <c r="AH1400" i="1" s="1"/>
  <c r="V746" i="1"/>
  <c r="W746" i="1" s="1"/>
  <c r="AC1448" i="1"/>
  <c r="AB1448" i="1" s="1"/>
  <c r="AA1448" i="1" s="1"/>
  <c r="V1543" i="1"/>
  <c r="W1543" i="1" s="1"/>
  <c r="V1400" i="1"/>
  <c r="W1400" i="1" s="1"/>
  <c r="V1355" i="1"/>
  <c r="W1355" i="1" s="1"/>
  <c r="AC291" i="1"/>
  <c r="AB291" i="1" s="1"/>
  <c r="AA291" i="1" s="1"/>
  <c r="AJ20" i="1"/>
  <c r="AI20" i="1" s="1"/>
  <c r="AH20" i="1" s="1"/>
  <c r="AJ225" i="1"/>
  <c r="AI225" i="1" s="1"/>
  <c r="AH225" i="1" s="1"/>
  <c r="V225" i="1"/>
  <c r="W225" i="1" s="1"/>
  <c r="AC152" i="1"/>
  <c r="AB152" i="1" s="1"/>
  <c r="AA152" i="1" s="1"/>
  <c r="AJ1355" i="1"/>
  <c r="AI1355" i="1" s="1"/>
  <c r="AH1355" i="1" s="1"/>
  <c r="AJ1545" i="1"/>
  <c r="AI1545" i="1" s="1"/>
  <c r="AH1545" i="1" s="1"/>
  <c r="V1512" i="1"/>
  <c r="W1512" i="1" s="1"/>
  <c r="AC1548" i="1"/>
  <c r="AB1548" i="1" s="1"/>
  <c r="AA1548" i="1" s="1"/>
  <c r="V1838" i="1"/>
  <c r="W1838" i="1" s="1"/>
  <c r="AJ296" i="1"/>
  <c r="AI296" i="1" s="1"/>
  <c r="AH296" i="1" s="1"/>
  <c r="AJ701" i="1"/>
  <c r="AI701" i="1" s="1"/>
  <c r="AH701" i="1" s="1"/>
  <c r="AJ273" i="1"/>
  <c r="AI273" i="1" s="1"/>
  <c r="AH273" i="1" s="1"/>
  <c r="V698" i="1"/>
  <c r="W698" i="1" s="1"/>
  <c r="V2064" i="1"/>
  <c r="W2064" i="1" s="1"/>
  <c r="V2052" i="1"/>
  <c r="W2052" i="1" s="1"/>
  <c r="AJ2064" i="1"/>
  <c r="AI2064" i="1" s="1"/>
  <c r="AH2064" i="1" s="1"/>
  <c r="V1078" i="1"/>
  <c r="W1078" i="1" s="1"/>
  <c r="AJ852" i="1"/>
  <c r="AI852" i="1" s="1"/>
  <c r="AH852" i="1" s="1"/>
  <c r="AJ1804" i="1"/>
  <c r="AI1804" i="1" s="1"/>
  <c r="AH1804" i="1" s="1"/>
  <c r="AC1724" i="1"/>
  <c r="AB1724" i="1" s="1"/>
  <c r="AA1724" i="1" s="1"/>
  <c r="V1705" i="1"/>
  <c r="W1705" i="1" s="1"/>
  <c r="AJ1705" i="1"/>
  <c r="AI1705" i="1" s="1"/>
  <c r="AH1705" i="1" s="1"/>
  <c r="AC1078" i="1"/>
  <c r="AB1078" i="1" s="1"/>
  <c r="AA1078" i="1" s="1"/>
  <c r="AJ1568" i="1"/>
  <c r="AI1568" i="1" s="1"/>
  <c r="AH1568" i="1" s="1"/>
  <c r="V2010" i="1"/>
  <c r="W2010" i="1" s="1"/>
  <c r="V2014" i="1"/>
  <c r="W2014" i="1" s="1"/>
  <c r="AC2010" i="1"/>
  <c r="AB2010" i="1" s="1"/>
  <c r="AA2010" i="1" s="1"/>
  <c r="AJ1685" i="1"/>
  <c r="AI1685" i="1" s="1"/>
  <c r="AH1685" i="1" s="1"/>
  <c r="V1685" i="1"/>
  <c r="W1685" i="1" s="1"/>
  <c r="AJ1593" i="1"/>
  <c r="AI1593" i="1" s="1"/>
  <c r="AH1593" i="1" s="1"/>
  <c r="AC1226" i="1"/>
  <c r="AB1226" i="1" s="1"/>
  <c r="AA1226" i="1" s="1"/>
  <c r="V1228" i="1"/>
  <c r="W1228" i="1" s="1"/>
  <c r="AC673" i="1"/>
  <c r="AB673" i="1" s="1"/>
  <c r="AA673" i="1" s="1"/>
  <c r="AJ271" i="1"/>
  <c r="AI271" i="1" s="1"/>
  <c r="AH271" i="1" s="1"/>
  <c r="V273" i="1"/>
  <c r="W273" i="1" s="1"/>
  <c r="AC563" i="1"/>
  <c r="AB563" i="1" s="1"/>
  <c r="AA563" i="1" s="1"/>
  <c r="AJ308" i="1"/>
  <c r="AI308" i="1" s="1"/>
  <c r="AH308" i="1" s="1"/>
  <c r="AC296" i="1"/>
  <c r="AB296" i="1" s="1"/>
  <c r="AA296" i="1" s="1"/>
  <c r="AC1789" i="1"/>
  <c r="AB1789" i="1" s="1"/>
  <c r="AA1789" i="1" s="1"/>
  <c r="V2055" i="1"/>
  <c r="W2055" i="1" s="1"/>
  <c r="AC2055" i="1"/>
  <c r="AB2055" i="1" s="1"/>
  <c r="AA2055" i="1" s="1"/>
  <c r="AJ1535" i="1"/>
  <c r="AI1535" i="1" s="1"/>
  <c r="AH1535" i="1" s="1"/>
  <c r="AC1712" i="1"/>
  <c r="AB1712" i="1" s="1"/>
  <c r="AA1712" i="1" s="1"/>
  <c r="V1610" i="1"/>
  <c r="W1610" i="1" s="1"/>
  <c r="AJ1610" i="1"/>
  <c r="AI1610" i="1" s="1"/>
  <c r="AH1610" i="1" s="1"/>
  <c r="AJ698" i="1"/>
  <c r="AI698" i="1" s="1"/>
  <c r="AH698" i="1" s="1"/>
  <c r="V1730" i="1"/>
  <c r="W1730" i="1" s="1"/>
  <c r="AC564" i="1"/>
  <c r="AB564" i="1" s="1"/>
  <c r="AA564" i="1" s="1"/>
  <c r="V152" i="1"/>
  <c r="W152" i="1" s="1"/>
  <c r="AJ2015" i="1"/>
  <c r="AI2015" i="1" s="1"/>
  <c r="AH2015" i="1" s="1"/>
  <c r="AJ1576" i="1"/>
  <c r="AI1576" i="1" s="1"/>
  <c r="AH1576" i="1" s="1"/>
  <c r="V1440" i="1"/>
  <c r="W1440" i="1" s="1"/>
  <c r="AC361" i="1"/>
  <c r="AB361" i="1" s="1"/>
  <c r="AA361" i="1" s="1"/>
  <c r="V1232" i="1"/>
  <c r="W1232" i="1" s="1"/>
  <c r="V361" i="1"/>
  <c r="W361" i="1" s="1"/>
  <c r="AJ672" i="1"/>
  <c r="AI672" i="1" s="1"/>
  <c r="AH672" i="1" s="1"/>
  <c r="AJ2065" i="1"/>
  <c r="AI2065" i="1" s="1"/>
  <c r="AH2065" i="1" s="1"/>
  <c r="AC1746" i="1"/>
  <c r="AB1746" i="1" s="1"/>
  <c r="AA1746" i="1" s="1"/>
  <c r="AC1463" i="1"/>
  <c r="AB1463" i="1" s="1"/>
  <c r="AA1463" i="1" s="1"/>
  <c r="V1576" i="1"/>
  <c r="W1576" i="1" s="1"/>
  <c r="V441" i="1"/>
  <c r="W441" i="1" s="1"/>
  <c r="V1463" i="1"/>
  <c r="W1463" i="1" s="1"/>
  <c r="AJ1130" i="1"/>
  <c r="AI1130" i="1" s="1"/>
  <c r="AH1130" i="1" s="1"/>
  <c r="AC671" i="1"/>
  <c r="AB671" i="1" s="1"/>
  <c r="AA671" i="1" s="1"/>
  <c r="AC1130" i="1"/>
  <c r="AB1130" i="1" s="1"/>
  <c r="AA1130" i="1" s="1"/>
  <c r="V1458" i="1"/>
  <c r="W1458" i="1" s="1"/>
  <c r="AJ1682" i="1"/>
  <c r="AI1682" i="1" s="1"/>
  <c r="AH1682" i="1" s="1"/>
  <c r="V1569" i="1"/>
  <c r="W1569" i="1" s="1"/>
  <c r="V2035" i="1"/>
  <c r="W2035" i="1" s="1"/>
  <c r="AC1682" i="1"/>
  <c r="AB1682" i="1" s="1"/>
  <c r="AA1682" i="1" s="1"/>
  <c r="AJ1807" i="1"/>
  <c r="AI1807" i="1" s="1"/>
  <c r="AH1807" i="1" s="1"/>
  <c r="AC1741" i="1"/>
  <c r="AB1741" i="1" s="1"/>
  <c r="AA1741" i="1" s="1"/>
  <c r="AJ1322" i="1"/>
  <c r="AI1322" i="1" s="1"/>
  <c r="AH1322" i="1" s="1"/>
  <c r="AJ1712" i="1"/>
  <c r="AI1712" i="1" s="1"/>
  <c r="AH1712" i="1" s="1"/>
  <c r="V1294" i="1"/>
  <c r="W1294" i="1" s="1"/>
  <c r="AC1335" i="1"/>
  <c r="AB1335" i="1" s="1"/>
  <c r="AA1335" i="1" s="1"/>
  <c r="AC990" i="1"/>
  <c r="AB990" i="1" s="1"/>
  <c r="AA990" i="1" s="1"/>
  <c r="V877" i="1"/>
  <c r="W877" i="1" s="1"/>
  <c r="AC877" i="1"/>
  <c r="AB877" i="1" s="1"/>
  <c r="AA877" i="1" s="1"/>
  <c r="AC668" i="1"/>
  <c r="AB668" i="1" s="1"/>
  <c r="AA668" i="1" s="1"/>
  <c r="V567" i="1"/>
  <c r="W567" i="1" s="1"/>
  <c r="V432" i="1"/>
  <c r="W432" i="1" s="1"/>
  <c r="V358" i="1"/>
  <c r="W358" i="1" s="1"/>
  <c r="AC682" i="1"/>
  <c r="AB682" i="1" s="1"/>
  <c r="AA682" i="1" s="1"/>
  <c r="AC553" i="1"/>
  <c r="AB553" i="1" s="1"/>
  <c r="AA553" i="1" s="1"/>
  <c r="AC423" i="1"/>
  <c r="AB423" i="1" s="1"/>
  <c r="AA423" i="1" s="1"/>
  <c r="V243" i="1"/>
  <c r="W243" i="1" s="1"/>
  <c r="AJ541" i="1"/>
  <c r="AI541" i="1" s="1"/>
  <c r="AH541" i="1" s="1"/>
  <c r="V278" i="1"/>
  <c r="W278" i="1" s="1"/>
  <c r="V248" i="1"/>
  <c r="W248" i="1" s="1"/>
  <c r="V154" i="1"/>
  <c r="W154" i="1" s="1"/>
  <c r="AC142" i="1"/>
  <c r="AB142" i="1" s="1"/>
  <c r="AA142" i="1" s="1"/>
  <c r="AC1781" i="1"/>
  <c r="AB1781" i="1" s="1"/>
  <c r="AA1781" i="1" s="1"/>
  <c r="AC1818" i="1"/>
  <c r="AB1818" i="1" s="1"/>
  <c r="AA1818" i="1" s="1"/>
  <c r="AC860" i="1"/>
  <c r="AB860" i="1" s="1"/>
  <c r="AA860" i="1" s="1"/>
  <c r="AC452" i="1"/>
  <c r="AB452" i="1" s="1"/>
  <c r="AA452" i="1" s="1"/>
  <c r="AJ673" i="1"/>
  <c r="AI673" i="1" s="1"/>
  <c r="AH673" i="1" s="1"/>
  <c r="V1820" i="1"/>
  <c r="W1820" i="1" s="1"/>
  <c r="AJ1724" i="1"/>
  <c r="AI1724" i="1" s="1"/>
  <c r="AH1724" i="1" s="1"/>
  <c r="AC1596" i="1"/>
  <c r="AB1596" i="1" s="1"/>
  <c r="AA1596" i="1" s="1"/>
  <c r="AC1241" i="1"/>
  <c r="AB1241" i="1" s="1"/>
  <c r="AA1241" i="1" s="1"/>
  <c r="AJ320" i="1"/>
  <c r="AI320" i="1" s="1"/>
  <c r="AH320" i="1" s="1"/>
  <c r="AC1730" i="1"/>
  <c r="AB1730" i="1" s="1"/>
  <c r="AA1730" i="1" s="1"/>
  <c r="V1743" i="1"/>
  <c r="W1743" i="1" s="1"/>
  <c r="V150" i="1"/>
  <c r="W150" i="1" s="1"/>
  <c r="AJ1717" i="1"/>
  <c r="AI1717" i="1" s="1"/>
  <c r="AH1717" i="1" s="1"/>
  <c r="AJ1743" i="1"/>
  <c r="AI1743" i="1" s="1"/>
  <c r="AH1743" i="1" s="1"/>
  <c r="AJ2070" i="1"/>
  <c r="AI2070" i="1" s="1"/>
  <c r="AH2070" i="1" s="1"/>
  <c r="AC2051" i="1"/>
  <c r="AB2051" i="1" s="1"/>
  <c r="AA2051" i="1" s="1"/>
  <c r="V2069" i="1"/>
  <c r="W2069" i="1" s="1"/>
  <c r="AJ2047" i="1"/>
  <c r="AI2047" i="1" s="1"/>
  <c r="AH2047" i="1" s="1"/>
  <c r="AJ2061" i="1"/>
  <c r="AI2061" i="1" s="1"/>
  <c r="AH2061" i="1" s="1"/>
  <c r="V1745" i="1"/>
  <c r="W1745" i="1" s="1"/>
  <c r="V1709" i="1"/>
  <c r="W1709" i="1" s="1"/>
  <c r="AC1797" i="1"/>
  <c r="AB1797" i="1" s="1"/>
  <c r="AA1797" i="1" s="1"/>
  <c r="AJ1820" i="1"/>
  <c r="AI1820" i="1" s="1"/>
  <c r="AH1820" i="1" s="1"/>
  <c r="AJ1778" i="1"/>
  <c r="AI1778" i="1" s="1"/>
  <c r="AH1778" i="1" s="1"/>
  <c r="AJ1668" i="1"/>
  <c r="AI1668" i="1" s="1"/>
  <c r="AH1668" i="1" s="1"/>
  <c r="V2059" i="1"/>
  <c r="W2059" i="1" s="1"/>
  <c r="AJ1470" i="1"/>
  <c r="AI1470" i="1" s="1"/>
  <c r="AH1470" i="1" s="1"/>
  <c r="V1383" i="1"/>
  <c r="W1383" i="1" s="1"/>
  <c r="V861" i="1"/>
  <c r="W861" i="1" s="1"/>
  <c r="AC861" i="1"/>
  <c r="AB861" i="1" s="1"/>
  <c r="AA861" i="1" s="1"/>
  <c r="AC266" i="1"/>
  <c r="AB266" i="1" s="1"/>
  <c r="AA266" i="1" s="1"/>
  <c r="V301" i="1"/>
  <c r="W301" i="1" s="1"/>
  <c r="V288" i="1"/>
  <c r="W288" i="1" s="1"/>
  <c r="AJ1725" i="1"/>
  <c r="AI1725" i="1" s="1"/>
  <c r="AH1725" i="1" s="1"/>
  <c r="V2076" i="1"/>
  <c r="W2076" i="1" s="1"/>
  <c r="AJ2051" i="1"/>
  <c r="AI2051" i="1" s="1"/>
  <c r="AH2051" i="1" s="1"/>
  <c r="AJ2008" i="1"/>
  <c r="AI2008" i="1" s="1"/>
  <c r="AH2008" i="1" s="1"/>
  <c r="V1797" i="1"/>
  <c r="W1797" i="1" s="1"/>
  <c r="AC2059" i="1"/>
  <c r="AB2059" i="1" s="1"/>
  <c r="AA2059" i="1" s="1"/>
  <c r="AC1270" i="1"/>
  <c r="AB1270" i="1" s="1"/>
  <c r="AA1270" i="1" s="1"/>
  <c r="V839" i="1"/>
  <c r="W839" i="1" s="1"/>
  <c r="AC850" i="1"/>
  <c r="AB850" i="1" s="1"/>
  <c r="AA850" i="1" s="1"/>
  <c r="V459" i="1"/>
  <c r="W459" i="1" s="1"/>
  <c r="V433" i="1"/>
  <c r="W433" i="1" s="1"/>
  <c r="AC367" i="1"/>
  <c r="AB367" i="1" s="1"/>
  <c r="AA367" i="1" s="1"/>
  <c r="V304" i="1"/>
  <c r="W304" i="1" s="1"/>
  <c r="V266" i="1"/>
  <c r="W266" i="1" s="1"/>
  <c r="AJ227" i="1"/>
  <c r="AI227" i="1" s="1"/>
  <c r="AH227" i="1" s="1"/>
  <c r="AC288" i="1"/>
  <c r="AB288" i="1" s="1"/>
  <c r="AA288" i="1" s="1"/>
  <c r="AC2008" i="1"/>
  <c r="AB2008" i="1" s="1"/>
  <c r="AA2008" i="1" s="1"/>
  <c r="AC2076" i="1"/>
  <c r="AB2076" i="1" s="1"/>
  <c r="AA2076" i="1" s="1"/>
  <c r="V1620" i="1"/>
  <c r="W1620" i="1" s="1"/>
  <c r="V1739" i="1"/>
  <c r="W1739" i="1" s="1"/>
  <c r="AJ1543" i="1"/>
  <c r="AI1543" i="1" s="1"/>
  <c r="AH1543" i="1" s="1"/>
  <c r="AC839" i="1"/>
  <c r="AB839" i="1" s="1"/>
  <c r="AA839" i="1" s="1"/>
  <c r="V487" i="1"/>
  <c r="W487" i="1" s="1"/>
  <c r="V1137" i="1"/>
  <c r="W1137" i="1" s="1"/>
  <c r="AC487" i="1"/>
  <c r="AB487" i="1" s="1"/>
  <c r="AA487" i="1" s="1"/>
  <c r="AJ304" i="1"/>
  <c r="AI304" i="1" s="1"/>
  <c r="AH304" i="1" s="1"/>
  <c r="AC39" i="1"/>
  <c r="AB39" i="1" s="1"/>
  <c r="AA39" i="1" s="1"/>
  <c r="V862" i="1"/>
  <c r="W862" i="1" s="1"/>
  <c r="AJ1318" i="1"/>
  <c r="AI1318" i="1" s="1"/>
  <c r="AH1318" i="1" s="1"/>
  <c r="AJ1329" i="1"/>
  <c r="AI1329" i="1" s="1"/>
  <c r="AH1329" i="1" s="1"/>
  <c r="AC1422" i="1"/>
  <c r="AB1422" i="1" s="1"/>
  <c r="AA1422" i="1" s="1"/>
  <c r="V2061" i="1"/>
  <c r="W2061" i="1" s="1"/>
  <c r="AJ1620" i="1"/>
  <c r="AI1620" i="1" s="1"/>
  <c r="AH1620" i="1" s="1"/>
  <c r="V1562" i="1"/>
  <c r="W1562" i="1" s="1"/>
  <c r="AC1813" i="1"/>
  <c r="AB1813" i="1" s="1"/>
  <c r="AA1813" i="1" s="1"/>
  <c r="AC1562" i="1"/>
  <c r="AB1562" i="1" s="1"/>
  <c r="AA1562" i="1" s="1"/>
  <c r="V1596" i="1"/>
  <c r="W1596" i="1" s="1"/>
  <c r="AC1569" i="1"/>
  <c r="AB1569" i="1" s="1"/>
  <c r="AA1569" i="1" s="1"/>
  <c r="V1470" i="1"/>
  <c r="W1470" i="1" s="1"/>
  <c r="AC1739" i="1"/>
  <c r="AB1739" i="1" s="1"/>
  <c r="AA1739" i="1" s="1"/>
  <c r="AC1612" i="1"/>
  <c r="AB1612" i="1" s="1"/>
  <c r="AA1612" i="1" s="1"/>
  <c r="AJ1465" i="1"/>
  <c r="AI1465" i="1" s="1"/>
  <c r="AH1465" i="1" s="1"/>
  <c r="V1446" i="1"/>
  <c r="W1446" i="1" s="1"/>
  <c r="V1710" i="1"/>
  <c r="W1710" i="1" s="1"/>
  <c r="AC1669" i="1"/>
  <c r="AB1669" i="1" s="1"/>
  <c r="AA1669" i="1" s="1"/>
  <c r="V1613" i="1"/>
  <c r="W1613" i="1" s="1"/>
  <c r="AC1592" i="1"/>
  <c r="AB1592" i="1" s="1"/>
  <c r="AA1592" i="1" s="1"/>
  <c r="AJ1573" i="1"/>
  <c r="AI1573" i="1" s="1"/>
  <c r="AH1573" i="1" s="1"/>
  <c r="AJ1394" i="1"/>
  <c r="AI1394" i="1" s="1"/>
  <c r="AH1394" i="1" s="1"/>
  <c r="AJ1302" i="1"/>
  <c r="AI1302" i="1" s="1"/>
  <c r="AH1302" i="1" s="1"/>
  <c r="V1420" i="1"/>
  <c r="W1420" i="1" s="1"/>
  <c r="AJ1270" i="1"/>
  <c r="AI1270" i="1" s="1"/>
  <c r="AH1270" i="1" s="1"/>
  <c r="AC1224" i="1"/>
  <c r="AB1224" i="1" s="1"/>
  <c r="AA1224" i="1" s="1"/>
  <c r="V850" i="1"/>
  <c r="W850" i="1" s="1"/>
  <c r="AC849" i="1"/>
  <c r="AB849" i="1" s="1"/>
  <c r="AA849" i="1" s="1"/>
  <c r="V410" i="1"/>
  <c r="W410" i="1" s="1"/>
  <c r="V332" i="1"/>
  <c r="W332" i="1" s="1"/>
  <c r="AC265" i="1"/>
  <c r="AB265" i="1" s="1"/>
  <c r="AA265" i="1" s="1"/>
  <c r="AC339" i="1"/>
  <c r="AB339" i="1" s="1"/>
  <c r="AA339" i="1" s="1"/>
  <c r="V265" i="1"/>
  <c r="W265" i="1" s="1"/>
  <c r="AM40" i="1"/>
  <c r="AC1717" i="1"/>
  <c r="AB1717" i="1" s="1"/>
  <c r="AA1717" i="1" s="1"/>
  <c r="AC1614" i="1"/>
  <c r="AB1614" i="1" s="1"/>
  <c r="AA1614" i="1" s="1"/>
  <c r="AJ1735" i="1"/>
  <c r="AI1735" i="1" s="1"/>
  <c r="AH1735" i="1" s="1"/>
  <c r="AC1551" i="1"/>
  <c r="AB1551" i="1" s="1"/>
  <c r="AA1551" i="1" s="1"/>
  <c r="V1925" i="1"/>
  <c r="W1925" i="1" s="1"/>
  <c r="AJ2069" i="1"/>
  <c r="AI2069" i="1" s="1"/>
  <c r="AH2069" i="1" s="1"/>
  <c r="AJ1841" i="1"/>
  <c r="AI1841" i="1" s="1"/>
  <c r="AH1841" i="1" s="1"/>
  <c r="AC1924" i="1"/>
  <c r="AB1924" i="1" s="1"/>
  <c r="AA1924" i="1" s="1"/>
  <c r="AC1745" i="1"/>
  <c r="AB1745" i="1" s="1"/>
  <c r="AA1745" i="1" s="1"/>
  <c r="V1735" i="1"/>
  <c r="W1735" i="1" s="1"/>
  <c r="V1697" i="1"/>
  <c r="W1697" i="1" s="1"/>
  <c r="V1614" i="1"/>
  <c r="W1614" i="1" s="1"/>
  <c r="AJ1446" i="1"/>
  <c r="AI1446" i="1" s="1"/>
  <c r="AH1446" i="1" s="1"/>
  <c r="AC1710" i="1"/>
  <c r="AB1710" i="1" s="1"/>
  <c r="AA1710" i="1" s="1"/>
  <c r="AC1613" i="1"/>
  <c r="AB1613" i="1" s="1"/>
  <c r="AA1613" i="1" s="1"/>
  <c r="AC1573" i="1"/>
  <c r="AB1573" i="1" s="1"/>
  <c r="AA1573" i="1" s="1"/>
  <c r="AC1394" i="1"/>
  <c r="AB1394" i="1" s="1"/>
  <c r="AA1394" i="1" s="1"/>
  <c r="V1323" i="1"/>
  <c r="W1323" i="1" s="1"/>
  <c r="AJ1420" i="1"/>
  <c r="AI1420" i="1" s="1"/>
  <c r="AH1420" i="1" s="1"/>
  <c r="V1041" i="1"/>
  <c r="W1041" i="1" s="1"/>
  <c r="AC476" i="1"/>
  <c r="AB476" i="1" s="1"/>
  <c r="AA476" i="1" s="1"/>
  <c r="AC332" i="1"/>
  <c r="AB332" i="1" s="1"/>
  <c r="AA332" i="1" s="1"/>
  <c r="V339" i="1"/>
  <c r="W339" i="1" s="1"/>
  <c r="V476" i="1"/>
  <c r="W476" i="1" s="1"/>
  <c r="AC1725" i="1"/>
  <c r="AB1725" i="1" s="1"/>
  <c r="AA1725" i="1" s="1"/>
  <c r="AJ1458" i="1"/>
  <c r="AI1458" i="1" s="1"/>
  <c r="AH1458" i="1" s="1"/>
  <c r="V1545" i="1"/>
  <c r="W1545" i="1" s="1"/>
  <c r="AC1041" i="1"/>
  <c r="AB1041" i="1" s="1"/>
  <c r="AA1041" i="1" s="1"/>
  <c r="AJ862" i="1"/>
  <c r="AI862" i="1" s="1"/>
  <c r="AH862" i="1" s="1"/>
  <c r="V849" i="1"/>
  <c r="W849" i="1" s="1"/>
  <c r="V751" i="1"/>
  <c r="W751" i="1" s="1"/>
  <c r="AJ410" i="1"/>
  <c r="AI410" i="1" s="1"/>
  <c r="AH410" i="1" s="1"/>
  <c r="AJ1709" i="1"/>
  <c r="AI1709" i="1" s="1"/>
  <c r="AH1709" i="1" s="1"/>
  <c r="AC1785" i="1"/>
  <c r="AB1785" i="1" s="1"/>
  <c r="AA1785" i="1" s="1"/>
  <c r="AC1554" i="1"/>
  <c r="AB1554" i="1" s="1"/>
  <c r="AA1554" i="1" s="1"/>
  <c r="AC1807" i="1"/>
  <c r="AB1807" i="1" s="1"/>
  <c r="AA1807" i="1" s="1"/>
  <c r="AJ1744" i="1"/>
  <c r="AI1744" i="1" s="1"/>
  <c r="AH1744" i="1" s="1"/>
  <c r="V1585" i="1"/>
  <c r="W1585" i="1" s="1"/>
  <c r="V1567" i="1"/>
  <c r="W1567" i="1" s="1"/>
  <c r="V1661" i="1"/>
  <c r="W1661" i="1" s="1"/>
  <c r="V1612" i="1"/>
  <c r="W1612" i="1" s="1"/>
  <c r="V1539" i="1"/>
  <c r="W1539" i="1" s="1"/>
  <c r="AJ1440" i="1"/>
  <c r="AI1440" i="1" s="1"/>
  <c r="AH1440" i="1" s="1"/>
  <c r="V1297" i="1"/>
  <c r="W1297" i="1" s="1"/>
  <c r="AC1415" i="1"/>
  <c r="AB1415" i="1" s="1"/>
  <c r="AA1415" i="1" s="1"/>
  <c r="AJ1409" i="1"/>
  <c r="AI1409" i="1" s="1"/>
  <c r="AH1409" i="1" s="1"/>
  <c r="AC1223" i="1"/>
  <c r="AB1223" i="1" s="1"/>
  <c r="AA1223" i="1" s="1"/>
  <c r="AJ868" i="1"/>
  <c r="AI868" i="1" s="1"/>
  <c r="AH868" i="1" s="1"/>
  <c r="V842" i="1"/>
  <c r="W842" i="1" s="1"/>
  <c r="AJ990" i="1"/>
  <c r="AI990" i="1" s="1"/>
  <c r="AH990" i="1" s="1"/>
  <c r="AJ254" i="1"/>
  <c r="AI254" i="1" s="1"/>
  <c r="AH254" i="1" s="1"/>
  <c r="AC150" i="1"/>
  <c r="AB150" i="1" s="1"/>
  <c r="AA150" i="1" s="1"/>
  <c r="AJ324" i="1"/>
  <c r="AI324" i="1" s="1"/>
  <c r="AH324" i="1" s="1"/>
  <c r="V1839" i="1"/>
  <c r="W1839" i="1" s="1"/>
  <c r="V550" i="1"/>
  <c r="W550" i="1" s="1"/>
  <c r="V483" i="1"/>
  <c r="W483" i="1" s="1"/>
  <c r="V1586" i="1"/>
  <c r="W1586" i="1" s="1"/>
  <c r="AC1929" i="1"/>
  <c r="AB1929" i="1" s="1"/>
  <c r="AA1929" i="1" s="1"/>
  <c r="V1929" i="1"/>
  <c r="W1929" i="1" s="1"/>
  <c r="V2015" i="1"/>
  <c r="W2015" i="1" s="1"/>
  <c r="V1668" i="1"/>
  <c r="W1668" i="1" s="1"/>
  <c r="AC1714" i="1"/>
  <c r="AB1714" i="1" s="1"/>
  <c r="AA1714" i="1" s="1"/>
  <c r="AJ1693" i="1"/>
  <c r="AI1693" i="1" s="1"/>
  <c r="AH1693" i="1" s="1"/>
  <c r="V1597" i="1"/>
  <c r="W1597" i="1" s="1"/>
  <c r="V1785" i="1"/>
  <c r="W1785" i="1" s="1"/>
  <c r="AC1718" i="1"/>
  <c r="AB1718" i="1" s="1"/>
  <c r="AA1718" i="1" s="1"/>
  <c r="AJ1567" i="1"/>
  <c r="AI1567" i="1" s="1"/>
  <c r="AH1567" i="1" s="1"/>
  <c r="AC1661" i="1"/>
  <c r="AB1661" i="1" s="1"/>
  <c r="AA1661" i="1" s="1"/>
  <c r="AJ1539" i="1"/>
  <c r="AI1539" i="1" s="1"/>
  <c r="AH1539" i="1" s="1"/>
  <c r="AJ1517" i="1"/>
  <c r="AI1517" i="1" s="1"/>
  <c r="AH1517" i="1" s="1"/>
  <c r="AJ1297" i="1"/>
  <c r="AI1297" i="1" s="1"/>
  <c r="AH1297" i="1" s="1"/>
  <c r="V1415" i="1"/>
  <c r="W1415" i="1" s="1"/>
  <c r="V1318" i="1"/>
  <c r="W1318" i="1" s="1"/>
  <c r="AC1329" i="1"/>
  <c r="AB1329" i="1" s="1"/>
  <c r="AA1329" i="1" s="1"/>
  <c r="AC866" i="1"/>
  <c r="AB866" i="1" s="1"/>
  <c r="AA866" i="1" s="1"/>
  <c r="AC702" i="1"/>
  <c r="AB702" i="1" s="1"/>
  <c r="AA702" i="1" s="1"/>
  <c r="V439" i="1"/>
  <c r="W439" i="1" s="1"/>
  <c r="AC439" i="1"/>
  <c r="AB439" i="1" s="1"/>
  <c r="AA439" i="1" s="1"/>
  <c r="AC275" i="1"/>
  <c r="AB275" i="1" s="1"/>
  <c r="AA275" i="1" s="1"/>
  <c r="V344" i="1"/>
  <c r="W344" i="1" s="1"/>
  <c r="AC285" i="1"/>
  <c r="AB285" i="1" s="1"/>
  <c r="AA285" i="1" s="1"/>
  <c r="V254" i="1"/>
  <c r="W254" i="1" s="1"/>
  <c r="AJ236" i="1"/>
  <c r="AI236" i="1" s="1"/>
  <c r="AH236" i="1" s="1"/>
  <c r="V324" i="1"/>
  <c r="AM88" i="1"/>
  <c r="V1622" i="1"/>
  <c r="W1622" i="1" s="1"/>
  <c r="V868" i="1"/>
  <c r="W868" i="1" s="1"/>
  <c r="AJ550" i="1"/>
  <c r="AI550" i="1" s="1"/>
  <c r="AH550" i="1" s="1"/>
  <c r="AJ702" i="1"/>
  <c r="AI702" i="1" s="1"/>
  <c r="AH702" i="1" s="1"/>
  <c r="V430" i="1"/>
  <c r="W430" i="1" s="1"/>
  <c r="AC1928" i="1"/>
  <c r="AB1928" i="1" s="1"/>
  <c r="AA1928" i="1" s="1"/>
  <c r="AJ1714" i="1"/>
  <c r="AI1714" i="1" s="1"/>
  <c r="AH1714" i="1" s="1"/>
  <c r="V1693" i="1"/>
  <c r="W1693" i="1" s="1"/>
  <c r="AJ1597" i="1"/>
  <c r="AI1597" i="1" s="1"/>
  <c r="AH1597" i="1" s="1"/>
  <c r="V1554" i="1"/>
  <c r="W1554" i="1" s="1"/>
  <c r="AC1535" i="1"/>
  <c r="AB1535" i="1" s="1"/>
  <c r="AA1535" i="1" s="1"/>
  <c r="AJ1232" i="1"/>
  <c r="AI1232" i="1" s="1"/>
  <c r="AH1232" i="1" s="1"/>
  <c r="V866" i="1"/>
  <c r="W866" i="1" s="1"/>
  <c r="V478" i="1"/>
  <c r="W478" i="1" s="1"/>
  <c r="AJ344" i="1"/>
  <c r="AI344" i="1" s="1"/>
  <c r="AH344" i="1" s="1"/>
  <c r="V284" i="1"/>
  <c r="W284" i="1" s="1"/>
  <c r="V299" i="1"/>
  <c r="W299" i="1" s="1"/>
  <c r="AC284" i="1"/>
  <c r="AB284" i="1" s="1"/>
  <c r="AA284" i="1" s="1"/>
  <c r="V1789" i="1"/>
  <c r="W1789" i="1" s="1"/>
  <c r="V1778" i="1"/>
  <c r="W1778" i="1" s="1"/>
  <c r="AC1782" i="1"/>
  <c r="AB1782" i="1" s="1"/>
  <c r="AA1782" i="1" s="1"/>
  <c r="V1941" i="1"/>
  <c r="W1941" i="1" s="1"/>
  <c r="AC1926" i="1"/>
  <c r="AB1926" i="1" s="1"/>
  <c r="AA1926" i="1" s="1"/>
  <c r="V1926" i="1"/>
  <c r="W1926" i="1" s="1"/>
  <c r="AC1925" i="1"/>
  <c r="AB1925" i="1" s="1"/>
  <c r="AA1925" i="1" s="1"/>
  <c r="V323" i="1"/>
  <c r="W323" i="1" s="1"/>
  <c r="AC154" i="1"/>
  <c r="AB154" i="1" s="1"/>
  <c r="AA154" i="1" s="1"/>
  <c r="AJ285" i="1"/>
  <c r="AI285" i="1" s="1"/>
  <c r="AH285" i="1" s="1"/>
  <c r="V370" i="1"/>
  <c r="W370" i="1" s="1"/>
  <c r="V1937" i="1"/>
  <c r="W1937" i="1" s="1"/>
  <c r="AC1930" i="1"/>
  <c r="AB1930" i="1" s="1"/>
  <c r="AA1930" i="1" s="1"/>
  <c r="V1928" i="1"/>
  <c r="W1928" i="1" s="1"/>
  <c r="V452" i="1"/>
  <c r="W452" i="1" s="1"/>
  <c r="V1441" i="1"/>
  <c r="W1441" i="1" s="1"/>
  <c r="AC243" i="1"/>
  <c r="AB243" i="1" s="1"/>
  <c r="AA243" i="1" s="1"/>
  <c r="AC1940" i="1"/>
  <c r="AB1940" i="1" s="1"/>
  <c r="AA1940" i="1" s="1"/>
  <c r="V1944" i="1"/>
  <c r="W1944" i="1" s="1"/>
  <c r="V1537" i="1"/>
  <c r="W1537" i="1" s="1"/>
  <c r="V1322" i="1"/>
  <c r="W1322" i="1" s="1"/>
  <c r="AC681" i="1"/>
  <c r="AB681" i="1" s="1"/>
  <c r="AA681" i="1" s="1"/>
  <c r="AJ681" i="1"/>
  <c r="AI681" i="1" s="1"/>
  <c r="AH681" i="1" s="1"/>
  <c r="AJ348" i="1"/>
  <c r="AI348" i="1" s="1"/>
  <c r="AH348" i="1" s="1"/>
  <c r="AC541" i="1"/>
  <c r="AB541" i="1" s="1"/>
  <c r="AA541" i="1" s="1"/>
  <c r="AJ293" i="1"/>
  <c r="AI293" i="1" s="1"/>
  <c r="AH293" i="1" s="1"/>
  <c r="AJ323" i="1"/>
  <c r="AI323" i="1" s="1"/>
  <c r="AH323" i="1" s="1"/>
  <c r="AC1944" i="1"/>
  <c r="AB1944" i="1" s="1"/>
  <c r="AA1944" i="1" s="1"/>
  <c r="AC1936" i="1"/>
  <c r="AB1936" i="1" s="1"/>
  <c r="AA1936" i="1" s="1"/>
  <c r="AJ1534" i="1"/>
  <c r="AI1534" i="1" s="1"/>
  <c r="AH1534" i="1" s="1"/>
  <c r="V1241" i="1"/>
  <c r="W1241" i="1" s="1"/>
  <c r="AJ278" i="1"/>
  <c r="AI278" i="1" s="1"/>
  <c r="AH278" i="1" s="1"/>
  <c r="AJ159" i="1"/>
  <c r="AI159" i="1" s="1"/>
  <c r="AH159" i="1" s="1"/>
  <c r="AC140" i="1"/>
  <c r="AB140" i="1" s="1"/>
  <c r="AA140" i="1" s="1"/>
  <c r="V675" i="1"/>
  <c r="W675" i="1" s="1"/>
  <c r="AC675" i="1"/>
  <c r="AB675" i="1" s="1"/>
  <c r="AA675" i="1" s="1"/>
  <c r="AJ675" i="1"/>
  <c r="AI675" i="1" s="1"/>
  <c r="AH675" i="1" s="1"/>
  <c r="AJ524" i="1"/>
  <c r="AI524" i="1" s="1"/>
  <c r="AH524" i="1" s="1"/>
  <c r="V524" i="1"/>
  <c r="W524" i="1" s="1"/>
  <c r="AJ274" i="1"/>
  <c r="AI274" i="1" s="1"/>
  <c r="AH274" i="1" s="1"/>
  <c r="AC274" i="1"/>
  <c r="AB274" i="1" s="1"/>
  <c r="AA274" i="1" s="1"/>
  <c r="AJ374" i="1"/>
  <c r="AI374" i="1" s="1"/>
  <c r="AH374" i="1" s="1"/>
  <c r="V374" i="1"/>
  <c r="W374" i="1" s="1"/>
  <c r="AC374" i="1"/>
  <c r="AB374" i="1" s="1"/>
  <c r="AA374" i="1" s="1"/>
  <c r="AJ1780" i="1"/>
  <c r="AI1780" i="1" s="1"/>
  <c r="AH1780" i="1" s="1"/>
  <c r="V1780" i="1"/>
  <c r="W1780" i="1" s="1"/>
  <c r="V1611" i="1"/>
  <c r="W1611" i="1" s="1"/>
  <c r="AC1611" i="1"/>
  <c r="AB1611" i="1" s="1"/>
  <c r="AA1611" i="1" s="1"/>
  <c r="AJ246" i="1"/>
  <c r="AI246" i="1" s="1"/>
  <c r="AH246" i="1" s="1"/>
  <c r="AC246" i="1"/>
  <c r="AB246" i="1" s="1"/>
  <c r="AA246" i="1" s="1"/>
  <c r="V246" i="1"/>
  <c r="W246" i="1" s="1"/>
  <c r="V1327" i="1"/>
  <c r="W1327" i="1" s="1"/>
  <c r="AC1327" i="1"/>
  <c r="AB1327" i="1" s="1"/>
  <c r="AA1327" i="1" s="1"/>
  <c r="AC1792" i="1"/>
  <c r="AB1792" i="1" s="1"/>
  <c r="AA1792" i="1" s="1"/>
  <c r="AJ1792" i="1"/>
  <c r="AI1792" i="1" s="1"/>
  <c r="AH1792" i="1" s="1"/>
  <c r="AJ1430" i="1"/>
  <c r="AI1430" i="1" s="1"/>
  <c r="AH1430" i="1" s="1"/>
  <c r="AJ1327" i="1"/>
  <c r="AI1327" i="1" s="1"/>
  <c r="AH1327" i="1" s="1"/>
  <c r="AC524" i="1"/>
  <c r="AB524" i="1" s="1"/>
  <c r="AA524" i="1" s="1"/>
  <c r="AC751" i="1"/>
  <c r="AB751" i="1" s="1"/>
  <c r="AA751" i="1" s="1"/>
  <c r="AJ366" i="1"/>
  <c r="AI366" i="1" s="1"/>
  <c r="AH366" i="1" s="1"/>
  <c r="AC1474" i="1"/>
  <c r="AB1474" i="1" s="1"/>
  <c r="AA1474" i="1" s="1"/>
  <c r="V1474" i="1"/>
  <c r="W1474" i="1" s="1"/>
  <c r="AJ1308" i="1"/>
  <c r="AI1308" i="1" s="1"/>
  <c r="AH1308" i="1" s="1"/>
  <c r="V1308" i="1"/>
  <c r="W1308" i="1" s="1"/>
  <c r="V1049" i="1"/>
  <c r="W1049" i="1" s="1"/>
  <c r="AJ1049" i="1"/>
  <c r="AI1049" i="1" s="1"/>
  <c r="AH1049" i="1" s="1"/>
  <c r="AJ843" i="1"/>
  <c r="AI843" i="1" s="1"/>
  <c r="AH843" i="1" s="1"/>
  <c r="AC843" i="1"/>
  <c r="AB843" i="1" s="1"/>
  <c r="AA843" i="1" s="1"/>
  <c r="V843" i="1"/>
  <c r="W843" i="1" s="1"/>
  <c r="V1384" i="1"/>
  <c r="W1384" i="1" s="1"/>
  <c r="AJ1384" i="1"/>
  <c r="AI1384" i="1" s="1"/>
  <c r="AH1384" i="1" s="1"/>
  <c r="V1144" i="1"/>
  <c r="W1144" i="1" s="1"/>
  <c r="AC1144" i="1"/>
  <c r="AB1144" i="1" s="1"/>
  <c r="AA1144" i="1" s="1"/>
  <c r="V1054" i="1"/>
  <c r="W1054" i="1" s="1"/>
  <c r="AC1054" i="1"/>
  <c r="AB1054" i="1" s="1"/>
  <c r="AA1054" i="1" s="1"/>
  <c r="AC566" i="1"/>
  <c r="AB566" i="1" s="1"/>
  <c r="AA566" i="1" s="1"/>
  <c r="V566" i="1"/>
  <c r="W566" i="1" s="1"/>
  <c r="AJ369" i="1"/>
  <c r="AI369" i="1" s="1"/>
  <c r="AH369" i="1" s="1"/>
  <c r="AC369" i="1"/>
  <c r="AB369" i="1" s="1"/>
  <c r="AA369" i="1" s="1"/>
  <c r="V369" i="1"/>
  <c r="W369" i="1" s="1"/>
  <c r="AJ214" i="1"/>
  <c r="AI214" i="1" s="1"/>
  <c r="AH214" i="1" s="1"/>
  <c r="V214" i="1"/>
  <c r="W214" i="1" s="1"/>
  <c r="AC38" i="1"/>
  <c r="AB38" i="1" s="1"/>
  <c r="AA38" i="1" s="1"/>
  <c r="V38" i="1"/>
  <c r="W38" i="1" s="1"/>
  <c r="AJ38" i="1"/>
  <c r="AI38" i="1" s="1"/>
  <c r="AH38" i="1" s="1"/>
  <c r="AJ148" i="1"/>
  <c r="AI148" i="1" s="1"/>
  <c r="AH148" i="1" s="1"/>
  <c r="V148" i="1"/>
  <c r="W148" i="1" s="1"/>
  <c r="AJ1788" i="1"/>
  <c r="AI1788" i="1" s="1"/>
  <c r="AH1788" i="1" s="1"/>
  <c r="AC1788" i="1"/>
  <c r="AB1788" i="1" s="1"/>
  <c r="AA1788" i="1" s="1"/>
  <c r="AJ418" i="1"/>
  <c r="AI418" i="1" s="1"/>
  <c r="AH418" i="1" s="1"/>
  <c r="V418" i="1"/>
  <c r="W418" i="1" s="1"/>
  <c r="V1831" i="1"/>
  <c r="W1831" i="1" s="1"/>
  <c r="AC1831" i="1"/>
  <c r="AB1831" i="1" s="1"/>
  <c r="AA1831" i="1" s="1"/>
  <c r="AJ1831" i="1"/>
  <c r="AI1831" i="1" s="1"/>
  <c r="AH1831" i="1" s="1"/>
  <c r="AC1780" i="1"/>
  <c r="AB1780" i="1" s="1"/>
  <c r="AA1780" i="1" s="1"/>
  <c r="AJ1837" i="1"/>
  <c r="AI1837" i="1" s="1"/>
  <c r="AH1837" i="1" s="1"/>
  <c r="AC1934" i="1"/>
  <c r="AB1934" i="1" s="1"/>
  <c r="AA1934" i="1" s="1"/>
  <c r="AJ2080" i="1"/>
  <c r="AI2080" i="1" s="1"/>
  <c r="AH2080" i="1" s="1"/>
  <c r="V366" i="1"/>
  <c r="W366" i="1" s="1"/>
  <c r="AC672" i="1"/>
  <c r="AB672" i="1" s="1"/>
  <c r="AA672" i="1" s="1"/>
  <c r="AJ1611" i="1"/>
  <c r="AI1611" i="1" s="1"/>
  <c r="AH1611" i="1" s="1"/>
  <c r="AC229" i="1"/>
  <c r="AB229" i="1" s="1"/>
  <c r="AA229" i="1" s="1"/>
  <c r="AJ229" i="1"/>
  <c r="AI229" i="1" s="1"/>
  <c r="AH229" i="1" s="1"/>
  <c r="AJ144" i="1"/>
  <c r="AI144" i="1" s="1"/>
  <c r="AH144" i="1" s="1"/>
  <c r="AC144" i="1"/>
  <c r="AB144" i="1" s="1"/>
  <c r="AA144" i="1" s="1"/>
  <c r="AC1404" i="1"/>
  <c r="AB1404" i="1" s="1"/>
  <c r="AA1404" i="1" s="1"/>
  <c r="V1404" i="1"/>
  <c r="W1404" i="1" s="1"/>
  <c r="AC302" i="1"/>
  <c r="AB302" i="1" s="1"/>
  <c r="AA302" i="1" s="1"/>
  <c r="AJ302" i="1"/>
  <c r="AI302" i="1" s="1"/>
  <c r="AH302" i="1" s="1"/>
  <c r="V302" i="1"/>
  <c r="W302" i="1" s="1"/>
  <c r="AJ146" i="1"/>
  <c r="AI146" i="1" s="1"/>
  <c r="AH146" i="1" s="1"/>
  <c r="AC146" i="1"/>
  <c r="AB146" i="1" s="1"/>
  <c r="AA146" i="1" s="1"/>
  <c r="AC1719" i="1"/>
  <c r="AB1719" i="1" s="1"/>
  <c r="AA1719" i="1" s="1"/>
  <c r="V1719" i="1"/>
  <c r="W1719" i="1" s="1"/>
  <c r="AJ872" i="1"/>
  <c r="AI872" i="1" s="1"/>
  <c r="AH872" i="1" s="1"/>
  <c r="AC872" i="1"/>
  <c r="AB872" i="1" s="1"/>
  <c r="AA872" i="1" s="1"/>
  <c r="V872" i="1"/>
  <c r="W872" i="1" s="1"/>
  <c r="AJ676" i="1"/>
  <c r="AI676" i="1" s="1"/>
  <c r="AH676" i="1" s="1"/>
  <c r="AC676" i="1"/>
  <c r="AB676" i="1" s="1"/>
  <c r="AA676" i="1" s="1"/>
  <c r="AC1938" i="1"/>
  <c r="AB1938" i="1" s="1"/>
  <c r="AA1938" i="1" s="1"/>
  <c r="V1933" i="1"/>
  <c r="W1933" i="1" s="1"/>
  <c r="V1575" i="1"/>
  <c r="W1575" i="1" s="1"/>
  <c r="AC1575" i="1"/>
  <c r="AB1575" i="1" s="1"/>
  <c r="AA1575" i="1" s="1"/>
  <c r="V146" i="1"/>
  <c r="W146" i="1" s="1"/>
  <c r="V320" i="1"/>
  <c r="W320" i="1" s="1"/>
  <c r="V1792" i="1"/>
  <c r="W1792" i="1" s="1"/>
  <c r="V1442" i="1"/>
  <c r="W1442" i="1" s="1"/>
  <c r="AJ1442" i="1"/>
  <c r="AI1442" i="1" s="1"/>
  <c r="AH1442" i="1" s="1"/>
  <c r="AJ950" i="1"/>
  <c r="AI950" i="1" s="1"/>
  <c r="AH950" i="1" s="1"/>
  <c r="AC950" i="1"/>
  <c r="AB950" i="1" s="1"/>
  <c r="AA950" i="1" s="1"/>
  <c r="V950" i="1"/>
  <c r="W950" i="1" s="1"/>
  <c r="AC1356" i="1"/>
  <c r="AB1356" i="1" s="1"/>
  <c r="AA1356" i="1" s="1"/>
  <c r="V1356" i="1"/>
  <c r="W1356" i="1" s="1"/>
  <c r="AJ19" i="1"/>
  <c r="AI19" i="1" s="1"/>
  <c r="AH19" i="1" s="1"/>
  <c r="AC19" i="1"/>
  <c r="AB19" i="1" s="1"/>
  <c r="AA19" i="1" s="1"/>
  <c r="V19" i="1"/>
  <c r="W19" i="1" s="1"/>
  <c r="AJ1843" i="1"/>
  <c r="AI1843" i="1" s="1"/>
  <c r="AH1843" i="1" s="1"/>
  <c r="AC1843" i="1"/>
  <c r="AB1843" i="1" s="1"/>
  <c r="AA1843" i="1" s="1"/>
  <c r="V559" i="1"/>
  <c r="W559" i="1" s="1"/>
  <c r="V448" i="1"/>
  <c r="W448" i="1" s="1"/>
  <c r="AC559" i="1"/>
  <c r="AB559" i="1" s="1"/>
  <c r="AA559" i="1" s="1"/>
  <c r="V264" i="1"/>
  <c r="W264" i="1" s="1"/>
  <c r="AJ270" i="1"/>
  <c r="AI270" i="1" s="1"/>
  <c r="AH270" i="1" s="1"/>
  <c r="AC20" i="1"/>
  <c r="AB20" i="1" s="1"/>
  <c r="AA20" i="1" s="1"/>
  <c r="AJ301" i="1"/>
  <c r="AI301" i="1" s="1"/>
  <c r="AH301" i="1" s="1"/>
  <c r="V227" i="1"/>
  <c r="W227" i="1" s="1"/>
  <c r="V142" i="1"/>
  <c r="W142" i="1" s="1"/>
  <c r="V308" i="1"/>
  <c r="W308" i="1" s="1"/>
  <c r="AJ1721" i="1"/>
  <c r="AI1721" i="1" s="1"/>
  <c r="AH1721" i="1" s="1"/>
  <c r="AC1323" i="1"/>
  <c r="AB1323" i="1" s="1"/>
  <c r="AA1323" i="1" s="1"/>
  <c r="V1593" i="1"/>
  <c r="W1593" i="1" s="1"/>
  <c r="AC270" i="1"/>
  <c r="AB270" i="1" s="1"/>
  <c r="AA270" i="1" s="1"/>
  <c r="V1828" i="1"/>
  <c r="W1828" i="1" s="1"/>
  <c r="AC1828" i="1"/>
  <c r="AB1828" i="1" s="1"/>
  <c r="AA1828" i="1" s="1"/>
  <c r="AJ1828" i="1"/>
  <c r="AI1828" i="1" s="1"/>
  <c r="AH1828" i="1" s="1"/>
  <c r="AJ1713" i="1"/>
  <c r="AI1713" i="1" s="1"/>
  <c r="AH1713" i="1" s="1"/>
  <c r="AC1713" i="1"/>
  <c r="AB1713" i="1" s="1"/>
  <c r="AA1713" i="1" s="1"/>
  <c r="V1534" i="1"/>
  <c r="W1534" i="1" s="1"/>
  <c r="V943" i="1"/>
  <c r="W943" i="1" s="1"/>
  <c r="AC842" i="1"/>
  <c r="AB842" i="1" s="1"/>
  <c r="AA842" i="1" s="1"/>
  <c r="AC949" i="1"/>
  <c r="AB949" i="1" s="1"/>
  <c r="AA949" i="1" s="1"/>
  <c r="V671" i="1"/>
  <c r="W671" i="1" s="1"/>
  <c r="V367" i="1"/>
  <c r="W367" i="1" s="1"/>
  <c r="AC448" i="1"/>
  <c r="AB448" i="1" s="1"/>
  <c r="AA448" i="1" s="1"/>
  <c r="AC358" i="1"/>
  <c r="AB358" i="1" s="1"/>
  <c r="AA358" i="1" s="1"/>
  <c r="AC567" i="1"/>
  <c r="AB567" i="1" s="1"/>
  <c r="AA567" i="1" s="1"/>
  <c r="AC459" i="1"/>
  <c r="AB459" i="1" s="1"/>
  <c r="AA459" i="1" s="1"/>
  <c r="AC433" i="1"/>
  <c r="AB433" i="1" s="1"/>
  <c r="AA433" i="1" s="1"/>
  <c r="AC299" i="1"/>
  <c r="AB299" i="1" s="1"/>
  <c r="AA299" i="1" s="1"/>
  <c r="AJ275" i="1"/>
  <c r="AI275" i="1" s="1"/>
  <c r="AH275" i="1" s="1"/>
  <c r="V668" i="1"/>
  <c r="W668" i="1" s="1"/>
  <c r="AJ39" i="1"/>
  <c r="AI39" i="1" s="1"/>
  <c r="AH39" i="1" s="1"/>
  <c r="AJ1939" i="1"/>
  <c r="AI1939" i="1" s="1"/>
  <c r="AH1939" i="1" s="1"/>
  <c r="V1939" i="1"/>
  <c r="W1939" i="1" s="1"/>
  <c r="AJ1931" i="1"/>
  <c r="AI1931" i="1" s="1"/>
  <c r="AH1931" i="1" s="1"/>
  <c r="V1931" i="1"/>
  <c r="W1931" i="1" s="1"/>
  <c r="AC1931" i="1"/>
  <c r="AB1931" i="1" s="1"/>
  <c r="AA1931" i="1" s="1"/>
  <c r="AJ1935" i="1"/>
  <c r="AI1935" i="1" s="1"/>
  <c r="AH1935" i="1" s="1"/>
  <c r="V1935" i="1"/>
  <c r="W1935" i="1" s="1"/>
  <c r="AC1935" i="1"/>
  <c r="AB1935" i="1" s="1"/>
  <c r="AA1935" i="1" s="1"/>
  <c r="AC1939" i="1"/>
  <c r="AB1939" i="1" s="1"/>
  <c r="AA1939" i="1" s="1"/>
  <c r="AC2057" i="1"/>
  <c r="AB2057" i="1" s="1"/>
  <c r="AA2057" i="1" s="1"/>
  <c r="V2057" i="1"/>
  <c r="W2057" i="1" s="1"/>
  <c r="AJ2057" i="1"/>
  <c r="AI2057" i="1" s="1"/>
  <c r="AH2057" i="1" s="1"/>
  <c r="AJ1546" i="1"/>
  <c r="AI1546" i="1" s="1"/>
  <c r="AH1546" i="1" s="1"/>
  <c r="AC1546" i="1"/>
  <c r="AB1546" i="1" s="1"/>
  <c r="AA1546" i="1" s="1"/>
  <c r="V1546" i="1"/>
  <c r="W1546" i="1" s="1"/>
  <c r="V1462" i="1"/>
  <c r="W1462" i="1" s="1"/>
  <c r="AJ1462" i="1"/>
  <c r="AI1462" i="1" s="1"/>
  <c r="AH1462" i="1" s="1"/>
  <c r="AC1427" i="1"/>
  <c r="AB1427" i="1" s="1"/>
  <c r="AA1427" i="1" s="1"/>
  <c r="AJ1427" i="1"/>
  <c r="AI1427" i="1" s="1"/>
  <c r="AH1427" i="1" s="1"/>
  <c r="V1427" i="1"/>
  <c r="W1427" i="1" s="1"/>
  <c r="AJ744" i="1"/>
  <c r="AI744" i="1" s="1"/>
  <c r="AH744" i="1" s="1"/>
  <c r="V744" i="1"/>
  <c r="W744" i="1" s="1"/>
  <c r="AJ356" i="1"/>
  <c r="AI356" i="1" s="1"/>
  <c r="AH356" i="1" s="1"/>
  <c r="V356" i="1"/>
  <c r="W356" i="1" s="1"/>
  <c r="AC455" i="1"/>
  <c r="AB455" i="1" s="1"/>
  <c r="AA455" i="1" s="1"/>
  <c r="V455" i="1"/>
  <c r="W455" i="1" s="1"/>
  <c r="AJ455" i="1"/>
  <c r="AI455" i="1" s="1"/>
  <c r="AH455" i="1" s="1"/>
  <c r="V149" i="1"/>
  <c r="W149" i="1" s="1"/>
  <c r="AJ149" i="1"/>
  <c r="AI149" i="1" s="1"/>
  <c r="AH149" i="1" s="1"/>
  <c r="V145" i="1"/>
  <c r="W145" i="1" s="1"/>
  <c r="AJ145" i="1"/>
  <c r="AI145" i="1" s="1"/>
  <c r="AH145" i="1" s="1"/>
  <c r="AC1375" i="1"/>
  <c r="AB1375" i="1" s="1"/>
  <c r="AA1375" i="1" s="1"/>
  <c r="V1375" i="1"/>
  <c r="W1375" i="1" s="1"/>
  <c r="V1382" i="1"/>
  <c r="W1382" i="1" s="1"/>
  <c r="AJ1382" i="1"/>
  <c r="AI1382" i="1" s="1"/>
  <c r="AH1382" i="1" s="1"/>
  <c r="AJ554" i="1"/>
  <c r="AI554" i="1" s="1"/>
  <c r="AH554" i="1" s="1"/>
  <c r="V554" i="1"/>
  <c r="W554" i="1" s="1"/>
  <c r="AC453" i="1"/>
  <c r="AB453" i="1" s="1"/>
  <c r="AA453" i="1" s="1"/>
  <c r="V453" i="1"/>
  <c r="W453" i="1" s="1"/>
  <c r="AC375" i="1"/>
  <c r="AB375" i="1" s="1"/>
  <c r="AA375" i="1" s="1"/>
  <c r="V375" i="1"/>
  <c r="W375" i="1" s="1"/>
  <c r="V155" i="1"/>
  <c r="W155" i="1" s="1"/>
  <c r="AJ155" i="1"/>
  <c r="AI155" i="1" s="1"/>
  <c r="AH155" i="1" s="1"/>
  <c r="AC1932" i="1"/>
  <c r="AB1932" i="1" s="1"/>
  <c r="AA1932" i="1" s="1"/>
  <c r="AC1927" i="1"/>
  <c r="AB1927" i="1" s="1"/>
  <c r="AA1927" i="1" s="1"/>
  <c r="AJ1924" i="1"/>
  <c r="AI1924" i="1" s="1"/>
  <c r="AH1924" i="1" s="1"/>
  <c r="AC2050" i="1"/>
  <c r="AB2050" i="1" s="1"/>
  <c r="AA2050" i="1" s="1"/>
  <c r="AC2052" i="1"/>
  <c r="AB2052" i="1" s="1"/>
  <c r="AA2052" i="1" s="1"/>
  <c r="AC1804" i="1"/>
  <c r="AB1804" i="1" s="1"/>
  <c r="AA1804" i="1" s="1"/>
  <c r="AJ1697" i="1"/>
  <c r="AI1697" i="1" s="1"/>
  <c r="AH1697" i="1" s="1"/>
  <c r="AJ1813" i="1"/>
  <c r="AI1813" i="1" s="1"/>
  <c r="AH1813" i="1" s="1"/>
  <c r="V1746" i="1"/>
  <c r="W1746" i="1" s="1"/>
  <c r="AC1444" i="1"/>
  <c r="AB1444" i="1" s="1"/>
  <c r="AA1444" i="1" s="1"/>
  <c r="AC1591" i="1"/>
  <c r="AB1591" i="1" s="1"/>
  <c r="AA1591" i="1" s="1"/>
  <c r="AC1465" i="1"/>
  <c r="AB1465" i="1" s="1"/>
  <c r="AA1465" i="1" s="1"/>
  <c r="V1452" i="1"/>
  <c r="W1452" i="1" s="1"/>
  <c r="AJ1561" i="1"/>
  <c r="AI1561" i="1" s="1"/>
  <c r="AH1561" i="1" s="1"/>
  <c r="AJ1604" i="1"/>
  <c r="AI1604" i="1" s="1"/>
  <c r="AH1604" i="1" s="1"/>
  <c r="AJ1537" i="1"/>
  <c r="AI1537" i="1" s="1"/>
  <c r="AH1537" i="1" s="1"/>
  <c r="V1336" i="1"/>
  <c r="W1336" i="1" s="1"/>
  <c r="V1372" i="1"/>
  <c r="W1372" i="1" s="1"/>
  <c r="V1396" i="1"/>
  <c r="W1396" i="1" s="1"/>
  <c r="AJ1383" i="1"/>
  <c r="AI1383" i="1" s="1"/>
  <c r="AH1383" i="1" s="1"/>
  <c r="V1295" i="1"/>
  <c r="W1295" i="1" s="1"/>
  <c r="AC1328" i="1"/>
  <c r="AB1328" i="1" s="1"/>
  <c r="AA1328" i="1" s="1"/>
  <c r="AJ1354" i="1"/>
  <c r="AI1354" i="1" s="1"/>
  <c r="AH1354" i="1" s="1"/>
  <c r="AC1307" i="1"/>
  <c r="AB1307" i="1" s="1"/>
  <c r="AA1307" i="1" s="1"/>
  <c r="V1224" i="1"/>
  <c r="W1224" i="1" s="1"/>
  <c r="V867" i="1"/>
  <c r="W867" i="1" s="1"/>
  <c r="V844" i="1"/>
  <c r="W844" i="1" s="1"/>
  <c r="AC867" i="1"/>
  <c r="AB867" i="1" s="1"/>
  <c r="AA867" i="1" s="1"/>
  <c r="V552" i="1"/>
  <c r="W552" i="1" s="1"/>
  <c r="V530" i="1"/>
  <c r="W530" i="1" s="1"/>
  <c r="V464" i="1"/>
  <c r="W464" i="1" s="1"/>
  <c r="AJ1137" i="1"/>
  <c r="AI1137" i="1" s="1"/>
  <c r="AH1137" i="1" s="1"/>
  <c r="AC852" i="1"/>
  <c r="AB852" i="1" s="1"/>
  <c r="AA852" i="1" s="1"/>
  <c r="AC554" i="1"/>
  <c r="AB554" i="1" s="1"/>
  <c r="AA554" i="1" s="1"/>
  <c r="AC531" i="1"/>
  <c r="AB531" i="1" s="1"/>
  <c r="AA531" i="1" s="1"/>
  <c r="AJ458" i="1"/>
  <c r="AI458" i="1" s="1"/>
  <c r="AH458" i="1" s="1"/>
  <c r="AJ438" i="1"/>
  <c r="AI438" i="1" s="1"/>
  <c r="AH438" i="1" s="1"/>
  <c r="AC155" i="1"/>
  <c r="AB155" i="1" s="1"/>
  <c r="AA155" i="1" s="1"/>
  <c r="V156" i="1"/>
  <c r="W156" i="1" s="1"/>
  <c r="V140" i="1"/>
  <c r="W140" i="1" s="1"/>
  <c r="AC156" i="1"/>
  <c r="AB156" i="1" s="1"/>
  <c r="AA156" i="1" s="1"/>
  <c r="AC2045" i="1"/>
  <c r="AB2045" i="1" s="1"/>
  <c r="AA2045" i="1" s="1"/>
  <c r="AJ2045" i="1"/>
  <c r="AI2045" i="1" s="1"/>
  <c r="AH2045" i="1" s="1"/>
  <c r="V2045" i="1"/>
  <c r="W2045" i="1" s="1"/>
  <c r="AJ1796" i="1"/>
  <c r="AI1796" i="1" s="1"/>
  <c r="AH1796" i="1" s="1"/>
  <c r="AC1796" i="1"/>
  <c r="AB1796" i="1" s="1"/>
  <c r="AA1796" i="1" s="1"/>
  <c r="V1796" i="1"/>
  <c r="W1796" i="1" s="1"/>
  <c r="V1627" i="1"/>
  <c r="W1627" i="1" s="1"/>
  <c r="AC1627" i="1"/>
  <c r="AB1627" i="1" s="1"/>
  <c r="AA1627" i="1" s="1"/>
  <c r="AJ1627" i="1"/>
  <c r="AI1627" i="1" s="1"/>
  <c r="AH1627" i="1" s="1"/>
  <c r="AJ2060" i="1"/>
  <c r="AI2060" i="1" s="1"/>
  <c r="AH2060" i="1" s="1"/>
  <c r="V2060" i="1"/>
  <c r="W2060" i="1" s="1"/>
  <c r="AC2060" i="1"/>
  <c r="AB2060" i="1" s="1"/>
  <c r="AA2060" i="1" s="1"/>
  <c r="AC1794" i="1"/>
  <c r="AB1794" i="1" s="1"/>
  <c r="AA1794" i="1" s="1"/>
  <c r="V1794" i="1"/>
  <c r="W1794" i="1" s="1"/>
  <c r="AJ1794" i="1"/>
  <c r="AI1794" i="1" s="1"/>
  <c r="AH1794" i="1" s="1"/>
  <c r="V1738" i="1"/>
  <c r="W1738" i="1" s="1"/>
  <c r="AC1738" i="1"/>
  <c r="AB1738" i="1" s="1"/>
  <c r="AA1738" i="1" s="1"/>
  <c r="AJ1738" i="1"/>
  <c r="AI1738" i="1" s="1"/>
  <c r="AH1738" i="1" s="1"/>
  <c r="AJ1688" i="1"/>
  <c r="AI1688" i="1" s="1"/>
  <c r="AH1688" i="1" s="1"/>
  <c r="AC1688" i="1"/>
  <c r="AB1688" i="1" s="1"/>
  <c r="AA1688" i="1" s="1"/>
  <c r="AJ1584" i="1"/>
  <c r="AI1584" i="1" s="1"/>
  <c r="AH1584" i="1" s="1"/>
  <c r="V1584" i="1"/>
  <c r="W1584" i="1" s="1"/>
  <c r="AC1584" i="1"/>
  <c r="AB1584" i="1" s="1"/>
  <c r="AA1584" i="1" s="1"/>
  <c r="AJ1455" i="1"/>
  <c r="AI1455" i="1" s="1"/>
  <c r="AH1455" i="1" s="1"/>
  <c r="V1455" i="1"/>
  <c r="W1455" i="1" s="1"/>
  <c r="V1321" i="1"/>
  <c r="W1321" i="1" s="1"/>
  <c r="AC1321" i="1"/>
  <c r="AB1321" i="1" s="1"/>
  <c r="AA1321" i="1" s="1"/>
  <c r="AJ1321" i="1"/>
  <c r="AI1321" i="1" s="1"/>
  <c r="AH1321" i="1" s="1"/>
  <c r="AC932" i="1"/>
  <c r="AB932" i="1" s="1"/>
  <c r="AA932" i="1" s="1"/>
  <c r="AJ932" i="1"/>
  <c r="AI932" i="1" s="1"/>
  <c r="AH932" i="1" s="1"/>
  <c r="V932" i="1"/>
  <c r="W932" i="1" s="1"/>
  <c r="AJ740" i="1"/>
  <c r="AI740" i="1" s="1"/>
  <c r="AH740" i="1" s="1"/>
  <c r="V740" i="1"/>
  <c r="W740" i="1" s="1"/>
  <c r="AJ677" i="1"/>
  <c r="AI677" i="1" s="1"/>
  <c r="AH677" i="1" s="1"/>
  <c r="V677" i="1"/>
  <c r="W677" i="1" s="1"/>
  <c r="AC1601" i="1"/>
  <c r="AB1601" i="1" s="1"/>
  <c r="AA1601" i="1" s="1"/>
  <c r="V1601" i="1"/>
  <c r="W1601" i="1" s="1"/>
  <c r="AJ1601" i="1"/>
  <c r="AI1601" i="1" s="1"/>
  <c r="AH1601" i="1" s="1"/>
  <c r="V1565" i="1"/>
  <c r="W1565" i="1" s="1"/>
  <c r="AJ1565" i="1"/>
  <c r="AI1565" i="1" s="1"/>
  <c r="AH1565" i="1" s="1"/>
  <c r="AC1445" i="1"/>
  <c r="AB1445" i="1" s="1"/>
  <c r="AA1445" i="1" s="1"/>
  <c r="AJ1445" i="1"/>
  <c r="AI1445" i="1" s="1"/>
  <c r="AH1445" i="1" s="1"/>
  <c r="V1445" i="1"/>
  <c r="W1445" i="1" s="1"/>
  <c r="AJ1337" i="1"/>
  <c r="AI1337" i="1" s="1"/>
  <c r="AH1337" i="1" s="1"/>
  <c r="AC1337" i="1"/>
  <c r="AB1337" i="1" s="1"/>
  <c r="AA1337" i="1" s="1"/>
  <c r="V1566" i="1"/>
  <c r="W1566" i="1" s="1"/>
  <c r="AC1566" i="1"/>
  <c r="AB1566" i="1" s="1"/>
  <c r="AA1566" i="1" s="1"/>
  <c r="AJ1566" i="1"/>
  <c r="AI1566" i="1" s="1"/>
  <c r="AH1566" i="1" s="1"/>
  <c r="AJ1447" i="1"/>
  <c r="AI1447" i="1" s="1"/>
  <c r="AH1447" i="1" s="1"/>
  <c r="V1447" i="1"/>
  <c r="W1447" i="1" s="1"/>
  <c r="AC1447" i="1"/>
  <c r="AB1447" i="1" s="1"/>
  <c r="AA1447" i="1" s="1"/>
  <c r="AJ1454" i="1"/>
  <c r="AI1454" i="1" s="1"/>
  <c r="AH1454" i="1" s="1"/>
  <c r="AC1454" i="1"/>
  <c r="AB1454" i="1" s="1"/>
  <c r="AA1454" i="1" s="1"/>
  <c r="V1454" i="1"/>
  <c r="W1454" i="1" s="1"/>
  <c r="AJ1299" i="1"/>
  <c r="AI1299" i="1" s="1"/>
  <c r="AH1299" i="1" s="1"/>
  <c r="V1299" i="1"/>
  <c r="W1299" i="1" s="1"/>
  <c r="AC1299" i="1"/>
  <c r="AB1299" i="1" s="1"/>
  <c r="AA1299" i="1" s="1"/>
  <c r="AJ434" i="1"/>
  <c r="AI434" i="1" s="1"/>
  <c r="AH434" i="1" s="1"/>
  <c r="V434" i="1"/>
  <c r="W434" i="1" s="1"/>
  <c r="AJ237" i="1"/>
  <c r="AI237" i="1" s="1"/>
  <c r="AH237" i="1" s="1"/>
  <c r="AC237" i="1"/>
  <c r="AB237" i="1" s="1"/>
  <c r="AA237" i="1" s="1"/>
  <c r="V237" i="1"/>
  <c r="W237" i="1" s="1"/>
  <c r="AC840" i="1"/>
  <c r="AB840" i="1" s="1"/>
  <c r="AA840" i="1" s="1"/>
  <c r="V840" i="1"/>
  <c r="W840" i="1" s="1"/>
  <c r="AJ442" i="1"/>
  <c r="AI442" i="1" s="1"/>
  <c r="AH442" i="1" s="1"/>
  <c r="V442" i="1"/>
  <c r="W442" i="1" s="1"/>
  <c r="AC442" i="1"/>
  <c r="AB442" i="1" s="1"/>
  <c r="AA442" i="1" s="1"/>
  <c r="AJ1366" i="1"/>
  <c r="AI1366" i="1" s="1"/>
  <c r="AH1366" i="1" s="1"/>
  <c r="V1366" i="1"/>
  <c r="W1366" i="1" s="1"/>
  <c r="AC1366" i="1"/>
  <c r="AB1366" i="1" s="1"/>
  <c r="AA1366" i="1" s="1"/>
  <c r="AJ1367" i="1"/>
  <c r="AI1367" i="1" s="1"/>
  <c r="AH1367" i="1" s="1"/>
  <c r="AC1367" i="1"/>
  <c r="AB1367" i="1" s="1"/>
  <c r="AA1367" i="1" s="1"/>
  <c r="V1367" i="1"/>
  <c r="W1367" i="1" s="1"/>
  <c r="AJ562" i="1"/>
  <c r="AI562" i="1" s="1"/>
  <c r="AH562" i="1" s="1"/>
  <c r="AC562" i="1"/>
  <c r="AB562" i="1" s="1"/>
  <c r="AA562" i="1" s="1"/>
  <c r="V562" i="1"/>
  <c r="W562" i="1" s="1"/>
  <c r="AC555" i="1"/>
  <c r="AB555" i="1" s="1"/>
  <c r="AA555" i="1" s="1"/>
  <c r="AJ555" i="1"/>
  <c r="AI555" i="1" s="1"/>
  <c r="AH555" i="1" s="1"/>
  <c r="V555" i="1"/>
  <c r="W555" i="1" s="1"/>
  <c r="AJ482" i="1"/>
  <c r="AI482" i="1" s="1"/>
  <c r="AH482" i="1" s="1"/>
  <c r="V482" i="1"/>
  <c r="W482" i="1" s="1"/>
  <c r="AC482" i="1"/>
  <c r="AB482" i="1" s="1"/>
  <c r="AA482" i="1" s="1"/>
  <c r="AJ460" i="1"/>
  <c r="AI460" i="1" s="1"/>
  <c r="AH460" i="1" s="1"/>
  <c r="V460" i="1"/>
  <c r="W460" i="1" s="1"/>
  <c r="AC460" i="1"/>
  <c r="AB460" i="1" s="1"/>
  <c r="AA460" i="1" s="1"/>
  <c r="V139" i="1"/>
  <c r="W139" i="1" s="1"/>
  <c r="AC139" i="1"/>
  <c r="AB139" i="1" s="1"/>
  <c r="AA139" i="1" s="1"/>
  <c r="AJ139" i="1"/>
  <c r="AI139" i="1" s="1"/>
  <c r="AH139" i="1" s="1"/>
  <c r="V1992" i="1"/>
  <c r="W1992" i="1" s="1"/>
  <c r="AC1992" i="1"/>
  <c r="AB1992" i="1" s="1"/>
  <c r="AA1992" i="1" s="1"/>
  <c r="AJ1748" i="1"/>
  <c r="AI1748" i="1" s="1"/>
  <c r="AH1748" i="1" s="1"/>
  <c r="AC1748" i="1"/>
  <c r="AB1748" i="1" s="1"/>
  <c r="AA1748" i="1" s="1"/>
  <c r="V1594" i="1"/>
  <c r="W1594" i="1" s="1"/>
  <c r="AJ1594" i="1"/>
  <c r="AI1594" i="1" s="1"/>
  <c r="AH1594" i="1" s="1"/>
  <c r="AJ1560" i="1"/>
  <c r="AI1560" i="1" s="1"/>
  <c r="AH1560" i="1" s="1"/>
  <c r="V1560" i="1"/>
  <c r="W1560" i="1" s="1"/>
  <c r="AC1560" i="1"/>
  <c r="AB1560" i="1" s="1"/>
  <c r="AA1560" i="1" s="1"/>
  <c r="AJ678" i="1"/>
  <c r="AI678" i="1" s="1"/>
  <c r="AH678" i="1" s="1"/>
  <c r="V678" i="1"/>
  <c r="W678" i="1" s="1"/>
  <c r="V1602" i="1"/>
  <c r="W1602" i="1" s="1"/>
  <c r="AJ1602" i="1"/>
  <c r="AI1602" i="1" s="1"/>
  <c r="AH1602" i="1" s="1"/>
  <c r="V1603" i="1"/>
  <c r="W1603" i="1" s="1"/>
  <c r="AJ1603" i="1"/>
  <c r="AI1603" i="1" s="1"/>
  <c r="AH1603" i="1" s="1"/>
  <c r="V1433" i="1"/>
  <c r="W1433" i="1" s="1"/>
  <c r="AJ1433" i="1"/>
  <c r="AI1433" i="1" s="1"/>
  <c r="AH1433" i="1" s="1"/>
  <c r="V1574" i="1"/>
  <c r="W1574" i="1" s="1"/>
  <c r="AJ1574" i="1"/>
  <c r="AI1574" i="1" s="1"/>
  <c r="AH1574" i="1" s="1"/>
  <c r="AC1439" i="1"/>
  <c r="AB1439" i="1" s="1"/>
  <c r="AA1439" i="1" s="1"/>
  <c r="AJ1439" i="1"/>
  <c r="AI1439" i="1" s="1"/>
  <c r="AH1439" i="1" s="1"/>
  <c r="V1439" i="1"/>
  <c r="W1439" i="1" s="1"/>
  <c r="V695" i="1"/>
  <c r="W695" i="1" s="1"/>
  <c r="AJ695" i="1"/>
  <c r="AI695" i="1" s="1"/>
  <c r="AH695" i="1" s="1"/>
  <c r="AC846" i="1"/>
  <c r="AB846" i="1" s="1"/>
  <c r="AA846" i="1" s="1"/>
  <c r="V846" i="1"/>
  <c r="W846" i="1" s="1"/>
  <c r="AJ846" i="1"/>
  <c r="AI846" i="1" s="1"/>
  <c r="AH846" i="1" s="1"/>
  <c r="V151" i="1"/>
  <c r="W151" i="1" s="1"/>
  <c r="AJ151" i="1"/>
  <c r="AI151" i="1" s="1"/>
  <c r="AH151" i="1" s="1"/>
  <c r="V1927" i="1"/>
  <c r="W1927" i="1" s="1"/>
  <c r="AC2063" i="1"/>
  <c r="AB2063" i="1" s="1"/>
  <c r="AA2063" i="1" s="1"/>
  <c r="V1748" i="1"/>
  <c r="W1748" i="1" s="1"/>
  <c r="AC1603" i="1"/>
  <c r="AB1603" i="1" s="1"/>
  <c r="AA1603" i="1" s="1"/>
  <c r="V1832" i="1"/>
  <c r="W1832" i="1" s="1"/>
  <c r="V1687" i="1"/>
  <c r="W1687" i="1" s="1"/>
  <c r="AC1574" i="1"/>
  <c r="AB1574" i="1" s="1"/>
  <c r="AA1574" i="1" s="1"/>
  <c r="AJ1375" i="1"/>
  <c r="AI1375" i="1" s="1"/>
  <c r="AH1375" i="1" s="1"/>
  <c r="V1744" i="1"/>
  <c r="W1744" i="1" s="1"/>
  <c r="V1591" i="1"/>
  <c r="W1591" i="1" s="1"/>
  <c r="AC1561" i="1"/>
  <c r="AB1561" i="1" s="1"/>
  <c r="AA1561" i="1" s="1"/>
  <c r="AC1604" i="1"/>
  <c r="AB1604" i="1" s="1"/>
  <c r="AA1604" i="1" s="1"/>
  <c r="AJ1336" i="1"/>
  <c r="AI1336" i="1" s="1"/>
  <c r="AH1336" i="1" s="1"/>
  <c r="AJ1372" i="1"/>
  <c r="AI1372" i="1" s="1"/>
  <c r="AH1372" i="1" s="1"/>
  <c r="AC1430" i="1"/>
  <c r="AB1430" i="1" s="1"/>
  <c r="AA1430" i="1" s="1"/>
  <c r="AJ1396" i="1"/>
  <c r="AI1396" i="1" s="1"/>
  <c r="AH1396" i="1" s="1"/>
  <c r="AJ1295" i="1"/>
  <c r="AI1295" i="1" s="1"/>
  <c r="AH1295" i="1" s="1"/>
  <c r="V1328" i="1"/>
  <c r="W1328" i="1" s="1"/>
  <c r="V1307" i="1"/>
  <c r="W1307" i="1" s="1"/>
  <c r="V1145" i="1"/>
  <c r="W1145" i="1" s="1"/>
  <c r="AC844" i="1"/>
  <c r="AB844" i="1" s="1"/>
  <c r="AA844" i="1" s="1"/>
  <c r="V411" i="1"/>
  <c r="W411" i="1" s="1"/>
  <c r="AC464" i="1"/>
  <c r="AB464" i="1" s="1"/>
  <c r="AA464" i="1" s="1"/>
  <c r="AC438" i="1"/>
  <c r="AB438" i="1" s="1"/>
  <c r="AA438" i="1" s="1"/>
  <c r="AJ530" i="1"/>
  <c r="AI530" i="1" s="1"/>
  <c r="AH530" i="1" s="1"/>
  <c r="AC145" i="1"/>
  <c r="AB145" i="1" s="1"/>
  <c r="AA145" i="1" s="1"/>
  <c r="AJ241" i="1"/>
  <c r="AI241" i="1" s="1"/>
  <c r="AH241" i="1" s="1"/>
  <c r="AJ1795" i="1"/>
  <c r="AI1795" i="1" s="1"/>
  <c r="AH1795" i="1" s="1"/>
  <c r="AC1795" i="1"/>
  <c r="AB1795" i="1" s="1"/>
  <c r="AA1795" i="1" s="1"/>
  <c r="AJ2056" i="1"/>
  <c r="AI2056" i="1" s="1"/>
  <c r="AH2056" i="1" s="1"/>
  <c r="V2056" i="1"/>
  <c r="W2056" i="1" s="1"/>
  <c r="AC2056" i="1"/>
  <c r="AB2056" i="1" s="1"/>
  <c r="AA2056" i="1" s="1"/>
  <c r="V2006" i="1"/>
  <c r="W2006" i="1" s="1"/>
  <c r="AC2006" i="1"/>
  <c r="AB2006" i="1" s="1"/>
  <c r="AA2006" i="1" s="1"/>
  <c r="V1793" i="1"/>
  <c r="W1793" i="1" s="1"/>
  <c r="AC1793" i="1"/>
  <c r="AB1793" i="1" s="1"/>
  <c r="AA1793" i="1" s="1"/>
  <c r="V1779" i="1"/>
  <c r="W1779" i="1" s="1"/>
  <c r="AC1779" i="1"/>
  <c r="AB1779" i="1" s="1"/>
  <c r="AA1779" i="1" s="1"/>
  <c r="V1715" i="1"/>
  <c r="W1715" i="1" s="1"/>
  <c r="AJ1715" i="1"/>
  <c r="AI1715" i="1" s="1"/>
  <c r="AH1715" i="1" s="1"/>
  <c r="V1711" i="1"/>
  <c r="W1711" i="1" s="1"/>
  <c r="AC1711" i="1"/>
  <c r="AB1711" i="1" s="1"/>
  <c r="AA1711" i="1" s="1"/>
  <c r="AJ1729" i="1"/>
  <c r="AI1729" i="1" s="1"/>
  <c r="AH1729" i="1" s="1"/>
  <c r="V1729" i="1"/>
  <c r="W1729" i="1" s="1"/>
  <c r="V1701" i="1"/>
  <c r="W1701" i="1" s="1"/>
  <c r="AC1701" i="1"/>
  <c r="AB1701" i="1" s="1"/>
  <c r="AA1701" i="1" s="1"/>
  <c r="AJ1689" i="1"/>
  <c r="AI1689" i="1" s="1"/>
  <c r="AH1689" i="1" s="1"/>
  <c r="V1689" i="1"/>
  <c r="W1689" i="1" s="1"/>
  <c r="V1301" i="1"/>
  <c r="W1301" i="1" s="1"/>
  <c r="AC1301" i="1"/>
  <c r="AB1301" i="1" s="1"/>
  <c r="AA1301" i="1" s="1"/>
  <c r="AJ1301" i="1"/>
  <c r="AI1301" i="1" s="1"/>
  <c r="AH1301" i="1" s="1"/>
  <c r="AC1588" i="1"/>
  <c r="AB1588" i="1" s="1"/>
  <c r="AA1588" i="1" s="1"/>
  <c r="V1588" i="1"/>
  <c r="W1588" i="1" s="1"/>
  <c r="AJ1588" i="1"/>
  <c r="AI1588" i="1" s="1"/>
  <c r="AH1588" i="1" s="1"/>
  <c r="AJ1598" i="1"/>
  <c r="AI1598" i="1" s="1"/>
  <c r="AH1598" i="1" s="1"/>
  <c r="AC1598" i="1"/>
  <c r="AB1598" i="1" s="1"/>
  <c r="AA1598" i="1" s="1"/>
  <c r="V1598" i="1"/>
  <c r="W1598" i="1" s="1"/>
  <c r="AJ1577" i="1"/>
  <c r="AI1577" i="1" s="1"/>
  <c r="AH1577" i="1" s="1"/>
  <c r="AC1577" i="1"/>
  <c r="AB1577" i="1" s="1"/>
  <c r="AA1577" i="1" s="1"/>
  <c r="AC1580" i="1"/>
  <c r="AB1580" i="1" s="1"/>
  <c r="AA1580" i="1" s="1"/>
  <c r="V1580" i="1"/>
  <c r="W1580" i="1" s="1"/>
  <c r="AJ1580" i="1"/>
  <c r="AI1580" i="1" s="1"/>
  <c r="AH1580" i="1" s="1"/>
  <c r="AC1443" i="1"/>
  <c r="AB1443" i="1" s="1"/>
  <c r="AA1443" i="1" s="1"/>
  <c r="AJ1443" i="1"/>
  <c r="AI1443" i="1" s="1"/>
  <c r="AH1443" i="1" s="1"/>
  <c r="V1443" i="1"/>
  <c r="W1443" i="1" s="1"/>
  <c r="V1416" i="1"/>
  <c r="W1416" i="1" s="1"/>
  <c r="AJ1416" i="1"/>
  <c r="AI1416" i="1" s="1"/>
  <c r="AH1416" i="1" s="1"/>
  <c r="V1451" i="1"/>
  <c r="W1451" i="1" s="1"/>
  <c r="AJ1451" i="1"/>
  <c r="AI1451" i="1" s="1"/>
  <c r="AH1451" i="1" s="1"/>
  <c r="AC1451" i="1"/>
  <c r="AB1451" i="1" s="1"/>
  <c r="AA1451" i="1" s="1"/>
  <c r="AJ1298" i="1"/>
  <c r="AI1298" i="1" s="1"/>
  <c r="AH1298" i="1" s="1"/>
  <c r="AC1298" i="1"/>
  <c r="AB1298" i="1" s="1"/>
  <c r="AA1298" i="1" s="1"/>
  <c r="AC1311" i="1"/>
  <c r="AB1311" i="1" s="1"/>
  <c r="AA1311" i="1" s="1"/>
  <c r="V1311" i="1"/>
  <c r="W1311" i="1" s="1"/>
  <c r="AJ1311" i="1"/>
  <c r="AI1311" i="1" s="1"/>
  <c r="AH1311" i="1" s="1"/>
  <c r="V697" i="1"/>
  <c r="W697" i="1" s="1"/>
  <c r="AJ697" i="1"/>
  <c r="AI697" i="1" s="1"/>
  <c r="AH697" i="1" s="1"/>
  <c r="AJ446" i="1"/>
  <c r="AI446" i="1" s="1"/>
  <c r="AH446" i="1" s="1"/>
  <c r="V446" i="1"/>
  <c r="W446" i="1" s="1"/>
  <c r="AC428" i="1"/>
  <c r="AB428" i="1" s="1"/>
  <c r="AA428" i="1" s="1"/>
  <c r="V428" i="1"/>
  <c r="W428" i="1" s="1"/>
  <c r="AJ428" i="1"/>
  <c r="AI428" i="1" s="1"/>
  <c r="AH428" i="1" s="1"/>
  <c r="AC363" i="1"/>
  <c r="AB363" i="1" s="1"/>
  <c r="AA363" i="1" s="1"/>
  <c r="V363" i="1"/>
  <c r="W363" i="1" s="1"/>
  <c r="V143" i="1"/>
  <c r="W143" i="1" s="1"/>
  <c r="AJ143" i="1"/>
  <c r="AI143" i="1" s="1"/>
  <c r="AH143" i="1" s="1"/>
  <c r="AC841" i="1"/>
  <c r="AB841" i="1" s="1"/>
  <c r="AA841" i="1" s="1"/>
  <c r="AJ841" i="1"/>
  <c r="AI841" i="1" s="1"/>
  <c r="AH841" i="1" s="1"/>
  <c r="V841" i="1"/>
  <c r="W841" i="1" s="1"/>
  <c r="AC461" i="1"/>
  <c r="AB461" i="1" s="1"/>
  <c r="AA461" i="1" s="1"/>
  <c r="V461" i="1"/>
  <c r="W461" i="1" s="1"/>
  <c r="V157" i="1"/>
  <c r="W157" i="1" s="1"/>
  <c r="AJ157" i="1"/>
  <c r="AI157" i="1" s="1"/>
  <c r="AH157" i="1" s="1"/>
  <c r="V141" i="1"/>
  <c r="W141" i="1" s="1"/>
  <c r="AJ141" i="1"/>
  <c r="AI141" i="1" s="1"/>
  <c r="AH141" i="1" s="1"/>
  <c r="AC1370" i="1"/>
  <c r="AB1370" i="1" s="1"/>
  <c r="AA1370" i="1" s="1"/>
  <c r="V1370" i="1"/>
  <c r="W1370" i="1" s="1"/>
  <c r="AJ311" i="1"/>
  <c r="AI311" i="1" s="1"/>
  <c r="AH311" i="1" s="1"/>
  <c r="AC311" i="1"/>
  <c r="AB311" i="1" s="1"/>
  <c r="AA311" i="1" s="1"/>
  <c r="AJ279" i="1"/>
  <c r="AI279" i="1" s="1"/>
  <c r="AH279" i="1" s="1"/>
  <c r="AC279" i="1"/>
  <c r="AB279" i="1" s="1"/>
  <c r="AA279" i="1" s="1"/>
  <c r="V147" i="1"/>
  <c r="W147" i="1" s="1"/>
  <c r="AJ147" i="1"/>
  <c r="AI147" i="1" s="1"/>
  <c r="AH147" i="1" s="1"/>
  <c r="AJ2063" i="1"/>
  <c r="AI2063" i="1" s="1"/>
  <c r="AH2063" i="1" s="1"/>
  <c r="V2050" i="1"/>
  <c r="W2050" i="1" s="1"/>
  <c r="AC1602" i="1"/>
  <c r="AB1602" i="1" s="1"/>
  <c r="AA1602" i="1" s="1"/>
  <c r="AJ1832" i="1"/>
  <c r="AI1832" i="1" s="1"/>
  <c r="AH1832" i="1" s="1"/>
  <c r="AJ1687" i="1"/>
  <c r="AI1687" i="1" s="1"/>
  <c r="AH1687" i="1" s="1"/>
  <c r="V1660" i="1"/>
  <c r="W1660" i="1" s="1"/>
  <c r="AC1382" i="1"/>
  <c r="AB1382" i="1" s="1"/>
  <c r="AA1382" i="1" s="1"/>
  <c r="V1302" i="1"/>
  <c r="W1302" i="1" s="1"/>
  <c r="V1409" i="1"/>
  <c r="W1409" i="1" s="1"/>
  <c r="AC1145" i="1"/>
  <c r="AB1145" i="1" s="1"/>
  <c r="AA1145" i="1" s="1"/>
  <c r="AC695" i="1"/>
  <c r="AB695" i="1" s="1"/>
  <c r="AA695" i="1" s="1"/>
  <c r="AJ453" i="1"/>
  <c r="AI453" i="1" s="1"/>
  <c r="AH453" i="1" s="1"/>
  <c r="AJ375" i="1"/>
  <c r="AI375" i="1" s="1"/>
  <c r="AH375" i="1" s="1"/>
  <c r="AC356" i="1"/>
  <c r="AB356" i="1" s="1"/>
  <c r="AA356" i="1" s="1"/>
  <c r="AC458" i="1"/>
  <c r="AB458" i="1" s="1"/>
  <c r="AA458" i="1" s="1"/>
  <c r="AC744" i="1"/>
  <c r="AB744" i="1" s="1"/>
  <c r="AA744" i="1" s="1"/>
  <c r="AJ552" i="1"/>
  <c r="AI552" i="1" s="1"/>
  <c r="AH552" i="1" s="1"/>
  <c r="AC441" i="1"/>
  <c r="AB441" i="1" s="1"/>
  <c r="AA441" i="1" s="1"/>
  <c r="AC411" i="1"/>
  <c r="AB411" i="1" s="1"/>
  <c r="AA411" i="1" s="1"/>
  <c r="V348" i="1"/>
  <c r="W348" i="1" s="1"/>
  <c r="AC151" i="1"/>
  <c r="AB151" i="1" s="1"/>
  <c r="AA151" i="1" s="1"/>
  <c r="V293" i="1"/>
  <c r="W293" i="1" s="1"/>
  <c r="V286" i="1"/>
  <c r="W286" i="1" s="1"/>
  <c r="V241" i="1"/>
  <c r="W241" i="1" s="1"/>
  <c r="AJ286" i="1"/>
  <c r="AI286" i="1" s="1"/>
  <c r="AH286" i="1" s="1"/>
  <c r="V1815" i="1"/>
  <c r="W1815" i="1" s="1"/>
  <c r="AC1815" i="1"/>
  <c r="AB1815" i="1" s="1"/>
  <c r="AA1815" i="1" s="1"/>
  <c r="AJ1784" i="1"/>
  <c r="AI1784" i="1" s="1"/>
  <c r="AH1784" i="1" s="1"/>
  <c r="AC1784" i="1"/>
  <c r="AB1784" i="1" s="1"/>
  <c r="AA1784" i="1" s="1"/>
  <c r="V2002" i="1"/>
  <c r="W2002" i="1" s="1"/>
  <c r="AC2002" i="1"/>
  <c r="AB2002" i="1" s="1"/>
  <c r="AA2002" i="1" s="1"/>
  <c r="V1806" i="1"/>
  <c r="W1806" i="1" s="1"/>
  <c r="AC1806" i="1"/>
  <c r="AB1806" i="1" s="1"/>
  <c r="AA1806" i="1" s="1"/>
  <c r="V1686" i="1"/>
  <c r="W1686" i="1" s="1"/>
  <c r="AJ1686" i="1"/>
  <c r="AI1686" i="1" s="1"/>
  <c r="AH1686" i="1" s="1"/>
  <c r="V1692" i="1"/>
  <c r="W1692" i="1" s="1"/>
  <c r="AJ1692" i="1"/>
  <c r="AI1692" i="1" s="1"/>
  <c r="AH1692" i="1" s="1"/>
  <c r="AC1692" i="1"/>
  <c r="AB1692" i="1" s="1"/>
  <c r="AA1692" i="1" s="1"/>
  <c r="V1595" i="1"/>
  <c r="W1595" i="1" s="1"/>
  <c r="AJ1595" i="1"/>
  <c r="AI1595" i="1" s="1"/>
  <c r="AH1595" i="1" s="1"/>
  <c r="AC1595" i="1"/>
  <c r="AB1595" i="1" s="1"/>
  <c r="AA1595" i="1" s="1"/>
  <c r="V1590" i="1"/>
  <c r="W1590" i="1" s="1"/>
  <c r="AC1590" i="1"/>
  <c r="AB1590" i="1" s="1"/>
  <c r="AA1590" i="1" s="1"/>
  <c r="AJ1599" i="1"/>
  <c r="AI1599" i="1" s="1"/>
  <c r="AH1599" i="1" s="1"/>
  <c r="V1599" i="1"/>
  <c r="W1599" i="1" s="1"/>
  <c r="AC1570" i="1"/>
  <c r="AB1570" i="1" s="1"/>
  <c r="AA1570" i="1" s="1"/>
  <c r="V1570" i="1"/>
  <c r="W1570" i="1" s="1"/>
  <c r="AJ1570" i="1"/>
  <c r="AI1570" i="1" s="1"/>
  <c r="AH1570" i="1" s="1"/>
  <c r="AJ1429" i="1"/>
  <c r="AI1429" i="1" s="1"/>
  <c r="AH1429" i="1" s="1"/>
  <c r="V1429" i="1"/>
  <c r="W1429" i="1" s="1"/>
  <c r="AC1332" i="1"/>
  <c r="AB1332" i="1" s="1"/>
  <c r="AA1332" i="1" s="1"/>
  <c r="V1332" i="1"/>
  <c r="W1332" i="1" s="1"/>
  <c r="AJ1332" i="1"/>
  <c r="AI1332" i="1" s="1"/>
  <c r="AH1332" i="1" s="1"/>
  <c r="AJ1438" i="1"/>
  <c r="AI1438" i="1" s="1"/>
  <c r="AH1438" i="1" s="1"/>
  <c r="V1438" i="1"/>
  <c r="W1438" i="1" s="1"/>
  <c r="AC1438" i="1"/>
  <c r="AB1438" i="1" s="1"/>
  <c r="AA1438" i="1" s="1"/>
  <c r="AC1453" i="1"/>
  <c r="AB1453" i="1" s="1"/>
  <c r="AA1453" i="1" s="1"/>
  <c r="V1453" i="1"/>
  <c r="W1453" i="1" s="1"/>
  <c r="AJ1453" i="1"/>
  <c r="AI1453" i="1" s="1"/>
  <c r="AH1453" i="1" s="1"/>
  <c r="AJ1330" i="1"/>
  <c r="AI1330" i="1" s="1"/>
  <c r="AH1330" i="1" s="1"/>
  <c r="AC1330" i="1"/>
  <c r="AB1330" i="1" s="1"/>
  <c r="AA1330" i="1" s="1"/>
  <c r="V1306" i="1"/>
  <c r="W1306" i="1" s="1"/>
  <c r="AC1306" i="1"/>
  <c r="AB1306" i="1" s="1"/>
  <c r="AA1306" i="1" s="1"/>
  <c r="V865" i="1"/>
  <c r="W865" i="1" s="1"/>
  <c r="AJ865" i="1"/>
  <c r="AI865" i="1" s="1"/>
  <c r="AH865" i="1" s="1"/>
  <c r="AJ745" i="1"/>
  <c r="AI745" i="1" s="1"/>
  <c r="AH745" i="1" s="1"/>
  <c r="V745" i="1"/>
  <c r="W745" i="1" s="1"/>
  <c r="V696" i="1"/>
  <c r="W696" i="1" s="1"/>
  <c r="AJ696" i="1"/>
  <c r="AI696" i="1" s="1"/>
  <c r="AH696" i="1" s="1"/>
  <c r="AC443" i="1"/>
  <c r="AB443" i="1" s="1"/>
  <c r="AA443" i="1" s="1"/>
  <c r="V443" i="1"/>
  <c r="W443" i="1" s="1"/>
  <c r="AJ262" i="1"/>
  <c r="AI262" i="1" s="1"/>
  <c r="AH262" i="1" s="1"/>
  <c r="AC262" i="1"/>
  <c r="AB262" i="1" s="1"/>
  <c r="AA262" i="1" s="1"/>
  <c r="V262" i="1"/>
  <c r="W262" i="1" s="1"/>
  <c r="V836" i="1"/>
  <c r="W836" i="1" s="1"/>
  <c r="AC836" i="1"/>
  <c r="AB836" i="1" s="1"/>
  <c r="AA836" i="1" s="1"/>
  <c r="AJ836" i="1"/>
  <c r="AI836" i="1" s="1"/>
  <c r="AH836" i="1" s="1"/>
  <c r="V848" i="1"/>
  <c r="W848" i="1" s="1"/>
  <c r="AJ848" i="1"/>
  <c r="AI848" i="1" s="1"/>
  <c r="AH848" i="1" s="1"/>
  <c r="AJ362" i="1"/>
  <c r="AI362" i="1" s="1"/>
  <c r="AH362" i="1" s="1"/>
  <c r="V362" i="1"/>
  <c r="W362" i="1" s="1"/>
  <c r="AC362" i="1"/>
  <c r="AB362" i="1" s="1"/>
  <c r="AA362" i="1" s="1"/>
  <c r="V153" i="1"/>
  <c r="W153" i="1" s="1"/>
  <c r="AJ153" i="1"/>
  <c r="AI153" i="1" s="1"/>
  <c r="AH153" i="1" s="1"/>
  <c r="AC1376" i="1"/>
  <c r="AB1376" i="1" s="1"/>
  <c r="AA1376" i="1" s="1"/>
  <c r="V1376" i="1"/>
  <c r="W1376" i="1" s="1"/>
  <c r="AJ1376" i="1"/>
  <c r="AI1376" i="1" s="1"/>
  <c r="AH1376" i="1" s="1"/>
  <c r="AJ1374" i="1"/>
  <c r="AI1374" i="1" s="1"/>
  <c r="AH1374" i="1" s="1"/>
  <c r="AC1374" i="1"/>
  <c r="AB1374" i="1" s="1"/>
  <c r="AA1374" i="1" s="1"/>
  <c r="AC1371" i="1"/>
  <c r="AB1371" i="1" s="1"/>
  <c r="AA1371" i="1" s="1"/>
  <c r="AJ1371" i="1"/>
  <c r="AI1371" i="1" s="1"/>
  <c r="AH1371" i="1" s="1"/>
  <c r="V1371" i="1"/>
  <c r="W1371" i="1" s="1"/>
  <c r="AC1386" i="1"/>
  <c r="AB1386" i="1" s="1"/>
  <c r="AA1386" i="1" s="1"/>
  <c r="AJ1386" i="1"/>
  <c r="AI1386" i="1" s="1"/>
  <c r="AH1386" i="1" s="1"/>
  <c r="V1386" i="1"/>
  <c r="W1386" i="1" s="1"/>
  <c r="AC548" i="1"/>
  <c r="AB548" i="1" s="1"/>
  <c r="AA548" i="1" s="1"/>
  <c r="AJ548" i="1"/>
  <c r="AI548" i="1" s="1"/>
  <c r="AH548" i="1" s="1"/>
  <c r="V548" i="1"/>
  <c r="W548" i="1" s="1"/>
  <c r="AC454" i="1"/>
  <c r="AB454" i="1" s="1"/>
  <c r="AA454" i="1" s="1"/>
  <c r="V454" i="1"/>
  <c r="W454" i="1" s="1"/>
  <c r="V1940" i="1"/>
  <c r="W1940" i="1" s="1"/>
  <c r="V1938" i="1"/>
  <c r="W1938" i="1" s="1"/>
  <c r="V1936" i="1"/>
  <c r="W1936" i="1" s="1"/>
  <c r="V1934" i="1"/>
  <c r="W1934" i="1" s="1"/>
  <c r="V1932" i="1"/>
  <c r="W1932" i="1" s="1"/>
  <c r="V1930" i="1"/>
  <c r="W1930" i="1" s="1"/>
  <c r="AJ2086" i="1"/>
  <c r="AI2086" i="1" s="1"/>
  <c r="AH2086" i="1" s="1"/>
  <c r="AC2086" i="1"/>
  <c r="AB2086" i="1" s="1"/>
  <c r="AA2086" i="1" s="1"/>
  <c r="V2086" i="1"/>
  <c r="W2086" i="1" s="1"/>
  <c r="AJ2073" i="1"/>
  <c r="AI2073" i="1" s="1"/>
  <c r="AH2073" i="1" s="1"/>
  <c r="V2073" i="1"/>
  <c r="W2073" i="1" s="1"/>
  <c r="AC2073" i="1"/>
  <c r="AB2073" i="1" s="1"/>
  <c r="AA2073" i="1" s="1"/>
  <c r="AJ2083" i="1"/>
  <c r="AI2083" i="1" s="1"/>
  <c r="AH2083" i="1" s="1"/>
  <c r="AC2083" i="1"/>
  <c r="AB2083" i="1" s="1"/>
  <c r="AA2083" i="1" s="1"/>
  <c r="V2083" i="1"/>
  <c r="W2083" i="1" s="1"/>
  <c r="AJ1988" i="1"/>
  <c r="AI1988" i="1" s="1"/>
  <c r="AH1988" i="1" s="1"/>
  <c r="V1988" i="1"/>
  <c r="W1988" i="1" s="1"/>
  <c r="AC1988" i="1"/>
  <c r="AB1988" i="1" s="1"/>
  <c r="AA1988" i="1" s="1"/>
  <c r="AJ1984" i="1"/>
  <c r="AI1984" i="1" s="1"/>
  <c r="AH1984" i="1" s="1"/>
  <c r="V1984" i="1"/>
  <c r="W1984" i="1" s="1"/>
  <c r="AC1984" i="1"/>
  <c r="AB1984" i="1" s="1"/>
  <c r="AA1984" i="1" s="1"/>
  <c r="AJ1980" i="1"/>
  <c r="AI1980" i="1" s="1"/>
  <c r="AH1980" i="1" s="1"/>
  <c r="V1980" i="1"/>
  <c r="W1980" i="1" s="1"/>
  <c r="AC1980" i="1"/>
  <c r="AB1980" i="1" s="1"/>
  <c r="AA1980" i="1" s="1"/>
  <c r="AJ1976" i="1"/>
  <c r="AI1976" i="1" s="1"/>
  <c r="AH1976" i="1" s="1"/>
  <c r="V1976" i="1"/>
  <c r="W1976" i="1" s="1"/>
  <c r="AC1976" i="1"/>
  <c r="AB1976" i="1" s="1"/>
  <c r="AA1976" i="1" s="1"/>
  <c r="AJ1972" i="1"/>
  <c r="AI1972" i="1" s="1"/>
  <c r="AH1972" i="1" s="1"/>
  <c r="V1972" i="1"/>
  <c r="W1972" i="1" s="1"/>
  <c r="AC1972" i="1"/>
  <c r="AB1972" i="1" s="1"/>
  <c r="AA1972" i="1" s="1"/>
  <c r="AJ2012" i="1"/>
  <c r="AI2012" i="1" s="1"/>
  <c r="AH2012" i="1" s="1"/>
  <c r="V2012" i="1"/>
  <c r="W2012" i="1" s="1"/>
  <c r="AC2012" i="1"/>
  <c r="AB2012" i="1" s="1"/>
  <c r="AA2012" i="1" s="1"/>
  <c r="AC2022" i="1"/>
  <c r="AB2022" i="1" s="1"/>
  <c r="AA2022" i="1" s="1"/>
  <c r="V2022" i="1"/>
  <c r="W2022" i="1" s="1"/>
  <c r="AJ2022" i="1"/>
  <c r="AI2022" i="1" s="1"/>
  <c r="AH2022" i="1" s="1"/>
  <c r="AC2028" i="1"/>
  <c r="AB2028" i="1" s="1"/>
  <c r="AA2028" i="1" s="1"/>
  <c r="V2028" i="1"/>
  <c r="W2028" i="1" s="1"/>
  <c r="AJ2028" i="1"/>
  <c r="AI2028" i="1" s="1"/>
  <c r="AH2028" i="1" s="1"/>
  <c r="AC2032" i="1"/>
  <c r="AB2032" i="1" s="1"/>
  <c r="AA2032" i="1" s="1"/>
  <c r="V2032" i="1"/>
  <c r="W2032" i="1" s="1"/>
  <c r="AJ2032" i="1"/>
  <c r="AI2032" i="1" s="1"/>
  <c r="AH2032" i="1" s="1"/>
  <c r="AC2024" i="1"/>
  <c r="AB2024" i="1" s="1"/>
  <c r="AA2024" i="1" s="1"/>
  <c r="V2024" i="1"/>
  <c r="W2024" i="1" s="1"/>
  <c r="AJ2024" i="1"/>
  <c r="AI2024" i="1" s="1"/>
  <c r="AH2024" i="1" s="1"/>
  <c r="AC2040" i="1"/>
  <c r="AB2040" i="1" s="1"/>
  <c r="AA2040" i="1" s="1"/>
  <c r="V2040" i="1"/>
  <c r="W2040" i="1" s="1"/>
  <c r="AJ2040" i="1"/>
  <c r="AI2040" i="1" s="1"/>
  <c r="AH2040" i="1" s="1"/>
  <c r="AJ1842" i="1"/>
  <c r="AI1842" i="1" s="1"/>
  <c r="AH1842" i="1" s="1"/>
  <c r="V1842" i="1"/>
  <c r="W1842" i="1" s="1"/>
  <c r="AC1842" i="1"/>
  <c r="AB1842" i="1" s="1"/>
  <c r="AA1842" i="1" s="1"/>
  <c r="AJ1835" i="1"/>
  <c r="AI1835" i="1" s="1"/>
  <c r="AH1835" i="1" s="1"/>
  <c r="V1835" i="1"/>
  <c r="W1835" i="1" s="1"/>
  <c r="AC1835" i="1"/>
  <c r="AB1835" i="1" s="1"/>
  <c r="AA1835" i="1" s="1"/>
  <c r="AC1830" i="1"/>
  <c r="AB1830" i="1" s="1"/>
  <c r="AA1830" i="1" s="1"/>
  <c r="AJ1830" i="1"/>
  <c r="AI1830" i="1" s="1"/>
  <c r="AH1830" i="1" s="1"/>
  <c r="V1830" i="1"/>
  <c r="W1830" i="1" s="1"/>
  <c r="AC1791" i="1"/>
  <c r="AB1791" i="1" s="1"/>
  <c r="AA1791" i="1" s="1"/>
  <c r="AJ1791" i="1"/>
  <c r="AI1791" i="1" s="1"/>
  <c r="AH1791" i="1" s="1"/>
  <c r="V1791" i="1"/>
  <c r="W1791" i="1" s="1"/>
  <c r="AC1716" i="1"/>
  <c r="AB1716" i="1" s="1"/>
  <c r="AA1716" i="1" s="1"/>
  <c r="AJ1716" i="1"/>
  <c r="AI1716" i="1" s="1"/>
  <c r="AH1716" i="1" s="1"/>
  <c r="V1716" i="1"/>
  <c r="W1716" i="1" s="1"/>
  <c r="AC1802" i="1"/>
  <c r="AB1802" i="1" s="1"/>
  <c r="AA1802" i="1" s="1"/>
  <c r="AJ1802" i="1"/>
  <c r="AI1802" i="1" s="1"/>
  <c r="AH1802" i="1" s="1"/>
  <c r="V1802" i="1"/>
  <c r="W1802" i="1" s="1"/>
  <c r="AJ1747" i="1"/>
  <c r="AI1747" i="1" s="1"/>
  <c r="AH1747" i="1" s="1"/>
  <c r="AC1747" i="1"/>
  <c r="AB1747" i="1" s="1"/>
  <c r="AA1747" i="1" s="1"/>
  <c r="V1747" i="1"/>
  <c r="W1747" i="1" s="1"/>
  <c r="AJ1742" i="1"/>
  <c r="AI1742" i="1" s="1"/>
  <c r="AH1742" i="1" s="1"/>
  <c r="AC1742" i="1"/>
  <c r="AB1742" i="1" s="1"/>
  <c r="AA1742" i="1" s="1"/>
  <c r="V1742" i="1"/>
  <c r="W1742" i="1" s="1"/>
  <c r="AC1737" i="1"/>
  <c r="AB1737" i="1" s="1"/>
  <c r="AA1737" i="1" s="1"/>
  <c r="V1737" i="1"/>
  <c r="W1737" i="1" s="1"/>
  <c r="AJ1737" i="1"/>
  <c r="AI1737" i="1" s="1"/>
  <c r="AH1737" i="1" s="1"/>
  <c r="AC1694" i="1"/>
  <c r="AB1694" i="1" s="1"/>
  <c r="AA1694" i="1" s="1"/>
  <c r="V1694" i="1"/>
  <c r="W1694" i="1" s="1"/>
  <c r="AJ1694" i="1"/>
  <c r="AI1694" i="1" s="1"/>
  <c r="AH1694" i="1" s="1"/>
  <c r="AC1683" i="1"/>
  <c r="AB1683" i="1" s="1"/>
  <c r="AA1683" i="1" s="1"/>
  <c r="V1683" i="1"/>
  <c r="W1683" i="1" s="1"/>
  <c r="AJ1683" i="1"/>
  <c r="AI1683" i="1" s="1"/>
  <c r="AH1683" i="1" s="1"/>
  <c r="AC1698" i="1"/>
  <c r="AB1698" i="1" s="1"/>
  <c r="AA1698" i="1" s="1"/>
  <c r="AJ1698" i="1"/>
  <c r="AI1698" i="1" s="1"/>
  <c r="AH1698" i="1" s="1"/>
  <c r="V1698" i="1"/>
  <c r="W1698" i="1" s="1"/>
  <c r="AC1616" i="1"/>
  <c r="AB1616" i="1" s="1"/>
  <c r="AA1616" i="1" s="1"/>
  <c r="AJ1616" i="1"/>
  <c r="AI1616" i="1" s="1"/>
  <c r="AH1616" i="1" s="1"/>
  <c r="V1616" i="1"/>
  <c r="W1616" i="1" s="1"/>
  <c r="V1817" i="1"/>
  <c r="W1817" i="1" s="1"/>
  <c r="AC1817" i="1"/>
  <c r="AB1817" i="1" s="1"/>
  <c r="AA1817" i="1" s="1"/>
  <c r="AJ1817" i="1"/>
  <c r="AI1817" i="1" s="1"/>
  <c r="AH1817" i="1" s="1"/>
  <c r="AC1809" i="1"/>
  <c r="AB1809" i="1" s="1"/>
  <c r="AA1809" i="1" s="1"/>
  <c r="AJ1809" i="1"/>
  <c r="AI1809" i="1" s="1"/>
  <c r="AH1809" i="1" s="1"/>
  <c r="V1809" i="1"/>
  <c r="W1809" i="1" s="1"/>
  <c r="AC1822" i="1"/>
  <c r="AB1822" i="1" s="1"/>
  <c r="AA1822" i="1" s="1"/>
  <c r="AJ1822" i="1"/>
  <c r="AI1822" i="1" s="1"/>
  <c r="AH1822" i="1" s="1"/>
  <c r="V1822" i="1"/>
  <c r="W1822" i="1" s="1"/>
  <c r="AJ1949" i="1"/>
  <c r="AI1949" i="1" s="1"/>
  <c r="AH1949" i="1" s="1"/>
  <c r="V1949" i="1"/>
  <c r="W1949" i="1" s="1"/>
  <c r="AC1949" i="1"/>
  <c r="AB1949" i="1" s="1"/>
  <c r="AA1949" i="1" s="1"/>
  <c r="AJ1953" i="1"/>
  <c r="AI1953" i="1" s="1"/>
  <c r="AH1953" i="1" s="1"/>
  <c r="V1953" i="1"/>
  <c r="W1953" i="1" s="1"/>
  <c r="AC1953" i="1"/>
  <c r="AB1953" i="1" s="1"/>
  <c r="AA1953" i="1" s="1"/>
  <c r="AJ1957" i="1"/>
  <c r="AI1957" i="1" s="1"/>
  <c r="AH1957" i="1" s="1"/>
  <c r="V1957" i="1"/>
  <c r="W1957" i="1" s="1"/>
  <c r="AC1957" i="1"/>
  <c r="AB1957" i="1" s="1"/>
  <c r="AA1957" i="1" s="1"/>
  <c r="AJ1961" i="1"/>
  <c r="AI1961" i="1" s="1"/>
  <c r="AH1961" i="1" s="1"/>
  <c r="V1961" i="1"/>
  <c r="W1961" i="1" s="1"/>
  <c r="AC1961" i="1"/>
  <c r="AB1961" i="1" s="1"/>
  <c r="AA1961" i="1" s="1"/>
  <c r="AJ1965" i="1"/>
  <c r="AI1965" i="1" s="1"/>
  <c r="AH1965" i="1" s="1"/>
  <c r="V1965" i="1"/>
  <c r="W1965" i="1" s="1"/>
  <c r="AC1965" i="1"/>
  <c r="AB1965" i="1" s="1"/>
  <c r="AA1965" i="1" s="1"/>
  <c r="V1869" i="1"/>
  <c r="W1869" i="1" s="1"/>
  <c r="AC1869" i="1"/>
  <c r="AB1869" i="1" s="1"/>
  <c r="AA1869" i="1" s="1"/>
  <c r="AJ1869" i="1"/>
  <c r="AI1869" i="1" s="1"/>
  <c r="AH1869" i="1" s="1"/>
  <c r="AJ1858" i="1"/>
  <c r="AI1858" i="1" s="1"/>
  <c r="AH1858" i="1" s="1"/>
  <c r="V1858" i="1"/>
  <c r="W1858" i="1" s="1"/>
  <c r="AC1858" i="1"/>
  <c r="AB1858" i="1" s="1"/>
  <c r="AA1858" i="1" s="1"/>
  <c r="AJ1865" i="1"/>
  <c r="AI1865" i="1" s="1"/>
  <c r="AH1865" i="1" s="1"/>
  <c r="AC1865" i="1"/>
  <c r="AB1865" i="1" s="1"/>
  <c r="AA1865" i="1" s="1"/>
  <c r="V1865" i="1"/>
  <c r="W1865" i="1" s="1"/>
  <c r="AJ1864" i="1"/>
  <c r="AI1864" i="1" s="1"/>
  <c r="AH1864" i="1" s="1"/>
  <c r="V1864" i="1"/>
  <c r="W1864" i="1" s="1"/>
  <c r="AC1864" i="1"/>
  <c r="AB1864" i="1" s="1"/>
  <c r="AA1864" i="1" s="1"/>
  <c r="AC1867" i="1"/>
  <c r="AB1867" i="1" s="1"/>
  <c r="AA1867" i="1" s="1"/>
  <c r="AJ1867" i="1"/>
  <c r="AI1867" i="1" s="1"/>
  <c r="AH1867" i="1" s="1"/>
  <c r="V1867" i="1"/>
  <c r="W1867" i="1" s="1"/>
  <c r="AC1536" i="1"/>
  <c r="AB1536" i="1" s="1"/>
  <c r="AA1536" i="1" s="1"/>
  <c r="V1536" i="1"/>
  <c r="W1536" i="1" s="1"/>
  <c r="AJ1536" i="1"/>
  <c r="AI1536" i="1" s="1"/>
  <c r="AH1536" i="1" s="1"/>
  <c r="AC1550" i="1"/>
  <c r="AB1550" i="1" s="1"/>
  <c r="AA1550" i="1" s="1"/>
  <c r="V1550" i="1"/>
  <c r="W1550" i="1" s="1"/>
  <c r="AJ1550" i="1"/>
  <c r="AI1550" i="1" s="1"/>
  <c r="AH1550" i="1" s="1"/>
  <c r="AJ1410" i="1"/>
  <c r="AI1410" i="1" s="1"/>
  <c r="AH1410" i="1" s="1"/>
  <c r="AC1410" i="1"/>
  <c r="AB1410" i="1" s="1"/>
  <c r="AA1410" i="1" s="1"/>
  <c r="V1410" i="1"/>
  <c r="W1410" i="1" s="1"/>
  <c r="V1395" i="1"/>
  <c r="W1395" i="1" s="1"/>
  <c r="AC1395" i="1"/>
  <c r="AB1395" i="1" s="1"/>
  <c r="AA1395" i="1" s="1"/>
  <c r="AJ1395" i="1"/>
  <c r="AI1395" i="1" s="1"/>
  <c r="AH1395" i="1" s="1"/>
  <c r="AC1397" i="1"/>
  <c r="AB1397" i="1" s="1"/>
  <c r="AA1397" i="1" s="1"/>
  <c r="V1397" i="1"/>
  <c r="W1397" i="1" s="1"/>
  <c r="AJ1397" i="1"/>
  <c r="AI1397" i="1" s="1"/>
  <c r="AH1397" i="1" s="1"/>
  <c r="AC1310" i="1"/>
  <c r="AB1310" i="1" s="1"/>
  <c r="AA1310" i="1" s="1"/>
  <c r="AJ1310" i="1"/>
  <c r="AI1310" i="1" s="1"/>
  <c r="AH1310" i="1" s="1"/>
  <c r="V1310" i="1"/>
  <c r="W1310" i="1" s="1"/>
  <c r="AC1287" i="1"/>
  <c r="AB1287" i="1" s="1"/>
  <c r="AA1287" i="1" s="1"/>
  <c r="AJ1287" i="1"/>
  <c r="AI1287" i="1" s="1"/>
  <c r="AH1287" i="1" s="1"/>
  <c r="V1287" i="1"/>
  <c r="W1287" i="1" s="1"/>
  <c r="AC1283" i="1"/>
  <c r="AB1283" i="1" s="1"/>
  <c r="AA1283" i="1" s="1"/>
  <c r="AJ1283" i="1"/>
  <c r="AI1283" i="1" s="1"/>
  <c r="AH1283" i="1" s="1"/>
  <c r="V1283" i="1"/>
  <c r="W1283" i="1" s="1"/>
  <c r="AC1279" i="1"/>
  <c r="AB1279" i="1" s="1"/>
  <c r="AA1279" i="1" s="1"/>
  <c r="AJ1279" i="1"/>
  <c r="AI1279" i="1" s="1"/>
  <c r="AH1279" i="1" s="1"/>
  <c r="V1279" i="1"/>
  <c r="W1279" i="1" s="1"/>
  <c r="AC1275" i="1"/>
  <c r="AB1275" i="1" s="1"/>
  <c r="AA1275" i="1" s="1"/>
  <c r="AJ1275" i="1"/>
  <c r="AI1275" i="1" s="1"/>
  <c r="AH1275" i="1" s="1"/>
  <c r="V1275" i="1"/>
  <c r="W1275" i="1" s="1"/>
  <c r="AC1271" i="1"/>
  <c r="AB1271" i="1" s="1"/>
  <c r="AA1271" i="1" s="1"/>
  <c r="AJ1271" i="1"/>
  <c r="AI1271" i="1" s="1"/>
  <c r="AH1271" i="1" s="1"/>
  <c r="V1271" i="1"/>
  <c r="W1271" i="1" s="1"/>
  <c r="V1875" i="1"/>
  <c r="W1875" i="1" s="1"/>
  <c r="AJ1875" i="1"/>
  <c r="AI1875" i="1" s="1"/>
  <c r="AH1875" i="1" s="1"/>
  <c r="AC1875" i="1"/>
  <c r="AB1875" i="1" s="1"/>
  <c r="AA1875" i="1" s="1"/>
  <c r="V1879" i="1"/>
  <c r="W1879" i="1" s="1"/>
  <c r="AC1879" i="1"/>
  <c r="AB1879" i="1" s="1"/>
  <c r="AA1879" i="1" s="1"/>
  <c r="AJ1879" i="1"/>
  <c r="AI1879" i="1" s="1"/>
  <c r="AH1879" i="1" s="1"/>
  <c r="AC1890" i="1"/>
  <c r="AB1890" i="1" s="1"/>
  <c r="AA1890" i="1" s="1"/>
  <c r="AJ1890" i="1"/>
  <c r="AI1890" i="1" s="1"/>
  <c r="AH1890" i="1" s="1"/>
  <c r="V1890" i="1"/>
  <c r="W1890" i="1" s="1"/>
  <c r="AC1882" i="1"/>
  <c r="AB1882" i="1" s="1"/>
  <c r="AA1882" i="1" s="1"/>
  <c r="AJ1882" i="1"/>
  <c r="AI1882" i="1" s="1"/>
  <c r="AH1882" i="1" s="1"/>
  <c r="V1882" i="1"/>
  <c r="W1882" i="1" s="1"/>
  <c r="AC1893" i="1"/>
  <c r="AB1893" i="1" s="1"/>
  <c r="AA1893" i="1" s="1"/>
  <c r="AJ1893" i="1"/>
  <c r="AI1893" i="1" s="1"/>
  <c r="AH1893" i="1" s="1"/>
  <c r="V1893" i="1"/>
  <c r="W1893" i="1" s="1"/>
  <c r="AC1754" i="1"/>
  <c r="AB1754" i="1" s="1"/>
  <c r="AA1754" i="1" s="1"/>
  <c r="V1754" i="1"/>
  <c r="W1754" i="1" s="1"/>
  <c r="AJ1754" i="1"/>
  <c r="AI1754" i="1" s="1"/>
  <c r="AH1754" i="1" s="1"/>
  <c r="V1771" i="1"/>
  <c r="W1771" i="1" s="1"/>
  <c r="AJ1771" i="1"/>
  <c r="AI1771" i="1" s="1"/>
  <c r="AH1771" i="1" s="1"/>
  <c r="AC1771" i="1"/>
  <c r="AB1771" i="1" s="1"/>
  <c r="AA1771" i="1" s="1"/>
  <c r="V1762" i="1"/>
  <c r="W1762" i="1" s="1"/>
  <c r="AC1762" i="1"/>
  <c r="AB1762" i="1" s="1"/>
  <c r="AA1762" i="1" s="1"/>
  <c r="AJ1762" i="1"/>
  <c r="AI1762" i="1" s="1"/>
  <c r="AH1762" i="1" s="1"/>
  <c r="AC1760" i="1"/>
  <c r="AB1760" i="1" s="1"/>
  <c r="AA1760" i="1" s="1"/>
  <c r="AJ1760" i="1"/>
  <c r="AI1760" i="1" s="1"/>
  <c r="AH1760" i="1" s="1"/>
  <c r="V1760" i="1"/>
  <c r="W1760" i="1" s="1"/>
  <c r="AJ1665" i="1"/>
  <c r="AI1665" i="1" s="1"/>
  <c r="AH1665" i="1" s="1"/>
  <c r="V1665" i="1"/>
  <c r="W1665" i="1" s="1"/>
  <c r="AC1665" i="1"/>
  <c r="AB1665" i="1" s="1"/>
  <c r="AA1665" i="1" s="1"/>
  <c r="V1663" i="1"/>
  <c r="W1663" i="1" s="1"/>
  <c r="AC1663" i="1"/>
  <c r="AB1663" i="1" s="1"/>
  <c r="AA1663" i="1" s="1"/>
  <c r="AJ1663" i="1"/>
  <c r="AI1663" i="1" s="1"/>
  <c r="AH1663" i="1" s="1"/>
  <c r="AJ1677" i="1"/>
  <c r="AI1677" i="1" s="1"/>
  <c r="AH1677" i="1" s="1"/>
  <c r="V1677" i="1"/>
  <c r="W1677" i="1" s="1"/>
  <c r="AC1677" i="1"/>
  <c r="AB1677" i="1" s="1"/>
  <c r="AA1677" i="1" s="1"/>
  <c r="AC1670" i="1"/>
  <c r="AB1670" i="1" s="1"/>
  <c r="AA1670" i="1" s="1"/>
  <c r="AJ1670" i="1"/>
  <c r="AI1670" i="1" s="1"/>
  <c r="AH1670" i="1" s="1"/>
  <c r="V1670" i="1"/>
  <c r="W1670" i="1" s="1"/>
  <c r="AJ1675" i="1"/>
  <c r="AI1675" i="1" s="1"/>
  <c r="AH1675" i="1" s="1"/>
  <c r="V1675" i="1"/>
  <c r="W1675" i="1" s="1"/>
  <c r="AC1675" i="1"/>
  <c r="AB1675" i="1" s="1"/>
  <c r="AA1675" i="1" s="1"/>
  <c r="V1434" i="1"/>
  <c r="W1434" i="1" s="1"/>
  <c r="AJ1434" i="1"/>
  <c r="AI1434" i="1" s="1"/>
  <c r="AH1434" i="1" s="1"/>
  <c r="AC1434" i="1"/>
  <c r="AB1434" i="1" s="1"/>
  <c r="AA1434" i="1" s="1"/>
  <c r="AJ1421" i="1"/>
  <c r="AI1421" i="1" s="1"/>
  <c r="AH1421" i="1" s="1"/>
  <c r="V1421" i="1"/>
  <c r="W1421" i="1" s="1"/>
  <c r="AC1421" i="1"/>
  <c r="AB1421" i="1" s="1"/>
  <c r="AA1421" i="1" s="1"/>
  <c r="AC1418" i="1"/>
  <c r="AB1418" i="1" s="1"/>
  <c r="AA1418" i="1" s="1"/>
  <c r="V1418" i="1"/>
  <c r="W1418" i="1" s="1"/>
  <c r="AJ1418" i="1"/>
  <c r="AI1418" i="1" s="1"/>
  <c r="AH1418" i="1" s="1"/>
  <c r="AC1431" i="1"/>
  <c r="AB1431" i="1" s="1"/>
  <c r="AA1431" i="1" s="1"/>
  <c r="AJ1431" i="1"/>
  <c r="AI1431" i="1" s="1"/>
  <c r="AH1431" i="1" s="1"/>
  <c r="V1431" i="1"/>
  <c r="W1431" i="1" s="1"/>
  <c r="V1399" i="1"/>
  <c r="W1399" i="1" s="1"/>
  <c r="AJ1399" i="1"/>
  <c r="AI1399" i="1" s="1"/>
  <c r="AH1399" i="1" s="1"/>
  <c r="AC1399" i="1"/>
  <c r="AB1399" i="1" s="1"/>
  <c r="AA1399" i="1" s="1"/>
  <c r="V1377" i="1"/>
  <c r="W1377" i="1" s="1"/>
  <c r="AC1377" i="1"/>
  <c r="AB1377" i="1" s="1"/>
  <c r="AA1377" i="1" s="1"/>
  <c r="AJ1377" i="1"/>
  <c r="AI1377" i="1" s="1"/>
  <c r="AH1377" i="1" s="1"/>
  <c r="V1368" i="1"/>
  <c r="W1368" i="1" s="1"/>
  <c r="AC1368" i="1"/>
  <c r="AB1368" i="1" s="1"/>
  <c r="AA1368" i="1" s="1"/>
  <c r="AJ1368" i="1"/>
  <c r="AI1368" i="1" s="1"/>
  <c r="AH1368" i="1" s="1"/>
  <c r="V1320" i="1"/>
  <c r="W1320" i="1" s="1"/>
  <c r="AC1320" i="1"/>
  <c r="AB1320" i="1" s="1"/>
  <c r="AA1320" i="1" s="1"/>
  <c r="AJ1320" i="1"/>
  <c r="AI1320" i="1" s="1"/>
  <c r="AH1320" i="1" s="1"/>
  <c r="V1312" i="1"/>
  <c r="W1312" i="1" s="1"/>
  <c r="AC1312" i="1"/>
  <c r="AB1312" i="1" s="1"/>
  <c r="AA1312" i="1" s="1"/>
  <c r="AJ1312" i="1"/>
  <c r="AI1312" i="1" s="1"/>
  <c r="AH1312" i="1" s="1"/>
  <c r="V1304" i="1"/>
  <c r="W1304" i="1" s="1"/>
  <c r="AC1304" i="1"/>
  <c r="AB1304" i="1" s="1"/>
  <c r="AA1304" i="1" s="1"/>
  <c r="AJ1304" i="1"/>
  <c r="AI1304" i="1" s="1"/>
  <c r="AH1304" i="1" s="1"/>
  <c r="AJ1653" i="1"/>
  <c r="AI1653" i="1" s="1"/>
  <c r="AH1653" i="1" s="1"/>
  <c r="V1653" i="1"/>
  <c r="W1653" i="1" s="1"/>
  <c r="AC1653" i="1"/>
  <c r="AB1653" i="1" s="1"/>
  <c r="AA1653" i="1" s="1"/>
  <c r="V1635" i="1"/>
  <c r="W1635" i="1" s="1"/>
  <c r="AC1635" i="1"/>
  <c r="AB1635" i="1" s="1"/>
  <c r="AA1635" i="1" s="1"/>
  <c r="AJ1635" i="1"/>
  <c r="AI1635" i="1" s="1"/>
  <c r="AH1635" i="1" s="1"/>
  <c r="V1651" i="1"/>
  <c r="W1651" i="1" s="1"/>
  <c r="AC1651" i="1"/>
  <c r="AB1651" i="1" s="1"/>
  <c r="AA1651" i="1" s="1"/>
  <c r="AJ1651" i="1"/>
  <c r="AI1651" i="1" s="1"/>
  <c r="AH1651" i="1" s="1"/>
  <c r="AC1646" i="1"/>
  <c r="AB1646" i="1" s="1"/>
  <c r="AA1646" i="1" s="1"/>
  <c r="V1646" i="1"/>
  <c r="W1646" i="1" s="1"/>
  <c r="AJ1646" i="1"/>
  <c r="AI1646" i="1" s="1"/>
  <c r="AH1646" i="1" s="1"/>
  <c r="AJ1530" i="1"/>
  <c r="AI1530" i="1" s="1"/>
  <c r="AH1530" i="1" s="1"/>
  <c r="V1530" i="1"/>
  <c r="W1530" i="1" s="1"/>
  <c r="AC1530" i="1"/>
  <c r="AB1530" i="1" s="1"/>
  <c r="AA1530" i="1" s="1"/>
  <c r="AJ1526" i="1"/>
  <c r="AI1526" i="1" s="1"/>
  <c r="AH1526" i="1" s="1"/>
  <c r="V1526" i="1"/>
  <c r="W1526" i="1" s="1"/>
  <c r="AC1526" i="1"/>
  <c r="AB1526" i="1" s="1"/>
  <c r="AA1526" i="1" s="1"/>
  <c r="AJ1513" i="1"/>
  <c r="AI1513" i="1" s="1"/>
  <c r="AH1513" i="1" s="1"/>
  <c r="V1513" i="1"/>
  <c r="W1513" i="1" s="1"/>
  <c r="AC1513" i="1"/>
  <c r="AB1513" i="1" s="1"/>
  <c r="AA1513" i="1" s="1"/>
  <c r="V1516" i="1"/>
  <c r="W1516" i="1" s="1"/>
  <c r="AJ1516" i="1"/>
  <c r="AI1516" i="1" s="1"/>
  <c r="AH1516" i="1" s="1"/>
  <c r="AC1516" i="1"/>
  <c r="AB1516" i="1" s="1"/>
  <c r="AA1516" i="1" s="1"/>
  <c r="AC1518" i="1"/>
  <c r="AB1518" i="1" s="1"/>
  <c r="AA1518" i="1" s="1"/>
  <c r="AJ1518" i="1"/>
  <c r="AI1518" i="1" s="1"/>
  <c r="AH1518" i="1" s="1"/>
  <c r="V1518" i="1"/>
  <c r="W1518" i="1" s="1"/>
  <c r="AJ1510" i="1"/>
  <c r="AI1510" i="1" s="1"/>
  <c r="AH1510" i="1" s="1"/>
  <c r="V1510" i="1"/>
  <c r="W1510" i="1" s="1"/>
  <c r="AC1510" i="1"/>
  <c r="AB1510" i="1" s="1"/>
  <c r="AA1510" i="1" s="1"/>
  <c r="AC1523" i="1"/>
  <c r="AB1523" i="1" s="1"/>
  <c r="AA1523" i="1" s="1"/>
  <c r="AJ1523" i="1"/>
  <c r="AI1523" i="1" s="1"/>
  <c r="AH1523" i="1" s="1"/>
  <c r="V1523" i="1"/>
  <c r="W1523" i="1" s="1"/>
  <c r="V1501" i="1"/>
  <c r="W1501" i="1" s="1"/>
  <c r="AC1501" i="1"/>
  <c r="AB1501" i="1" s="1"/>
  <c r="AA1501" i="1" s="1"/>
  <c r="AJ1501" i="1"/>
  <c r="AI1501" i="1" s="1"/>
  <c r="AH1501" i="1" s="1"/>
  <c r="AJ1499" i="1"/>
  <c r="AI1499" i="1" s="1"/>
  <c r="AH1499" i="1" s="1"/>
  <c r="AC1499" i="1"/>
  <c r="AB1499" i="1" s="1"/>
  <c r="AA1499" i="1" s="1"/>
  <c r="V1499" i="1"/>
  <c r="W1499" i="1" s="1"/>
  <c r="AC1494" i="1"/>
  <c r="AB1494" i="1" s="1"/>
  <c r="AA1494" i="1" s="1"/>
  <c r="AJ1494" i="1"/>
  <c r="AI1494" i="1" s="1"/>
  <c r="AH1494" i="1" s="1"/>
  <c r="V1494" i="1"/>
  <c r="W1494" i="1" s="1"/>
  <c r="V1489" i="1"/>
  <c r="W1489" i="1" s="1"/>
  <c r="AC1489" i="1"/>
  <c r="AB1489" i="1" s="1"/>
  <c r="AA1489" i="1" s="1"/>
  <c r="AJ1489" i="1"/>
  <c r="AI1489" i="1" s="1"/>
  <c r="AH1489" i="1" s="1"/>
  <c r="V1466" i="1"/>
  <c r="W1466" i="1" s="1"/>
  <c r="AC1466" i="1"/>
  <c r="AB1466" i="1" s="1"/>
  <c r="AA1466" i="1" s="1"/>
  <c r="AJ1466" i="1"/>
  <c r="AI1466" i="1" s="1"/>
  <c r="AH1466" i="1" s="1"/>
  <c r="V1482" i="1"/>
  <c r="W1482" i="1" s="1"/>
  <c r="AC1482" i="1"/>
  <c r="AB1482" i="1" s="1"/>
  <c r="AA1482" i="1" s="1"/>
  <c r="AJ1482" i="1"/>
  <c r="AI1482" i="1" s="1"/>
  <c r="AH1482" i="1" s="1"/>
  <c r="AJ1480" i="1"/>
  <c r="AI1480" i="1" s="1"/>
  <c r="AH1480" i="1" s="1"/>
  <c r="AC1480" i="1"/>
  <c r="AB1480" i="1" s="1"/>
  <c r="AA1480" i="1" s="1"/>
  <c r="V1480" i="1"/>
  <c r="W1480" i="1" s="1"/>
  <c r="AC1476" i="1"/>
  <c r="AB1476" i="1" s="1"/>
  <c r="AA1476" i="1" s="1"/>
  <c r="AJ1476" i="1"/>
  <c r="AI1476" i="1" s="1"/>
  <c r="AH1476" i="1" s="1"/>
  <c r="V1476" i="1"/>
  <c r="W1476" i="1" s="1"/>
  <c r="AJ1506" i="1"/>
  <c r="AI1506" i="1" s="1"/>
  <c r="AH1506" i="1" s="1"/>
  <c r="V1506" i="1"/>
  <c r="W1506" i="1" s="1"/>
  <c r="AC1506" i="1"/>
  <c r="AB1506" i="1" s="1"/>
  <c r="AA1506" i="1" s="1"/>
  <c r="AJ1498" i="1"/>
  <c r="AI1498" i="1" s="1"/>
  <c r="AH1498" i="1" s="1"/>
  <c r="AC1498" i="1"/>
  <c r="AB1498" i="1" s="1"/>
  <c r="AA1498" i="1" s="1"/>
  <c r="V1498" i="1"/>
  <c r="W1498" i="1" s="1"/>
  <c r="V1353" i="1"/>
  <c r="W1353" i="1" s="1"/>
  <c r="AC1353" i="1"/>
  <c r="AB1353" i="1" s="1"/>
  <c r="AA1353" i="1" s="1"/>
  <c r="AJ1353" i="1"/>
  <c r="AI1353" i="1" s="1"/>
  <c r="AH1353" i="1" s="1"/>
  <c r="V1347" i="1"/>
  <c r="W1347" i="1" s="1"/>
  <c r="AC1347" i="1"/>
  <c r="AB1347" i="1" s="1"/>
  <c r="AA1347" i="1" s="1"/>
  <c r="AJ1347" i="1"/>
  <c r="AI1347" i="1" s="1"/>
  <c r="AH1347" i="1" s="1"/>
  <c r="V1360" i="1"/>
  <c r="W1360" i="1" s="1"/>
  <c r="AC1360" i="1"/>
  <c r="AB1360" i="1" s="1"/>
  <c r="AA1360" i="1" s="1"/>
  <c r="AJ1360" i="1"/>
  <c r="AI1360" i="1" s="1"/>
  <c r="AH1360" i="1" s="1"/>
  <c r="AC1350" i="1"/>
  <c r="AB1350" i="1" s="1"/>
  <c r="AA1350" i="1" s="1"/>
  <c r="V1350" i="1"/>
  <c r="W1350" i="1" s="1"/>
  <c r="AJ1350" i="1"/>
  <c r="AI1350" i="1" s="1"/>
  <c r="AH1350" i="1" s="1"/>
  <c r="V1240" i="1"/>
  <c r="W1240" i="1" s="1"/>
  <c r="AJ1240" i="1"/>
  <c r="AI1240" i="1" s="1"/>
  <c r="AH1240" i="1" s="1"/>
  <c r="AC1240" i="1"/>
  <c r="AB1240" i="1" s="1"/>
  <c r="AA1240" i="1" s="1"/>
  <c r="AJ1222" i="1"/>
  <c r="AI1222" i="1" s="1"/>
  <c r="AH1222" i="1" s="1"/>
  <c r="AC1222" i="1"/>
  <c r="AB1222" i="1" s="1"/>
  <c r="AA1222" i="1" s="1"/>
  <c r="V1222" i="1"/>
  <c r="W1222" i="1" s="1"/>
  <c r="AC1238" i="1"/>
  <c r="AB1238" i="1" s="1"/>
  <c r="AA1238" i="1" s="1"/>
  <c r="AJ1238" i="1"/>
  <c r="AI1238" i="1" s="1"/>
  <c r="AH1238" i="1" s="1"/>
  <c r="V1238" i="1"/>
  <c r="W1238" i="1" s="1"/>
  <c r="V1361" i="1"/>
  <c r="W1361" i="1" s="1"/>
  <c r="AJ1361" i="1"/>
  <c r="AI1361" i="1" s="1"/>
  <c r="AH1361" i="1" s="1"/>
  <c r="AC1361" i="1"/>
  <c r="AB1361" i="1" s="1"/>
  <c r="AA1361" i="1" s="1"/>
  <c r="AJ1348" i="1"/>
  <c r="AI1348" i="1" s="1"/>
  <c r="AH1348" i="1" s="1"/>
  <c r="AC1348" i="1"/>
  <c r="AB1348" i="1" s="1"/>
  <c r="AA1348" i="1" s="1"/>
  <c r="V1348" i="1"/>
  <c r="W1348" i="1" s="1"/>
  <c r="AJ1209" i="1"/>
  <c r="AI1209" i="1" s="1"/>
  <c r="AH1209" i="1" s="1"/>
  <c r="AC1209" i="1"/>
  <c r="AB1209" i="1" s="1"/>
  <c r="AA1209" i="1" s="1"/>
  <c r="V1209" i="1"/>
  <c r="W1209" i="1" s="1"/>
  <c r="AC1201" i="1"/>
  <c r="AB1201" i="1" s="1"/>
  <c r="AA1201" i="1" s="1"/>
  <c r="AJ1201" i="1"/>
  <c r="AI1201" i="1" s="1"/>
  <c r="AH1201" i="1" s="1"/>
  <c r="V1201" i="1"/>
  <c r="W1201" i="1" s="1"/>
  <c r="AJ1203" i="1"/>
  <c r="AI1203" i="1" s="1"/>
  <c r="AH1203" i="1" s="1"/>
  <c r="AC1203" i="1"/>
  <c r="AB1203" i="1" s="1"/>
  <c r="AA1203" i="1" s="1"/>
  <c r="V1203" i="1"/>
  <c r="W1203" i="1" s="1"/>
  <c r="AJ1217" i="1"/>
  <c r="AI1217" i="1" s="1"/>
  <c r="AH1217" i="1" s="1"/>
  <c r="V1217" i="1"/>
  <c r="W1217" i="1" s="1"/>
  <c r="AC1217" i="1"/>
  <c r="AB1217" i="1" s="1"/>
  <c r="AA1217" i="1" s="1"/>
  <c r="AJ1246" i="1"/>
  <c r="AI1246" i="1" s="1"/>
  <c r="AH1246" i="1" s="1"/>
  <c r="AC1246" i="1"/>
  <c r="AB1246" i="1" s="1"/>
  <c r="AA1246" i="1" s="1"/>
  <c r="V1246" i="1"/>
  <c r="W1246" i="1" s="1"/>
  <c r="AJ1247" i="1"/>
  <c r="AI1247" i="1" s="1"/>
  <c r="AH1247" i="1" s="1"/>
  <c r="AC1247" i="1"/>
  <c r="AB1247" i="1" s="1"/>
  <c r="AA1247" i="1" s="1"/>
  <c r="V1247" i="1"/>
  <c r="W1247" i="1" s="1"/>
  <c r="V1252" i="1"/>
  <c r="W1252" i="1" s="1"/>
  <c r="AC1252" i="1"/>
  <c r="AB1252" i="1" s="1"/>
  <c r="AA1252" i="1" s="1"/>
  <c r="AJ1252" i="1"/>
  <c r="AI1252" i="1" s="1"/>
  <c r="AH1252" i="1" s="1"/>
  <c r="AC1250" i="1"/>
  <c r="AB1250" i="1" s="1"/>
  <c r="AA1250" i="1" s="1"/>
  <c r="V1250" i="1"/>
  <c r="W1250" i="1" s="1"/>
  <c r="AJ1250" i="1"/>
  <c r="AI1250" i="1" s="1"/>
  <c r="AH1250" i="1" s="1"/>
  <c r="AC1204" i="1"/>
  <c r="AB1204" i="1" s="1"/>
  <c r="AA1204" i="1" s="1"/>
  <c r="AJ1204" i="1"/>
  <c r="AI1204" i="1" s="1"/>
  <c r="AH1204" i="1" s="1"/>
  <c r="V1204" i="1"/>
  <c r="W1204" i="1" s="1"/>
  <c r="AC1205" i="1"/>
  <c r="AB1205" i="1" s="1"/>
  <c r="AA1205" i="1" s="1"/>
  <c r="V1205" i="1"/>
  <c r="W1205" i="1" s="1"/>
  <c r="AJ1205" i="1"/>
  <c r="AI1205" i="1" s="1"/>
  <c r="AH1205" i="1" s="1"/>
  <c r="AJ1164" i="1"/>
  <c r="AI1164" i="1" s="1"/>
  <c r="AH1164" i="1" s="1"/>
  <c r="V1164" i="1"/>
  <c r="W1164" i="1" s="1"/>
  <c r="AC1164" i="1"/>
  <c r="AB1164" i="1" s="1"/>
  <c r="AA1164" i="1" s="1"/>
  <c r="AJ1125" i="1"/>
  <c r="AI1125" i="1" s="1"/>
  <c r="AH1125" i="1" s="1"/>
  <c r="AC1125" i="1"/>
  <c r="AB1125" i="1" s="1"/>
  <c r="AA1125" i="1" s="1"/>
  <c r="V1125" i="1"/>
  <c r="W1125" i="1" s="1"/>
  <c r="V1142" i="1"/>
  <c r="W1142" i="1" s="1"/>
  <c r="AC1142" i="1"/>
  <c r="AB1142" i="1" s="1"/>
  <c r="AA1142" i="1" s="1"/>
  <c r="AJ1142" i="1"/>
  <c r="AI1142" i="1" s="1"/>
  <c r="AH1142" i="1" s="1"/>
  <c r="V1140" i="1"/>
  <c r="W1140" i="1" s="1"/>
  <c r="AC1140" i="1"/>
  <c r="AB1140" i="1" s="1"/>
  <c r="AA1140" i="1" s="1"/>
  <c r="AJ1140" i="1"/>
  <c r="AI1140" i="1" s="1"/>
  <c r="AH1140" i="1" s="1"/>
  <c r="AC1128" i="1"/>
  <c r="AB1128" i="1" s="1"/>
  <c r="AA1128" i="1" s="1"/>
  <c r="AJ1128" i="1"/>
  <c r="AI1128" i="1" s="1"/>
  <c r="AH1128" i="1" s="1"/>
  <c r="V1128" i="1"/>
  <c r="W1128" i="1" s="1"/>
  <c r="AC1139" i="1"/>
  <c r="AB1139" i="1" s="1"/>
  <c r="AA1139" i="1" s="1"/>
  <c r="AJ1139" i="1"/>
  <c r="AI1139" i="1" s="1"/>
  <c r="AH1139" i="1" s="1"/>
  <c r="V1139" i="1"/>
  <c r="W1139" i="1" s="1"/>
  <c r="V1025" i="1"/>
  <c r="W1025" i="1" s="1"/>
  <c r="AC1025" i="1"/>
  <c r="AB1025" i="1" s="1"/>
  <c r="AA1025" i="1" s="1"/>
  <c r="AJ1025" i="1"/>
  <c r="AI1025" i="1" s="1"/>
  <c r="AH1025" i="1" s="1"/>
  <c r="AJ981" i="1"/>
  <c r="AI981" i="1" s="1"/>
  <c r="AH981" i="1" s="1"/>
  <c r="AC981" i="1"/>
  <c r="AB981" i="1" s="1"/>
  <c r="AA981" i="1" s="1"/>
  <c r="V981" i="1"/>
  <c r="W981" i="1" s="1"/>
  <c r="AC951" i="1"/>
  <c r="AB951" i="1" s="1"/>
  <c r="AA951" i="1" s="1"/>
  <c r="AJ951" i="1"/>
  <c r="AI951" i="1" s="1"/>
  <c r="AH951" i="1" s="1"/>
  <c r="V951" i="1"/>
  <c r="W951" i="1" s="1"/>
  <c r="AC890" i="1"/>
  <c r="AB890" i="1" s="1"/>
  <c r="AA890" i="1" s="1"/>
  <c r="AJ890" i="1"/>
  <c r="AI890" i="1" s="1"/>
  <c r="AH890" i="1" s="1"/>
  <c r="V890" i="1"/>
  <c r="W890" i="1" s="1"/>
  <c r="AC878" i="1"/>
  <c r="AB878" i="1" s="1"/>
  <c r="AA878" i="1" s="1"/>
  <c r="AJ878" i="1"/>
  <c r="AI878" i="1" s="1"/>
  <c r="AH878" i="1" s="1"/>
  <c r="V878" i="1"/>
  <c r="W878" i="1" s="1"/>
  <c r="AC817" i="1"/>
  <c r="AB817" i="1" s="1"/>
  <c r="AA817" i="1" s="1"/>
  <c r="AJ817" i="1"/>
  <c r="AI817" i="1" s="1"/>
  <c r="AH817" i="1" s="1"/>
  <c r="V817" i="1"/>
  <c r="W817" i="1" s="1"/>
  <c r="AJ1193" i="1"/>
  <c r="AI1193" i="1" s="1"/>
  <c r="AH1193" i="1" s="1"/>
  <c r="V1193" i="1"/>
  <c r="W1193" i="1" s="1"/>
  <c r="AC1193" i="1"/>
  <c r="AB1193" i="1" s="1"/>
  <c r="AA1193" i="1" s="1"/>
  <c r="AJ1186" i="1"/>
  <c r="AI1186" i="1" s="1"/>
  <c r="AH1186" i="1" s="1"/>
  <c r="V1186" i="1"/>
  <c r="W1186" i="1" s="1"/>
  <c r="AC1186" i="1"/>
  <c r="AB1186" i="1" s="1"/>
  <c r="AA1186" i="1" s="1"/>
  <c r="V1179" i="1"/>
  <c r="W1179" i="1" s="1"/>
  <c r="AC1179" i="1"/>
  <c r="AB1179" i="1" s="1"/>
  <c r="AA1179" i="1" s="1"/>
  <c r="AJ1179" i="1"/>
  <c r="AI1179" i="1" s="1"/>
  <c r="AH1179" i="1" s="1"/>
  <c r="AJ1175" i="1"/>
  <c r="AI1175" i="1" s="1"/>
  <c r="AH1175" i="1" s="1"/>
  <c r="AC1175" i="1"/>
  <c r="AB1175" i="1" s="1"/>
  <c r="AA1175" i="1" s="1"/>
  <c r="V1175" i="1"/>
  <c r="W1175" i="1" s="1"/>
  <c r="AC1187" i="1"/>
  <c r="AB1187" i="1" s="1"/>
  <c r="AA1187" i="1" s="1"/>
  <c r="AJ1187" i="1"/>
  <c r="AI1187" i="1" s="1"/>
  <c r="AH1187" i="1" s="1"/>
  <c r="V1187" i="1"/>
  <c r="W1187" i="1" s="1"/>
  <c r="AJ1168" i="1"/>
  <c r="AI1168" i="1" s="1"/>
  <c r="AH1168" i="1" s="1"/>
  <c r="V1168" i="1"/>
  <c r="W1168" i="1" s="1"/>
  <c r="AC1168" i="1"/>
  <c r="AB1168" i="1" s="1"/>
  <c r="AA1168" i="1" s="1"/>
  <c r="V1111" i="1"/>
  <c r="W1111" i="1" s="1"/>
  <c r="AC1111" i="1"/>
  <c r="AB1111" i="1" s="1"/>
  <c r="AA1111" i="1" s="1"/>
  <c r="AJ1111" i="1"/>
  <c r="AI1111" i="1" s="1"/>
  <c r="AH1111" i="1" s="1"/>
  <c r="V1109" i="1"/>
  <c r="W1109" i="1" s="1"/>
  <c r="AC1109" i="1"/>
  <c r="AB1109" i="1" s="1"/>
  <c r="AA1109" i="1" s="1"/>
  <c r="AJ1109" i="1"/>
  <c r="AI1109" i="1" s="1"/>
  <c r="AH1109" i="1" s="1"/>
  <c r="AC1108" i="1"/>
  <c r="AB1108" i="1" s="1"/>
  <c r="AA1108" i="1" s="1"/>
  <c r="AJ1108" i="1"/>
  <c r="AI1108" i="1" s="1"/>
  <c r="AH1108" i="1" s="1"/>
  <c r="V1108" i="1"/>
  <c r="W1108" i="1" s="1"/>
  <c r="AJ1082" i="1"/>
  <c r="AI1082" i="1" s="1"/>
  <c r="AH1082" i="1" s="1"/>
  <c r="V1082" i="1"/>
  <c r="W1082" i="1" s="1"/>
  <c r="AC1082" i="1"/>
  <c r="AB1082" i="1" s="1"/>
  <c r="AA1082" i="1" s="1"/>
  <c r="AJ1058" i="1"/>
  <c r="AI1058" i="1" s="1"/>
  <c r="AH1058" i="1" s="1"/>
  <c r="V1058" i="1"/>
  <c r="W1058" i="1" s="1"/>
  <c r="AC1058" i="1"/>
  <c r="AB1058" i="1" s="1"/>
  <c r="AA1058" i="1" s="1"/>
  <c r="AJ1057" i="1"/>
  <c r="AI1057" i="1" s="1"/>
  <c r="AH1057" i="1" s="1"/>
  <c r="AC1057" i="1"/>
  <c r="AB1057" i="1" s="1"/>
  <c r="AA1057" i="1" s="1"/>
  <c r="V1057" i="1"/>
  <c r="W1057" i="1" s="1"/>
  <c r="AJ1071" i="1"/>
  <c r="AI1071" i="1" s="1"/>
  <c r="AH1071" i="1" s="1"/>
  <c r="V1071" i="1"/>
  <c r="W1071" i="1" s="1"/>
  <c r="AC1071" i="1"/>
  <c r="AB1071" i="1" s="1"/>
  <c r="AA1071" i="1" s="1"/>
  <c r="V1069" i="1"/>
  <c r="W1069" i="1" s="1"/>
  <c r="AC1069" i="1"/>
  <c r="AB1069" i="1" s="1"/>
  <c r="AA1069" i="1" s="1"/>
  <c r="AJ1069" i="1"/>
  <c r="AI1069" i="1" s="1"/>
  <c r="AH1069" i="1" s="1"/>
  <c r="AC1059" i="1"/>
  <c r="AB1059" i="1" s="1"/>
  <c r="AA1059" i="1" s="1"/>
  <c r="AJ1059" i="1"/>
  <c r="AI1059" i="1" s="1"/>
  <c r="AH1059" i="1" s="1"/>
  <c r="V1059" i="1"/>
  <c r="W1059" i="1" s="1"/>
  <c r="V982" i="1"/>
  <c r="W982" i="1" s="1"/>
  <c r="AC982" i="1"/>
  <c r="AB982" i="1" s="1"/>
  <c r="AA982" i="1" s="1"/>
  <c r="AJ982" i="1"/>
  <c r="AI982" i="1" s="1"/>
  <c r="AH982" i="1" s="1"/>
  <c r="V976" i="1"/>
  <c r="W976" i="1" s="1"/>
  <c r="AC976" i="1"/>
  <c r="AB976" i="1" s="1"/>
  <c r="AA976" i="1" s="1"/>
  <c r="AJ976" i="1"/>
  <c r="AI976" i="1" s="1"/>
  <c r="AH976" i="1" s="1"/>
  <c r="V959" i="1"/>
  <c r="W959" i="1" s="1"/>
  <c r="AJ959" i="1"/>
  <c r="AI959" i="1" s="1"/>
  <c r="AH959" i="1" s="1"/>
  <c r="AC959" i="1"/>
  <c r="AB959" i="1" s="1"/>
  <c r="AA959" i="1" s="1"/>
  <c r="V946" i="1"/>
  <c r="W946" i="1" s="1"/>
  <c r="AC946" i="1"/>
  <c r="AB946" i="1" s="1"/>
  <c r="AA946" i="1" s="1"/>
  <c r="AJ946" i="1"/>
  <c r="AI946" i="1" s="1"/>
  <c r="AH946" i="1" s="1"/>
  <c r="V940" i="1"/>
  <c r="W940" i="1" s="1"/>
  <c r="AC940" i="1"/>
  <c r="AB940" i="1" s="1"/>
  <c r="AA940" i="1" s="1"/>
  <c r="AJ940" i="1"/>
  <c r="AI940" i="1" s="1"/>
  <c r="AH940" i="1" s="1"/>
  <c r="V934" i="1"/>
  <c r="W934" i="1" s="1"/>
  <c r="AJ934" i="1"/>
  <c r="AI934" i="1" s="1"/>
  <c r="AH934" i="1" s="1"/>
  <c r="AC934" i="1"/>
  <c r="AB934" i="1" s="1"/>
  <c r="AA934" i="1" s="1"/>
  <c r="V925" i="1"/>
  <c r="W925" i="1" s="1"/>
  <c r="AC925" i="1"/>
  <c r="AB925" i="1" s="1"/>
  <c r="AA925" i="1" s="1"/>
  <c r="AJ925" i="1"/>
  <c r="AI925" i="1" s="1"/>
  <c r="AH925" i="1" s="1"/>
  <c r="V898" i="1"/>
  <c r="W898" i="1" s="1"/>
  <c r="AC898" i="1"/>
  <c r="AB898" i="1" s="1"/>
  <c r="AA898" i="1" s="1"/>
  <c r="AJ898" i="1"/>
  <c r="AI898" i="1" s="1"/>
  <c r="AH898" i="1" s="1"/>
  <c r="V892" i="1"/>
  <c r="W892" i="1" s="1"/>
  <c r="AC892" i="1"/>
  <c r="AB892" i="1" s="1"/>
  <c r="AA892" i="1" s="1"/>
  <c r="AJ892" i="1"/>
  <c r="AI892" i="1" s="1"/>
  <c r="AH892" i="1" s="1"/>
  <c r="V873" i="1"/>
  <c r="W873" i="1" s="1"/>
  <c r="AC873" i="1"/>
  <c r="AB873" i="1" s="1"/>
  <c r="AA873" i="1" s="1"/>
  <c r="AJ873" i="1"/>
  <c r="AI873" i="1" s="1"/>
  <c r="AH873" i="1" s="1"/>
  <c r="V853" i="1"/>
  <c r="W853" i="1" s="1"/>
  <c r="AC853" i="1"/>
  <c r="AB853" i="1" s="1"/>
  <c r="AA853" i="1" s="1"/>
  <c r="AJ853" i="1"/>
  <c r="AI853" i="1" s="1"/>
  <c r="AH853" i="1" s="1"/>
  <c r="V838" i="1"/>
  <c r="W838" i="1" s="1"/>
  <c r="AC838" i="1"/>
  <c r="AB838" i="1" s="1"/>
  <c r="AA838" i="1" s="1"/>
  <c r="AJ838" i="1"/>
  <c r="AI838" i="1" s="1"/>
  <c r="AH838" i="1" s="1"/>
  <c r="V829" i="1"/>
  <c r="W829" i="1" s="1"/>
  <c r="AC829" i="1"/>
  <c r="AB829" i="1" s="1"/>
  <c r="AA829" i="1" s="1"/>
  <c r="AJ829" i="1"/>
  <c r="AI829" i="1" s="1"/>
  <c r="AH829" i="1" s="1"/>
  <c r="AJ1081" i="1"/>
  <c r="AI1081" i="1" s="1"/>
  <c r="AH1081" i="1" s="1"/>
  <c r="V1081" i="1"/>
  <c r="W1081" i="1" s="1"/>
  <c r="AC1081" i="1"/>
  <c r="AB1081" i="1" s="1"/>
  <c r="AA1081" i="1" s="1"/>
  <c r="AJ1095" i="1"/>
  <c r="AI1095" i="1" s="1"/>
  <c r="AH1095" i="1" s="1"/>
  <c r="V1095" i="1"/>
  <c r="W1095" i="1" s="1"/>
  <c r="AC1095" i="1"/>
  <c r="AB1095" i="1" s="1"/>
  <c r="AA1095" i="1" s="1"/>
  <c r="V1093" i="1"/>
  <c r="W1093" i="1" s="1"/>
  <c r="AC1093" i="1"/>
  <c r="AB1093" i="1" s="1"/>
  <c r="AA1093" i="1" s="1"/>
  <c r="AJ1093" i="1"/>
  <c r="AI1093" i="1" s="1"/>
  <c r="AH1093" i="1" s="1"/>
  <c r="AC1083" i="1"/>
  <c r="AB1083" i="1" s="1"/>
  <c r="AA1083" i="1" s="1"/>
  <c r="AJ1083" i="1"/>
  <c r="AI1083" i="1" s="1"/>
  <c r="AH1083" i="1" s="1"/>
  <c r="V1083" i="1"/>
  <c r="W1083" i="1" s="1"/>
  <c r="AJ1029" i="1"/>
  <c r="AI1029" i="1" s="1"/>
  <c r="AH1029" i="1" s="1"/>
  <c r="AC1029" i="1"/>
  <c r="AB1029" i="1" s="1"/>
  <c r="AA1029" i="1" s="1"/>
  <c r="V1029" i="1"/>
  <c r="W1029" i="1" s="1"/>
  <c r="AC1046" i="1"/>
  <c r="AB1046" i="1" s="1"/>
  <c r="AA1046" i="1" s="1"/>
  <c r="AJ1046" i="1"/>
  <c r="AI1046" i="1" s="1"/>
  <c r="AH1046" i="1" s="1"/>
  <c r="V1046" i="1"/>
  <c r="W1046" i="1" s="1"/>
  <c r="AC1032" i="1"/>
  <c r="AB1032" i="1" s="1"/>
  <c r="AA1032" i="1" s="1"/>
  <c r="AJ1032" i="1"/>
  <c r="AI1032" i="1" s="1"/>
  <c r="AH1032" i="1" s="1"/>
  <c r="V1032" i="1"/>
  <c r="W1032" i="1" s="1"/>
  <c r="AC1043" i="1"/>
  <c r="AB1043" i="1" s="1"/>
  <c r="AA1043" i="1" s="1"/>
  <c r="AJ1043" i="1"/>
  <c r="AI1043" i="1" s="1"/>
  <c r="AH1043" i="1" s="1"/>
  <c r="V1043" i="1"/>
  <c r="W1043" i="1" s="1"/>
  <c r="V1013" i="1"/>
  <c r="W1013" i="1" s="1"/>
  <c r="AJ1013" i="1"/>
  <c r="AI1013" i="1" s="1"/>
  <c r="AH1013" i="1" s="1"/>
  <c r="AC1013" i="1"/>
  <c r="AB1013" i="1" s="1"/>
  <c r="AA1013" i="1" s="1"/>
  <c r="AJ984" i="1"/>
  <c r="AI984" i="1" s="1"/>
  <c r="AH984" i="1" s="1"/>
  <c r="V984" i="1"/>
  <c r="W984" i="1" s="1"/>
  <c r="AC984" i="1"/>
  <c r="AB984" i="1" s="1"/>
  <c r="AA984" i="1" s="1"/>
  <c r="AC957" i="1"/>
  <c r="AB957" i="1" s="1"/>
  <c r="AA957" i="1" s="1"/>
  <c r="V957" i="1"/>
  <c r="W957" i="1" s="1"/>
  <c r="AJ957" i="1"/>
  <c r="AI957" i="1" s="1"/>
  <c r="AH957" i="1" s="1"/>
  <c r="AJ937" i="1"/>
  <c r="AI937" i="1" s="1"/>
  <c r="AH937" i="1" s="1"/>
  <c r="V937" i="1"/>
  <c r="W937" i="1" s="1"/>
  <c r="AC937" i="1"/>
  <c r="AB937" i="1" s="1"/>
  <c r="AA937" i="1" s="1"/>
  <c r="AJ927" i="1"/>
  <c r="AI927" i="1" s="1"/>
  <c r="AH927" i="1" s="1"/>
  <c r="V927" i="1"/>
  <c r="W927" i="1" s="1"/>
  <c r="AC927" i="1"/>
  <c r="AB927" i="1" s="1"/>
  <c r="AA927" i="1" s="1"/>
  <c r="AJ917" i="1"/>
  <c r="AI917" i="1" s="1"/>
  <c r="AH917" i="1" s="1"/>
  <c r="V917" i="1"/>
  <c r="W917" i="1" s="1"/>
  <c r="AC917" i="1"/>
  <c r="AB917" i="1" s="1"/>
  <c r="AA917" i="1" s="1"/>
  <c r="V910" i="1"/>
  <c r="W910" i="1" s="1"/>
  <c r="AC910" i="1"/>
  <c r="AB910" i="1" s="1"/>
  <c r="AA910" i="1" s="1"/>
  <c r="AJ910" i="1"/>
  <c r="AI910" i="1" s="1"/>
  <c r="AH910" i="1" s="1"/>
  <c r="AJ900" i="1"/>
  <c r="AI900" i="1" s="1"/>
  <c r="AH900" i="1" s="1"/>
  <c r="V900" i="1"/>
  <c r="W900" i="1" s="1"/>
  <c r="AC900" i="1"/>
  <c r="AB900" i="1" s="1"/>
  <c r="AA900" i="1" s="1"/>
  <c r="AJ894" i="1"/>
  <c r="AI894" i="1" s="1"/>
  <c r="AH894" i="1" s="1"/>
  <c r="V894" i="1"/>
  <c r="W894" i="1" s="1"/>
  <c r="AC894" i="1"/>
  <c r="AB894" i="1" s="1"/>
  <c r="AA894" i="1" s="1"/>
  <c r="V855" i="1"/>
  <c r="W855" i="1" s="1"/>
  <c r="AC855" i="1"/>
  <c r="AB855" i="1" s="1"/>
  <c r="AA855" i="1" s="1"/>
  <c r="AJ855" i="1"/>
  <c r="AI855" i="1" s="1"/>
  <c r="AH855" i="1" s="1"/>
  <c r="AJ1160" i="1"/>
  <c r="AI1160" i="1" s="1"/>
  <c r="AH1160" i="1" s="1"/>
  <c r="V1160" i="1"/>
  <c r="W1160" i="1" s="1"/>
  <c r="AC1160" i="1"/>
  <c r="AB1160" i="1" s="1"/>
  <c r="AA1160" i="1" s="1"/>
  <c r="V1158" i="1"/>
  <c r="W1158" i="1" s="1"/>
  <c r="AC1158" i="1"/>
  <c r="AB1158" i="1" s="1"/>
  <c r="AA1158" i="1" s="1"/>
  <c r="AJ1158" i="1"/>
  <c r="AI1158" i="1" s="1"/>
  <c r="AH1158" i="1" s="1"/>
  <c r="AC1152" i="1"/>
  <c r="AB1152" i="1" s="1"/>
  <c r="AA1152" i="1" s="1"/>
  <c r="AJ1152" i="1"/>
  <c r="AI1152" i="1" s="1"/>
  <c r="AH1152" i="1" s="1"/>
  <c r="V1152" i="1"/>
  <c r="W1152" i="1" s="1"/>
  <c r="AC1165" i="1"/>
  <c r="AB1165" i="1" s="1"/>
  <c r="AA1165" i="1" s="1"/>
  <c r="V1165" i="1"/>
  <c r="W1165" i="1" s="1"/>
  <c r="AJ1165" i="1"/>
  <c r="AI1165" i="1" s="1"/>
  <c r="AH1165" i="1" s="1"/>
  <c r="V1021" i="1"/>
  <c r="W1021" i="1" s="1"/>
  <c r="AC1021" i="1"/>
  <c r="AB1021" i="1" s="1"/>
  <c r="AA1021" i="1" s="1"/>
  <c r="AJ1021" i="1"/>
  <c r="AI1021" i="1" s="1"/>
  <c r="AH1021" i="1" s="1"/>
  <c r="AJ1009" i="1"/>
  <c r="AI1009" i="1" s="1"/>
  <c r="AH1009" i="1" s="1"/>
  <c r="AC1009" i="1"/>
  <c r="AB1009" i="1" s="1"/>
  <c r="AA1009" i="1" s="1"/>
  <c r="V1009" i="1"/>
  <c r="W1009" i="1" s="1"/>
  <c r="AC1007" i="1"/>
  <c r="AB1007" i="1" s="1"/>
  <c r="AA1007" i="1" s="1"/>
  <c r="AJ1007" i="1"/>
  <c r="AI1007" i="1" s="1"/>
  <c r="AH1007" i="1" s="1"/>
  <c r="V1007" i="1"/>
  <c r="W1007" i="1" s="1"/>
  <c r="AC1018" i="1"/>
  <c r="AB1018" i="1" s="1"/>
  <c r="AA1018" i="1" s="1"/>
  <c r="AJ1018" i="1"/>
  <c r="AI1018" i="1" s="1"/>
  <c r="AH1018" i="1" s="1"/>
  <c r="V1018" i="1"/>
  <c r="W1018" i="1" s="1"/>
  <c r="AJ918" i="1"/>
  <c r="AI918" i="1" s="1"/>
  <c r="AH918" i="1" s="1"/>
  <c r="V918" i="1"/>
  <c r="W918" i="1" s="1"/>
  <c r="AC918" i="1"/>
  <c r="AB918" i="1" s="1"/>
  <c r="AA918" i="1" s="1"/>
  <c r="AJ911" i="1"/>
  <c r="AI911" i="1" s="1"/>
  <c r="AH911" i="1" s="1"/>
  <c r="V911" i="1"/>
  <c r="W911" i="1" s="1"/>
  <c r="AC911" i="1"/>
  <c r="AB911" i="1" s="1"/>
  <c r="AA911" i="1" s="1"/>
  <c r="AJ901" i="1"/>
  <c r="AI901" i="1" s="1"/>
  <c r="AH901" i="1" s="1"/>
  <c r="V901" i="1"/>
  <c r="W901" i="1" s="1"/>
  <c r="AC901" i="1"/>
  <c r="AB901" i="1" s="1"/>
  <c r="AA901" i="1" s="1"/>
  <c r="AC764" i="1"/>
  <c r="AB764" i="1" s="1"/>
  <c r="AA764" i="1" s="1"/>
  <c r="V764" i="1"/>
  <c r="W764" i="1" s="1"/>
  <c r="AJ764" i="1"/>
  <c r="AI764" i="1" s="1"/>
  <c r="AH764" i="1" s="1"/>
  <c r="AC748" i="1"/>
  <c r="AB748" i="1" s="1"/>
  <c r="AA748" i="1" s="1"/>
  <c r="AJ748" i="1"/>
  <c r="AI748" i="1" s="1"/>
  <c r="AH748" i="1" s="1"/>
  <c r="V748" i="1"/>
  <c r="W748" i="1" s="1"/>
  <c r="AC705" i="1"/>
  <c r="AB705" i="1" s="1"/>
  <c r="AA705" i="1" s="1"/>
  <c r="AJ705" i="1"/>
  <c r="AI705" i="1" s="1"/>
  <c r="AH705" i="1" s="1"/>
  <c r="V705" i="1"/>
  <c r="W705" i="1" s="1"/>
  <c r="AC699" i="1"/>
  <c r="AB699" i="1" s="1"/>
  <c r="AA699" i="1" s="1"/>
  <c r="AJ699" i="1"/>
  <c r="AI699" i="1" s="1"/>
  <c r="AH699" i="1" s="1"/>
  <c r="V699" i="1"/>
  <c r="W699" i="1" s="1"/>
  <c r="AC685" i="1"/>
  <c r="AB685" i="1" s="1"/>
  <c r="AA685" i="1" s="1"/>
  <c r="AJ685" i="1"/>
  <c r="AI685" i="1" s="1"/>
  <c r="AH685" i="1" s="1"/>
  <c r="V685" i="1"/>
  <c r="W685" i="1" s="1"/>
  <c r="AC631" i="1"/>
  <c r="AB631" i="1" s="1"/>
  <c r="AA631" i="1" s="1"/>
  <c r="AJ631" i="1"/>
  <c r="AI631" i="1" s="1"/>
  <c r="AH631" i="1" s="1"/>
  <c r="V631" i="1"/>
  <c r="W631" i="1" s="1"/>
  <c r="AJ602" i="1"/>
  <c r="AI602" i="1" s="1"/>
  <c r="AH602" i="1" s="1"/>
  <c r="AC602" i="1"/>
  <c r="AB602" i="1" s="1"/>
  <c r="AA602" i="1" s="1"/>
  <c r="V602" i="1"/>
  <c r="W602" i="1" s="1"/>
  <c r="AC585" i="1"/>
  <c r="AB585" i="1" s="1"/>
  <c r="AA585" i="1" s="1"/>
  <c r="AJ585" i="1"/>
  <c r="AI585" i="1" s="1"/>
  <c r="AH585" i="1" s="1"/>
  <c r="V585" i="1"/>
  <c r="W585" i="1" s="1"/>
  <c r="AC574" i="1"/>
  <c r="AB574" i="1" s="1"/>
  <c r="AA574" i="1" s="1"/>
  <c r="AJ574" i="1"/>
  <c r="AI574" i="1" s="1"/>
  <c r="AH574" i="1" s="1"/>
  <c r="V574" i="1"/>
  <c r="W574" i="1" s="1"/>
  <c r="AC528" i="1"/>
  <c r="AB528" i="1" s="1"/>
  <c r="AA528" i="1" s="1"/>
  <c r="AJ528" i="1"/>
  <c r="AI528" i="1" s="1"/>
  <c r="AH528" i="1" s="1"/>
  <c r="V528" i="1"/>
  <c r="W528" i="1" s="1"/>
  <c r="AJ514" i="1"/>
  <c r="AI514" i="1" s="1"/>
  <c r="AH514" i="1" s="1"/>
  <c r="AC514" i="1"/>
  <c r="AB514" i="1" s="1"/>
  <c r="AA514" i="1" s="1"/>
  <c r="V514" i="1"/>
  <c r="W514" i="1" s="1"/>
  <c r="AC491" i="1"/>
  <c r="AB491" i="1" s="1"/>
  <c r="AA491" i="1" s="1"/>
  <c r="AJ491" i="1"/>
  <c r="AI491" i="1" s="1"/>
  <c r="AH491" i="1" s="1"/>
  <c r="V491" i="1"/>
  <c r="W491" i="1" s="1"/>
  <c r="AC463" i="1"/>
  <c r="AB463" i="1" s="1"/>
  <c r="AA463" i="1" s="1"/>
  <c r="AJ463" i="1"/>
  <c r="AI463" i="1" s="1"/>
  <c r="AH463" i="1" s="1"/>
  <c r="V463" i="1"/>
  <c r="W463" i="1" s="1"/>
  <c r="AC440" i="1"/>
  <c r="AB440" i="1" s="1"/>
  <c r="AA440" i="1" s="1"/>
  <c r="AJ440" i="1"/>
  <c r="AI440" i="1" s="1"/>
  <c r="AH440" i="1" s="1"/>
  <c r="V440" i="1"/>
  <c r="W440" i="1" s="1"/>
  <c r="AC408" i="1"/>
  <c r="AB408" i="1" s="1"/>
  <c r="AA408" i="1" s="1"/>
  <c r="AJ408" i="1"/>
  <c r="AI408" i="1" s="1"/>
  <c r="AH408" i="1" s="1"/>
  <c r="V408" i="1"/>
  <c r="W408" i="1" s="1"/>
  <c r="AJ394" i="1"/>
  <c r="AI394" i="1" s="1"/>
  <c r="AH394" i="1" s="1"/>
  <c r="AC394" i="1"/>
  <c r="AB394" i="1" s="1"/>
  <c r="AA394" i="1" s="1"/>
  <c r="V394" i="1"/>
  <c r="W394" i="1" s="1"/>
  <c r="AC371" i="1"/>
  <c r="AB371" i="1" s="1"/>
  <c r="AA371" i="1" s="1"/>
  <c r="AJ371" i="1"/>
  <c r="AI371" i="1" s="1"/>
  <c r="AH371" i="1" s="1"/>
  <c r="V371" i="1"/>
  <c r="W371" i="1" s="1"/>
  <c r="AC343" i="1"/>
  <c r="AB343" i="1" s="1"/>
  <c r="AA343" i="1" s="1"/>
  <c r="V343" i="1"/>
  <c r="W343" i="1" s="1"/>
  <c r="AJ343" i="1"/>
  <c r="AI343" i="1" s="1"/>
  <c r="AH343" i="1" s="1"/>
  <c r="AC267" i="1"/>
  <c r="AB267" i="1" s="1"/>
  <c r="AA267" i="1" s="1"/>
  <c r="AJ267" i="1"/>
  <c r="AI267" i="1" s="1"/>
  <c r="AH267" i="1" s="1"/>
  <c r="V267" i="1"/>
  <c r="W267" i="1" s="1"/>
  <c r="AC767" i="1"/>
  <c r="AB767" i="1" s="1"/>
  <c r="AA767" i="1" s="1"/>
  <c r="AJ767" i="1"/>
  <c r="AI767" i="1" s="1"/>
  <c r="AH767" i="1" s="1"/>
  <c r="V767" i="1"/>
  <c r="W767" i="1" s="1"/>
  <c r="V777" i="1"/>
  <c r="W777" i="1" s="1"/>
  <c r="AC777" i="1"/>
  <c r="AB777" i="1" s="1"/>
  <c r="AA777" i="1" s="1"/>
  <c r="AJ777" i="1"/>
  <c r="AI777" i="1" s="1"/>
  <c r="AH777" i="1" s="1"/>
  <c r="AC782" i="1"/>
  <c r="AB782" i="1" s="1"/>
  <c r="AA782" i="1" s="1"/>
  <c r="AJ782" i="1"/>
  <c r="AI782" i="1" s="1"/>
  <c r="AH782" i="1" s="1"/>
  <c r="V782" i="1"/>
  <c r="W782" i="1" s="1"/>
  <c r="V663" i="1"/>
  <c r="W663" i="1" s="1"/>
  <c r="AC663" i="1"/>
  <c r="AB663" i="1" s="1"/>
  <c r="AA663" i="1" s="1"/>
  <c r="AJ663" i="1"/>
  <c r="AI663" i="1" s="1"/>
  <c r="AH663" i="1" s="1"/>
  <c r="V653" i="1"/>
  <c r="W653" i="1" s="1"/>
  <c r="AC653" i="1"/>
  <c r="AB653" i="1" s="1"/>
  <c r="AA653" i="1" s="1"/>
  <c r="AJ653" i="1"/>
  <c r="AI653" i="1" s="1"/>
  <c r="AH653" i="1" s="1"/>
  <c r="V646" i="1"/>
  <c r="W646" i="1" s="1"/>
  <c r="AC646" i="1"/>
  <c r="AB646" i="1" s="1"/>
  <c r="AA646" i="1" s="1"/>
  <c r="AJ646" i="1"/>
  <c r="AI646" i="1" s="1"/>
  <c r="AH646" i="1" s="1"/>
  <c r="V636" i="1"/>
  <c r="W636" i="1" s="1"/>
  <c r="AC636" i="1"/>
  <c r="AB636" i="1" s="1"/>
  <c r="AA636" i="1" s="1"/>
  <c r="AJ636" i="1"/>
  <c r="AI636" i="1" s="1"/>
  <c r="AH636" i="1" s="1"/>
  <c r="V620" i="1"/>
  <c r="W620" i="1" s="1"/>
  <c r="AJ620" i="1"/>
  <c r="AI620" i="1" s="1"/>
  <c r="AH620" i="1" s="1"/>
  <c r="AC620" i="1"/>
  <c r="AB620" i="1" s="1"/>
  <c r="AA620" i="1" s="1"/>
  <c r="V604" i="1"/>
  <c r="W604" i="1" s="1"/>
  <c r="AC604" i="1"/>
  <c r="AB604" i="1" s="1"/>
  <c r="AA604" i="1" s="1"/>
  <c r="AJ604" i="1"/>
  <c r="AI604" i="1" s="1"/>
  <c r="AH604" i="1" s="1"/>
  <c r="V578" i="1"/>
  <c r="W578" i="1" s="1"/>
  <c r="AC578" i="1"/>
  <c r="AB578" i="1" s="1"/>
  <c r="AA578" i="1" s="1"/>
  <c r="AJ578" i="1"/>
  <c r="AI578" i="1" s="1"/>
  <c r="AH578" i="1" s="1"/>
  <c r="V565" i="1"/>
  <c r="W565" i="1" s="1"/>
  <c r="AC565" i="1"/>
  <c r="AB565" i="1" s="1"/>
  <c r="AA565" i="1" s="1"/>
  <c r="AJ565" i="1"/>
  <c r="AI565" i="1" s="1"/>
  <c r="AH565" i="1" s="1"/>
  <c r="V557" i="1"/>
  <c r="W557" i="1" s="1"/>
  <c r="AC557" i="1"/>
  <c r="AB557" i="1" s="1"/>
  <c r="AA557" i="1" s="1"/>
  <c r="AJ557" i="1"/>
  <c r="AI557" i="1" s="1"/>
  <c r="AH557" i="1" s="1"/>
  <c r="V551" i="1"/>
  <c r="W551" i="1" s="1"/>
  <c r="AC551" i="1"/>
  <c r="AB551" i="1" s="1"/>
  <c r="AA551" i="1" s="1"/>
  <c r="AJ551" i="1"/>
  <c r="AI551" i="1" s="1"/>
  <c r="AH551" i="1" s="1"/>
  <c r="V535" i="1"/>
  <c r="W535" i="1" s="1"/>
  <c r="AC535" i="1"/>
  <c r="AB535" i="1" s="1"/>
  <c r="AA535" i="1" s="1"/>
  <c r="AJ535" i="1"/>
  <c r="AI535" i="1" s="1"/>
  <c r="AH535" i="1" s="1"/>
  <c r="V529" i="1"/>
  <c r="W529" i="1" s="1"/>
  <c r="AC529" i="1"/>
  <c r="AB529" i="1" s="1"/>
  <c r="AA529" i="1" s="1"/>
  <c r="AJ529" i="1"/>
  <c r="AI529" i="1" s="1"/>
  <c r="AH529" i="1" s="1"/>
  <c r="V512" i="1"/>
  <c r="W512" i="1" s="1"/>
  <c r="AC512" i="1"/>
  <c r="AB512" i="1" s="1"/>
  <c r="AA512" i="1" s="1"/>
  <c r="AJ512" i="1"/>
  <c r="AI512" i="1" s="1"/>
  <c r="AH512" i="1" s="1"/>
  <c r="AC492" i="1"/>
  <c r="AB492" i="1" s="1"/>
  <c r="AA492" i="1" s="1"/>
  <c r="V492" i="1"/>
  <c r="W492" i="1" s="1"/>
  <c r="AJ492" i="1"/>
  <c r="AI492" i="1" s="1"/>
  <c r="AH492" i="1" s="1"/>
  <c r="V485" i="1"/>
  <c r="W485" i="1" s="1"/>
  <c r="AC485" i="1"/>
  <c r="AB485" i="1" s="1"/>
  <c r="AA485" i="1" s="1"/>
  <c r="AJ485" i="1"/>
  <c r="AI485" i="1" s="1"/>
  <c r="AH485" i="1" s="1"/>
  <c r="AJ445" i="1"/>
  <c r="AI445" i="1" s="1"/>
  <c r="AH445" i="1" s="1"/>
  <c r="V445" i="1"/>
  <c r="W445" i="1" s="1"/>
  <c r="AC445" i="1"/>
  <c r="AB445" i="1" s="1"/>
  <c r="AA445" i="1" s="1"/>
  <c r="V437" i="1"/>
  <c r="W437" i="1" s="1"/>
  <c r="AC437" i="1"/>
  <c r="AB437" i="1" s="1"/>
  <c r="AA437" i="1" s="1"/>
  <c r="AJ437" i="1"/>
  <c r="AI437" i="1" s="1"/>
  <c r="AH437" i="1" s="1"/>
  <c r="V431" i="1"/>
  <c r="W431" i="1" s="1"/>
  <c r="AC431" i="1"/>
  <c r="AB431" i="1" s="1"/>
  <c r="AA431" i="1" s="1"/>
  <c r="AJ431" i="1"/>
  <c r="AI431" i="1" s="1"/>
  <c r="AH431" i="1" s="1"/>
  <c r="V380" i="1"/>
  <c r="W380" i="1" s="1"/>
  <c r="AJ380" i="1"/>
  <c r="AI380" i="1" s="1"/>
  <c r="AH380" i="1" s="1"/>
  <c r="AC380" i="1"/>
  <c r="AB380" i="1" s="1"/>
  <c r="AA380" i="1" s="1"/>
  <c r="AC372" i="1"/>
  <c r="AB372" i="1" s="1"/>
  <c r="AA372" i="1" s="1"/>
  <c r="V372" i="1"/>
  <c r="W372" i="1" s="1"/>
  <c r="AJ372" i="1"/>
  <c r="AI372" i="1" s="1"/>
  <c r="AH372" i="1" s="1"/>
  <c r="V365" i="1"/>
  <c r="W365" i="1" s="1"/>
  <c r="AC365" i="1"/>
  <c r="AB365" i="1" s="1"/>
  <c r="AA365" i="1" s="1"/>
  <c r="AJ365" i="1"/>
  <c r="AI365" i="1" s="1"/>
  <c r="AH365" i="1" s="1"/>
  <c r="V347" i="1"/>
  <c r="W347" i="1" s="1"/>
  <c r="AJ347" i="1"/>
  <c r="AI347" i="1" s="1"/>
  <c r="AH347" i="1" s="1"/>
  <c r="AC347" i="1"/>
  <c r="AB347" i="1" s="1"/>
  <c r="AA347" i="1" s="1"/>
  <c r="AC295" i="1"/>
  <c r="AB295" i="1" s="1"/>
  <c r="AA295" i="1" s="1"/>
  <c r="V295" i="1"/>
  <c r="W295" i="1" s="1"/>
  <c r="AJ295" i="1"/>
  <c r="AI295" i="1" s="1"/>
  <c r="AH295" i="1" s="1"/>
  <c r="AC268" i="1"/>
  <c r="AB268" i="1" s="1"/>
  <c r="AA268" i="1" s="1"/>
  <c r="V268" i="1"/>
  <c r="W268" i="1" s="1"/>
  <c r="AJ268" i="1"/>
  <c r="AI268" i="1" s="1"/>
  <c r="AH268" i="1" s="1"/>
  <c r="V792" i="1"/>
  <c r="W792" i="1" s="1"/>
  <c r="AC792" i="1"/>
  <c r="AB792" i="1" s="1"/>
  <c r="AA792" i="1" s="1"/>
  <c r="AJ792" i="1"/>
  <c r="AI792" i="1" s="1"/>
  <c r="AH792" i="1" s="1"/>
  <c r="V803" i="1"/>
  <c r="W803" i="1" s="1"/>
  <c r="AC803" i="1"/>
  <c r="AB803" i="1" s="1"/>
  <c r="AA803" i="1" s="1"/>
  <c r="AJ803" i="1"/>
  <c r="AI803" i="1" s="1"/>
  <c r="AH803" i="1" s="1"/>
  <c r="V796" i="1"/>
  <c r="W796" i="1" s="1"/>
  <c r="AC796" i="1"/>
  <c r="AB796" i="1" s="1"/>
  <c r="AA796" i="1" s="1"/>
  <c r="AJ796" i="1"/>
  <c r="AI796" i="1" s="1"/>
  <c r="AH796" i="1" s="1"/>
  <c r="AC794" i="1"/>
  <c r="AB794" i="1" s="1"/>
  <c r="AA794" i="1" s="1"/>
  <c r="AJ794" i="1"/>
  <c r="AI794" i="1" s="1"/>
  <c r="AH794" i="1" s="1"/>
  <c r="V794" i="1"/>
  <c r="W794" i="1" s="1"/>
  <c r="V654" i="1"/>
  <c r="W654" i="1" s="1"/>
  <c r="AC654" i="1"/>
  <c r="AB654" i="1" s="1"/>
  <c r="AA654" i="1" s="1"/>
  <c r="AJ654" i="1"/>
  <c r="AI654" i="1" s="1"/>
  <c r="AH654" i="1" s="1"/>
  <c r="V647" i="1"/>
  <c r="W647" i="1" s="1"/>
  <c r="AC647" i="1"/>
  <c r="AB647" i="1" s="1"/>
  <c r="AA647" i="1" s="1"/>
  <c r="AJ647" i="1"/>
  <c r="AI647" i="1" s="1"/>
  <c r="AH647" i="1" s="1"/>
  <c r="AJ621" i="1"/>
  <c r="AI621" i="1" s="1"/>
  <c r="AH621" i="1" s="1"/>
  <c r="V621" i="1"/>
  <c r="W621" i="1" s="1"/>
  <c r="AC621" i="1"/>
  <c r="AB621" i="1" s="1"/>
  <c r="AA621" i="1" s="1"/>
  <c r="AC606" i="1"/>
  <c r="AB606" i="1" s="1"/>
  <c r="AA606" i="1" s="1"/>
  <c r="V606" i="1"/>
  <c r="W606" i="1" s="1"/>
  <c r="AJ606" i="1"/>
  <c r="AI606" i="1" s="1"/>
  <c r="AH606" i="1" s="1"/>
  <c r="AJ589" i="1"/>
  <c r="AI589" i="1" s="1"/>
  <c r="AH589" i="1" s="1"/>
  <c r="V589" i="1"/>
  <c r="W589" i="1" s="1"/>
  <c r="AC589" i="1"/>
  <c r="AB589" i="1" s="1"/>
  <c r="AA589" i="1" s="1"/>
  <c r="AJ579" i="1"/>
  <c r="AI579" i="1" s="1"/>
  <c r="AH579" i="1" s="1"/>
  <c r="V579" i="1"/>
  <c r="W579" i="1" s="1"/>
  <c r="AC579" i="1"/>
  <c r="AB579" i="1" s="1"/>
  <c r="AA579" i="1" s="1"/>
  <c r="AJ517" i="1"/>
  <c r="AI517" i="1" s="1"/>
  <c r="AH517" i="1" s="1"/>
  <c r="V517" i="1"/>
  <c r="W517" i="1" s="1"/>
  <c r="AC517" i="1"/>
  <c r="AB517" i="1" s="1"/>
  <c r="AA517" i="1" s="1"/>
  <c r="AJ501" i="1"/>
  <c r="AI501" i="1" s="1"/>
  <c r="AH501" i="1" s="1"/>
  <c r="V501" i="1"/>
  <c r="W501" i="1" s="1"/>
  <c r="AC501" i="1"/>
  <c r="AB501" i="1" s="1"/>
  <c r="AA501" i="1" s="1"/>
  <c r="AJ389" i="1"/>
  <c r="AI389" i="1" s="1"/>
  <c r="AH389" i="1" s="1"/>
  <c r="V389" i="1"/>
  <c r="W389" i="1" s="1"/>
  <c r="AC389" i="1"/>
  <c r="AB389" i="1" s="1"/>
  <c r="AA389" i="1" s="1"/>
  <c r="AJ790" i="1"/>
  <c r="AI790" i="1" s="1"/>
  <c r="AH790" i="1" s="1"/>
  <c r="V790" i="1"/>
  <c r="W790" i="1" s="1"/>
  <c r="AC790" i="1"/>
  <c r="AB790" i="1" s="1"/>
  <c r="AA790" i="1" s="1"/>
  <c r="AJ781" i="1"/>
  <c r="AI781" i="1" s="1"/>
  <c r="AH781" i="1" s="1"/>
  <c r="V781" i="1"/>
  <c r="W781" i="1" s="1"/>
  <c r="AC781" i="1"/>
  <c r="AB781" i="1" s="1"/>
  <c r="AA781" i="1" s="1"/>
  <c r="AJ766" i="1"/>
  <c r="AI766" i="1" s="1"/>
  <c r="AH766" i="1" s="1"/>
  <c r="AC766" i="1"/>
  <c r="AB766" i="1" s="1"/>
  <c r="AA766" i="1" s="1"/>
  <c r="V766" i="1"/>
  <c r="W766" i="1" s="1"/>
  <c r="AJ757" i="1"/>
  <c r="AI757" i="1" s="1"/>
  <c r="AH757" i="1" s="1"/>
  <c r="V757" i="1"/>
  <c r="W757" i="1" s="1"/>
  <c r="AC757" i="1"/>
  <c r="AB757" i="1" s="1"/>
  <c r="AA757" i="1" s="1"/>
  <c r="AJ731" i="1"/>
  <c r="AI731" i="1" s="1"/>
  <c r="AH731" i="1" s="1"/>
  <c r="V731" i="1"/>
  <c r="W731" i="1" s="1"/>
  <c r="AC731" i="1"/>
  <c r="AB731" i="1" s="1"/>
  <c r="AA731" i="1" s="1"/>
  <c r="AJ721" i="1"/>
  <c r="AI721" i="1" s="1"/>
  <c r="AH721" i="1" s="1"/>
  <c r="V721" i="1"/>
  <c r="W721" i="1" s="1"/>
  <c r="AC721" i="1"/>
  <c r="AB721" i="1" s="1"/>
  <c r="AA721" i="1" s="1"/>
  <c r="AJ712" i="1"/>
  <c r="AI712" i="1" s="1"/>
  <c r="AH712" i="1" s="1"/>
  <c r="V712" i="1"/>
  <c r="W712" i="1" s="1"/>
  <c r="AC712" i="1"/>
  <c r="AB712" i="1" s="1"/>
  <c r="AA712" i="1" s="1"/>
  <c r="AJ658" i="1"/>
  <c r="AI658" i="1" s="1"/>
  <c r="AH658" i="1" s="1"/>
  <c r="V658" i="1"/>
  <c r="W658" i="1" s="1"/>
  <c r="AC658" i="1"/>
  <c r="AB658" i="1" s="1"/>
  <c r="AA658" i="1" s="1"/>
  <c r="AC625" i="1"/>
  <c r="AB625" i="1" s="1"/>
  <c r="AA625" i="1" s="1"/>
  <c r="AJ625" i="1"/>
  <c r="AI625" i="1" s="1"/>
  <c r="AH625" i="1" s="1"/>
  <c r="V625" i="1"/>
  <c r="W625" i="1" s="1"/>
  <c r="AJ610" i="1"/>
  <c r="AI610" i="1" s="1"/>
  <c r="AH610" i="1" s="1"/>
  <c r="V610" i="1"/>
  <c r="W610" i="1" s="1"/>
  <c r="AC610" i="1"/>
  <c r="AB610" i="1" s="1"/>
  <c r="AA610" i="1" s="1"/>
  <c r="AJ592" i="1"/>
  <c r="AI592" i="1" s="1"/>
  <c r="AH592" i="1" s="1"/>
  <c r="V592" i="1"/>
  <c r="W592" i="1" s="1"/>
  <c r="AC592" i="1"/>
  <c r="AB592" i="1" s="1"/>
  <c r="AA592" i="1" s="1"/>
  <c r="AJ582" i="1"/>
  <c r="AI582" i="1" s="1"/>
  <c r="AH582" i="1" s="1"/>
  <c r="V582" i="1"/>
  <c r="W582" i="1" s="1"/>
  <c r="AC582" i="1"/>
  <c r="AB582" i="1" s="1"/>
  <c r="AA582" i="1" s="1"/>
  <c r="AJ544" i="1"/>
  <c r="AI544" i="1" s="1"/>
  <c r="AH544" i="1" s="1"/>
  <c r="AC544" i="1"/>
  <c r="AB544" i="1" s="1"/>
  <c r="AA544" i="1" s="1"/>
  <c r="V544" i="1"/>
  <c r="W544" i="1" s="1"/>
  <c r="AC525" i="1"/>
  <c r="AB525" i="1" s="1"/>
  <c r="AA525" i="1" s="1"/>
  <c r="AJ525" i="1"/>
  <c r="AI525" i="1" s="1"/>
  <c r="AH525" i="1" s="1"/>
  <c r="V525" i="1"/>
  <c r="W525" i="1" s="1"/>
  <c r="AC511" i="1"/>
  <c r="AB511" i="1" s="1"/>
  <c r="AA511" i="1" s="1"/>
  <c r="AJ511" i="1"/>
  <c r="AI511" i="1" s="1"/>
  <c r="AH511" i="1" s="1"/>
  <c r="V511" i="1"/>
  <c r="W511" i="1" s="1"/>
  <c r="AC405" i="1"/>
  <c r="AB405" i="1" s="1"/>
  <c r="AA405" i="1" s="1"/>
  <c r="AJ405" i="1"/>
  <c r="AI405" i="1" s="1"/>
  <c r="AH405" i="1" s="1"/>
  <c r="V405" i="1"/>
  <c r="W405" i="1" s="1"/>
  <c r="AC391" i="1"/>
  <c r="AB391" i="1" s="1"/>
  <c r="AA391" i="1" s="1"/>
  <c r="AJ391" i="1"/>
  <c r="AI391" i="1" s="1"/>
  <c r="AH391" i="1" s="1"/>
  <c r="V391" i="1"/>
  <c r="W391" i="1" s="1"/>
  <c r="AJ340" i="1"/>
  <c r="AI340" i="1" s="1"/>
  <c r="AH340" i="1" s="1"/>
  <c r="AC340" i="1"/>
  <c r="AB340" i="1" s="1"/>
  <c r="AA340" i="1" s="1"/>
  <c r="V340" i="1"/>
  <c r="W340" i="1" s="1"/>
  <c r="AC325" i="1"/>
  <c r="AB325" i="1" s="1"/>
  <c r="AA325" i="1" s="1"/>
  <c r="AJ325" i="1"/>
  <c r="AI325" i="1" s="1"/>
  <c r="AH325" i="1" s="1"/>
  <c r="V325" i="1"/>
  <c r="W325" i="1" s="1"/>
  <c r="V321" i="1"/>
  <c r="W321" i="1" s="1"/>
  <c r="AC321" i="1"/>
  <c r="AB321" i="1" s="1"/>
  <c r="AA321" i="1" s="1"/>
  <c r="AJ321" i="1"/>
  <c r="AI321" i="1" s="1"/>
  <c r="AH321" i="1" s="1"/>
  <c r="AC310" i="1"/>
  <c r="AB310" i="1" s="1"/>
  <c r="AA310" i="1" s="1"/>
  <c r="V310" i="1"/>
  <c r="W310" i="1" s="1"/>
  <c r="AJ310" i="1"/>
  <c r="AI310" i="1" s="1"/>
  <c r="AH310" i="1" s="1"/>
  <c r="AJ256" i="1"/>
  <c r="AI256" i="1" s="1"/>
  <c r="AH256" i="1" s="1"/>
  <c r="AC256" i="1"/>
  <c r="AB256" i="1" s="1"/>
  <c r="AA256" i="1" s="1"/>
  <c r="V256" i="1"/>
  <c r="W256" i="1" s="1"/>
  <c r="AJ255" i="1"/>
  <c r="AI255" i="1" s="1"/>
  <c r="AH255" i="1" s="1"/>
  <c r="V255" i="1"/>
  <c r="W255" i="1" s="1"/>
  <c r="AC255" i="1"/>
  <c r="AB255" i="1" s="1"/>
  <c r="AA255" i="1" s="1"/>
  <c r="AJ226" i="1"/>
  <c r="AI226" i="1" s="1"/>
  <c r="AH226" i="1" s="1"/>
  <c r="AC226" i="1"/>
  <c r="AB226" i="1" s="1"/>
  <c r="AA226" i="1" s="1"/>
  <c r="V226" i="1"/>
  <c r="W226" i="1" s="1"/>
  <c r="AC221" i="1"/>
  <c r="AB221" i="1" s="1"/>
  <c r="AA221" i="1" s="1"/>
  <c r="V221" i="1"/>
  <c r="W221" i="1" s="1"/>
  <c r="AJ221" i="1"/>
  <c r="AI221" i="1" s="1"/>
  <c r="AH221" i="1" s="1"/>
  <c r="AC213" i="1"/>
  <c r="AB213" i="1" s="1"/>
  <c r="AA213" i="1" s="1"/>
  <c r="AJ213" i="1"/>
  <c r="AI213" i="1" s="1"/>
  <c r="AH213" i="1" s="1"/>
  <c r="V213" i="1"/>
  <c r="W213" i="1" s="1"/>
  <c r="AC164" i="1"/>
  <c r="AB164" i="1" s="1"/>
  <c r="AA164" i="1" s="1"/>
  <c r="AJ164" i="1"/>
  <c r="AI164" i="1" s="1"/>
  <c r="AH164" i="1" s="1"/>
  <c r="V164" i="1"/>
  <c r="W164" i="1" s="1"/>
  <c r="AC104" i="1"/>
  <c r="AB104" i="1" s="1"/>
  <c r="AA104" i="1" s="1"/>
  <c r="AJ104" i="1"/>
  <c r="AI104" i="1" s="1"/>
  <c r="AH104" i="1" s="1"/>
  <c r="V104" i="1"/>
  <c r="W104" i="1" s="1"/>
  <c r="AC96" i="1"/>
  <c r="AB96" i="1" s="1"/>
  <c r="AA96" i="1" s="1"/>
  <c r="AJ96" i="1"/>
  <c r="AI96" i="1" s="1"/>
  <c r="AH96" i="1" s="1"/>
  <c r="V96" i="1"/>
  <c r="W96" i="1" s="1"/>
  <c r="V84" i="1"/>
  <c r="W84" i="1" s="1"/>
  <c r="AC84" i="1"/>
  <c r="AB84" i="1" s="1"/>
  <c r="AA84" i="1" s="1"/>
  <c r="AJ84" i="1"/>
  <c r="AI84" i="1" s="1"/>
  <c r="AH84" i="1" s="1"/>
  <c r="AC76" i="1"/>
  <c r="AB76" i="1" s="1"/>
  <c r="AA76" i="1" s="1"/>
  <c r="AJ76" i="1"/>
  <c r="AI76" i="1" s="1"/>
  <c r="AH76" i="1" s="1"/>
  <c r="V76" i="1"/>
  <c r="W76" i="1" s="1"/>
  <c r="AC68" i="1"/>
  <c r="AB68" i="1" s="1"/>
  <c r="AA68" i="1" s="1"/>
  <c r="AJ68" i="1"/>
  <c r="AI68" i="1" s="1"/>
  <c r="AH68" i="1" s="1"/>
  <c r="V68" i="1"/>
  <c r="W68" i="1" s="1"/>
  <c r="AC58" i="1"/>
  <c r="AB58" i="1" s="1"/>
  <c r="AA58" i="1" s="1"/>
  <c r="AJ58" i="1"/>
  <c r="AI58" i="1" s="1"/>
  <c r="AH58" i="1" s="1"/>
  <c r="V58" i="1"/>
  <c r="W58" i="1" s="1"/>
  <c r="AC50" i="1"/>
  <c r="AB50" i="1" s="1"/>
  <c r="AA50" i="1" s="1"/>
  <c r="AJ50" i="1"/>
  <c r="AI50" i="1" s="1"/>
  <c r="AH50" i="1" s="1"/>
  <c r="V50" i="1"/>
  <c r="W50" i="1" s="1"/>
  <c r="AC30" i="1"/>
  <c r="AB30" i="1" s="1"/>
  <c r="AA30" i="1" s="1"/>
  <c r="AJ30" i="1"/>
  <c r="AI30" i="1" s="1"/>
  <c r="AH30" i="1" s="1"/>
  <c r="V30" i="1"/>
  <c r="W30" i="1" s="1"/>
  <c r="AC22" i="1"/>
  <c r="AB22" i="1" s="1"/>
  <c r="AA22" i="1" s="1"/>
  <c r="V22" i="1"/>
  <c r="W22" i="1" s="1"/>
  <c r="AJ22" i="1"/>
  <c r="AI22" i="1" s="1"/>
  <c r="AH22" i="1" s="1"/>
  <c r="AJ245" i="1"/>
  <c r="AI245" i="1" s="1"/>
  <c r="AH245" i="1" s="1"/>
  <c r="V245" i="1"/>
  <c r="W245" i="1" s="1"/>
  <c r="AC245" i="1"/>
  <c r="AB245" i="1" s="1"/>
  <c r="AA245" i="1" s="1"/>
  <c r="AC218" i="1"/>
  <c r="AB218" i="1" s="1"/>
  <c r="AA218" i="1" s="1"/>
  <c r="V218" i="1"/>
  <c r="W218" i="1" s="1"/>
  <c r="AJ218" i="1"/>
  <c r="AI218" i="1" s="1"/>
  <c r="AH218" i="1" s="1"/>
  <c r="AC203" i="1"/>
  <c r="AB203" i="1" s="1"/>
  <c r="AA203" i="1" s="1"/>
  <c r="V203" i="1"/>
  <c r="W203" i="1" s="1"/>
  <c r="AJ203" i="1"/>
  <c r="AI203" i="1" s="1"/>
  <c r="AH203" i="1" s="1"/>
  <c r="AC195" i="1"/>
  <c r="AB195" i="1" s="1"/>
  <c r="AA195" i="1" s="1"/>
  <c r="V195" i="1"/>
  <c r="W195" i="1" s="1"/>
  <c r="AJ195" i="1"/>
  <c r="AI195" i="1" s="1"/>
  <c r="AH195" i="1" s="1"/>
  <c r="V181" i="1"/>
  <c r="W181" i="1" s="1"/>
  <c r="AC181" i="1"/>
  <c r="AB181" i="1" s="1"/>
  <c r="AA181" i="1" s="1"/>
  <c r="AJ181" i="1"/>
  <c r="AI181" i="1" s="1"/>
  <c r="AH181" i="1" s="1"/>
  <c r="V173" i="1"/>
  <c r="W173" i="1" s="1"/>
  <c r="AC173" i="1"/>
  <c r="AB173" i="1" s="1"/>
  <c r="AA173" i="1" s="1"/>
  <c r="AJ173" i="1"/>
  <c r="AI173" i="1" s="1"/>
  <c r="AH173" i="1" s="1"/>
  <c r="V165" i="1"/>
  <c r="W165" i="1" s="1"/>
  <c r="AC165" i="1"/>
  <c r="AB165" i="1" s="1"/>
  <c r="AA165" i="1" s="1"/>
  <c r="AJ165" i="1"/>
  <c r="AI165" i="1" s="1"/>
  <c r="AH165" i="1" s="1"/>
  <c r="V129" i="1"/>
  <c r="W129" i="1" s="1"/>
  <c r="AC129" i="1"/>
  <c r="AB129" i="1" s="1"/>
  <c r="AA129" i="1" s="1"/>
  <c r="AJ129" i="1"/>
  <c r="AI129" i="1" s="1"/>
  <c r="AH129" i="1" s="1"/>
  <c r="V121" i="1"/>
  <c r="W121" i="1" s="1"/>
  <c r="AC121" i="1"/>
  <c r="AB121" i="1" s="1"/>
  <c r="AA121" i="1" s="1"/>
  <c r="AJ121" i="1"/>
  <c r="AI121" i="1" s="1"/>
  <c r="AH121" i="1" s="1"/>
  <c r="V87" i="1"/>
  <c r="W87" i="1" s="1"/>
  <c r="AJ87" i="1"/>
  <c r="AI87" i="1" s="1"/>
  <c r="AH87" i="1" s="1"/>
  <c r="AC87" i="1"/>
  <c r="AB87" i="1" s="1"/>
  <c r="AA87" i="1" s="1"/>
  <c r="AJ224" i="1"/>
  <c r="AI224" i="1" s="1"/>
  <c r="AH224" i="1" s="1"/>
  <c r="V224" i="1"/>
  <c r="W224" i="1" s="1"/>
  <c r="AC224" i="1"/>
  <c r="AB224" i="1" s="1"/>
  <c r="AA224" i="1" s="1"/>
  <c r="AJ202" i="1"/>
  <c r="AI202" i="1" s="1"/>
  <c r="AH202" i="1" s="1"/>
  <c r="V202" i="1"/>
  <c r="W202" i="1" s="1"/>
  <c r="AC202" i="1"/>
  <c r="AB202" i="1" s="1"/>
  <c r="AA202" i="1" s="1"/>
  <c r="AJ194" i="1"/>
  <c r="AI194" i="1" s="1"/>
  <c r="AH194" i="1" s="1"/>
  <c r="V194" i="1"/>
  <c r="W194" i="1" s="1"/>
  <c r="AC194" i="1"/>
  <c r="AB194" i="1" s="1"/>
  <c r="AA194" i="1" s="1"/>
  <c r="AC187" i="1"/>
  <c r="AB187" i="1" s="1"/>
  <c r="AA187" i="1" s="1"/>
  <c r="V187" i="1"/>
  <c r="W187" i="1" s="1"/>
  <c r="AJ187" i="1"/>
  <c r="AI187" i="1" s="1"/>
  <c r="AH187" i="1" s="1"/>
  <c r="AJ163" i="1"/>
  <c r="AI163" i="1" s="1"/>
  <c r="AH163" i="1" s="1"/>
  <c r="AC163" i="1"/>
  <c r="AB163" i="1" s="1"/>
  <c r="AA163" i="1" s="1"/>
  <c r="V163" i="1"/>
  <c r="W163" i="1" s="1"/>
  <c r="AJ134" i="1"/>
  <c r="AI134" i="1" s="1"/>
  <c r="AH134" i="1" s="1"/>
  <c r="V134" i="1"/>
  <c r="W134" i="1" s="1"/>
  <c r="AC134" i="1"/>
  <c r="AB134" i="1" s="1"/>
  <c r="AA134" i="1" s="1"/>
  <c r="AJ107" i="1"/>
  <c r="AI107" i="1" s="1"/>
  <c r="AH107" i="1" s="1"/>
  <c r="V107" i="1"/>
  <c r="W107" i="1" s="1"/>
  <c r="AC107" i="1"/>
  <c r="AB107" i="1" s="1"/>
  <c r="AA107" i="1" s="1"/>
  <c r="AJ99" i="1"/>
  <c r="AI99" i="1" s="1"/>
  <c r="AH99" i="1" s="1"/>
  <c r="V99" i="1"/>
  <c r="W99" i="1" s="1"/>
  <c r="AC99" i="1"/>
  <c r="AB99" i="1" s="1"/>
  <c r="AA99" i="1" s="1"/>
  <c r="AJ91" i="1"/>
  <c r="AI91" i="1" s="1"/>
  <c r="AH91" i="1" s="1"/>
  <c r="AC91" i="1"/>
  <c r="AB91" i="1" s="1"/>
  <c r="AA91" i="1" s="1"/>
  <c r="V91" i="1"/>
  <c r="W91" i="1" s="1"/>
  <c r="AJ79" i="1"/>
  <c r="AI79" i="1" s="1"/>
  <c r="AH79" i="1" s="1"/>
  <c r="V79" i="1"/>
  <c r="W79" i="1" s="1"/>
  <c r="AC79" i="1"/>
  <c r="AB79" i="1" s="1"/>
  <c r="AA79" i="1" s="1"/>
  <c r="AJ71" i="1"/>
  <c r="AI71" i="1" s="1"/>
  <c r="AH71" i="1" s="1"/>
  <c r="V71" i="1"/>
  <c r="W71" i="1" s="1"/>
  <c r="AC71" i="1"/>
  <c r="AB71" i="1" s="1"/>
  <c r="AA71" i="1" s="1"/>
  <c r="AJ61" i="1"/>
  <c r="AI61" i="1" s="1"/>
  <c r="AH61" i="1" s="1"/>
  <c r="V61" i="1"/>
  <c r="W61" i="1" s="1"/>
  <c r="AC61" i="1"/>
  <c r="AB61" i="1" s="1"/>
  <c r="AA61" i="1" s="1"/>
  <c r="AJ53" i="1"/>
  <c r="AI53" i="1" s="1"/>
  <c r="AH53" i="1" s="1"/>
  <c r="V53" i="1"/>
  <c r="W53" i="1" s="1"/>
  <c r="AC53" i="1"/>
  <c r="AB53" i="1" s="1"/>
  <c r="AA53" i="1" s="1"/>
  <c r="AJ45" i="1"/>
  <c r="AI45" i="1" s="1"/>
  <c r="AH45" i="1" s="1"/>
  <c r="V45" i="1"/>
  <c r="W45" i="1" s="1"/>
  <c r="AC45" i="1"/>
  <c r="AB45" i="1" s="1"/>
  <c r="AA45" i="1" s="1"/>
  <c r="AJ31" i="1"/>
  <c r="AI31" i="1" s="1"/>
  <c r="AH31" i="1" s="1"/>
  <c r="V31" i="1"/>
  <c r="W31" i="1" s="1"/>
  <c r="AC31" i="1"/>
  <c r="AB31" i="1" s="1"/>
  <c r="AA31" i="1" s="1"/>
  <c r="AJ23" i="1"/>
  <c r="AI23" i="1" s="1"/>
  <c r="AH23" i="1" s="1"/>
  <c r="V23" i="1"/>
  <c r="W23" i="1" s="1"/>
  <c r="AC23" i="1"/>
  <c r="AB23" i="1" s="1"/>
  <c r="AA23" i="1" s="1"/>
  <c r="AC132" i="1"/>
  <c r="AB132" i="1" s="1"/>
  <c r="AA132" i="1" s="1"/>
  <c r="AJ132" i="1"/>
  <c r="AI132" i="1" s="1"/>
  <c r="AH132" i="1" s="1"/>
  <c r="V132" i="1"/>
  <c r="W132" i="1" s="1"/>
  <c r="AJ62" i="1"/>
  <c r="AI62" i="1" s="1"/>
  <c r="AH62" i="1" s="1"/>
  <c r="V62" i="1"/>
  <c r="W62" i="1" s="1"/>
  <c r="AC62" i="1"/>
  <c r="AB62" i="1" s="1"/>
  <c r="AA62" i="1" s="1"/>
  <c r="AC176" i="1"/>
  <c r="AB176" i="1" s="1"/>
  <c r="AA176" i="1" s="1"/>
  <c r="AJ176" i="1"/>
  <c r="AI176" i="1" s="1"/>
  <c r="AH176" i="1" s="1"/>
  <c r="V176" i="1"/>
  <c r="W176" i="1" s="1"/>
  <c r="AJ110" i="1"/>
  <c r="AI110" i="1" s="1"/>
  <c r="AH110" i="1" s="1"/>
  <c r="V110" i="1"/>
  <c r="W110" i="1" s="1"/>
  <c r="AC110" i="1"/>
  <c r="AB110" i="1" s="1"/>
  <c r="AA110" i="1" s="1"/>
  <c r="AC1941" i="1"/>
  <c r="AB1941" i="1" s="1"/>
  <c r="AA1941" i="1" s="1"/>
  <c r="AC1937" i="1"/>
  <c r="AB1937" i="1" s="1"/>
  <c r="AA1937" i="1" s="1"/>
  <c r="AC1933" i="1"/>
  <c r="AB1933" i="1" s="1"/>
  <c r="AA1933" i="1" s="1"/>
  <c r="V2081" i="1"/>
  <c r="W2081" i="1" s="1"/>
  <c r="AC2081" i="1"/>
  <c r="AB2081" i="1" s="1"/>
  <c r="AA2081" i="1" s="1"/>
  <c r="AJ2081" i="1"/>
  <c r="AI2081" i="1" s="1"/>
  <c r="AH2081" i="1" s="1"/>
  <c r="AJ2075" i="1"/>
  <c r="AI2075" i="1" s="1"/>
  <c r="AH2075" i="1" s="1"/>
  <c r="V2075" i="1"/>
  <c r="W2075" i="1" s="1"/>
  <c r="AC2075" i="1"/>
  <c r="AB2075" i="1" s="1"/>
  <c r="AA2075" i="1" s="1"/>
  <c r="AJ2085" i="1"/>
  <c r="AI2085" i="1" s="1"/>
  <c r="AH2085" i="1" s="1"/>
  <c r="AC2085" i="1"/>
  <c r="AB2085" i="1" s="1"/>
  <c r="AA2085" i="1" s="1"/>
  <c r="V2085" i="1"/>
  <c r="W2085" i="1" s="1"/>
  <c r="AJ1987" i="1"/>
  <c r="AI1987" i="1" s="1"/>
  <c r="AH1987" i="1" s="1"/>
  <c r="V1987" i="1"/>
  <c r="W1987" i="1" s="1"/>
  <c r="AC1987" i="1"/>
  <c r="AB1987" i="1" s="1"/>
  <c r="AA1987" i="1" s="1"/>
  <c r="AJ1983" i="1"/>
  <c r="AI1983" i="1" s="1"/>
  <c r="AH1983" i="1" s="1"/>
  <c r="V1983" i="1"/>
  <c r="W1983" i="1" s="1"/>
  <c r="AC1983" i="1"/>
  <c r="AB1983" i="1" s="1"/>
  <c r="AA1983" i="1" s="1"/>
  <c r="AJ1979" i="1"/>
  <c r="AI1979" i="1" s="1"/>
  <c r="AH1979" i="1" s="1"/>
  <c r="V1979" i="1"/>
  <c r="W1979" i="1" s="1"/>
  <c r="AC1979" i="1"/>
  <c r="AB1979" i="1" s="1"/>
  <c r="AA1979" i="1" s="1"/>
  <c r="AJ1975" i="1"/>
  <c r="AI1975" i="1" s="1"/>
  <c r="AH1975" i="1" s="1"/>
  <c r="V1975" i="1"/>
  <c r="W1975" i="1" s="1"/>
  <c r="AC1975" i="1"/>
  <c r="AB1975" i="1" s="1"/>
  <c r="AA1975" i="1" s="1"/>
  <c r="V1991" i="1"/>
  <c r="W1991" i="1" s="1"/>
  <c r="AC1991" i="1"/>
  <c r="AB1991" i="1" s="1"/>
  <c r="AA1991" i="1" s="1"/>
  <c r="AJ1991" i="1"/>
  <c r="AI1991" i="1" s="1"/>
  <c r="AH1991" i="1" s="1"/>
  <c r="AJ2041" i="1"/>
  <c r="AI2041" i="1" s="1"/>
  <c r="AH2041" i="1" s="1"/>
  <c r="V2041" i="1"/>
  <c r="W2041" i="1" s="1"/>
  <c r="AC2041" i="1"/>
  <c r="AB2041" i="1" s="1"/>
  <c r="AA2041" i="1" s="1"/>
  <c r="V2009" i="1"/>
  <c r="W2009" i="1" s="1"/>
  <c r="AC2009" i="1"/>
  <c r="AB2009" i="1" s="1"/>
  <c r="AA2009" i="1" s="1"/>
  <c r="AJ2009" i="1"/>
  <c r="AI2009" i="1" s="1"/>
  <c r="AH2009" i="1" s="1"/>
  <c r="V2005" i="1"/>
  <c r="W2005" i="1" s="1"/>
  <c r="AC2005" i="1"/>
  <c r="AB2005" i="1" s="1"/>
  <c r="AA2005" i="1" s="1"/>
  <c r="AJ2005" i="1"/>
  <c r="AI2005" i="1" s="1"/>
  <c r="AH2005" i="1" s="1"/>
  <c r="V2001" i="1"/>
  <c r="W2001" i="1" s="1"/>
  <c r="AC2001" i="1"/>
  <c r="AB2001" i="1" s="1"/>
  <c r="AA2001" i="1" s="1"/>
  <c r="AJ2001" i="1"/>
  <c r="AI2001" i="1" s="1"/>
  <c r="AH2001" i="1" s="1"/>
  <c r="V1999" i="1"/>
  <c r="W1999" i="1" s="1"/>
  <c r="AC1999" i="1"/>
  <c r="AB1999" i="1" s="1"/>
  <c r="AA1999" i="1" s="1"/>
  <c r="AJ1999" i="1"/>
  <c r="AI1999" i="1" s="1"/>
  <c r="AH1999" i="1" s="1"/>
  <c r="AC2023" i="1"/>
  <c r="AB2023" i="1" s="1"/>
  <c r="AA2023" i="1" s="1"/>
  <c r="V2023" i="1"/>
  <c r="W2023" i="1" s="1"/>
  <c r="AJ2023" i="1"/>
  <c r="AI2023" i="1" s="1"/>
  <c r="AH2023" i="1" s="1"/>
  <c r="AJ2025" i="1"/>
  <c r="AI2025" i="1" s="1"/>
  <c r="AH2025" i="1" s="1"/>
  <c r="AC2025" i="1"/>
  <c r="AB2025" i="1" s="1"/>
  <c r="AA2025" i="1" s="1"/>
  <c r="V2025" i="1"/>
  <c r="W2025" i="1" s="1"/>
  <c r="AJ2029" i="1"/>
  <c r="AI2029" i="1" s="1"/>
  <c r="AH2029" i="1" s="1"/>
  <c r="AC2029" i="1"/>
  <c r="AB2029" i="1" s="1"/>
  <c r="AA2029" i="1" s="1"/>
  <c r="V2029" i="1"/>
  <c r="W2029" i="1" s="1"/>
  <c r="AJ2033" i="1"/>
  <c r="AI2033" i="1" s="1"/>
  <c r="AH2033" i="1" s="1"/>
  <c r="AC2033" i="1"/>
  <c r="AB2033" i="1" s="1"/>
  <c r="AA2033" i="1" s="1"/>
  <c r="V2033" i="1"/>
  <c r="W2033" i="1" s="1"/>
  <c r="AJ2034" i="1"/>
  <c r="AI2034" i="1" s="1"/>
  <c r="AH2034" i="1" s="1"/>
  <c r="V2034" i="1"/>
  <c r="W2034" i="1" s="1"/>
  <c r="AC2034" i="1"/>
  <c r="AB2034" i="1" s="1"/>
  <c r="AA2034" i="1" s="1"/>
  <c r="AC1846" i="1"/>
  <c r="AB1846" i="1" s="1"/>
  <c r="AA1846" i="1" s="1"/>
  <c r="AJ1846" i="1"/>
  <c r="AI1846" i="1" s="1"/>
  <c r="AH1846" i="1" s="1"/>
  <c r="AC1840" i="1"/>
  <c r="AB1840" i="1" s="1"/>
  <c r="AA1840" i="1" s="1"/>
  <c r="AJ1840" i="1"/>
  <c r="AI1840" i="1" s="1"/>
  <c r="AH1840" i="1" s="1"/>
  <c r="V1840" i="1"/>
  <c r="W1840" i="1" s="1"/>
  <c r="AC1844" i="1"/>
  <c r="AB1844" i="1" s="1"/>
  <c r="AA1844" i="1" s="1"/>
  <c r="AJ1844" i="1"/>
  <c r="AI1844" i="1" s="1"/>
  <c r="AH1844" i="1" s="1"/>
  <c r="V1844" i="1"/>
  <c r="W1844" i="1" s="1"/>
  <c r="AC1790" i="1"/>
  <c r="AB1790" i="1" s="1"/>
  <c r="AA1790" i="1" s="1"/>
  <c r="V1790" i="1"/>
  <c r="W1790" i="1" s="1"/>
  <c r="AJ1790" i="1"/>
  <c r="AI1790" i="1" s="1"/>
  <c r="AH1790" i="1" s="1"/>
  <c r="AC1722" i="1"/>
  <c r="AB1722" i="1" s="1"/>
  <c r="AA1722" i="1" s="1"/>
  <c r="AJ1722" i="1"/>
  <c r="AI1722" i="1" s="1"/>
  <c r="AH1722" i="1" s="1"/>
  <c r="V1722" i="1"/>
  <c r="W1722" i="1" s="1"/>
  <c r="V1740" i="1"/>
  <c r="W1740" i="1" s="1"/>
  <c r="AC1740" i="1"/>
  <c r="AB1740" i="1" s="1"/>
  <c r="AA1740" i="1" s="1"/>
  <c r="AJ1740" i="1"/>
  <c r="AI1740" i="1" s="1"/>
  <c r="AH1740" i="1" s="1"/>
  <c r="AJ1681" i="1"/>
  <c r="AI1681" i="1" s="1"/>
  <c r="AH1681" i="1" s="1"/>
  <c r="AC1681" i="1"/>
  <c r="AB1681" i="1" s="1"/>
  <c r="AA1681" i="1" s="1"/>
  <c r="V1681" i="1"/>
  <c r="W1681" i="1" s="1"/>
  <c r="AC1699" i="1"/>
  <c r="AB1699" i="1" s="1"/>
  <c r="AA1699" i="1" s="1"/>
  <c r="AJ1699" i="1"/>
  <c r="AI1699" i="1" s="1"/>
  <c r="AH1699" i="1" s="1"/>
  <c r="V1699" i="1"/>
  <c r="W1699" i="1" s="1"/>
  <c r="AC1623" i="1"/>
  <c r="AB1623" i="1" s="1"/>
  <c r="AA1623" i="1" s="1"/>
  <c r="AJ1623" i="1"/>
  <c r="AI1623" i="1" s="1"/>
  <c r="AH1623" i="1" s="1"/>
  <c r="V1623" i="1"/>
  <c r="W1623" i="1" s="1"/>
  <c r="AC1615" i="1"/>
  <c r="AB1615" i="1" s="1"/>
  <c r="AA1615" i="1" s="1"/>
  <c r="AJ1615" i="1"/>
  <c r="AI1615" i="1" s="1"/>
  <c r="AH1615" i="1" s="1"/>
  <c r="V1615" i="1"/>
  <c r="W1615" i="1" s="1"/>
  <c r="AC1572" i="1"/>
  <c r="AB1572" i="1" s="1"/>
  <c r="AA1572" i="1" s="1"/>
  <c r="AJ1572" i="1"/>
  <c r="AI1572" i="1" s="1"/>
  <c r="AH1572" i="1" s="1"/>
  <c r="V1572" i="1"/>
  <c r="W1572" i="1" s="1"/>
  <c r="AC1564" i="1"/>
  <c r="AB1564" i="1" s="1"/>
  <c r="AA1564" i="1" s="1"/>
  <c r="AJ1564" i="1"/>
  <c r="AI1564" i="1" s="1"/>
  <c r="AH1564" i="1" s="1"/>
  <c r="V1564" i="1"/>
  <c r="W1564" i="1" s="1"/>
  <c r="AC1810" i="1"/>
  <c r="AB1810" i="1" s="1"/>
  <c r="AA1810" i="1" s="1"/>
  <c r="AJ1810" i="1"/>
  <c r="AI1810" i="1" s="1"/>
  <c r="AH1810" i="1" s="1"/>
  <c r="V1810" i="1"/>
  <c r="W1810" i="1" s="1"/>
  <c r="V1626" i="1"/>
  <c r="W1626" i="1" s="1"/>
  <c r="AC1626" i="1"/>
  <c r="AB1626" i="1" s="1"/>
  <c r="AA1626" i="1" s="1"/>
  <c r="AJ1626" i="1"/>
  <c r="AI1626" i="1" s="1"/>
  <c r="AH1626" i="1" s="1"/>
  <c r="V1618" i="1"/>
  <c r="W1618" i="1" s="1"/>
  <c r="AC1618" i="1"/>
  <c r="AB1618" i="1" s="1"/>
  <c r="AA1618" i="1" s="1"/>
  <c r="AJ1618" i="1"/>
  <c r="AI1618" i="1" s="1"/>
  <c r="AH1618" i="1" s="1"/>
  <c r="AJ1950" i="1"/>
  <c r="AI1950" i="1" s="1"/>
  <c r="AH1950" i="1" s="1"/>
  <c r="AC1950" i="1"/>
  <c r="AB1950" i="1" s="1"/>
  <c r="AA1950" i="1" s="1"/>
  <c r="V1950" i="1"/>
  <c r="W1950" i="1" s="1"/>
  <c r="AJ1954" i="1"/>
  <c r="AI1954" i="1" s="1"/>
  <c r="AH1954" i="1" s="1"/>
  <c r="V1954" i="1"/>
  <c r="W1954" i="1" s="1"/>
  <c r="AC1954" i="1"/>
  <c r="AB1954" i="1" s="1"/>
  <c r="AA1954" i="1" s="1"/>
  <c r="AJ1958" i="1"/>
  <c r="AI1958" i="1" s="1"/>
  <c r="AH1958" i="1" s="1"/>
  <c r="V1958" i="1"/>
  <c r="W1958" i="1" s="1"/>
  <c r="AC1958" i="1"/>
  <c r="AB1958" i="1" s="1"/>
  <c r="AA1958" i="1" s="1"/>
  <c r="AJ1962" i="1"/>
  <c r="AI1962" i="1" s="1"/>
  <c r="AH1962" i="1" s="1"/>
  <c r="V1962" i="1"/>
  <c r="W1962" i="1" s="1"/>
  <c r="AC1962" i="1"/>
  <c r="AB1962" i="1" s="1"/>
  <c r="AA1962" i="1" s="1"/>
  <c r="AJ1966" i="1"/>
  <c r="AI1966" i="1" s="1"/>
  <c r="AH1966" i="1" s="1"/>
  <c r="V1966" i="1"/>
  <c r="W1966" i="1" s="1"/>
  <c r="AC1966" i="1"/>
  <c r="AB1966" i="1" s="1"/>
  <c r="AA1966" i="1" s="1"/>
  <c r="V1862" i="1"/>
  <c r="W1862" i="1" s="1"/>
  <c r="AC1862" i="1"/>
  <c r="AB1862" i="1" s="1"/>
  <c r="AA1862" i="1" s="1"/>
  <c r="AJ1862" i="1"/>
  <c r="AI1862" i="1" s="1"/>
  <c r="AH1862" i="1" s="1"/>
  <c r="V1854" i="1"/>
  <c r="W1854" i="1" s="1"/>
  <c r="AJ1854" i="1"/>
  <c r="AI1854" i="1" s="1"/>
  <c r="AH1854" i="1" s="1"/>
  <c r="AC1854" i="1"/>
  <c r="AB1854" i="1" s="1"/>
  <c r="AA1854" i="1" s="1"/>
  <c r="AC1859" i="1"/>
  <c r="AB1859" i="1" s="1"/>
  <c r="AA1859" i="1" s="1"/>
  <c r="AJ1859" i="1"/>
  <c r="AI1859" i="1" s="1"/>
  <c r="AH1859" i="1" s="1"/>
  <c r="V1859" i="1"/>
  <c r="W1859" i="1" s="1"/>
  <c r="V1870" i="1"/>
  <c r="W1870" i="1" s="1"/>
  <c r="AJ1870" i="1"/>
  <c r="AI1870" i="1" s="1"/>
  <c r="AH1870" i="1" s="1"/>
  <c r="AC1870" i="1"/>
  <c r="AB1870" i="1" s="1"/>
  <c r="AA1870" i="1" s="1"/>
  <c r="AC1868" i="1"/>
  <c r="AB1868" i="1" s="1"/>
  <c r="AA1868" i="1" s="1"/>
  <c r="AJ1868" i="1"/>
  <c r="AI1868" i="1" s="1"/>
  <c r="AH1868" i="1" s="1"/>
  <c r="V1868" i="1"/>
  <c r="W1868" i="1" s="1"/>
  <c r="AJ1640" i="1"/>
  <c r="AI1640" i="1" s="1"/>
  <c r="AH1640" i="1" s="1"/>
  <c r="AC1640" i="1"/>
  <c r="AB1640" i="1" s="1"/>
  <c r="AA1640" i="1" s="1"/>
  <c r="V1640" i="1"/>
  <c r="W1640" i="1" s="1"/>
  <c r="AC1541" i="1"/>
  <c r="AB1541" i="1" s="1"/>
  <c r="AA1541" i="1" s="1"/>
  <c r="AJ1541" i="1"/>
  <c r="AI1541" i="1" s="1"/>
  <c r="AH1541" i="1" s="1"/>
  <c r="V1541" i="1"/>
  <c r="W1541" i="1" s="1"/>
  <c r="AJ1403" i="1"/>
  <c r="AI1403" i="1" s="1"/>
  <c r="AH1403" i="1" s="1"/>
  <c r="AC1403" i="1"/>
  <c r="AB1403" i="1" s="1"/>
  <c r="AA1403" i="1" s="1"/>
  <c r="V1403" i="1"/>
  <c r="W1403" i="1" s="1"/>
  <c r="AJ1392" i="1"/>
  <c r="AI1392" i="1" s="1"/>
  <c r="AH1392" i="1" s="1"/>
  <c r="AC1392" i="1"/>
  <c r="AB1392" i="1" s="1"/>
  <c r="AA1392" i="1" s="1"/>
  <c r="V1392" i="1"/>
  <c r="W1392" i="1" s="1"/>
  <c r="AC1398" i="1"/>
  <c r="AB1398" i="1" s="1"/>
  <c r="AA1398" i="1" s="1"/>
  <c r="V1398" i="1"/>
  <c r="W1398" i="1" s="1"/>
  <c r="AJ1398" i="1"/>
  <c r="AI1398" i="1" s="1"/>
  <c r="AH1398" i="1" s="1"/>
  <c r="AC1325" i="1"/>
  <c r="AB1325" i="1" s="1"/>
  <c r="AA1325" i="1" s="1"/>
  <c r="AJ1325" i="1"/>
  <c r="AI1325" i="1" s="1"/>
  <c r="AH1325" i="1" s="1"/>
  <c r="V1325" i="1"/>
  <c r="W1325" i="1" s="1"/>
  <c r="AC1319" i="1"/>
  <c r="AB1319" i="1" s="1"/>
  <c r="AA1319" i="1" s="1"/>
  <c r="AJ1319" i="1"/>
  <c r="AI1319" i="1" s="1"/>
  <c r="AH1319" i="1" s="1"/>
  <c r="V1319" i="1"/>
  <c r="W1319" i="1" s="1"/>
  <c r="AC1296" i="1"/>
  <c r="AB1296" i="1" s="1"/>
  <c r="AA1296" i="1" s="1"/>
  <c r="AJ1296" i="1"/>
  <c r="AI1296" i="1" s="1"/>
  <c r="AH1296" i="1" s="1"/>
  <c r="V1296" i="1"/>
  <c r="W1296" i="1" s="1"/>
  <c r="AC1286" i="1"/>
  <c r="AB1286" i="1" s="1"/>
  <c r="AA1286" i="1" s="1"/>
  <c r="AJ1286" i="1"/>
  <c r="AI1286" i="1" s="1"/>
  <c r="AH1286" i="1" s="1"/>
  <c r="V1286" i="1"/>
  <c r="W1286" i="1" s="1"/>
  <c r="AC1282" i="1"/>
  <c r="AB1282" i="1" s="1"/>
  <c r="AA1282" i="1" s="1"/>
  <c r="AJ1282" i="1"/>
  <c r="AI1282" i="1" s="1"/>
  <c r="AH1282" i="1" s="1"/>
  <c r="V1282" i="1"/>
  <c r="W1282" i="1" s="1"/>
  <c r="AC1278" i="1"/>
  <c r="AB1278" i="1" s="1"/>
  <c r="AA1278" i="1" s="1"/>
  <c r="AJ1278" i="1"/>
  <c r="AI1278" i="1" s="1"/>
  <c r="AH1278" i="1" s="1"/>
  <c r="V1278" i="1"/>
  <c r="W1278" i="1" s="1"/>
  <c r="AC1274" i="1"/>
  <c r="AB1274" i="1" s="1"/>
  <c r="AA1274" i="1" s="1"/>
  <c r="AJ1274" i="1"/>
  <c r="AI1274" i="1" s="1"/>
  <c r="AH1274" i="1" s="1"/>
  <c r="V1274" i="1"/>
  <c r="W1274" i="1" s="1"/>
  <c r="V1878" i="1"/>
  <c r="W1878" i="1" s="1"/>
  <c r="AJ1878" i="1"/>
  <c r="AI1878" i="1" s="1"/>
  <c r="AH1878" i="1" s="1"/>
  <c r="AC1878" i="1"/>
  <c r="AB1878" i="1" s="1"/>
  <c r="AA1878" i="1" s="1"/>
  <c r="AC1884" i="1"/>
  <c r="AB1884" i="1" s="1"/>
  <c r="AA1884" i="1" s="1"/>
  <c r="AJ1884" i="1"/>
  <c r="AI1884" i="1" s="1"/>
  <c r="AH1884" i="1" s="1"/>
  <c r="AC1874" i="1"/>
  <c r="AB1874" i="1" s="1"/>
  <c r="AJ1874" i="1"/>
  <c r="AI1874" i="1" s="1"/>
  <c r="V1874" i="1"/>
  <c r="W1874" i="1" s="1"/>
  <c r="AC1886" i="1"/>
  <c r="AB1886" i="1" s="1"/>
  <c r="AA1886" i="1" s="1"/>
  <c r="AJ1886" i="1"/>
  <c r="AI1886" i="1" s="1"/>
  <c r="AH1886" i="1" s="1"/>
  <c r="V1886" i="1"/>
  <c r="W1886" i="1" s="1"/>
  <c r="AC1894" i="1"/>
  <c r="AB1894" i="1" s="1"/>
  <c r="AA1894" i="1" s="1"/>
  <c r="AJ1894" i="1"/>
  <c r="AI1894" i="1" s="1"/>
  <c r="AH1894" i="1" s="1"/>
  <c r="AJ1758" i="1"/>
  <c r="AI1758" i="1" s="1"/>
  <c r="AH1758" i="1" s="1"/>
  <c r="AC1758" i="1"/>
  <c r="AB1758" i="1" s="1"/>
  <c r="AA1758" i="1" s="1"/>
  <c r="V1758" i="1"/>
  <c r="W1758" i="1" s="1"/>
  <c r="V1755" i="1"/>
  <c r="W1755" i="1" s="1"/>
  <c r="AJ1755" i="1"/>
  <c r="AI1755" i="1" s="1"/>
  <c r="AH1755" i="1" s="1"/>
  <c r="AC1755" i="1"/>
  <c r="AB1755" i="1" s="1"/>
  <c r="AA1755" i="1" s="1"/>
  <c r="AC1768" i="1"/>
  <c r="AB1768" i="1" s="1"/>
  <c r="AA1768" i="1" s="1"/>
  <c r="AJ1768" i="1"/>
  <c r="AI1768" i="1" s="1"/>
  <c r="AH1768" i="1" s="1"/>
  <c r="V1768" i="1"/>
  <c r="W1768" i="1" s="1"/>
  <c r="AC1765" i="1"/>
  <c r="AB1765" i="1" s="1"/>
  <c r="AA1765" i="1" s="1"/>
  <c r="V1765" i="1"/>
  <c r="W1765" i="1" s="1"/>
  <c r="AJ1765" i="1"/>
  <c r="AI1765" i="1" s="1"/>
  <c r="AH1765" i="1" s="1"/>
  <c r="V1667" i="1"/>
  <c r="W1667" i="1" s="1"/>
  <c r="AC1667" i="1"/>
  <c r="AB1667" i="1" s="1"/>
  <c r="AA1667" i="1" s="1"/>
  <c r="AJ1667" i="1"/>
  <c r="AI1667" i="1" s="1"/>
  <c r="AH1667" i="1" s="1"/>
  <c r="AC1658" i="1"/>
  <c r="AB1658" i="1" s="1"/>
  <c r="AA1658" i="1" s="1"/>
  <c r="V1658" i="1"/>
  <c r="W1658" i="1" s="1"/>
  <c r="AJ1658" i="1"/>
  <c r="AI1658" i="1" s="1"/>
  <c r="AH1658" i="1" s="1"/>
  <c r="AC1671" i="1"/>
  <c r="AB1671" i="1" s="1"/>
  <c r="AA1671" i="1" s="1"/>
  <c r="V1671" i="1"/>
  <c r="W1671" i="1" s="1"/>
  <c r="AJ1671" i="1"/>
  <c r="AI1671" i="1" s="1"/>
  <c r="AH1671" i="1" s="1"/>
  <c r="V1425" i="1"/>
  <c r="W1425" i="1" s="1"/>
  <c r="AJ1425" i="1"/>
  <c r="AI1425" i="1" s="1"/>
  <c r="AH1425" i="1" s="1"/>
  <c r="AC1425" i="1"/>
  <c r="AB1425" i="1" s="1"/>
  <c r="AA1425" i="1" s="1"/>
  <c r="AC1419" i="1"/>
  <c r="AB1419" i="1" s="1"/>
  <c r="AA1419" i="1" s="1"/>
  <c r="V1419" i="1"/>
  <c r="W1419" i="1" s="1"/>
  <c r="AJ1419" i="1"/>
  <c r="AI1419" i="1" s="1"/>
  <c r="AH1419" i="1" s="1"/>
  <c r="AC1432" i="1"/>
  <c r="AB1432" i="1" s="1"/>
  <c r="AA1432" i="1" s="1"/>
  <c r="AJ1432" i="1"/>
  <c r="AI1432" i="1" s="1"/>
  <c r="AH1432" i="1" s="1"/>
  <c r="V1432" i="1"/>
  <c r="W1432" i="1" s="1"/>
  <c r="V1334" i="1"/>
  <c r="W1334" i="1" s="1"/>
  <c r="AC1334" i="1"/>
  <c r="AB1334" i="1" s="1"/>
  <c r="AA1334" i="1" s="1"/>
  <c r="AJ1334" i="1"/>
  <c r="AI1334" i="1" s="1"/>
  <c r="AH1334" i="1" s="1"/>
  <c r="V1326" i="1"/>
  <c r="W1326" i="1" s="1"/>
  <c r="AC1326" i="1"/>
  <c r="AB1326" i="1" s="1"/>
  <c r="AA1326" i="1" s="1"/>
  <c r="AJ1326" i="1"/>
  <c r="AI1326" i="1" s="1"/>
  <c r="AH1326" i="1" s="1"/>
  <c r="AJ1638" i="1"/>
  <c r="AI1638" i="1" s="1"/>
  <c r="AH1638" i="1" s="1"/>
  <c r="V1638" i="1"/>
  <c r="W1638" i="1" s="1"/>
  <c r="AC1638" i="1"/>
  <c r="AB1638" i="1" s="1"/>
  <c r="AA1638" i="1" s="1"/>
  <c r="V1636" i="1"/>
  <c r="W1636" i="1" s="1"/>
  <c r="AC1636" i="1"/>
  <c r="AB1636" i="1" s="1"/>
  <c r="AA1636" i="1" s="1"/>
  <c r="AJ1636" i="1"/>
  <c r="AI1636" i="1" s="1"/>
  <c r="AH1636" i="1" s="1"/>
  <c r="AC1634" i="1"/>
  <c r="AB1634" i="1" s="1"/>
  <c r="AA1634" i="1" s="1"/>
  <c r="V1634" i="1"/>
  <c r="W1634" i="1" s="1"/>
  <c r="AJ1634" i="1"/>
  <c r="AI1634" i="1" s="1"/>
  <c r="AH1634" i="1" s="1"/>
  <c r="AC1650" i="1"/>
  <c r="AB1650" i="1" s="1"/>
  <c r="AA1650" i="1" s="1"/>
  <c r="AJ1650" i="1"/>
  <c r="AI1650" i="1" s="1"/>
  <c r="AH1650" i="1" s="1"/>
  <c r="V1650" i="1"/>
  <c r="W1650" i="1" s="1"/>
  <c r="AJ1519" i="1"/>
  <c r="AI1519" i="1" s="1"/>
  <c r="AH1519" i="1" s="1"/>
  <c r="V1519" i="1"/>
  <c r="W1519" i="1" s="1"/>
  <c r="AC1519" i="1"/>
  <c r="AB1519" i="1" s="1"/>
  <c r="AA1519" i="1" s="1"/>
  <c r="AJ1520" i="1"/>
  <c r="AI1520" i="1" s="1"/>
  <c r="AH1520" i="1" s="1"/>
  <c r="AC1520" i="1"/>
  <c r="AB1520" i="1" s="1"/>
  <c r="AA1520" i="1" s="1"/>
  <c r="V1520" i="1"/>
  <c r="W1520" i="1" s="1"/>
  <c r="AC1514" i="1"/>
  <c r="AB1514" i="1" s="1"/>
  <c r="AA1514" i="1" s="1"/>
  <c r="V1514" i="1"/>
  <c r="W1514" i="1" s="1"/>
  <c r="AJ1514" i="1"/>
  <c r="AI1514" i="1" s="1"/>
  <c r="AH1514" i="1" s="1"/>
  <c r="AJ1486" i="1"/>
  <c r="AI1486" i="1" s="1"/>
  <c r="AH1486" i="1" s="1"/>
  <c r="AC1486" i="1"/>
  <c r="AB1486" i="1" s="1"/>
  <c r="AA1486" i="1" s="1"/>
  <c r="V1486" i="1"/>
  <c r="W1486" i="1" s="1"/>
  <c r="V1490" i="1"/>
  <c r="W1490" i="1" s="1"/>
  <c r="AC1490" i="1"/>
  <c r="AB1490" i="1" s="1"/>
  <c r="AA1490" i="1" s="1"/>
  <c r="AJ1490" i="1"/>
  <c r="AI1490" i="1" s="1"/>
  <c r="AH1490" i="1" s="1"/>
  <c r="V1505" i="1"/>
  <c r="W1505" i="1" s="1"/>
  <c r="AC1505" i="1"/>
  <c r="AB1505" i="1" s="1"/>
  <c r="AA1505" i="1" s="1"/>
  <c r="AJ1505" i="1"/>
  <c r="AI1505" i="1" s="1"/>
  <c r="AH1505" i="1" s="1"/>
  <c r="AC1495" i="1"/>
  <c r="AB1495" i="1" s="1"/>
  <c r="AA1495" i="1" s="1"/>
  <c r="AJ1495" i="1"/>
  <c r="AI1495" i="1" s="1"/>
  <c r="AH1495" i="1" s="1"/>
  <c r="V1495" i="1"/>
  <c r="W1495" i="1" s="1"/>
  <c r="AJ1481" i="1"/>
  <c r="AI1481" i="1" s="1"/>
  <c r="AH1481" i="1" s="1"/>
  <c r="AC1481" i="1"/>
  <c r="AB1481" i="1" s="1"/>
  <c r="AA1481" i="1" s="1"/>
  <c r="V1481" i="1"/>
  <c r="W1481" i="1" s="1"/>
  <c r="V1469" i="1"/>
  <c r="W1469" i="1" s="1"/>
  <c r="AJ1469" i="1"/>
  <c r="AI1469" i="1" s="1"/>
  <c r="AH1469" i="1" s="1"/>
  <c r="AC1469" i="1"/>
  <c r="AB1469" i="1" s="1"/>
  <c r="AA1469" i="1" s="1"/>
  <c r="AC1471" i="1"/>
  <c r="AB1471" i="1" s="1"/>
  <c r="AA1471" i="1" s="1"/>
  <c r="V1471" i="1"/>
  <c r="W1471" i="1" s="1"/>
  <c r="AJ1471" i="1"/>
  <c r="AI1471" i="1" s="1"/>
  <c r="AH1471" i="1" s="1"/>
  <c r="V1504" i="1"/>
  <c r="W1504" i="1" s="1"/>
  <c r="AC1504" i="1"/>
  <c r="AB1504" i="1" s="1"/>
  <c r="AA1504" i="1" s="1"/>
  <c r="AJ1504" i="1"/>
  <c r="AI1504" i="1" s="1"/>
  <c r="AH1504" i="1" s="1"/>
  <c r="V1351" i="1"/>
  <c r="W1351" i="1" s="1"/>
  <c r="AC1351" i="1"/>
  <c r="AB1351" i="1" s="1"/>
  <c r="AA1351" i="1" s="1"/>
  <c r="AJ1351" i="1"/>
  <c r="AI1351" i="1" s="1"/>
  <c r="AH1351" i="1" s="1"/>
  <c r="AC1343" i="1"/>
  <c r="AB1343" i="1" s="1"/>
  <c r="AA1343" i="1" s="1"/>
  <c r="AJ1343" i="1"/>
  <c r="AI1343" i="1" s="1"/>
  <c r="AH1343" i="1" s="1"/>
  <c r="V1343" i="1"/>
  <c r="W1343" i="1" s="1"/>
  <c r="AC1357" i="1"/>
  <c r="AB1357" i="1" s="1"/>
  <c r="AA1357" i="1" s="1"/>
  <c r="AJ1357" i="1"/>
  <c r="AI1357" i="1" s="1"/>
  <c r="AH1357" i="1" s="1"/>
  <c r="V1357" i="1"/>
  <c r="W1357" i="1" s="1"/>
  <c r="AJ1234" i="1"/>
  <c r="AI1234" i="1" s="1"/>
  <c r="AH1234" i="1" s="1"/>
  <c r="V1234" i="1"/>
  <c r="W1234" i="1" s="1"/>
  <c r="AC1234" i="1"/>
  <c r="AB1234" i="1" s="1"/>
  <c r="AA1234" i="1" s="1"/>
  <c r="AC1229" i="1"/>
  <c r="AB1229" i="1" s="1"/>
  <c r="AA1229" i="1" s="1"/>
  <c r="V1229" i="1"/>
  <c r="W1229" i="1" s="1"/>
  <c r="AJ1229" i="1"/>
  <c r="AI1229" i="1" s="1"/>
  <c r="AH1229" i="1" s="1"/>
  <c r="AJ1254" i="1"/>
  <c r="AI1254" i="1" s="1"/>
  <c r="AH1254" i="1" s="1"/>
  <c r="V1254" i="1"/>
  <c r="W1254" i="1" s="1"/>
  <c r="AC1254" i="1"/>
  <c r="AB1254" i="1" s="1"/>
  <c r="AA1254" i="1" s="1"/>
  <c r="V1215" i="1"/>
  <c r="W1215" i="1" s="1"/>
  <c r="AC1215" i="1"/>
  <c r="AB1215" i="1" s="1"/>
  <c r="AA1215" i="1" s="1"/>
  <c r="AJ1215" i="1"/>
  <c r="AI1215" i="1" s="1"/>
  <c r="AH1215" i="1" s="1"/>
  <c r="V1208" i="1"/>
  <c r="W1208" i="1" s="1"/>
  <c r="AJ1208" i="1"/>
  <c r="AI1208" i="1" s="1"/>
  <c r="AH1208" i="1" s="1"/>
  <c r="AC1208" i="1"/>
  <c r="AB1208" i="1" s="1"/>
  <c r="AA1208" i="1" s="1"/>
  <c r="V1199" i="1"/>
  <c r="W1199" i="1" s="1"/>
  <c r="AC1199" i="1"/>
  <c r="AB1199" i="1" s="1"/>
  <c r="AA1199" i="1" s="1"/>
  <c r="AJ1199" i="1"/>
  <c r="AI1199" i="1" s="1"/>
  <c r="AH1199" i="1" s="1"/>
  <c r="V1216" i="1"/>
  <c r="W1216" i="1" s="1"/>
  <c r="AJ1216" i="1"/>
  <c r="AI1216" i="1" s="1"/>
  <c r="AH1216" i="1" s="1"/>
  <c r="AC1216" i="1"/>
  <c r="AB1216" i="1" s="1"/>
  <c r="AA1216" i="1" s="1"/>
  <c r="AJ1248" i="1"/>
  <c r="AI1248" i="1" s="1"/>
  <c r="AH1248" i="1" s="1"/>
  <c r="AC1248" i="1"/>
  <c r="AB1248" i="1" s="1"/>
  <c r="AA1248" i="1" s="1"/>
  <c r="V1248" i="1"/>
  <c r="W1248" i="1" s="1"/>
  <c r="AJ1256" i="1"/>
  <c r="AI1256" i="1" s="1"/>
  <c r="AH1256" i="1" s="1"/>
  <c r="V1256" i="1"/>
  <c r="W1256" i="1" s="1"/>
  <c r="AC1256" i="1"/>
  <c r="AB1256" i="1" s="1"/>
  <c r="AA1256" i="1" s="1"/>
  <c r="V1253" i="1"/>
  <c r="W1253" i="1" s="1"/>
  <c r="AC1253" i="1"/>
  <c r="AB1253" i="1" s="1"/>
  <c r="AA1253" i="1" s="1"/>
  <c r="AJ1253" i="1"/>
  <c r="AI1253" i="1" s="1"/>
  <c r="AH1253" i="1" s="1"/>
  <c r="V1259" i="1"/>
  <c r="W1259" i="1" s="1"/>
  <c r="AJ1259" i="1"/>
  <c r="AI1259" i="1" s="1"/>
  <c r="AH1259" i="1" s="1"/>
  <c r="AC1259" i="1"/>
  <c r="AB1259" i="1" s="1"/>
  <c r="AA1259" i="1" s="1"/>
  <c r="AC1257" i="1"/>
  <c r="AB1257" i="1" s="1"/>
  <c r="AA1257" i="1" s="1"/>
  <c r="AJ1257" i="1"/>
  <c r="AI1257" i="1" s="1"/>
  <c r="AH1257" i="1" s="1"/>
  <c r="V1257" i="1"/>
  <c r="W1257" i="1" s="1"/>
  <c r="AJ1210" i="1"/>
  <c r="AI1210" i="1" s="1"/>
  <c r="AH1210" i="1" s="1"/>
  <c r="AC1210" i="1"/>
  <c r="AB1210" i="1" s="1"/>
  <c r="AA1210" i="1" s="1"/>
  <c r="V1210" i="1"/>
  <c r="W1210" i="1" s="1"/>
  <c r="AJ1211" i="1"/>
  <c r="AI1211" i="1" s="1"/>
  <c r="AH1211" i="1" s="1"/>
  <c r="AC1211" i="1"/>
  <c r="AB1211" i="1" s="1"/>
  <c r="AA1211" i="1" s="1"/>
  <c r="V1211" i="1"/>
  <c r="W1211" i="1" s="1"/>
  <c r="AC1206" i="1"/>
  <c r="AB1206" i="1" s="1"/>
  <c r="AA1206" i="1" s="1"/>
  <c r="V1206" i="1"/>
  <c r="W1206" i="1" s="1"/>
  <c r="AJ1206" i="1"/>
  <c r="AI1206" i="1" s="1"/>
  <c r="AH1206" i="1" s="1"/>
  <c r="AJ1161" i="1"/>
  <c r="AI1161" i="1" s="1"/>
  <c r="AH1161" i="1" s="1"/>
  <c r="V1161" i="1"/>
  <c r="W1161" i="1" s="1"/>
  <c r="AC1161" i="1"/>
  <c r="AB1161" i="1" s="1"/>
  <c r="AA1161" i="1" s="1"/>
  <c r="AJ1129" i="1"/>
  <c r="AI1129" i="1" s="1"/>
  <c r="AH1129" i="1" s="1"/>
  <c r="V1129" i="1"/>
  <c r="W1129" i="1" s="1"/>
  <c r="AC1129" i="1"/>
  <c r="AB1129" i="1" s="1"/>
  <c r="AA1129" i="1" s="1"/>
  <c r="AJ1143" i="1"/>
  <c r="AI1143" i="1" s="1"/>
  <c r="AH1143" i="1" s="1"/>
  <c r="V1143" i="1"/>
  <c r="W1143" i="1" s="1"/>
  <c r="AC1143" i="1"/>
  <c r="AB1143" i="1" s="1"/>
  <c r="AA1143" i="1" s="1"/>
  <c r="V1141" i="1"/>
  <c r="W1141" i="1" s="1"/>
  <c r="AC1141" i="1"/>
  <c r="AB1141" i="1" s="1"/>
  <c r="AA1141" i="1" s="1"/>
  <c r="AJ1141" i="1"/>
  <c r="AI1141" i="1" s="1"/>
  <c r="AH1141" i="1" s="1"/>
  <c r="AC1131" i="1"/>
  <c r="AB1131" i="1" s="1"/>
  <c r="AA1131" i="1" s="1"/>
  <c r="AJ1131" i="1"/>
  <c r="AI1131" i="1" s="1"/>
  <c r="AH1131" i="1" s="1"/>
  <c r="V1131" i="1"/>
  <c r="W1131" i="1" s="1"/>
  <c r="AJ1121" i="1"/>
  <c r="AI1121" i="1" s="1"/>
  <c r="AH1121" i="1" s="1"/>
  <c r="V1121" i="1"/>
  <c r="W1121" i="1" s="1"/>
  <c r="AC1121" i="1"/>
  <c r="AB1121" i="1" s="1"/>
  <c r="AA1121" i="1" s="1"/>
  <c r="AC985" i="1"/>
  <c r="AB985" i="1" s="1"/>
  <c r="AA985" i="1" s="1"/>
  <c r="AJ985" i="1"/>
  <c r="AI985" i="1" s="1"/>
  <c r="AH985" i="1" s="1"/>
  <c r="V985" i="1"/>
  <c r="W985" i="1" s="1"/>
  <c r="AC968" i="1"/>
  <c r="AB968" i="1" s="1"/>
  <c r="AA968" i="1" s="1"/>
  <c r="AJ968" i="1"/>
  <c r="AI968" i="1" s="1"/>
  <c r="AH968" i="1" s="1"/>
  <c r="V968" i="1"/>
  <c r="W968" i="1" s="1"/>
  <c r="AC960" i="1"/>
  <c r="AB960" i="1" s="1"/>
  <c r="AA960" i="1" s="1"/>
  <c r="AJ960" i="1"/>
  <c r="AI960" i="1" s="1"/>
  <c r="AH960" i="1" s="1"/>
  <c r="V960" i="1"/>
  <c r="W960" i="1" s="1"/>
  <c r="AC896" i="1"/>
  <c r="AB896" i="1" s="1"/>
  <c r="AA896" i="1" s="1"/>
  <c r="AJ896" i="1"/>
  <c r="AI896" i="1" s="1"/>
  <c r="AH896" i="1" s="1"/>
  <c r="V896" i="1"/>
  <c r="W896" i="1" s="1"/>
  <c r="AC826" i="1"/>
  <c r="AB826" i="1" s="1"/>
  <c r="AA826" i="1" s="1"/>
  <c r="AJ826" i="1"/>
  <c r="AI826" i="1" s="1"/>
  <c r="AH826" i="1" s="1"/>
  <c r="V826" i="1"/>
  <c r="W826" i="1" s="1"/>
  <c r="AJ1182" i="1"/>
  <c r="AI1182" i="1" s="1"/>
  <c r="AH1182" i="1" s="1"/>
  <c r="V1182" i="1"/>
  <c r="W1182" i="1" s="1"/>
  <c r="AC1182" i="1"/>
  <c r="AB1182" i="1" s="1"/>
  <c r="AA1182" i="1" s="1"/>
  <c r="AJ1174" i="1"/>
  <c r="AI1174" i="1" s="1"/>
  <c r="AH1174" i="1" s="1"/>
  <c r="AC1174" i="1"/>
  <c r="AB1174" i="1" s="1"/>
  <c r="AA1174" i="1" s="1"/>
  <c r="V1174" i="1"/>
  <c r="W1174" i="1" s="1"/>
  <c r="V1190" i="1"/>
  <c r="W1190" i="1" s="1"/>
  <c r="AC1190" i="1"/>
  <c r="AB1190" i="1" s="1"/>
  <c r="AA1190" i="1" s="1"/>
  <c r="AJ1190" i="1"/>
  <c r="AI1190" i="1" s="1"/>
  <c r="AH1190" i="1" s="1"/>
  <c r="V1188" i="1"/>
  <c r="W1188" i="1" s="1"/>
  <c r="AC1188" i="1"/>
  <c r="AB1188" i="1" s="1"/>
  <c r="AA1188" i="1" s="1"/>
  <c r="AJ1188" i="1"/>
  <c r="AI1188" i="1" s="1"/>
  <c r="AH1188" i="1" s="1"/>
  <c r="AC1177" i="1"/>
  <c r="AB1177" i="1" s="1"/>
  <c r="AA1177" i="1" s="1"/>
  <c r="AJ1177" i="1"/>
  <c r="AI1177" i="1" s="1"/>
  <c r="AH1177" i="1" s="1"/>
  <c r="V1177" i="1"/>
  <c r="W1177" i="1" s="1"/>
  <c r="AC1194" i="1"/>
  <c r="AB1194" i="1" s="1"/>
  <c r="AA1194" i="1" s="1"/>
  <c r="AJ1194" i="1"/>
  <c r="AI1194" i="1" s="1"/>
  <c r="AH1194" i="1" s="1"/>
  <c r="V1194" i="1"/>
  <c r="W1194" i="1" s="1"/>
  <c r="AJ1112" i="1"/>
  <c r="AI1112" i="1" s="1"/>
  <c r="AH1112" i="1" s="1"/>
  <c r="V1112" i="1"/>
  <c r="W1112" i="1" s="1"/>
  <c r="AC1112" i="1"/>
  <c r="AB1112" i="1" s="1"/>
  <c r="AA1112" i="1" s="1"/>
  <c r="V1110" i="1"/>
  <c r="W1110" i="1" s="1"/>
  <c r="AC1110" i="1"/>
  <c r="AB1110" i="1" s="1"/>
  <c r="AA1110" i="1" s="1"/>
  <c r="AJ1110" i="1"/>
  <c r="AI1110" i="1" s="1"/>
  <c r="AH1110" i="1" s="1"/>
  <c r="AC1103" i="1"/>
  <c r="AB1103" i="1" s="1"/>
  <c r="AA1103" i="1" s="1"/>
  <c r="AJ1103" i="1"/>
  <c r="AI1103" i="1" s="1"/>
  <c r="AH1103" i="1" s="1"/>
  <c r="V1103" i="1"/>
  <c r="W1103" i="1" s="1"/>
  <c r="AC1114" i="1"/>
  <c r="AB1114" i="1" s="1"/>
  <c r="AA1114" i="1" s="1"/>
  <c r="AJ1114" i="1"/>
  <c r="AI1114" i="1" s="1"/>
  <c r="AH1114" i="1" s="1"/>
  <c r="V1114" i="1"/>
  <c r="W1114" i="1" s="1"/>
  <c r="AJ1096" i="1"/>
  <c r="AI1096" i="1" s="1"/>
  <c r="AH1096" i="1" s="1"/>
  <c r="V1096" i="1"/>
  <c r="W1096" i="1" s="1"/>
  <c r="AC1096" i="1"/>
  <c r="AB1096" i="1" s="1"/>
  <c r="AA1096" i="1" s="1"/>
  <c r="V1063" i="1"/>
  <c r="W1063" i="1" s="1"/>
  <c r="AC1063" i="1"/>
  <c r="AB1063" i="1" s="1"/>
  <c r="AA1063" i="1" s="1"/>
  <c r="AJ1063" i="1"/>
  <c r="AI1063" i="1" s="1"/>
  <c r="AH1063" i="1" s="1"/>
  <c r="V1061" i="1"/>
  <c r="W1061" i="1" s="1"/>
  <c r="AC1061" i="1"/>
  <c r="AB1061" i="1" s="1"/>
  <c r="AA1061" i="1" s="1"/>
  <c r="AJ1061" i="1"/>
  <c r="AI1061" i="1" s="1"/>
  <c r="AH1061" i="1" s="1"/>
  <c r="AC1060" i="1"/>
  <c r="AB1060" i="1" s="1"/>
  <c r="AA1060" i="1" s="1"/>
  <c r="AJ1060" i="1"/>
  <c r="AI1060" i="1" s="1"/>
  <c r="AH1060" i="1" s="1"/>
  <c r="V1060" i="1"/>
  <c r="W1060" i="1" s="1"/>
  <c r="AJ999" i="1"/>
  <c r="AI999" i="1" s="1"/>
  <c r="AH999" i="1" s="1"/>
  <c r="V999" i="1"/>
  <c r="W999" i="1" s="1"/>
  <c r="AC999" i="1"/>
  <c r="AB999" i="1" s="1"/>
  <c r="AA999" i="1" s="1"/>
  <c r="AC994" i="1"/>
  <c r="AB994" i="1" s="1"/>
  <c r="AA994" i="1" s="1"/>
  <c r="V994" i="1"/>
  <c r="W994" i="1" s="1"/>
  <c r="AJ994" i="1"/>
  <c r="AI994" i="1" s="1"/>
  <c r="AH994" i="1" s="1"/>
  <c r="V958" i="1"/>
  <c r="W958" i="1" s="1"/>
  <c r="AJ958" i="1"/>
  <c r="AI958" i="1" s="1"/>
  <c r="AH958" i="1" s="1"/>
  <c r="AC958" i="1"/>
  <c r="AB958" i="1" s="1"/>
  <c r="AA958" i="1" s="1"/>
  <c r="V945" i="1"/>
  <c r="W945" i="1" s="1"/>
  <c r="AC945" i="1"/>
  <c r="AB945" i="1" s="1"/>
  <c r="AA945" i="1" s="1"/>
  <c r="AJ945" i="1"/>
  <c r="AI945" i="1" s="1"/>
  <c r="AH945" i="1" s="1"/>
  <c r="V939" i="1"/>
  <c r="W939" i="1" s="1"/>
  <c r="AC939" i="1"/>
  <c r="AB939" i="1" s="1"/>
  <c r="AA939" i="1" s="1"/>
  <c r="AJ939" i="1"/>
  <c r="AI939" i="1" s="1"/>
  <c r="AH939" i="1" s="1"/>
  <c r="V933" i="1"/>
  <c r="W933" i="1" s="1"/>
  <c r="AC933" i="1"/>
  <c r="AB933" i="1" s="1"/>
  <c r="AA933" i="1" s="1"/>
  <c r="AJ933" i="1"/>
  <c r="AI933" i="1" s="1"/>
  <c r="AH933" i="1" s="1"/>
  <c r="V924" i="1"/>
  <c r="W924" i="1" s="1"/>
  <c r="AC924" i="1"/>
  <c r="AB924" i="1" s="1"/>
  <c r="AA924" i="1" s="1"/>
  <c r="AJ924" i="1"/>
  <c r="AI924" i="1" s="1"/>
  <c r="AH924" i="1" s="1"/>
  <c r="V915" i="1"/>
  <c r="W915" i="1" s="1"/>
  <c r="AC915" i="1"/>
  <c r="AB915" i="1" s="1"/>
  <c r="AA915" i="1" s="1"/>
  <c r="AJ915" i="1"/>
  <c r="AI915" i="1" s="1"/>
  <c r="AH915" i="1" s="1"/>
  <c r="V909" i="1"/>
  <c r="W909" i="1" s="1"/>
  <c r="AC909" i="1"/>
  <c r="AB909" i="1" s="1"/>
  <c r="AA909" i="1" s="1"/>
  <c r="AJ909" i="1"/>
  <c r="AI909" i="1" s="1"/>
  <c r="AH909" i="1" s="1"/>
  <c r="V897" i="1"/>
  <c r="W897" i="1" s="1"/>
  <c r="AC897" i="1"/>
  <c r="AB897" i="1" s="1"/>
  <c r="AA897" i="1" s="1"/>
  <c r="AJ897" i="1"/>
  <c r="AI897" i="1" s="1"/>
  <c r="AH897" i="1" s="1"/>
  <c r="V891" i="1"/>
  <c r="W891" i="1" s="1"/>
  <c r="AC891" i="1"/>
  <c r="AB891" i="1" s="1"/>
  <c r="AA891" i="1" s="1"/>
  <c r="AJ891" i="1"/>
  <c r="AI891" i="1" s="1"/>
  <c r="AH891" i="1" s="1"/>
  <c r="V880" i="1"/>
  <c r="W880" i="1" s="1"/>
  <c r="AC880" i="1"/>
  <c r="AB880" i="1" s="1"/>
  <c r="AA880" i="1" s="1"/>
  <c r="AJ880" i="1"/>
  <c r="AI880" i="1" s="1"/>
  <c r="AH880" i="1" s="1"/>
  <c r="V871" i="1"/>
  <c r="W871" i="1" s="1"/>
  <c r="AC871" i="1"/>
  <c r="AB871" i="1" s="1"/>
  <c r="AA871" i="1" s="1"/>
  <c r="AJ871" i="1"/>
  <c r="AI871" i="1" s="1"/>
  <c r="AH871" i="1" s="1"/>
  <c r="V837" i="1"/>
  <c r="W837" i="1" s="1"/>
  <c r="AC837" i="1"/>
  <c r="AB837" i="1" s="1"/>
  <c r="AA837" i="1" s="1"/>
  <c r="AJ837" i="1"/>
  <c r="AI837" i="1" s="1"/>
  <c r="AH837" i="1" s="1"/>
  <c r="V828" i="1"/>
  <c r="W828" i="1" s="1"/>
  <c r="AC828" i="1"/>
  <c r="AB828" i="1" s="1"/>
  <c r="AA828" i="1" s="1"/>
  <c r="AJ828" i="1"/>
  <c r="AI828" i="1" s="1"/>
  <c r="AH828" i="1" s="1"/>
  <c r="V819" i="1"/>
  <c r="W819" i="1" s="1"/>
  <c r="AC819" i="1"/>
  <c r="AB819" i="1" s="1"/>
  <c r="AA819" i="1" s="1"/>
  <c r="AJ819" i="1"/>
  <c r="AI819" i="1" s="1"/>
  <c r="AH819" i="1" s="1"/>
  <c r="V813" i="1"/>
  <c r="W813" i="1" s="1"/>
  <c r="AC813" i="1"/>
  <c r="AB813" i="1" s="1"/>
  <c r="AA813" i="1" s="1"/>
  <c r="AJ813" i="1"/>
  <c r="AI813" i="1" s="1"/>
  <c r="AH813" i="1" s="1"/>
  <c r="AJ1154" i="1"/>
  <c r="AI1154" i="1" s="1"/>
  <c r="AH1154" i="1" s="1"/>
  <c r="V1154" i="1"/>
  <c r="W1154" i="1" s="1"/>
  <c r="AC1154" i="1"/>
  <c r="AB1154" i="1" s="1"/>
  <c r="AA1154" i="1" s="1"/>
  <c r="V1087" i="1"/>
  <c r="W1087" i="1" s="1"/>
  <c r="AC1087" i="1"/>
  <c r="AB1087" i="1" s="1"/>
  <c r="AA1087" i="1" s="1"/>
  <c r="AJ1087" i="1"/>
  <c r="AI1087" i="1" s="1"/>
  <c r="AH1087" i="1" s="1"/>
  <c r="V1085" i="1"/>
  <c r="W1085" i="1" s="1"/>
  <c r="AC1085" i="1"/>
  <c r="AB1085" i="1" s="1"/>
  <c r="AA1085" i="1" s="1"/>
  <c r="AJ1085" i="1"/>
  <c r="AI1085" i="1" s="1"/>
  <c r="AH1085" i="1" s="1"/>
  <c r="AC1084" i="1"/>
  <c r="AB1084" i="1" s="1"/>
  <c r="AA1084" i="1" s="1"/>
  <c r="AJ1084" i="1"/>
  <c r="AI1084" i="1" s="1"/>
  <c r="AH1084" i="1" s="1"/>
  <c r="V1084" i="1"/>
  <c r="W1084" i="1" s="1"/>
  <c r="V1045" i="1"/>
  <c r="W1045" i="1" s="1"/>
  <c r="AJ1045" i="1"/>
  <c r="AI1045" i="1" s="1"/>
  <c r="AH1045" i="1" s="1"/>
  <c r="AC1045" i="1"/>
  <c r="AB1045" i="1" s="1"/>
  <c r="AA1045" i="1" s="1"/>
  <c r="V1037" i="1"/>
  <c r="W1037" i="1" s="1"/>
  <c r="AJ1037" i="1"/>
  <c r="AI1037" i="1" s="1"/>
  <c r="AH1037" i="1" s="1"/>
  <c r="AC1037" i="1"/>
  <c r="AB1037" i="1" s="1"/>
  <c r="AA1037" i="1" s="1"/>
  <c r="AJ1033" i="1"/>
  <c r="AI1033" i="1" s="1"/>
  <c r="AH1033" i="1" s="1"/>
  <c r="AC1033" i="1"/>
  <c r="AB1033" i="1" s="1"/>
  <c r="AA1033" i="1" s="1"/>
  <c r="V1033" i="1"/>
  <c r="W1033" i="1" s="1"/>
  <c r="AJ1047" i="1"/>
  <c r="AI1047" i="1" s="1"/>
  <c r="AH1047" i="1" s="1"/>
  <c r="AC1047" i="1"/>
  <c r="AB1047" i="1" s="1"/>
  <c r="AA1047" i="1" s="1"/>
  <c r="V1047" i="1"/>
  <c r="W1047" i="1" s="1"/>
  <c r="AC1035" i="1"/>
  <c r="AB1035" i="1" s="1"/>
  <c r="AA1035" i="1" s="1"/>
  <c r="AJ1035" i="1"/>
  <c r="AI1035" i="1" s="1"/>
  <c r="AH1035" i="1" s="1"/>
  <c r="V1035" i="1"/>
  <c r="W1035" i="1" s="1"/>
  <c r="V997" i="1"/>
  <c r="W997" i="1" s="1"/>
  <c r="AJ997" i="1"/>
  <c r="AI997" i="1" s="1"/>
  <c r="AH997" i="1" s="1"/>
  <c r="AC997" i="1"/>
  <c r="AB997" i="1" s="1"/>
  <c r="AA997" i="1" s="1"/>
  <c r="V983" i="1"/>
  <c r="W983" i="1" s="1"/>
  <c r="AC983" i="1"/>
  <c r="AB983" i="1" s="1"/>
  <c r="AA983" i="1" s="1"/>
  <c r="AJ983" i="1"/>
  <c r="AI983" i="1" s="1"/>
  <c r="AH983" i="1" s="1"/>
  <c r="AJ971" i="1"/>
  <c r="AI971" i="1" s="1"/>
  <c r="AH971" i="1" s="1"/>
  <c r="V971" i="1"/>
  <c r="W971" i="1" s="1"/>
  <c r="AC971" i="1"/>
  <c r="AB971" i="1" s="1"/>
  <c r="AA971" i="1" s="1"/>
  <c r="AJ964" i="1"/>
  <c r="AI964" i="1" s="1"/>
  <c r="AH964" i="1" s="1"/>
  <c r="V964" i="1"/>
  <c r="W964" i="1" s="1"/>
  <c r="AC964" i="1"/>
  <c r="AB964" i="1" s="1"/>
  <c r="AA964" i="1" s="1"/>
  <c r="AJ948" i="1"/>
  <c r="AI948" i="1" s="1"/>
  <c r="AH948" i="1" s="1"/>
  <c r="V948" i="1"/>
  <c r="W948" i="1" s="1"/>
  <c r="AC948" i="1"/>
  <c r="AB948" i="1" s="1"/>
  <c r="AA948" i="1" s="1"/>
  <c r="V936" i="1"/>
  <c r="W936" i="1" s="1"/>
  <c r="AC936" i="1"/>
  <c r="AB936" i="1" s="1"/>
  <c r="AA936" i="1" s="1"/>
  <c r="AJ936" i="1"/>
  <c r="AI936" i="1" s="1"/>
  <c r="AH936" i="1" s="1"/>
  <c r="V926" i="1"/>
  <c r="W926" i="1" s="1"/>
  <c r="AC926" i="1"/>
  <c r="AB926" i="1" s="1"/>
  <c r="AA926" i="1" s="1"/>
  <c r="AJ926" i="1"/>
  <c r="AI926" i="1" s="1"/>
  <c r="AH926" i="1" s="1"/>
  <c r="V916" i="1"/>
  <c r="W916" i="1" s="1"/>
  <c r="AC916" i="1"/>
  <c r="AB916" i="1" s="1"/>
  <c r="AA916" i="1" s="1"/>
  <c r="AJ916" i="1"/>
  <c r="AI916" i="1" s="1"/>
  <c r="AH916" i="1" s="1"/>
  <c r="AC908" i="1"/>
  <c r="AB908" i="1" s="1"/>
  <c r="AA908" i="1" s="1"/>
  <c r="V908" i="1"/>
  <c r="W908" i="1" s="1"/>
  <c r="AJ908" i="1"/>
  <c r="AI908" i="1" s="1"/>
  <c r="AH908" i="1" s="1"/>
  <c r="V899" i="1"/>
  <c r="W899" i="1" s="1"/>
  <c r="AC899" i="1"/>
  <c r="AB899" i="1" s="1"/>
  <c r="AA899" i="1" s="1"/>
  <c r="AJ899" i="1"/>
  <c r="AI899" i="1" s="1"/>
  <c r="AH899" i="1" s="1"/>
  <c r="V893" i="1"/>
  <c r="W893" i="1" s="1"/>
  <c r="AC893" i="1"/>
  <c r="AB893" i="1" s="1"/>
  <c r="AA893" i="1" s="1"/>
  <c r="AJ893" i="1"/>
  <c r="AI893" i="1" s="1"/>
  <c r="AH893" i="1" s="1"/>
  <c r="AJ884" i="1"/>
  <c r="AI884" i="1" s="1"/>
  <c r="AH884" i="1" s="1"/>
  <c r="AC884" i="1"/>
  <c r="AB884" i="1" s="1"/>
  <c r="AA884" i="1" s="1"/>
  <c r="V884" i="1"/>
  <c r="W884" i="1" s="1"/>
  <c r="AJ831" i="1"/>
  <c r="AI831" i="1" s="1"/>
  <c r="AH831" i="1" s="1"/>
  <c r="V831" i="1"/>
  <c r="W831" i="1" s="1"/>
  <c r="AC831" i="1"/>
  <c r="AB831" i="1" s="1"/>
  <c r="AA831" i="1" s="1"/>
  <c r="AJ821" i="1"/>
  <c r="AI821" i="1" s="1"/>
  <c r="AH821" i="1" s="1"/>
  <c r="V821" i="1"/>
  <c r="W821" i="1" s="1"/>
  <c r="AC821" i="1"/>
  <c r="AB821" i="1" s="1"/>
  <c r="AA821" i="1" s="1"/>
  <c r="V814" i="1"/>
  <c r="W814" i="1" s="1"/>
  <c r="AC814" i="1"/>
  <c r="AB814" i="1" s="1"/>
  <c r="AA814" i="1" s="1"/>
  <c r="AJ814" i="1"/>
  <c r="AI814" i="1" s="1"/>
  <c r="AH814" i="1" s="1"/>
  <c r="AJ1149" i="1"/>
  <c r="AI1149" i="1" s="1"/>
  <c r="AH1149" i="1" s="1"/>
  <c r="AC1149" i="1"/>
  <c r="AB1149" i="1" s="1"/>
  <c r="AA1149" i="1" s="1"/>
  <c r="V1149" i="1"/>
  <c r="W1149" i="1" s="1"/>
  <c r="V1166" i="1"/>
  <c r="W1166" i="1" s="1"/>
  <c r="AC1166" i="1"/>
  <c r="AB1166" i="1" s="1"/>
  <c r="AA1166" i="1" s="1"/>
  <c r="AJ1166" i="1"/>
  <c r="AI1166" i="1" s="1"/>
  <c r="AH1166" i="1" s="1"/>
  <c r="AJ1163" i="1"/>
  <c r="AI1163" i="1" s="1"/>
  <c r="AH1163" i="1" s="1"/>
  <c r="V1163" i="1"/>
  <c r="W1163" i="1" s="1"/>
  <c r="AC1163" i="1"/>
  <c r="AB1163" i="1" s="1"/>
  <c r="AA1163" i="1" s="1"/>
  <c r="AC1155" i="1"/>
  <c r="AB1155" i="1" s="1"/>
  <c r="AA1155" i="1" s="1"/>
  <c r="AJ1155" i="1"/>
  <c r="AI1155" i="1" s="1"/>
  <c r="AH1155" i="1" s="1"/>
  <c r="V1155" i="1"/>
  <c r="W1155" i="1" s="1"/>
  <c r="AC1022" i="1"/>
  <c r="AB1022" i="1" s="1"/>
  <c r="AA1022" i="1" s="1"/>
  <c r="AJ1022" i="1"/>
  <c r="AI1022" i="1" s="1"/>
  <c r="AH1022" i="1" s="1"/>
  <c r="V1022" i="1"/>
  <c r="W1022" i="1" s="1"/>
  <c r="AC1008" i="1"/>
  <c r="AB1008" i="1" s="1"/>
  <c r="AA1008" i="1" s="1"/>
  <c r="AJ1008" i="1"/>
  <c r="AI1008" i="1" s="1"/>
  <c r="AH1008" i="1" s="1"/>
  <c r="V1008" i="1"/>
  <c r="W1008" i="1" s="1"/>
  <c r="AC1019" i="1"/>
  <c r="AB1019" i="1" s="1"/>
  <c r="AA1019" i="1" s="1"/>
  <c r="AJ1019" i="1"/>
  <c r="AI1019" i="1" s="1"/>
  <c r="AH1019" i="1" s="1"/>
  <c r="V1019" i="1"/>
  <c r="W1019" i="1" s="1"/>
  <c r="AJ886" i="1"/>
  <c r="AI886" i="1" s="1"/>
  <c r="AH886" i="1" s="1"/>
  <c r="V886" i="1"/>
  <c r="W886" i="1" s="1"/>
  <c r="AC886" i="1"/>
  <c r="AB886" i="1" s="1"/>
  <c r="AA886" i="1" s="1"/>
  <c r="AJ825" i="1"/>
  <c r="AI825" i="1" s="1"/>
  <c r="AH825" i="1" s="1"/>
  <c r="V825" i="1"/>
  <c r="W825" i="1" s="1"/>
  <c r="AC825" i="1"/>
  <c r="AB825" i="1" s="1"/>
  <c r="AA825" i="1" s="1"/>
  <c r="AJ758" i="1"/>
  <c r="AI758" i="1" s="1"/>
  <c r="AH758" i="1" s="1"/>
  <c r="AC758" i="1"/>
  <c r="AB758" i="1" s="1"/>
  <c r="AA758" i="1" s="1"/>
  <c r="V758" i="1"/>
  <c r="W758" i="1" s="1"/>
  <c r="AC742" i="1"/>
  <c r="AB742" i="1" s="1"/>
  <c r="AA742" i="1" s="1"/>
  <c r="AJ742" i="1"/>
  <c r="AI742" i="1" s="1"/>
  <c r="AH742" i="1" s="1"/>
  <c r="V742" i="1"/>
  <c r="W742" i="1" s="1"/>
  <c r="AC753" i="1"/>
  <c r="AB753" i="1" s="1"/>
  <c r="AA753" i="1" s="1"/>
  <c r="AJ753" i="1"/>
  <c r="AI753" i="1" s="1"/>
  <c r="AH753" i="1" s="1"/>
  <c r="V753" i="1"/>
  <c r="W753" i="1" s="1"/>
  <c r="AC732" i="1"/>
  <c r="AB732" i="1" s="1"/>
  <c r="AA732" i="1" s="1"/>
  <c r="AJ732" i="1"/>
  <c r="AI732" i="1" s="1"/>
  <c r="AH732" i="1" s="1"/>
  <c r="V732" i="1"/>
  <c r="W732" i="1" s="1"/>
  <c r="AC723" i="1"/>
  <c r="AB723" i="1" s="1"/>
  <c r="AA723" i="1" s="1"/>
  <c r="AJ723" i="1"/>
  <c r="AI723" i="1" s="1"/>
  <c r="AH723" i="1" s="1"/>
  <c r="V723" i="1"/>
  <c r="W723" i="1" s="1"/>
  <c r="AC717" i="1"/>
  <c r="AB717" i="1" s="1"/>
  <c r="AA717" i="1" s="1"/>
  <c r="AJ717" i="1"/>
  <c r="AI717" i="1" s="1"/>
  <c r="AH717" i="1" s="1"/>
  <c r="V717" i="1"/>
  <c r="W717" i="1" s="1"/>
  <c r="AC694" i="1"/>
  <c r="AB694" i="1" s="1"/>
  <c r="AA694" i="1" s="1"/>
  <c r="AJ694" i="1"/>
  <c r="AI694" i="1" s="1"/>
  <c r="AH694" i="1" s="1"/>
  <c r="V694" i="1"/>
  <c r="W694" i="1" s="1"/>
  <c r="AC670" i="1"/>
  <c r="AB670" i="1" s="1"/>
  <c r="AA670" i="1" s="1"/>
  <c r="AJ670" i="1"/>
  <c r="AI670" i="1" s="1"/>
  <c r="AH670" i="1" s="1"/>
  <c r="V670" i="1"/>
  <c r="W670" i="1" s="1"/>
  <c r="AC660" i="1"/>
  <c r="AB660" i="1" s="1"/>
  <c r="AA660" i="1" s="1"/>
  <c r="AJ660" i="1"/>
  <c r="AI660" i="1" s="1"/>
  <c r="AH660" i="1" s="1"/>
  <c r="V660" i="1"/>
  <c r="W660" i="1" s="1"/>
  <c r="AC651" i="1"/>
  <c r="AB651" i="1" s="1"/>
  <c r="AA651" i="1" s="1"/>
  <c r="AJ651" i="1"/>
  <c r="AI651" i="1" s="1"/>
  <c r="AH651" i="1" s="1"/>
  <c r="V651" i="1"/>
  <c r="W651" i="1" s="1"/>
  <c r="AC645" i="1"/>
  <c r="AB645" i="1" s="1"/>
  <c r="AA645" i="1" s="1"/>
  <c r="AJ645" i="1"/>
  <c r="AI645" i="1" s="1"/>
  <c r="AH645" i="1" s="1"/>
  <c r="V645" i="1"/>
  <c r="W645" i="1" s="1"/>
  <c r="AC628" i="1"/>
  <c r="AB628" i="1" s="1"/>
  <c r="AA628" i="1" s="1"/>
  <c r="AJ628" i="1"/>
  <c r="AI628" i="1" s="1"/>
  <c r="AH628" i="1" s="1"/>
  <c r="V628" i="1"/>
  <c r="W628" i="1" s="1"/>
  <c r="AC611" i="1"/>
  <c r="AB611" i="1" s="1"/>
  <c r="AA611" i="1" s="1"/>
  <c r="AJ611" i="1"/>
  <c r="AI611" i="1" s="1"/>
  <c r="AH611" i="1" s="1"/>
  <c r="V611" i="1"/>
  <c r="W611" i="1" s="1"/>
  <c r="AC600" i="1"/>
  <c r="AB600" i="1" s="1"/>
  <c r="AA600" i="1" s="1"/>
  <c r="AJ600" i="1"/>
  <c r="AI600" i="1" s="1"/>
  <c r="AH600" i="1" s="1"/>
  <c r="V600" i="1"/>
  <c r="W600" i="1" s="1"/>
  <c r="AC560" i="1"/>
  <c r="AB560" i="1" s="1"/>
  <c r="AA560" i="1" s="1"/>
  <c r="AJ560" i="1"/>
  <c r="AI560" i="1" s="1"/>
  <c r="AH560" i="1" s="1"/>
  <c r="V560" i="1"/>
  <c r="W560" i="1" s="1"/>
  <c r="AC506" i="1"/>
  <c r="AB506" i="1" s="1"/>
  <c r="AA506" i="1" s="1"/>
  <c r="AJ506" i="1"/>
  <c r="AI506" i="1" s="1"/>
  <c r="AH506" i="1" s="1"/>
  <c r="V506" i="1"/>
  <c r="W506" i="1" s="1"/>
  <c r="AC488" i="1"/>
  <c r="AB488" i="1" s="1"/>
  <c r="AA488" i="1" s="1"/>
  <c r="AJ488" i="1"/>
  <c r="AI488" i="1" s="1"/>
  <c r="AH488" i="1" s="1"/>
  <c r="V488" i="1"/>
  <c r="W488" i="1" s="1"/>
  <c r="AC477" i="1"/>
  <c r="AB477" i="1" s="1"/>
  <c r="AA477" i="1" s="1"/>
  <c r="AJ477" i="1"/>
  <c r="AI477" i="1" s="1"/>
  <c r="AH477" i="1" s="1"/>
  <c r="V477" i="1"/>
  <c r="W477" i="1" s="1"/>
  <c r="AC462" i="1"/>
  <c r="AB462" i="1" s="1"/>
  <c r="AA462" i="1" s="1"/>
  <c r="AJ462" i="1"/>
  <c r="AI462" i="1" s="1"/>
  <c r="AH462" i="1" s="1"/>
  <c r="V462" i="1"/>
  <c r="W462" i="1" s="1"/>
  <c r="AC435" i="1"/>
  <c r="AB435" i="1" s="1"/>
  <c r="AA435" i="1" s="1"/>
  <c r="AJ435" i="1"/>
  <c r="AI435" i="1" s="1"/>
  <c r="AH435" i="1" s="1"/>
  <c r="V435" i="1"/>
  <c r="W435" i="1" s="1"/>
  <c r="AC386" i="1"/>
  <c r="AB386" i="1" s="1"/>
  <c r="AA386" i="1" s="1"/>
  <c r="AJ386" i="1"/>
  <c r="AI386" i="1" s="1"/>
  <c r="AH386" i="1" s="1"/>
  <c r="V386" i="1"/>
  <c r="W386" i="1" s="1"/>
  <c r="AC368" i="1"/>
  <c r="AB368" i="1" s="1"/>
  <c r="AA368" i="1" s="1"/>
  <c r="AJ368" i="1"/>
  <c r="AI368" i="1" s="1"/>
  <c r="AH368" i="1" s="1"/>
  <c r="V368" i="1"/>
  <c r="W368" i="1" s="1"/>
  <c r="AC357" i="1"/>
  <c r="AB357" i="1" s="1"/>
  <c r="AA357" i="1" s="1"/>
  <c r="AJ357" i="1"/>
  <c r="AI357" i="1" s="1"/>
  <c r="AH357" i="1" s="1"/>
  <c r="V357" i="1"/>
  <c r="W357" i="1" s="1"/>
  <c r="AC342" i="1"/>
  <c r="AB342" i="1" s="1"/>
  <c r="AA342" i="1" s="1"/>
  <c r="AJ342" i="1"/>
  <c r="AI342" i="1" s="1"/>
  <c r="AH342" i="1" s="1"/>
  <c r="V342" i="1"/>
  <c r="W342" i="1" s="1"/>
  <c r="AC294" i="1"/>
  <c r="AB294" i="1" s="1"/>
  <c r="AA294" i="1" s="1"/>
  <c r="AJ294" i="1"/>
  <c r="AI294" i="1" s="1"/>
  <c r="AH294" i="1" s="1"/>
  <c r="V294" i="1"/>
  <c r="W294" i="1" s="1"/>
  <c r="AJ260" i="1"/>
  <c r="AI260" i="1" s="1"/>
  <c r="AH260" i="1" s="1"/>
  <c r="AC260" i="1"/>
  <c r="AB260" i="1" s="1"/>
  <c r="AA260" i="1" s="1"/>
  <c r="V260" i="1"/>
  <c r="W260" i="1" s="1"/>
  <c r="AJ805" i="1"/>
  <c r="AI805" i="1" s="1"/>
  <c r="AH805" i="1" s="1"/>
  <c r="V805" i="1"/>
  <c r="W805" i="1" s="1"/>
  <c r="AC805" i="1"/>
  <c r="AB805" i="1" s="1"/>
  <c r="AA805" i="1" s="1"/>
  <c r="V778" i="1"/>
  <c r="W778" i="1" s="1"/>
  <c r="AC778" i="1"/>
  <c r="AB778" i="1" s="1"/>
  <c r="AA778" i="1" s="1"/>
  <c r="AJ778" i="1"/>
  <c r="AI778" i="1" s="1"/>
  <c r="AH778" i="1" s="1"/>
  <c r="V768" i="1"/>
  <c r="W768" i="1" s="1"/>
  <c r="AC768" i="1"/>
  <c r="AB768" i="1" s="1"/>
  <c r="AA768" i="1" s="1"/>
  <c r="AJ768" i="1"/>
  <c r="AI768" i="1" s="1"/>
  <c r="AH768" i="1" s="1"/>
  <c r="V784" i="1"/>
  <c r="W784" i="1" s="1"/>
  <c r="AC784" i="1"/>
  <c r="AB784" i="1" s="1"/>
  <c r="AA784" i="1" s="1"/>
  <c r="AJ784" i="1"/>
  <c r="AI784" i="1" s="1"/>
  <c r="AH784" i="1" s="1"/>
  <c r="AC783" i="1"/>
  <c r="AB783" i="1" s="1"/>
  <c r="AA783" i="1" s="1"/>
  <c r="AJ783" i="1"/>
  <c r="AI783" i="1" s="1"/>
  <c r="AH783" i="1" s="1"/>
  <c r="V783" i="1"/>
  <c r="W783" i="1" s="1"/>
  <c r="V688" i="1"/>
  <c r="W688" i="1" s="1"/>
  <c r="AC688" i="1"/>
  <c r="AB688" i="1" s="1"/>
  <c r="AA688" i="1" s="1"/>
  <c r="AJ688" i="1"/>
  <c r="AI688" i="1" s="1"/>
  <c r="AH688" i="1" s="1"/>
  <c r="V662" i="1"/>
  <c r="W662" i="1" s="1"/>
  <c r="AC662" i="1"/>
  <c r="AB662" i="1" s="1"/>
  <c r="AA662" i="1" s="1"/>
  <c r="AJ662" i="1"/>
  <c r="AI662" i="1" s="1"/>
  <c r="AH662" i="1" s="1"/>
  <c r="V652" i="1"/>
  <c r="W652" i="1" s="1"/>
  <c r="AC652" i="1"/>
  <c r="AB652" i="1" s="1"/>
  <c r="AA652" i="1" s="1"/>
  <c r="AJ652" i="1"/>
  <c r="AI652" i="1" s="1"/>
  <c r="AH652" i="1" s="1"/>
  <c r="AC644" i="1"/>
  <c r="AB644" i="1" s="1"/>
  <c r="AA644" i="1" s="1"/>
  <c r="V644" i="1"/>
  <c r="W644" i="1" s="1"/>
  <c r="AJ644" i="1"/>
  <c r="AI644" i="1" s="1"/>
  <c r="AH644" i="1" s="1"/>
  <c r="V613" i="1"/>
  <c r="W613" i="1" s="1"/>
  <c r="AC613" i="1"/>
  <c r="AB613" i="1" s="1"/>
  <c r="AA613" i="1" s="1"/>
  <c r="AJ613" i="1"/>
  <c r="AI613" i="1" s="1"/>
  <c r="AH613" i="1" s="1"/>
  <c r="AJ601" i="1"/>
  <c r="AI601" i="1" s="1"/>
  <c r="AH601" i="1" s="1"/>
  <c r="V601" i="1"/>
  <c r="W601" i="1" s="1"/>
  <c r="AC601" i="1"/>
  <c r="AB601" i="1" s="1"/>
  <c r="AA601" i="1" s="1"/>
  <c r="AJ591" i="1"/>
  <c r="AI591" i="1" s="1"/>
  <c r="AH591" i="1" s="1"/>
  <c r="V591" i="1"/>
  <c r="W591" i="1" s="1"/>
  <c r="AC591" i="1"/>
  <c r="AB591" i="1" s="1"/>
  <c r="AA591" i="1" s="1"/>
  <c r="V572" i="1"/>
  <c r="W572" i="1" s="1"/>
  <c r="AJ572" i="1"/>
  <c r="AI572" i="1" s="1"/>
  <c r="AH572" i="1" s="1"/>
  <c r="AC572" i="1"/>
  <c r="AB572" i="1" s="1"/>
  <c r="AA572" i="1" s="1"/>
  <c r="AC556" i="1"/>
  <c r="AB556" i="1" s="1"/>
  <c r="AA556" i="1" s="1"/>
  <c r="V556" i="1"/>
  <c r="W556" i="1" s="1"/>
  <c r="AJ556" i="1"/>
  <c r="AI556" i="1" s="1"/>
  <c r="AH556" i="1" s="1"/>
  <c r="AJ549" i="1"/>
  <c r="AI549" i="1" s="1"/>
  <c r="AH549" i="1" s="1"/>
  <c r="V549" i="1"/>
  <c r="W549" i="1" s="1"/>
  <c r="AC549" i="1"/>
  <c r="AB549" i="1" s="1"/>
  <c r="AA549" i="1" s="1"/>
  <c r="AC534" i="1"/>
  <c r="AB534" i="1" s="1"/>
  <c r="AA534" i="1" s="1"/>
  <c r="V534" i="1"/>
  <c r="W534" i="1" s="1"/>
  <c r="AJ534" i="1"/>
  <c r="AI534" i="1" s="1"/>
  <c r="AH534" i="1" s="1"/>
  <c r="V526" i="1"/>
  <c r="W526" i="1" s="1"/>
  <c r="AC526" i="1"/>
  <c r="AB526" i="1" s="1"/>
  <c r="AA526" i="1" s="1"/>
  <c r="AJ526" i="1"/>
  <c r="AI526" i="1" s="1"/>
  <c r="AH526" i="1" s="1"/>
  <c r="V507" i="1"/>
  <c r="W507" i="1" s="1"/>
  <c r="AC507" i="1"/>
  <c r="AB507" i="1" s="1"/>
  <c r="AA507" i="1" s="1"/>
  <c r="AJ507" i="1"/>
  <c r="AI507" i="1" s="1"/>
  <c r="AH507" i="1" s="1"/>
  <c r="V467" i="1"/>
  <c r="W467" i="1" s="1"/>
  <c r="AC467" i="1"/>
  <c r="AB467" i="1" s="1"/>
  <c r="AA467" i="1" s="1"/>
  <c r="AJ467" i="1"/>
  <c r="AI467" i="1" s="1"/>
  <c r="AH467" i="1" s="1"/>
  <c r="AC436" i="1"/>
  <c r="AB436" i="1" s="1"/>
  <c r="AA436" i="1" s="1"/>
  <c r="V436" i="1"/>
  <c r="W436" i="1" s="1"/>
  <c r="AJ436" i="1"/>
  <c r="AI436" i="1" s="1"/>
  <c r="AH436" i="1" s="1"/>
  <c r="AJ429" i="1"/>
  <c r="AI429" i="1" s="1"/>
  <c r="AH429" i="1" s="1"/>
  <c r="V429" i="1"/>
  <c r="W429" i="1" s="1"/>
  <c r="AC429" i="1"/>
  <c r="AB429" i="1" s="1"/>
  <c r="AA429" i="1" s="1"/>
  <c r="V417" i="1"/>
  <c r="W417" i="1" s="1"/>
  <c r="AC417" i="1"/>
  <c r="AB417" i="1" s="1"/>
  <c r="AA417" i="1" s="1"/>
  <c r="AJ417" i="1"/>
  <c r="AI417" i="1" s="1"/>
  <c r="AH417" i="1" s="1"/>
  <c r="V396" i="1"/>
  <c r="W396" i="1" s="1"/>
  <c r="AC396" i="1"/>
  <c r="AB396" i="1" s="1"/>
  <c r="AA396" i="1" s="1"/>
  <c r="AJ396" i="1"/>
  <c r="AI396" i="1" s="1"/>
  <c r="AH396" i="1" s="1"/>
  <c r="AC346" i="1"/>
  <c r="AB346" i="1" s="1"/>
  <c r="AA346" i="1" s="1"/>
  <c r="V346" i="1"/>
  <c r="W346" i="1" s="1"/>
  <c r="AJ346" i="1"/>
  <c r="AI346" i="1" s="1"/>
  <c r="AH346" i="1" s="1"/>
  <c r="V303" i="1"/>
  <c r="W303" i="1" s="1"/>
  <c r="AC303" i="1"/>
  <c r="AB303" i="1" s="1"/>
  <c r="AA303" i="1" s="1"/>
  <c r="AJ303" i="1"/>
  <c r="AI303" i="1" s="1"/>
  <c r="AH303" i="1" s="1"/>
  <c r="V263" i="1"/>
  <c r="W263" i="1" s="1"/>
  <c r="AJ263" i="1"/>
  <c r="AI263" i="1" s="1"/>
  <c r="AH263" i="1" s="1"/>
  <c r="AC263" i="1"/>
  <c r="AB263" i="1" s="1"/>
  <c r="AA263" i="1" s="1"/>
  <c r="AJ793" i="1"/>
  <c r="AI793" i="1" s="1"/>
  <c r="AH793" i="1" s="1"/>
  <c r="V793" i="1"/>
  <c r="W793" i="1" s="1"/>
  <c r="AC793" i="1"/>
  <c r="AB793" i="1" s="1"/>
  <c r="AA793" i="1" s="1"/>
  <c r="AJ804" i="1"/>
  <c r="AI804" i="1" s="1"/>
  <c r="AH804" i="1" s="1"/>
  <c r="V804" i="1"/>
  <c r="W804" i="1" s="1"/>
  <c r="AC804" i="1"/>
  <c r="AB804" i="1" s="1"/>
  <c r="AA804" i="1" s="1"/>
  <c r="V801" i="1"/>
  <c r="W801" i="1" s="1"/>
  <c r="AC801" i="1"/>
  <c r="AB801" i="1" s="1"/>
  <c r="AA801" i="1" s="1"/>
  <c r="AJ801" i="1"/>
  <c r="AI801" i="1" s="1"/>
  <c r="AH801" i="1" s="1"/>
  <c r="AC800" i="1"/>
  <c r="AB800" i="1" s="1"/>
  <c r="AA800" i="1" s="1"/>
  <c r="AJ800" i="1"/>
  <c r="AI800" i="1" s="1"/>
  <c r="AH800" i="1" s="1"/>
  <c r="V800" i="1"/>
  <c r="W800" i="1" s="1"/>
  <c r="AJ729" i="1"/>
  <c r="AI729" i="1" s="1"/>
  <c r="AH729" i="1" s="1"/>
  <c r="V729" i="1"/>
  <c r="W729" i="1" s="1"/>
  <c r="AC729" i="1"/>
  <c r="AB729" i="1" s="1"/>
  <c r="AA729" i="1" s="1"/>
  <c r="AJ614" i="1"/>
  <c r="AI614" i="1" s="1"/>
  <c r="AH614" i="1" s="1"/>
  <c r="V614" i="1"/>
  <c r="W614" i="1" s="1"/>
  <c r="AC614" i="1"/>
  <c r="AB614" i="1" s="1"/>
  <c r="AA614" i="1" s="1"/>
  <c r="AJ586" i="1"/>
  <c r="AI586" i="1" s="1"/>
  <c r="AH586" i="1" s="1"/>
  <c r="V586" i="1"/>
  <c r="W586" i="1" s="1"/>
  <c r="AC586" i="1"/>
  <c r="AB586" i="1" s="1"/>
  <c r="AA586" i="1" s="1"/>
  <c r="AJ575" i="1"/>
  <c r="AI575" i="1" s="1"/>
  <c r="AH575" i="1" s="1"/>
  <c r="V575" i="1"/>
  <c r="W575" i="1" s="1"/>
  <c r="AC575" i="1"/>
  <c r="AB575" i="1" s="1"/>
  <c r="AA575" i="1" s="1"/>
  <c r="AJ509" i="1"/>
  <c r="AI509" i="1" s="1"/>
  <c r="AH509" i="1" s="1"/>
  <c r="V509" i="1"/>
  <c r="W509" i="1" s="1"/>
  <c r="AC509" i="1"/>
  <c r="AB509" i="1" s="1"/>
  <c r="AA509" i="1" s="1"/>
  <c r="AJ494" i="1"/>
  <c r="AI494" i="1" s="1"/>
  <c r="AH494" i="1" s="1"/>
  <c r="V494" i="1"/>
  <c r="W494" i="1" s="1"/>
  <c r="AC494" i="1"/>
  <c r="AB494" i="1" s="1"/>
  <c r="AA494" i="1" s="1"/>
  <c r="AC388" i="1"/>
  <c r="AB388" i="1" s="1"/>
  <c r="AA388" i="1" s="1"/>
  <c r="V388" i="1"/>
  <c r="W388" i="1" s="1"/>
  <c r="AJ388" i="1"/>
  <c r="AI388" i="1" s="1"/>
  <c r="AH388" i="1" s="1"/>
  <c r="AJ770" i="1"/>
  <c r="AI770" i="1" s="1"/>
  <c r="AH770" i="1" s="1"/>
  <c r="AC770" i="1"/>
  <c r="AB770" i="1" s="1"/>
  <c r="AA770" i="1" s="1"/>
  <c r="V770" i="1"/>
  <c r="W770" i="1" s="1"/>
  <c r="AJ730" i="1"/>
  <c r="AI730" i="1" s="1"/>
  <c r="AH730" i="1" s="1"/>
  <c r="V730" i="1"/>
  <c r="W730" i="1" s="1"/>
  <c r="AC730" i="1"/>
  <c r="AB730" i="1" s="1"/>
  <c r="AA730" i="1" s="1"/>
  <c r="AJ711" i="1"/>
  <c r="AI711" i="1" s="1"/>
  <c r="AH711" i="1" s="1"/>
  <c r="V711" i="1"/>
  <c r="W711" i="1" s="1"/>
  <c r="AC711" i="1"/>
  <c r="AB711" i="1" s="1"/>
  <c r="AA711" i="1" s="1"/>
  <c r="AC635" i="1"/>
  <c r="AB635" i="1" s="1"/>
  <c r="AA635" i="1" s="1"/>
  <c r="AJ635" i="1"/>
  <c r="AI635" i="1" s="1"/>
  <c r="AH635" i="1" s="1"/>
  <c r="V635" i="1"/>
  <c r="W635" i="1" s="1"/>
  <c r="AJ624" i="1"/>
  <c r="AI624" i="1" s="1"/>
  <c r="AH624" i="1" s="1"/>
  <c r="AC624" i="1"/>
  <c r="AB624" i="1" s="1"/>
  <c r="AA624" i="1" s="1"/>
  <c r="V624" i="1"/>
  <c r="W624" i="1" s="1"/>
  <c r="AJ568" i="1"/>
  <c r="AI568" i="1" s="1"/>
  <c r="AH568" i="1" s="1"/>
  <c r="V568" i="1"/>
  <c r="W568" i="1" s="1"/>
  <c r="AC568" i="1"/>
  <c r="AB568" i="1" s="1"/>
  <c r="AA568" i="1" s="1"/>
  <c r="AC539" i="1"/>
  <c r="AB539" i="1" s="1"/>
  <c r="AA539" i="1" s="1"/>
  <c r="AJ539" i="1"/>
  <c r="AI539" i="1" s="1"/>
  <c r="AH539" i="1" s="1"/>
  <c r="V539" i="1"/>
  <c r="W539" i="1" s="1"/>
  <c r="AC519" i="1"/>
  <c r="AB519" i="1" s="1"/>
  <c r="AA519" i="1" s="1"/>
  <c r="AJ519" i="1"/>
  <c r="AI519" i="1" s="1"/>
  <c r="AH519" i="1" s="1"/>
  <c r="V519" i="1"/>
  <c r="W519" i="1" s="1"/>
  <c r="AJ510" i="1"/>
  <c r="AI510" i="1" s="1"/>
  <c r="AH510" i="1" s="1"/>
  <c r="V510" i="1"/>
  <c r="W510" i="1" s="1"/>
  <c r="AC510" i="1"/>
  <c r="AB510" i="1" s="1"/>
  <c r="AA510" i="1" s="1"/>
  <c r="AC495" i="1"/>
  <c r="AB495" i="1" s="1"/>
  <c r="AA495" i="1" s="1"/>
  <c r="AJ495" i="1"/>
  <c r="AI495" i="1" s="1"/>
  <c r="AH495" i="1" s="1"/>
  <c r="V495" i="1"/>
  <c r="W495" i="1" s="1"/>
  <c r="AC419" i="1"/>
  <c r="AB419" i="1" s="1"/>
  <c r="AA419" i="1" s="1"/>
  <c r="AJ419" i="1"/>
  <c r="AI419" i="1" s="1"/>
  <c r="AH419" i="1" s="1"/>
  <c r="V419" i="1"/>
  <c r="W419" i="1" s="1"/>
  <c r="AC399" i="1"/>
  <c r="AB399" i="1" s="1"/>
  <c r="AA399" i="1" s="1"/>
  <c r="AJ399" i="1"/>
  <c r="AI399" i="1" s="1"/>
  <c r="AH399" i="1" s="1"/>
  <c r="V399" i="1"/>
  <c r="W399" i="1" s="1"/>
  <c r="AJ390" i="1"/>
  <c r="AI390" i="1" s="1"/>
  <c r="AH390" i="1" s="1"/>
  <c r="V390" i="1"/>
  <c r="W390" i="1" s="1"/>
  <c r="AC390" i="1"/>
  <c r="AB390" i="1" s="1"/>
  <c r="AA390" i="1" s="1"/>
  <c r="AC335" i="1"/>
  <c r="AB335" i="1" s="1"/>
  <c r="AA335" i="1" s="1"/>
  <c r="AJ335" i="1"/>
  <c r="AI335" i="1" s="1"/>
  <c r="AH335" i="1" s="1"/>
  <c r="V335" i="1"/>
  <c r="W335" i="1" s="1"/>
  <c r="AC316" i="1"/>
  <c r="AB316" i="1" s="1"/>
  <c r="AA316" i="1" s="1"/>
  <c r="AJ316" i="1"/>
  <c r="AI316" i="1" s="1"/>
  <c r="AH316" i="1" s="1"/>
  <c r="V316" i="1"/>
  <c r="W316" i="1" s="1"/>
  <c r="AC313" i="1"/>
  <c r="AB313" i="1" s="1"/>
  <c r="AA313" i="1" s="1"/>
  <c r="V313" i="1"/>
  <c r="W313" i="1" s="1"/>
  <c r="AJ313" i="1"/>
  <c r="AI313" i="1" s="1"/>
  <c r="AH313" i="1" s="1"/>
  <c r="V322" i="1"/>
  <c r="W322" i="1" s="1"/>
  <c r="AJ322" i="1"/>
  <c r="AI322" i="1" s="1"/>
  <c r="AH322" i="1" s="1"/>
  <c r="AC322" i="1"/>
  <c r="AB322" i="1" s="1"/>
  <c r="AA322" i="1" s="1"/>
  <c r="AC312" i="1"/>
  <c r="AB312" i="1" s="1"/>
  <c r="AA312" i="1" s="1"/>
  <c r="AJ312" i="1"/>
  <c r="AI312" i="1" s="1"/>
  <c r="AH312" i="1" s="1"/>
  <c r="V312" i="1"/>
  <c r="W312" i="1" s="1"/>
  <c r="AC326" i="1"/>
  <c r="AB326" i="1" s="1"/>
  <c r="AA326" i="1" s="1"/>
  <c r="AJ326" i="1"/>
  <c r="AI326" i="1" s="1"/>
  <c r="AH326" i="1" s="1"/>
  <c r="V326" i="1"/>
  <c r="W326" i="1" s="1"/>
  <c r="V250" i="1"/>
  <c r="W250" i="1" s="1"/>
  <c r="AC250" i="1"/>
  <c r="AB250" i="1" s="1"/>
  <c r="AA250" i="1" s="1"/>
  <c r="AJ250" i="1"/>
  <c r="AI250" i="1" s="1"/>
  <c r="AH250" i="1" s="1"/>
  <c r="AC239" i="1"/>
  <c r="AB239" i="1" s="1"/>
  <c r="AA239" i="1" s="1"/>
  <c r="AJ239" i="1"/>
  <c r="AI239" i="1" s="1"/>
  <c r="AH239" i="1" s="1"/>
  <c r="V239" i="1"/>
  <c r="W239" i="1" s="1"/>
  <c r="AC219" i="1"/>
  <c r="AB219" i="1" s="1"/>
  <c r="AA219" i="1" s="1"/>
  <c r="V219" i="1"/>
  <c r="W219" i="1" s="1"/>
  <c r="AJ219" i="1"/>
  <c r="AI219" i="1" s="1"/>
  <c r="AH219" i="1" s="1"/>
  <c r="AJ212" i="1"/>
  <c r="AI212" i="1" s="1"/>
  <c r="AC212" i="1"/>
  <c r="AB212" i="1" s="1"/>
  <c r="AA212" i="1" s="1"/>
  <c r="V212" i="1"/>
  <c r="W212" i="1" s="1"/>
  <c r="AC111" i="1"/>
  <c r="AB111" i="1" s="1"/>
  <c r="AA111" i="1" s="1"/>
  <c r="AJ111" i="1"/>
  <c r="AI111" i="1" s="1"/>
  <c r="AH111" i="1" s="1"/>
  <c r="V111" i="1"/>
  <c r="W111" i="1" s="1"/>
  <c r="AC102" i="1"/>
  <c r="AB102" i="1" s="1"/>
  <c r="AA102" i="1" s="1"/>
  <c r="AJ102" i="1"/>
  <c r="AI102" i="1" s="1"/>
  <c r="AH102" i="1" s="1"/>
  <c r="V102" i="1"/>
  <c r="W102" i="1" s="1"/>
  <c r="AC94" i="1"/>
  <c r="AB94" i="1" s="1"/>
  <c r="AA94" i="1" s="1"/>
  <c r="AJ94" i="1"/>
  <c r="AI94" i="1" s="1"/>
  <c r="AH94" i="1" s="1"/>
  <c r="V94" i="1"/>
  <c r="W94" i="1" s="1"/>
  <c r="AC82" i="1"/>
  <c r="AB82" i="1" s="1"/>
  <c r="AA82" i="1" s="1"/>
  <c r="AJ82" i="1"/>
  <c r="AI82" i="1" s="1"/>
  <c r="AH82" i="1" s="1"/>
  <c r="V82" i="1"/>
  <c r="W82" i="1" s="1"/>
  <c r="AC74" i="1"/>
  <c r="AB74" i="1" s="1"/>
  <c r="AA74" i="1" s="1"/>
  <c r="AJ74" i="1"/>
  <c r="AI74" i="1" s="1"/>
  <c r="AH74" i="1" s="1"/>
  <c r="V74" i="1"/>
  <c r="W74" i="1" s="1"/>
  <c r="AC56" i="1"/>
  <c r="AB56" i="1" s="1"/>
  <c r="AA56" i="1" s="1"/>
  <c r="AJ56" i="1"/>
  <c r="AI56" i="1" s="1"/>
  <c r="AH56" i="1" s="1"/>
  <c r="V56" i="1"/>
  <c r="W56" i="1" s="1"/>
  <c r="AC48" i="1"/>
  <c r="AB48" i="1" s="1"/>
  <c r="AA48" i="1" s="1"/>
  <c r="V48" i="1"/>
  <c r="W48" i="1" s="1"/>
  <c r="AJ48" i="1"/>
  <c r="AI48" i="1" s="1"/>
  <c r="AH48" i="1" s="1"/>
  <c r="AC36" i="1"/>
  <c r="AB36" i="1" s="1"/>
  <c r="AA36" i="1" s="1"/>
  <c r="AJ36" i="1"/>
  <c r="AI36" i="1" s="1"/>
  <c r="AH36" i="1" s="1"/>
  <c r="V36" i="1"/>
  <c r="W36" i="1" s="1"/>
  <c r="AC28" i="1"/>
  <c r="AB28" i="1" s="1"/>
  <c r="AA28" i="1" s="1"/>
  <c r="V28" i="1"/>
  <c r="W28" i="1" s="1"/>
  <c r="AJ28" i="1"/>
  <c r="AI28" i="1" s="1"/>
  <c r="AH28" i="1" s="1"/>
  <c r="AC126" i="1"/>
  <c r="AB126" i="1" s="1"/>
  <c r="AA126" i="1" s="1"/>
  <c r="AJ126" i="1"/>
  <c r="AI126" i="1" s="1"/>
  <c r="AH126" i="1" s="1"/>
  <c r="V126" i="1"/>
  <c r="W126" i="1" s="1"/>
  <c r="AC216" i="1"/>
  <c r="AB216" i="1" s="1"/>
  <c r="AA216" i="1" s="1"/>
  <c r="V216" i="1"/>
  <c r="W216" i="1" s="1"/>
  <c r="AJ216" i="1"/>
  <c r="AI216" i="1" s="1"/>
  <c r="AH216" i="1" s="1"/>
  <c r="AC201" i="1"/>
  <c r="AB201" i="1" s="1"/>
  <c r="AA201" i="1" s="1"/>
  <c r="V201" i="1"/>
  <c r="W201" i="1" s="1"/>
  <c r="AJ201" i="1"/>
  <c r="AI201" i="1" s="1"/>
  <c r="AH201" i="1" s="1"/>
  <c r="AC193" i="1"/>
  <c r="AB193" i="1" s="1"/>
  <c r="AA193" i="1" s="1"/>
  <c r="V193" i="1"/>
  <c r="W193" i="1" s="1"/>
  <c r="AJ193" i="1"/>
  <c r="AI193" i="1" s="1"/>
  <c r="AH193" i="1" s="1"/>
  <c r="V179" i="1"/>
  <c r="W179" i="1" s="1"/>
  <c r="AC179" i="1"/>
  <c r="AB179" i="1" s="1"/>
  <c r="AA179" i="1" s="1"/>
  <c r="AJ179" i="1"/>
  <c r="AI179" i="1" s="1"/>
  <c r="AH179" i="1" s="1"/>
  <c r="V171" i="1"/>
  <c r="W171" i="1" s="1"/>
  <c r="AC171" i="1"/>
  <c r="AB171" i="1" s="1"/>
  <c r="AA171" i="1" s="1"/>
  <c r="AJ171" i="1"/>
  <c r="AI171" i="1" s="1"/>
  <c r="AH171" i="1" s="1"/>
  <c r="V127" i="1"/>
  <c r="W127" i="1" s="1"/>
  <c r="AC127" i="1"/>
  <c r="AB127" i="1" s="1"/>
  <c r="AA127" i="1" s="1"/>
  <c r="AJ127" i="1"/>
  <c r="AI127" i="1" s="1"/>
  <c r="AH127" i="1" s="1"/>
  <c r="V119" i="1"/>
  <c r="W119" i="1" s="1"/>
  <c r="AC119" i="1"/>
  <c r="AB119" i="1" s="1"/>
  <c r="AA119" i="1" s="1"/>
  <c r="AJ119" i="1"/>
  <c r="AI119" i="1" s="1"/>
  <c r="AH119" i="1" s="1"/>
  <c r="AJ200" i="1"/>
  <c r="AI200" i="1" s="1"/>
  <c r="AH200" i="1" s="1"/>
  <c r="V200" i="1"/>
  <c r="W200" i="1" s="1"/>
  <c r="AC200" i="1"/>
  <c r="AB200" i="1" s="1"/>
  <c r="AA200" i="1" s="1"/>
  <c r="AJ192" i="1"/>
  <c r="AI192" i="1" s="1"/>
  <c r="AH192" i="1" s="1"/>
  <c r="V192" i="1"/>
  <c r="W192" i="1" s="1"/>
  <c r="AC192" i="1"/>
  <c r="AB192" i="1" s="1"/>
  <c r="AA192" i="1" s="1"/>
  <c r="AJ105" i="1"/>
  <c r="AI105" i="1" s="1"/>
  <c r="AH105" i="1" s="1"/>
  <c r="V105" i="1"/>
  <c r="W105" i="1" s="1"/>
  <c r="AC105" i="1"/>
  <c r="AB105" i="1" s="1"/>
  <c r="AA105" i="1" s="1"/>
  <c r="AJ97" i="1"/>
  <c r="AI97" i="1" s="1"/>
  <c r="AH97" i="1" s="1"/>
  <c r="V97" i="1"/>
  <c r="W97" i="1" s="1"/>
  <c r="AC97" i="1"/>
  <c r="AB97" i="1" s="1"/>
  <c r="AA97" i="1" s="1"/>
  <c r="AJ85" i="1"/>
  <c r="AI85" i="1" s="1"/>
  <c r="AH85" i="1" s="1"/>
  <c r="V85" i="1"/>
  <c r="W85" i="1" s="1"/>
  <c r="AC85" i="1"/>
  <c r="AB85" i="1" s="1"/>
  <c r="AA85" i="1" s="1"/>
  <c r="AJ77" i="1"/>
  <c r="AI77" i="1" s="1"/>
  <c r="AH77" i="1" s="1"/>
  <c r="V77" i="1"/>
  <c r="W77" i="1" s="1"/>
  <c r="AC77" i="1"/>
  <c r="AB77" i="1" s="1"/>
  <c r="AA77" i="1" s="1"/>
  <c r="AJ69" i="1"/>
  <c r="AI69" i="1" s="1"/>
  <c r="AH69" i="1" s="1"/>
  <c r="V69" i="1"/>
  <c r="W69" i="1" s="1"/>
  <c r="AC69" i="1"/>
  <c r="AB69" i="1" s="1"/>
  <c r="AA69" i="1" s="1"/>
  <c r="AJ59" i="1"/>
  <c r="AI59" i="1" s="1"/>
  <c r="AH59" i="1" s="1"/>
  <c r="V59" i="1"/>
  <c r="W59" i="1" s="1"/>
  <c r="AC59" i="1"/>
  <c r="AB59" i="1" s="1"/>
  <c r="AA59" i="1" s="1"/>
  <c r="AJ51" i="1"/>
  <c r="AI51" i="1" s="1"/>
  <c r="AH51" i="1" s="1"/>
  <c r="V51" i="1"/>
  <c r="W51" i="1" s="1"/>
  <c r="AC51" i="1"/>
  <c r="AB51" i="1" s="1"/>
  <c r="AA51" i="1" s="1"/>
  <c r="AJ43" i="1"/>
  <c r="AI43" i="1" s="1"/>
  <c r="AH43" i="1" s="1"/>
  <c r="AC43" i="1"/>
  <c r="AB43" i="1" s="1"/>
  <c r="AA43" i="1" s="1"/>
  <c r="V43" i="1"/>
  <c r="W43" i="1" s="1"/>
  <c r="AJ37" i="1"/>
  <c r="AI37" i="1" s="1"/>
  <c r="AH37" i="1" s="1"/>
  <c r="V37" i="1"/>
  <c r="W37" i="1" s="1"/>
  <c r="AC37" i="1"/>
  <c r="AB37" i="1" s="1"/>
  <c r="AA37" i="1" s="1"/>
  <c r="AJ29" i="1"/>
  <c r="AI29" i="1" s="1"/>
  <c r="AH29" i="1" s="1"/>
  <c r="V29" i="1"/>
  <c r="W29" i="1" s="1"/>
  <c r="AC29" i="1"/>
  <c r="AB29" i="1" s="1"/>
  <c r="AA29" i="1" s="1"/>
  <c r="AJ21" i="1"/>
  <c r="AI21" i="1" s="1"/>
  <c r="AH21" i="1" s="1"/>
  <c r="V21" i="1"/>
  <c r="W21" i="1" s="1"/>
  <c r="AC21" i="1"/>
  <c r="AB21" i="1" s="1"/>
  <c r="AA21" i="1" s="1"/>
  <c r="AC130" i="1"/>
  <c r="AB130" i="1" s="1"/>
  <c r="AA130" i="1" s="1"/>
  <c r="AJ130" i="1"/>
  <c r="AI130" i="1" s="1"/>
  <c r="AH130" i="1" s="1"/>
  <c r="V130" i="1"/>
  <c r="W130" i="1" s="1"/>
  <c r="AC172" i="1"/>
  <c r="AB172" i="1" s="1"/>
  <c r="AA172" i="1" s="1"/>
  <c r="AJ172" i="1"/>
  <c r="AI172" i="1" s="1"/>
  <c r="AH172" i="1" s="1"/>
  <c r="V172" i="1"/>
  <c r="W172" i="1" s="1"/>
  <c r="K137" i="1"/>
  <c r="AN137" i="1" s="1"/>
  <c r="AM136" i="1"/>
  <c r="AC2074" i="1"/>
  <c r="AB2074" i="1" s="1"/>
  <c r="AA2074" i="1" s="1"/>
  <c r="V2074" i="1"/>
  <c r="W2074" i="1" s="1"/>
  <c r="AJ2074" i="1"/>
  <c r="AI2074" i="1" s="1"/>
  <c r="AH2074" i="1" s="1"/>
  <c r="AJ2071" i="1"/>
  <c r="AI2071" i="1" s="1"/>
  <c r="AH2071" i="1" s="1"/>
  <c r="AC2071" i="1"/>
  <c r="AB2071" i="1" s="1"/>
  <c r="AA2071" i="1" s="1"/>
  <c r="V2071" i="1"/>
  <c r="W2071" i="1" s="1"/>
  <c r="AJ2077" i="1"/>
  <c r="AI2077" i="1" s="1"/>
  <c r="AH2077" i="1" s="1"/>
  <c r="AC2077" i="1"/>
  <c r="AB2077" i="1" s="1"/>
  <c r="AA2077" i="1" s="1"/>
  <c r="V2077" i="1"/>
  <c r="W2077" i="1" s="1"/>
  <c r="AJ2087" i="1"/>
  <c r="AI2087" i="1" s="1"/>
  <c r="AH2087" i="1" s="1"/>
  <c r="V2087" i="1"/>
  <c r="W2087" i="1" s="1"/>
  <c r="AC2087" i="1"/>
  <c r="AB2087" i="1" s="1"/>
  <c r="AA2087" i="1" s="1"/>
  <c r="AJ1986" i="1"/>
  <c r="AI1986" i="1" s="1"/>
  <c r="AH1986" i="1" s="1"/>
  <c r="V1986" i="1"/>
  <c r="W1986" i="1" s="1"/>
  <c r="AC1986" i="1"/>
  <c r="AB1986" i="1" s="1"/>
  <c r="AA1986" i="1" s="1"/>
  <c r="AJ1982" i="1"/>
  <c r="AI1982" i="1" s="1"/>
  <c r="AH1982" i="1" s="1"/>
  <c r="V1982" i="1"/>
  <c r="W1982" i="1" s="1"/>
  <c r="AC1982" i="1"/>
  <c r="AB1982" i="1" s="1"/>
  <c r="AA1982" i="1" s="1"/>
  <c r="AJ1978" i="1"/>
  <c r="AI1978" i="1" s="1"/>
  <c r="AH1978" i="1" s="1"/>
  <c r="V1978" i="1"/>
  <c r="W1978" i="1" s="1"/>
  <c r="AC1978" i="1"/>
  <c r="AB1978" i="1" s="1"/>
  <c r="AA1978" i="1" s="1"/>
  <c r="AJ1974" i="1"/>
  <c r="AI1974" i="1" s="1"/>
  <c r="AH1974" i="1" s="1"/>
  <c r="V1974" i="1"/>
  <c r="W1974" i="1" s="1"/>
  <c r="AC1974" i="1"/>
  <c r="AB1974" i="1" s="1"/>
  <c r="AA1974" i="1" s="1"/>
  <c r="V2017" i="1"/>
  <c r="W2017" i="1" s="1"/>
  <c r="AJ2017" i="1"/>
  <c r="AI2017" i="1" s="1"/>
  <c r="AH2017" i="1" s="1"/>
  <c r="AC2017" i="1"/>
  <c r="AB2017" i="1" s="1"/>
  <c r="AA2017" i="1" s="1"/>
  <c r="V2013" i="1"/>
  <c r="W2013" i="1" s="1"/>
  <c r="AJ2013" i="1"/>
  <c r="AI2013" i="1" s="1"/>
  <c r="AH2013" i="1" s="1"/>
  <c r="AC2013" i="1"/>
  <c r="AB2013" i="1" s="1"/>
  <c r="AA2013" i="1" s="1"/>
  <c r="V2000" i="1"/>
  <c r="W2000" i="1" s="1"/>
  <c r="AC2000" i="1"/>
  <c r="AB2000" i="1" s="1"/>
  <c r="AA2000" i="1" s="1"/>
  <c r="AJ2000" i="1"/>
  <c r="AI2000" i="1" s="1"/>
  <c r="AH2000" i="1" s="1"/>
  <c r="AC2026" i="1"/>
  <c r="AB2026" i="1" s="1"/>
  <c r="AA2026" i="1" s="1"/>
  <c r="V2026" i="1"/>
  <c r="W2026" i="1" s="1"/>
  <c r="AJ2026" i="1"/>
  <c r="AI2026" i="1" s="1"/>
  <c r="AH2026" i="1" s="1"/>
  <c r="AC2030" i="1"/>
  <c r="AB2030" i="1" s="1"/>
  <c r="AA2030" i="1" s="1"/>
  <c r="V2030" i="1"/>
  <c r="W2030" i="1" s="1"/>
  <c r="AJ2030" i="1"/>
  <c r="AI2030" i="1" s="1"/>
  <c r="AH2030" i="1" s="1"/>
  <c r="AC2039" i="1"/>
  <c r="AB2039" i="1" s="1"/>
  <c r="AA2039" i="1" s="1"/>
  <c r="V2039" i="1"/>
  <c r="W2039" i="1" s="1"/>
  <c r="AJ2039" i="1"/>
  <c r="AI2039" i="1" s="1"/>
  <c r="AH2039" i="1" s="1"/>
  <c r="AJ2036" i="1"/>
  <c r="AI2036" i="1" s="1"/>
  <c r="AH2036" i="1" s="1"/>
  <c r="AC2036" i="1"/>
  <c r="AB2036" i="1" s="1"/>
  <c r="AA2036" i="1" s="1"/>
  <c r="V2036" i="1"/>
  <c r="W2036" i="1" s="1"/>
  <c r="AC1827" i="1"/>
  <c r="AB1827" i="1" s="1"/>
  <c r="AA1827" i="1" s="1"/>
  <c r="AJ1827" i="1"/>
  <c r="AI1827" i="1" s="1"/>
  <c r="AH1827" i="1" s="1"/>
  <c r="V1827" i="1"/>
  <c r="W1827" i="1" s="1"/>
  <c r="AC1845" i="1"/>
  <c r="AB1845" i="1" s="1"/>
  <c r="AA1845" i="1" s="1"/>
  <c r="V1845" i="1"/>
  <c r="W1845" i="1" s="1"/>
  <c r="AJ1845" i="1"/>
  <c r="AI1845" i="1" s="1"/>
  <c r="AH1845" i="1" s="1"/>
  <c r="AC1787" i="1"/>
  <c r="AB1787" i="1" s="1"/>
  <c r="AA1787" i="1" s="1"/>
  <c r="AJ1787" i="1"/>
  <c r="AI1787" i="1" s="1"/>
  <c r="AH1787" i="1" s="1"/>
  <c r="V1787" i="1"/>
  <c r="W1787" i="1" s="1"/>
  <c r="AC1707" i="1"/>
  <c r="AB1707" i="1" s="1"/>
  <c r="AA1707" i="1" s="1"/>
  <c r="V1707" i="1"/>
  <c r="W1707" i="1" s="1"/>
  <c r="AJ1707" i="1"/>
  <c r="AI1707" i="1" s="1"/>
  <c r="AH1707" i="1" s="1"/>
  <c r="V1811" i="1"/>
  <c r="W1811" i="1" s="1"/>
  <c r="AC1811" i="1"/>
  <c r="AB1811" i="1" s="1"/>
  <c r="AA1811" i="1" s="1"/>
  <c r="AJ1811" i="1"/>
  <c r="AI1811" i="1" s="1"/>
  <c r="AH1811" i="1" s="1"/>
  <c r="AC1732" i="1"/>
  <c r="AB1732" i="1" s="1"/>
  <c r="AA1732" i="1" s="1"/>
  <c r="AJ1732" i="1"/>
  <c r="AI1732" i="1" s="1"/>
  <c r="AH1732" i="1" s="1"/>
  <c r="V1732" i="1"/>
  <c r="W1732" i="1" s="1"/>
  <c r="AJ1696" i="1"/>
  <c r="AI1696" i="1" s="1"/>
  <c r="AH1696" i="1" s="1"/>
  <c r="AC1696" i="1"/>
  <c r="AB1696" i="1" s="1"/>
  <c r="AA1696" i="1" s="1"/>
  <c r="V1696" i="1"/>
  <c r="W1696" i="1" s="1"/>
  <c r="AC1690" i="1"/>
  <c r="AB1690" i="1" s="1"/>
  <c r="AA1690" i="1" s="1"/>
  <c r="V1690" i="1"/>
  <c r="W1690" i="1" s="1"/>
  <c r="AJ1690" i="1"/>
  <c r="AI1690" i="1" s="1"/>
  <c r="AH1690" i="1" s="1"/>
  <c r="AM1702" i="1"/>
  <c r="K1703" i="1"/>
  <c r="AN1703" i="1" s="1"/>
  <c r="AC1600" i="1"/>
  <c r="AB1600" i="1" s="1"/>
  <c r="AA1600" i="1" s="1"/>
  <c r="AJ1600" i="1"/>
  <c r="AI1600" i="1" s="1"/>
  <c r="AH1600" i="1" s="1"/>
  <c r="V1600" i="1"/>
  <c r="W1600" i="1" s="1"/>
  <c r="AC1589" i="1"/>
  <c r="AB1589" i="1" s="1"/>
  <c r="AA1589" i="1" s="1"/>
  <c r="V1589" i="1"/>
  <c r="W1589" i="1" s="1"/>
  <c r="AJ1589" i="1"/>
  <c r="AI1589" i="1" s="1"/>
  <c r="AH1589" i="1" s="1"/>
  <c r="AC1579" i="1"/>
  <c r="AB1579" i="1" s="1"/>
  <c r="AA1579" i="1" s="1"/>
  <c r="AJ1579" i="1"/>
  <c r="AI1579" i="1" s="1"/>
  <c r="AH1579" i="1" s="1"/>
  <c r="V1579" i="1"/>
  <c r="W1579" i="1" s="1"/>
  <c r="AC1571" i="1"/>
  <c r="AB1571" i="1" s="1"/>
  <c r="AA1571" i="1" s="1"/>
  <c r="AJ1571" i="1"/>
  <c r="AI1571" i="1" s="1"/>
  <c r="AH1571" i="1" s="1"/>
  <c r="V1571" i="1"/>
  <c r="W1571" i="1" s="1"/>
  <c r="AC1563" i="1"/>
  <c r="AB1563" i="1" s="1"/>
  <c r="AA1563" i="1" s="1"/>
  <c r="AJ1563" i="1"/>
  <c r="AI1563" i="1" s="1"/>
  <c r="AH1563" i="1" s="1"/>
  <c r="V1563" i="1"/>
  <c r="W1563" i="1" s="1"/>
  <c r="AC1450" i="1"/>
  <c r="AB1450" i="1" s="1"/>
  <c r="AA1450" i="1" s="1"/>
  <c r="AJ1450" i="1"/>
  <c r="AI1450" i="1" s="1"/>
  <c r="AH1450" i="1" s="1"/>
  <c r="V1450" i="1"/>
  <c r="W1450" i="1" s="1"/>
  <c r="AJ1819" i="1"/>
  <c r="AI1819" i="1" s="1"/>
  <c r="AH1819" i="1" s="1"/>
  <c r="V1819" i="1"/>
  <c r="W1819" i="1" s="1"/>
  <c r="AC1819" i="1"/>
  <c r="AB1819" i="1" s="1"/>
  <c r="AA1819" i="1" s="1"/>
  <c r="AC1814" i="1"/>
  <c r="AB1814" i="1" s="1"/>
  <c r="AA1814" i="1" s="1"/>
  <c r="V1814" i="1"/>
  <c r="W1814" i="1" s="1"/>
  <c r="AJ1814" i="1"/>
  <c r="AI1814" i="1" s="1"/>
  <c r="AH1814" i="1" s="1"/>
  <c r="V1625" i="1"/>
  <c r="W1625" i="1" s="1"/>
  <c r="AC1625" i="1"/>
  <c r="AB1625" i="1" s="1"/>
  <c r="AA1625" i="1" s="1"/>
  <c r="AJ1625" i="1"/>
  <c r="AI1625" i="1" s="1"/>
  <c r="AH1625" i="1" s="1"/>
  <c r="V1617" i="1"/>
  <c r="W1617" i="1" s="1"/>
  <c r="AC1617" i="1"/>
  <c r="AB1617" i="1" s="1"/>
  <c r="AA1617" i="1" s="1"/>
  <c r="AJ1617" i="1"/>
  <c r="AI1617" i="1" s="1"/>
  <c r="AH1617" i="1" s="1"/>
  <c r="AJ1951" i="1"/>
  <c r="AI1951" i="1" s="1"/>
  <c r="AH1951" i="1" s="1"/>
  <c r="V1951" i="1"/>
  <c r="W1951" i="1" s="1"/>
  <c r="AC1951" i="1"/>
  <c r="AB1951" i="1" s="1"/>
  <c r="AA1951" i="1" s="1"/>
  <c r="AJ1955" i="1"/>
  <c r="AI1955" i="1" s="1"/>
  <c r="AH1955" i="1" s="1"/>
  <c r="AC1955" i="1"/>
  <c r="AB1955" i="1" s="1"/>
  <c r="AA1955" i="1" s="1"/>
  <c r="V1955" i="1"/>
  <c r="W1955" i="1" s="1"/>
  <c r="AJ1959" i="1"/>
  <c r="AI1959" i="1" s="1"/>
  <c r="AH1959" i="1" s="1"/>
  <c r="AC1959" i="1"/>
  <c r="AB1959" i="1" s="1"/>
  <c r="AA1959" i="1" s="1"/>
  <c r="V1959" i="1"/>
  <c r="W1959" i="1" s="1"/>
  <c r="AJ1963" i="1"/>
  <c r="AI1963" i="1" s="1"/>
  <c r="AH1963" i="1" s="1"/>
  <c r="V1963" i="1"/>
  <c r="W1963" i="1" s="1"/>
  <c r="AC1963" i="1"/>
  <c r="AB1963" i="1" s="1"/>
  <c r="AA1963" i="1" s="1"/>
  <c r="AJ1967" i="1"/>
  <c r="AI1967" i="1" s="1"/>
  <c r="AH1967" i="1" s="1"/>
  <c r="V1967" i="1"/>
  <c r="W1967" i="1" s="1"/>
  <c r="AC1967" i="1"/>
  <c r="AB1967" i="1" s="1"/>
  <c r="AA1967" i="1" s="1"/>
  <c r="AJ1863" i="1"/>
  <c r="AI1863" i="1" s="1"/>
  <c r="AH1863" i="1" s="1"/>
  <c r="V1863" i="1"/>
  <c r="W1863" i="1" s="1"/>
  <c r="AC1863" i="1"/>
  <c r="AB1863" i="1" s="1"/>
  <c r="AA1863" i="1" s="1"/>
  <c r="AJ1857" i="1"/>
  <c r="AI1857" i="1" s="1"/>
  <c r="AH1857" i="1" s="1"/>
  <c r="V1857" i="1"/>
  <c r="W1857" i="1" s="1"/>
  <c r="AC1857" i="1"/>
  <c r="AB1857" i="1" s="1"/>
  <c r="AA1857" i="1" s="1"/>
  <c r="AC1850" i="1"/>
  <c r="AB1850" i="1" s="1"/>
  <c r="AA1850" i="1" s="1"/>
  <c r="AJ1850" i="1"/>
  <c r="AI1850" i="1" s="1"/>
  <c r="AH1850" i="1" s="1"/>
  <c r="V1850" i="1"/>
  <c r="W1850" i="1" s="1"/>
  <c r="AC1852" i="1"/>
  <c r="AB1852" i="1" s="1"/>
  <c r="AA1852" i="1" s="1"/>
  <c r="AJ1852" i="1"/>
  <c r="AI1852" i="1" s="1"/>
  <c r="AH1852" i="1" s="1"/>
  <c r="V1852" i="1"/>
  <c r="W1852" i="1" s="1"/>
  <c r="AC1860" i="1"/>
  <c r="AB1860" i="1" s="1"/>
  <c r="AA1860" i="1" s="1"/>
  <c r="V1860" i="1"/>
  <c r="W1860" i="1" s="1"/>
  <c r="AJ1860" i="1"/>
  <c r="AI1860" i="1" s="1"/>
  <c r="AH1860" i="1" s="1"/>
  <c r="V1544" i="1"/>
  <c r="W1544" i="1" s="1"/>
  <c r="AC1544" i="1"/>
  <c r="AB1544" i="1" s="1"/>
  <c r="AA1544" i="1" s="1"/>
  <c r="AJ1544" i="1"/>
  <c r="AI1544" i="1" s="1"/>
  <c r="AH1544" i="1" s="1"/>
  <c r="AJ1538" i="1"/>
  <c r="AI1538" i="1" s="1"/>
  <c r="AH1538" i="1" s="1"/>
  <c r="AC1538" i="1"/>
  <c r="AB1538" i="1" s="1"/>
  <c r="AA1538" i="1" s="1"/>
  <c r="V1538" i="1"/>
  <c r="W1538" i="1" s="1"/>
  <c r="AC1542" i="1"/>
  <c r="AB1542" i="1" s="1"/>
  <c r="AA1542" i="1" s="1"/>
  <c r="AJ1542" i="1"/>
  <c r="AI1542" i="1" s="1"/>
  <c r="AH1542" i="1" s="1"/>
  <c r="V1542" i="1"/>
  <c r="W1542" i="1" s="1"/>
  <c r="V1407" i="1"/>
  <c r="W1407" i="1" s="1"/>
  <c r="AC1407" i="1"/>
  <c r="AB1407" i="1" s="1"/>
  <c r="AA1407" i="1" s="1"/>
  <c r="AJ1407" i="1"/>
  <c r="AI1407" i="1" s="1"/>
  <c r="AH1407" i="1" s="1"/>
  <c r="AC1401" i="1"/>
  <c r="AB1401" i="1" s="1"/>
  <c r="AA1401" i="1" s="1"/>
  <c r="AJ1401" i="1"/>
  <c r="AI1401" i="1" s="1"/>
  <c r="AH1401" i="1" s="1"/>
  <c r="V1401" i="1"/>
  <c r="W1401" i="1" s="1"/>
  <c r="AC1391" i="1"/>
  <c r="AB1391" i="1" s="1"/>
  <c r="AA1391" i="1" s="1"/>
  <c r="AJ1391" i="1"/>
  <c r="AI1391" i="1" s="1"/>
  <c r="AH1391" i="1" s="1"/>
  <c r="V1391" i="1"/>
  <c r="W1391" i="1" s="1"/>
  <c r="AC1405" i="1"/>
  <c r="AB1405" i="1" s="1"/>
  <c r="AA1405" i="1" s="1"/>
  <c r="AJ1405" i="1"/>
  <c r="AI1405" i="1" s="1"/>
  <c r="AH1405" i="1" s="1"/>
  <c r="V1405" i="1"/>
  <c r="W1405" i="1" s="1"/>
  <c r="AC1331" i="1"/>
  <c r="AB1331" i="1" s="1"/>
  <c r="AA1331" i="1" s="1"/>
  <c r="AJ1331" i="1"/>
  <c r="AI1331" i="1" s="1"/>
  <c r="AH1331" i="1" s="1"/>
  <c r="V1331" i="1"/>
  <c r="W1331" i="1" s="1"/>
  <c r="AC1324" i="1"/>
  <c r="AB1324" i="1" s="1"/>
  <c r="AA1324" i="1" s="1"/>
  <c r="AJ1324" i="1"/>
  <c r="AI1324" i="1" s="1"/>
  <c r="AH1324" i="1" s="1"/>
  <c r="V1324" i="1"/>
  <c r="W1324" i="1" s="1"/>
  <c r="AC1285" i="1"/>
  <c r="AB1285" i="1" s="1"/>
  <c r="AA1285" i="1" s="1"/>
  <c r="AJ1285" i="1"/>
  <c r="AI1285" i="1" s="1"/>
  <c r="AH1285" i="1" s="1"/>
  <c r="V1285" i="1"/>
  <c r="W1285" i="1" s="1"/>
  <c r="AC1281" i="1"/>
  <c r="AB1281" i="1" s="1"/>
  <c r="AA1281" i="1" s="1"/>
  <c r="AJ1281" i="1"/>
  <c r="AI1281" i="1" s="1"/>
  <c r="AH1281" i="1" s="1"/>
  <c r="V1281" i="1"/>
  <c r="W1281" i="1" s="1"/>
  <c r="AC1277" i="1"/>
  <c r="AB1277" i="1" s="1"/>
  <c r="AA1277" i="1" s="1"/>
  <c r="AJ1277" i="1"/>
  <c r="AI1277" i="1" s="1"/>
  <c r="AH1277" i="1" s="1"/>
  <c r="V1277" i="1"/>
  <c r="W1277" i="1" s="1"/>
  <c r="AC1273" i="1"/>
  <c r="AB1273" i="1" s="1"/>
  <c r="AA1273" i="1" s="1"/>
  <c r="AJ1273" i="1"/>
  <c r="AI1273" i="1" s="1"/>
  <c r="AH1273" i="1" s="1"/>
  <c r="V1273" i="1"/>
  <c r="W1273" i="1" s="1"/>
  <c r="V1883" i="1"/>
  <c r="W1883" i="1" s="1"/>
  <c r="AC1883" i="1"/>
  <c r="AB1883" i="1" s="1"/>
  <c r="AA1883" i="1" s="1"/>
  <c r="AJ1883" i="1"/>
  <c r="AI1883" i="1" s="1"/>
  <c r="AH1883" i="1" s="1"/>
  <c r="V1887" i="1"/>
  <c r="W1887" i="1" s="1"/>
  <c r="AJ1887" i="1"/>
  <c r="AI1887" i="1" s="1"/>
  <c r="AH1887" i="1" s="1"/>
  <c r="AC1887" i="1"/>
  <c r="AB1887" i="1" s="1"/>
  <c r="AA1887" i="1" s="1"/>
  <c r="AJ1888" i="1"/>
  <c r="AI1888" i="1" s="1"/>
  <c r="AH1888" i="1" s="1"/>
  <c r="V1888" i="1"/>
  <c r="W1888" i="1" s="1"/>
  <c r="AC1888" i="1"/>
  <c r="AB1888" i="1" s="1"/>
  <c r="AA1888" i="1" s="1"/>
  <c r="AJ1889" i="1"/>
  <c r="AI1889" i="1" s="1"/>
  <c r="AH1889" i="1" s="1"/>
  <c r="V1889" i="1"/>
  <c r="W1889" i="1" s="1"/>
  <c r="AC1889" i="1"/>
  <c r="AB1889" i="1" s="1"/>
  <c r="AA1889" i="1" s="1"/>
  <c r="AC1877" i="1"/>
  <c r="AB1877" i="1" s="1"/>
  <c r="AA1877" i="1" s="1"/>
  <c r="AJ1877" i="1"/>
  <c r="AI1877" i="1" s="1"/>
  <c r="AH1877" i="1" s="1"/>
  <c r="V1877" i="1"/>
  <c r="W1877" i="1" s="1"/>
  <c r="AC1891" i="1"/>
  <c r="AB1891" i="1" s="1"/>
  <c r="AA1891" i="1" s="1"/>
  <c r="AJ1891" i="1"/>
  <c r="AI1891" i="1" s="1"/>
  <c r="AH1891" i="1" s="1"/>
  <c r="V1891" i="1"/>
  <c r="W1891" i="1" s="1"/>
  <c r="AJ1763" i="1"/>
  <c r="AI1763" i="1" s="1"/>
  <c r="AH1763" i="1" s="1"/>
  <c r="V1763" i="1"/>
  <c r="W1763" i="1" s="1"/>
  <c r="AC1763" i="1"/>
  <c r="AB1763" i="1" s="1"/>
  <c r="AA1763" i="1" s="1"/>
  <c r="V1773" i="1"/>
  <c r="W1773" i="1" s="1"/>
  <c r="AC1773" i="1"/>
  <c r="AB1773" i="1" s="1"/>
  <c r="AA1773" i="1" s="1"/>
  <c r="AJ1773" i="1"/>
  <c r="AI1773" i="1" s="1"/>
  <c r="AH1773" i="1" s="1"/>
  <c r="AJ1753" i="1"/>
  <c r="AI1753" i="1" s="1"/>
  <c r="AH1753" i="1" s="1"/>
  <c r="V1753" i="1"/>
  <c r="W1753" i="1" s="1"/>
  <c r="AC1753" i="1"/>
  <c r="AB1753" i="1" s="1"/>
  <c r="AA1753" i="1" s="1"/>
  <c r="AC1769" i="1"/>
  <c r="AB1769" i="1" s="1"/>
  <c r="AA1769" i="1" s="1"/>
  <c r="AJ1769" i="1"/>
  <c r="AI1769" i="1" s="1"/>
  <c r="AH1769" i="1" s="1"/>
  <c r="V1769" i="1"/>
  <c r="W1769" i="1" s="1"/>
  <c r="AC1657" i="1"/>
  <c r="AB1657" i="1" s="1"/>
  <c r="AA1657" i="1" s="1"/>
  <c r="V1657" i="1"/>
  <c r="W1657" i="1" s="1"/>
  <c r="AJ1657" i="1"/>
  <c r="AI1657" i="1" s="1"/>
  <c r="AH1657" i="1" s="1"/>
  <c r="V1672" i="1"/>
  <c r="W1672" i="1" s="1"/>
  <c r="AC1672" i="1"/>
  <c r="AB1672" i="1" s="1"/>
  <c r="AA1672" i="1" s="1"/>
  <c r="AJ1672" i="1"/>
  <c r="AI1672" i="1" s="1"/>
  <c r="AH1672" i="1" s="1"/>
  <c r="AC1662" i="1"/>
  <c r="AB1662" i="1" s="1"/>
  <c r="AA1662" i="1" s="1"/>
  <c r="V1662" i="1"/>
  <c r="W1662" i="1" s="1"/>
  <c r="AJ1662" i="1"/>
  <c r="AI1662" i="1" s="1"/>
  <c r="AH1662" i="1" s="1"/>
  <c r="AC1676" i="1"/>
  <c r="AB1676" i="1" s="1"/>
  <c r="AA1676" i="1" s="1"/>
  <c r="V1676" i="1"/>
  <c r="W1676" i="1" s="1"/>
  <c r="AJ1676" i="1"/>
  <c r="AI1676" i="1" s="1"/>
  <c r="AH1676" i="1" s="1"/>
  <c r="AJ1648" i="1"/>
  <c r="AI1648" i="1" s="1"/>
  <c r="AH1648" i="1" s="1"/>
  <c r="V1648" i="1"/>
  <c r="W1648" i="1" s="1"/>
  <c r="AC1648" i="1"/>
  <c r="AB1648" i="1" s="1"/>
  <c r="AA1648" i="1" s="1"/>
  <c r="AC1423" i="1"/>
  <c r="AB1423" i="1" s="1"/>
  <c r="AA1423" i="1" s="1"/>
  <c r="V1423" i="1"/>
  <c r="W1423" i="1" s="1"/>
  <c r="AJ1423" i="1"/>
  <c r="AI1423" i="1" s="1"/>
  <c r="AH1423" i="1" s="1"/>
  <c r="AJ1402" i="1"/>
  <c r="AI1402" i="1" s="1"/>
  <c r="AH1402" i="1" s="1"/>
  <c r="V1402" i="1"/>
  <c r="W1402" i="1" s="1"/>
  <c r="AC1402" i="1"/>
  <c r="AB1402" i="1" s="1"/>
  <c r="AA1402" i="1" s="1"/>
  <c r="AC1379" i="1"/>
  <c r="AB1379" i="1" s="1"/>
  <c r="AA1379" i="1" s="1"/>
  <c r="AJ1379" i="1"/>
  <c r="AI1379" i="1" s="1"/>
  <c r="AH1379" i="1" s="1"/>
  <c r="V1379" i="1"/>
  <c r="W1379" i="1" s="1"/>
  <c r="V1333" i="1"/>
  <c r="W1333" i="1" s="1"/>
  <c r="AC1333" i="1"/>
  <c r="AB1333" i="1" s="1"/>
  <c r="AA1333" i="1" s="1"/>
  <c r="AJ1333" i="1"/>
  <c r="AI1333" i="1" s="1"/>
  <c r="AH1333" i="1" s="1"/>
  <c r="V1300" i="1"/>
  <c r="W1300" i="1" s="1"/>
  <c r="AC1300" i="1"/>
  <c r="AB1300" i="1" s="1"/>
  <c r="AA1300" i="1" s="1"/>
  <c r="AJ1300" i="1"/>
  <c r="AI1300" i="1" s="1"/>
  <c r="AH1300" i="1" s="1"/>
  <c r="V1290" i="1"/>
  <c r="W1290" i="1" s="1"/>
  <c r="AC1290" i="1"/>
  <c r="AB1290" i="1" s="1"/>
  <c r="AA1290" i="1" s="1"/>
  <c r="AJ1290" i="1"/>
  <c r="AI1290" i="1" s="1"/>
  <c r="AH1290" i="1" s="1"/>
  <c r="AJ1645" i="1"/>
  <c r="AI1645" i="1" s="1"/>
  <c r="AH1645" i="1" s="1"/>
  <c r="V1645" i="1"/>
  <c r="W1645" i="1" s="1"/>
  <c r="AC1645" i="1"/>
  <c r="AB1645" i="1" s="1"/>
  <c r="AA1645" i="1" s="1"/>
  <c r="V1643" i="1"/>
  <c r="W1643" i="1" s="1"/>
  <c r="AC1643" i="1"/>
  <c r="AB1643" i="1" s="1"/>
  <c r="AA1643" i="1" s="1"/>
  <c r="AJ1643" i="1"/>
  <c r="AI1643" i="1" s="1"/>
  <c r="AH1643" i="1" s="1"/>
  <c r="AC1641" i="1"/>
  <c r="AB1641" i="1" s="1"/>
  <c r="AA1641" i="1" s="1"/>
  <c r="AJ1641" i="1"/>
  <c r="AI1641" i="1" s="1"/>
  <c r="AH1641" i="1" s="1"/>
  <c r="V1641" i="1"/>
  <c r="W1641" i="1" s="1"/>
  <c r="AJ1528" i="1"/>
  <c r="AI1528" i="1" s="1"/>
  <c r="AH1528" i="1" s="1"/>
  <c r="AC1528" i="1"/>
  <c r="AB1528" i="1" s="1"/>
  <c r="AA1528" i="1" s="1"/>
  <c r="V1528" i="1"/>
  <c r="W1528" i="1" s="1"/>
  <c r="AC1511" i="1"/>
  <c r="AB1511" i="1" s="1"/>
  <c r="AA1511" i="1" s="1"/>
  <c r="V1511" i="1"/>
  <c r="W1511" i="1" s="1"/>
  <c r="AJ1511" i="1"/>
  <c r="AI1511" i="1" s="1"/>
  <c r="AH1511" i="1" s="1"/>
  <c r="V1525" i="1"/>
  <c r="W1525" i="1" s="1"/>
  <c r="AJ1525" i="1"/>
  <c r="AI1525" i="1" s="1"/>
  <c r="AH1525" i="1" s="1"/>
  <c r="AC1525" i="1"/>
  <c r="AB1525" i="1" s="1"/>
  <c r="AA1525" i="1" s="1"/>
  <c r="V1524" i="1"/>
  <c r="W1524" i="1" s="1"/>
  <c r="AC1524" i="1"/>
  <c r="AB1524" i="1" s="1"/>
  <c r="AA1524" i="1" s="1"/>
  <c r="AJ1524" i="1"/>
  <c r="AI1524" i="1" s="1"/>
  <c r="AH1524" i="1" s="1"/>
  <c r="AC1515" i="1"/>
  <c r="AB1515" i="1" s="1"/>
  <c r="AA1515" i="1" s="1"/>
  <c r="V1515" i="1"/>
  <c r="W1515" i="1" s="1"/>
  <c r="AJ1515" i="1"/>
  <c r="AI1515" i="1" s="1"/>
  <c r="AH1515" i="1" s="1"/>
  <c r="AJ1487" i="1"/>
  <c r="AI1487" i="1" s="1"/>
  <c r="AH1487" i="1" s="1"/>
  <c r="V1487" i="1"/>
  <c r="W1487" i="1" s="1"/>
  <c r="AC1487" i="1"/>
  <c r="AB1487" i="1" s="1"/>
  <c r="AA1487" i="1" s="1"/>
  <c r="AJ1492" i="1"/>
  <c r="AI1492" i="1" s="1"/>
  <c r="AH1492" i="1" s="1"/>
  <c r="AC1492" i="1"/>
  <c r="AB1492" i="1" s="1"/>
  <c r="AA1492" i="1" s="1"/>
  <c r="V1492" i="1"/>
  <c r="W1492" i="1" s="1"/>
  <c r="AC1502" i="1"/>
  <c r="AB1502" i="1" s="1"/>
  <c r="AA1502" i="1" s="1"/>
  <c r="AJ1502" i="1"/>
  <c r="AI1502" i="1" s="1"/>
  <c r="AH1502" i="1" s="1"/>
  <c r="V1502" i="1"/>
  <c r="W1502" i="1" s="1"/>
  <c r="AJ1472" i="1"/>
  <c r="AI1472" i="1" s="1"/>
  <c r="AH1472" i="1" s="1"/>
  <c r="V1472" i="1"/>
  <c r="W1472" i="1" s="1"/>
  <c r="AC1472" i="1"/>
  <c r="AB1472" i="1" s="1"/>
  <c r="AA1472" i="1" s="1"/>
  <c r="AJ1473" i="1"/>
  <c r="AI1473" i="1" s="1"/>
  <c r="AH1473" i="1" s="1"/>
  <c r="AC1473" i="1"/>
  <c r="AB1473" i="1" s="1"/>
  <c r="AA1473" i="1" s="1"/>
  <c r="V1473" i="1"/>
  <c r="W1473" i="1" s="1"/>
  <c r="AC1468" i="1"/>
  <c r="AB1468" i="1" s="1"/>
  <c r="AA1468" i="1" s="1"/>
  <c r="V1468" i="1"/>
  <c r="W1468" i="1" s="1"/>
  <c r="AJ1468" i="1"/>
  <c r="AI1468" i="1" s="1"/>
  <c r="AH1468" i="1" s="1"/>
  <c r="AJ1500" i="1"/>
  <c r="AI1500" i="1" s="1"/>
  <c r="AH1500" i="1" s="1"/>
  <c r="AC1500" i="1"/>
  <c r="AB1500" i="1" s="1"/>
  <c r="AA1500" i="1" s="1"/>
  <c r="V1500" i="1"/>
  <c r="W1500" i="1" s="1"/>
  <c r="AJ1362" i="1"/>
  <c r="AI1362" i="1" s="1"/>
  <c r="AH1362" i="1" s="1"/>
  <c r="V1362" i="1"/>
  <c r="W1362" i="1" s="1"/>
  <c r="AC1362" i="1"/>
  <c r="AB1362" i="1" s="1"/>
  <c r="AA1362" i="1" s="1"/>
  <c r="AC1342" i="1"/>
  <c r="AB1342" i="1" s="1"/>
  <c r="AA1342" i="1" s="1"/>
  <c r="V1342" i="1"/>
  <c r="W1342" i="1" s="1"/>
  <c r="AJ1342" i="1"/>
  <c r="AI1342" i="1" s="1"/>
  <c r="AH1342" i="1" s="1"/>
  <c r="V1352" i="1"/>
  <c r="W1352" i="1" s="1"/>
  <c r="AC1352" i="1"/>
  <c r="AB1352" i="1" s="1"/>
  <c r="AA1352" i="1" s="1"/>
  <c r="AJ1352" i="1"/>
  <c r="AI1352" i="1" s="1"/>
  <c r="AH1352" i="1" s="1"/>
  <c r="AC1345" i="1"/>
  <c r="AB1345" i="1" s="1"/>
  <c r="AA1345" i="1" s="1"/>
  <c r="AJ1345" i="1"/>
  <c r="AI1345" i="1" s="1"/>
  <c r="AH1345" i="1" s="1"/>
  <c r="V1345" i="1"/>
  <c r="W1345" i="1" s="1"/>
  <c r="AC1358" i="1"/>
  <c r="AB1358" i="1" s="1"/>
  <c r="AA1358" i="1" s="1"/>
  <c r="AJ1358" i="1"/>
  <c r="AI1358" i="1" s="1"/>
  <c r="AH1358" i="1" s="1"/>
  <c r="V1358" i="1"/>
  <c r="W1358" i="1" s="1"/>
  <c r="AJ1227" i="1"/>
  <c r="AI1227" i="1" s="1"/>
  <c r="AH1227" i="1" s="1"/>
  <c r="V1227" i="1"/>
  <c r="W1227" i="1" s="1"/>
  <c r="AC1227" i="1"/>
  <c r="AB1227" i="1" s="1"/>
  <c r="AA1227" i="1" s="1"/>
  <c r="AC1230" i="1"/>
  <c r="AB1230" i="1" s="1"/>
  <c r="AA1230" i="1" s="1"/>
  <c r="V1230" i="1"/>
  <c r="W1230" i="1" s="1"/>
  <c r="AJ1230" i="1"/>
  <c r="AI1230" i="1" s="1"/>
  <c r="AH1230" i="1" s="1"/>
  <c r="AJ1344" i="1"/>
  <c r="AI1344" i="1" s="1"/>
  <c r="AH1344" i="1" s="1"/>
  <c r="V1344" i="1"/>
  <c r="W1344" i="1" s="1"/>
  <c r="AC1344" i="1"/>
  <c r="AB1344" i="1" s="1"/>
  <c r="AA1344" i="1" s="1"/>
  <c r="AJ1235" i="1"/>
  <c r="AI1235" i="1" s="1"/>
  <c r="AH1235" i="1" s="1"/>
  <c r="AC1235" i="1"/>
  <c r="AB1235" i="1" s="1"/>
  <c r="AA1235" i="1" s="1"/>
  <c r="V1235" i="1"/>
  <c r="W1235" i="1" s="1"/>
  <c r="AJ1255" i="1"/>
  <c r="AI1255" i="1" s="1"/>
  <c r="AH1255" i="1" s="1"/>
  <c r="V1255" i="1"/>
  <c r="W1255" i="1" s="1"/>
  <c r="AC1255" i="1"/>
  <c r="AB1255" i="1" s="1"/>
  <c r="AA1255" i="1" s="1"/>
  <c r="AC1198" i="1"/>
  <c r="AB1198" i="1" s="1"/>
  <c r="AA1198" i="1" s="1"/>
  <c r="V1198" i="1"/>
  <c r="W1198" i="1" s="1"/>
  <c r="AJ1198" i="1"/>
  <c r="AI1198" i="1" s="1"/>
  <c r="AH1198" i="1" s="1"/>
  <c r="V1260" i="1"/>
  <c r="W1260" i="1" s="1"/>
  <c r="AC1260" i="1"/>
  <c r="AB1260" i="1" s="1"/>
  <c r="AA1260" i="1" s="1"/>
  <c r="AJ1260" i="1"/>
  <c r="AI1260" i="1" s="1"/>
  <c r="AH1260" i="1" s="1"/>
  <c r="AC1261" i="1"/>
  <c r="AB1261" i="1" s="1"/>
  <c r="AA1261" i="1" s="1"/>
  <c r="V1261" i="1"/>
  <c r="W1261" i="1" s="1"/>
  <c r="AJ1261" i="1"/>
  <c r="AI1261" i="1" s="1"/>
  <c r="AH1261" i="1" s="1"/>
  <c r="V1262" i="1"/>
  <c r="W1262" i="1" s="1"/>
  <c r="AC1262" i="1"/>
  <c r="AB1262" i="1" s="1"/>
  <c r="AA1262" i="1" s="1"/>
  <c r="AJ1262" i="1"/>
  <c r="AI1262" i="1" s="1"/>
  <c r="AH1262" i="1" s="1"/>
  <c r="AC1258" i="1"/>
  <c r="AB1258" i="1" s="1"/>
  <c r="AA1258" i="1" s="1"/>
  <c r="AJ1258" i="1"/>
  <c r="AI1258" i="1" s="1"/>
  <c r="AH1258" i="1" s="1"/>
  <c r="V1258" i="1"/>
  <c r="W1258" i="1" s="1"/>
  <c r="AJ1200" i="1"/>
  <c r="AI1200" i="1" s="1"/>
  <c r="AH1200" i="1" s="1"/>
  <c r="V1200" i="1"/>
  <c r="W1200" i="1" s="1"/>
  <c r="AC1200" i="1"/>
  <c r="AB1200" i="1" s="1"/>
  <c r="AA1200" i="1" s="1"/>
  <c r="AC1212" i="1"/>
  <c r="AB1212" i="1" s="1"/>
  <c r="AA1212" i="1" s="1"/>
  <c r="AJ1212" i="1"/>
  <c r="AI1212" i="1" s="1"/>
  <c r="AH1212" i="1" s="1"/>
  <c r="V1212" i="1"/>
  <c r="W1212" i="1" s="1"/>
  <c r="AC1213" i="1"/>
  <c r="AB1213" i="1" s="1"/>
  <c r="AA1213" i="1" s="1"/>
  <c r="V1213" i="1"/>
  <c r="W1213" i="1" s="1"/>
  <c r="AJ1213" i="1"/>
  <c r="AI1213" i="1" s="1"/>
  <c r="AH1213" i="1" s="1"/>
  <c r="V1135" i="1"/>
  <c r="W1135" i="1" s="1"/>
  <c r="AC1135" i="1"/>
  <c r="AB1135" i="1" s="1"/>
  <c r="AA1135" i="1" s="1"/>
  <c r="AJ1135" i="1"/>
  <c r="AI1135" i="1" s="1"/>
  <c r="AH1135" i="1" s="1"/>
  <c r="V1133" i="1"/>
  <c r="W1133" i="1" s="1"/>
  <c r="AC1133" i="1"/>
  <c r="AB1133" i="1" s="1"/>
  <c r="AA1133" i="1" s="1"/>
  <c r="AJ1133" i="1"/>
  <c r="AI1133" i="1" s="1"/>
  <c r="AH1133" i="1" s="1"/>
  <c r="AC1132" i="1"/>
  <c r="AB1132" i="1" s="1"/>
  <c r="AA1132" i="1" s="1"/>
  <c r="AJ1132" i="1"/>
  <c r="AI1132" i="1" s="1"/>
  <c r="AH1132" i="1" s="1"/>
  <c r="V1132" i="1"/>
  <c r="W1132" i="1" s="1"/>
  <c r="AJ1106" i="1"/>
  <c r="AI1106" i="1" s="1"/>
  <c r="AH1106" i="1" s="1"/>
  <c r="V1106" i="1"/>
  <c r="W1106" i="1" s="1"/>
  <c r="AC1106" i="1"/>
  <c r="AB1106" i="1" s="1"/>
  <c r="AA1106" i="1" s="1"/>
  <c r="AJ1030" i="1"/>
  <c r="AI1030" i="1" s="1"/>
  <c r="AH1030" i="1" s="1"/>
  <c r="V1030" i="1"/>
  <c r="W1030" i="1" s="1"/>
  <c r="AC1030" i="1"/>
  <c r="AB1030" i="1" s="1"/>
  <c r="AA1030" i="1" s="1"/>
  <c r="AJ1000" i="1"/>
  <c r="AI1000" i="1" s="1"/>
  <c r="AH1000" i="1" s="1"/>
  <c r="AC1000" i="1"/>
  <c r="AB1000" i="1" s="1"/>
  <c r="AA1000" i="1" s="1"/>
  <c r="V1000" i="1"/>
  <c r="W1000" i="1" s="1"/>
  <c r="AC974" i="1"/>
  <c r="AB974" i="1" s="1"/>
  <c r="AA974" i="1" s="1"/>
  <c r="AJ974" i="1"/>
  <c r="AI974" i="1" s="1"/>
  <c r="AH974" i="1" s="1"/>
  <c r="V974" i="1"/>
  <c r="W974" i="1" s="1"/>
  <c r="AC967" i="1"/>
  <c r="AB967" i="1" s="1"/>
  <c r="AA967" i="1" s="1"/>
  <c r="AJ967" i="1"/>
  <c r="AI967" i="1" s="1"/>
  <c r="AH967" i="1" s="1"/>
  <c r="V967" i="1"/>
  <c r="W967" i="1" s="1"/>
  <c r="AC938" i="1"/>
  <c r="AB938" i="1" s="1"/>
  <c r="AA938" i="1" s="1"/>
  <c r="AJ938" i="1"/>
  <c r="AI938" i="1" s="1"/>
  <c r="AH938" i="1" s="1"/>
  <c r="V938" i="1"/>
  <c r="W938" i="1" s="1"/>
  <c r="AC913" i="1"/>
  <c r="AB913" i="1" s="1"/>
  <c r="AA913" i="1" s="1"/>
  <c r="AJ913" i="1"/>
  <c r="AI913" i="1" s="1"/>
  <c r="AH913" i="1" s="1"/>
  <c r="V913" i="1"/>
  <c r="W913" i="1" s="1"/>
  <c r="AC903" i="1"/>
  <c r="AB903" i="1" s="1"/>
  <c r="AA903" i="1" s="1"/>
  <c r="AJ903" i="1"/>
  <c r="AI903" i="1" s="1"/>
  <c r="AH903" i="1" s="1"/>
  <c r="V903" i="1"/>
  <c r="W903" i="1" s="1"/>
  <c r="AJ1183" i="1"/>
  <c r="AI1183" i="1" s="1"/>
  <c r="AH1183" i="1" s="1"/>
  <c r="V1183" i="1"/>
  <c r="W1183" i="1" s="1"/>
  <c r="AC1183" i="1"/>
  <c r="AB1183" i="1" s="1"/>
  <c r="AA1183" i="1" s="1"/>
  <c r="V1180" i="1"/>
  <c r="W1180" i="1" s="1"/>
  <c r="AC1180" i="1"/>
  <c r="AB1180" i="1" s="1"/>
  <c r="AA1180" i="1" s="1"/>
  <c r="AJ1180" i="1"/>
  <c r="AI1180" i="1" s="1"/>
  <c r="AH1180" i="1" s="1"/>
  <c r="AJ1191" i="1"/>
  <c r="AI1191" i="1" s="1"/>
  <c r="AH1191" i="1" s="1"/>
  <c r="V1191" i="1"/>
  <c r="W1191" i="1" s="1"/>
  <c r="AC1191" i="1"/>
  <c r="AB1191" i="1" s="1"/>
  <c r="AA1191" i="1" s="1"/>
  <c r="V1189" i="1"/>
  <c r="W1189" i="1" s="1"/>
  <c r="AC1189" i="1"/>
  <c r="AB1189" i="1" s="1"/>
  <c r="AA1189" i="1" s="1"/>
  <c r="AJ1189" i="1"/>
  <c r="AI1189" i="1" s="1"/>
  <c r="AH1189" i="1" s="1"/>
  <c r="AC1184" i="1"/>
  <c r="AB1184" i="1" s="1"/>
  <c r="AA1184" i="1" s="1"/>
  <c r="AJ1184" i="1"/>
  <c r="AI1184" i="1" s="1"/>
  <c r="AH1184" i="1" s="1"/>
  <c r="V1184" i="1"/>
  <c r="W1184" i="1" s="1"/>
  <c r="AJ1169" i="1"/>
  <c r="AI1169" i="1" s="1"/>
  <c r="AH1169" i="1" s="1"/>
  <c r="V1169" i="1"/>
  <c r="W1169" i="1" s="1"/>
  <c r="AC1169" i="1"/>
  <c r="AB1169" i="1" s="1"/>
  <c r="AA1169" i="1" s="1"/>
  <c r="AJ1101" i="1"/>
  <c r="AI1101" i="1" s="1"/>
  <c r="AH1101" i="1" s="1"/>
  <c r="AC1101" i="1"/>
  <c r="AB1101" i="1" s="1"/>
  <c r="AA1101" i="1" s="1"/>
  <c r="V1101" i="1"/>
  <c r="W1101" i="1" s="1"/>
  <c r="V1118" i="1"/>
  <c r="W1118" i="1" s="1"/>
  <c r="AC1118" i="1"/>
  <c r="AB1118" i="1" s="1"/>
  <c r="AA1118" i="1" s="1"/>
  <c r="AJ1118" i="1"/>
  <c r="AI1118" i="1" s="1"/>
  <c r="AH1118" i="1" s="1"/>
  <c r="V1116" i="1"/>
  <c r="W1116" i="1" s="1"/>
  <c r="AC1116" i="1"/>
  <c r="AB1116" i="1" s="1"/>
  <c r="AA1116" i="1" s="1"/>
  <c r="AJ1116" i="1"/>
  <c r="AI1116" i="1" s="1"/>
  <c r="AH1116" i="1" s="1"/>
  <c r="AC1104" i="1"/>
  <c r="AB1104" i="1" s="1"/>
  <c r="AA1104" i="1" s="1"/>
  <c r="AJ1104" i="1"/>
  <c r="AI1104" i="1" s="1"/>
  <c r="AH1104" i="1" s="1"/>
  <c r="V1104" i="1"/>
  <c r="W1104" i="1" s="1"/>
  <c r="AC1115" i="1"/>
  <c r="AB1115" i="1" s="1"/>
  <c r="AA1115" i="1" s="1"/>
  <c r="AJ1115" i="1"/>
  <c r="AI1115" i="1" s="1"/>
  <c r="AH1115" i="1" s="1"/>
  <c r="V1115" i="1"/>
  <c r="W1115" i="1" s="1"/>
  <c r="AJ1064" i="1"/>
  <c r="AI1064" i="1" s="1"/>
  <c r="AH1064" i="1" s="1"/>
  <c r="V1064" i="1"/>
  <c r="W1064" i="1" s="1"/>
  <c r="AC1064" i="1"/>
  <c r="AB1064" i="1" s="1"/>
  <c r="AA1064" i="1" s="1"/>
  <c r="V1062" i="1"/>
  <c r="W1062" i="1" s="1"/>
  <c r="AC1062" i="1"/>
  <c r="AB1062" i="1" s="1"/>
  <c r="AA1062" i="1" s="1"/>
  <c r="AJ1062" i="1"/>
  <c r="AI1062" i="1" s="1"/>
  <c r="AH1062" i="1" s="1"/>
  <c r="AC1055" i="1"/>
  <c r="AB1055" i="1" s="1"/>
  <c r="AA1055" i="1" s="1"/>
  <c r="AJ1055" i="1"/>
  <c r="AI1055" i="1" s="1"/>
  <c r="AH1055" i="1" s="1"/>
  <c r="V1055" i="1"/>
  <c r="W1055" i="1" s="1"/>
  <c r="AC1066" i="1"/>
  <c r="AB1066" i="1" s="1"/>
  <c r="AA1066" i="1" s="1"/>
  <c r="AJ1066" i="1"/>
  <c r="AI1066" i="1" s="1"/>
  <c r="AH1066" i="1" s="1"/>
  <c r="V1066" i="1"/>
  <c r="W1066" i="1" s="1"/>
  <c r="AJ1017" i="1"/>
  <c r="AI1017" i="1" s="1"/>
  <c r="AH1017" i="1" s="1"/>
  <c r="V1017" i="1"/>
  <c r="W1017" i="1" s="1"/>
  <c r="AC1017" i="1"/>
  <c r="AB1017" i="1" s="1"/>
  <c r="AA1017" i="1" s="1"/>
  <c r="AJ993" i="1"/>
  <c r="AI993" i="1" s="1"/>
  <c r="AH993" i="1" s="1"/>
  <c r="V993" i="1"/>
  <c r="W993" i="1" s="1"/>
  <c r="AC993" i="1"/>
  <c r="AB993" i="1" s="1"/>
  <c r="AA993" i="1" s="1"/>
  <c r="V986" i="1"/>
  <c r="W986" i="1" s="1"/>
  <c r="AC986" i="1"/>
  <c r="AB986" i="1" s="1"/>
  <c r="AA986" i="1" s="1"/>
  <c r="AJ986" i="1"/>
  <c r="AI986" i="1" s="1"/>
  <c r="AH986" i="1" s="1"/>
  <c r="AC995" i="1"/>
  <c r="AB995" i="1" s="1"/>
  <c r="AA995" i="1" s="1"/>
  <c r="AJ995" i="1"/>
  <c r="AI995" i="1" s="1"/>
  <c r="AH995" i="1" s="1"/>
  <c r="V995" i="1"/>
  <c r="W995" i="1" s="1"/>
  <c r="V962" i="1"/>
  <c r="W962" i="1" s="1"/>
  <c r="AC962" i="1"/>
  <c r="AB962" i="1" s="1"/>
  <c r="AA962" i="1" s="1"/>
  <c r="AJ962" i="1"/>
  <c r="AI962" i="1" s="1"/>
  <c r="AH962" i="1" s="1"/>
  <c r="V920" i="1"/>
  <c r="W920" i="1" s="1"/>
  <c r="AC920" i="1"/>
  <c r="AB920" i="1" s="1"/>
  <c r="AA920" i="1" s="1"/>
  <c r="AJ920" i="1"/>
  <c r="AI920" i="1" s="1"/>
  <c r="AH920" i="1" s="1"/>
  <c r="V914" i="1"/>
  <c r="W914" i="1" s="1"/>
  <c r="AC914" i="1"/>
  <c r="AB914" i="1" s="1"/>
  <c r="AA914" i="1" s="1"/>
  <c r="AJ914" i="1"/>
  <c r="AI914" i="1" s="1"/>
  <c r="AH914" i="1" s="1"/>
  <c r="V870" i="1"/>
  <c r="W870" i="1" s="1"/>
  <c r="AC870" i="1"/>
  <c r="AB870" i="1" s="1"/>
  <c r="AA870" i="1" s="1"/>
  <c r="AJ870" i="1"/>
  <c r="AI870" i="1" s="1"/>
  <c r="AH870" i="1" s="1"/>
  <c r="V864" i="1"/>
  <c r="W864" i="1" s="1"/>
  <c r="AC864" i="1"/>
  <c r="AB864" i="1" s="1"/>
  <c r="AA864" i="1" s="1"/>
  <c r="AJ864" i="1"/>
  <c r="AI864" i="1" s="1"/>
  <c r="AH864" i="1" s="1"/>
  <c r="V824" i="1"/>
  <c r="W824" i="1" s="1"/>
  <c r="AC824" i="1"/>
  <c r="AB824" i="1" s="1"/>
  <c r="AA824" i="1" s="1"/>
  <c r="AJ824" i="1"/>
  <c r="AI824" i="1" s="1"/>
  <c r="AH824" i="1" s="1"/>
  <c r="V818" i="1"/>
  <c r="W818" i="1" s="1"/>
  <c r="AC818" i="1"/>
  <c r="AB818" i="1" s="1"/>
  <c r="AA818" i="1" s="1"/>
  <c r="AJ818" i="1"/>
  <c r="AI818" i="1" s="1"/>
  <c r="AH818" i="1" s="1"/>
  <c r="AJ1088" i="1"/>
  <c r="AI1088" i="1" s="1"/>
  <c r="AH1088" i="1" s="1"/>
  <c r="V1088" i="1"/>
  <c r="W1088" i="1" s="1"/>
  <c r="AC1088" i="1"/>
  <c r="AB1088" i="1" s="1"/>
  <c r="AA1088" i="1" s="1"/>
  <c r="V1086" i="1"/>
  <c r="W1086" i="1" s="1"/>
  <c r="AC1086" i="1"/>
  <c r="AB1086" i="1" s="1"/>
  <c r="AA1086" i="1" s="1"/>
  <c r="AJ1086" i="1"/>
  <c r="AI1086" i="1" s="1"/>
  <c r="AH1086" i="1" s="1"/>
  <c r="AC1079" i="1"/>
  <c r="AB1079" i="1" s="1"/>
  <c r="AA1079" i="1" s="1"/>
  <c r="AJ1079" i="1"/>
  <c r="AI1079" i="1" s="1"/>
  <c r="AH1079" i="1" s="1"/>
  <c r="V1079" i="1"/>
  <c r="W1079" i="1" s="1"/>
  <c r="AC1090" i="1"/>
  <c r="AB1090" i="1" s="1"/>
  <c r="AA1090" i="1" s="1"/>
  <c r="AJ1090" i="1"/>
  <c r="AI1090" i="1" s="1"/>
  <c r="AH1090" i="1" s="1"/>
  <c r="V1090" i="1"/>
  <c r="W1090" i="1" s="1"/>
  <c r="AJ1034" i="1"/>
  <c r="AI1034" i="1" s="1"/>
  <c r="AH1034" i="1" s="1"/>
  <c r="V1034" i="1"/>
  <c r="W1034" i="1" s="1"/>
  <c r="AC1034" i="1"/>
  <c r="AB1034" i="1" s="1"/>
  <c r="AA1034" i="1" s="1"/>
  <c r="AC1039" i="1"/>
  <c r="AB1039" i="1" s="1"/>
  <c r="AA1039" i="1" s="1"/>
  <c r="AJ1039" i="1"/>
  <c r="AI1039" i="1" s="1"/>
  <c r="AH1039" i="1" s="1"/>
  <c r="V1039" i="1"/>
  <c r="W1039" i="1" s="1"/>
  <c r="AC1036" i="1"/>
  <c r="AB1036" i="1" s="1"/>
  <c r="AA1036" i="1" s="1"/>
  <c r="AJ1036" i="1"/>
  <c r="AI1036" i="1" s="1"/>
  <c r="AH1036" i="1" s="1"/>
  <c r="V1036" i="1"/>
  <c r="W1036" i="1" s="1"/>
  <c r="AJ1016" i="1"/>
  <c r="AI1016" i="1" s="1"/>
  <c r="AH1016" i="1" s="1"/>
  <c r="V1016" i="1"/>
  <c r="W1016" i="1" s="1"/>
  <c r="AC1016" i="1"/>
  <c r="AB1016" i="1" s="1"/>
  <c r="AA1016" i="1" s="1"/>
  <c r="AJ1006" i="1"/>
  <c r="AI1006" i="1" s="1"/>
  <c r="AH1006" i="1" s="1"/>
  <c r="V1006" i="1"/>
  <c r="W1006" i="1" s="1"/>
  <c r="AC1006" i="1"/>
  <c r="AB1006" i="1" s="1"/>
  <c r="AA1006" i="1" s="1"/>
  <c r="AJ992" i="1"/>
  <c r="AI992" i="1" s="1"/>
  <c r="AH992" i="1" s="1"/>
  <c r="V992" i="1"/>
  <c r="W992" i="1" s="1"/>
  <c r="AC992" i="1"/>
  <c r="AB992" i="1" s="1"/>
  <c r="AA992" i="1" s="1"/>
  <c r="AJ988" i="1"/>
  <c r="AI988" i="1" s="1"/>
  <c r="AH988" i="1" s="1"/>
  <c r="V988" i="1"/>
  <c r="W988" i="1" s="1"/>
  <c r="AC988" i="1"/>
  <c r="AB988" i="1" s="1"/>
  <c r="AA988" i="1" s="1"/>
  <c r="V970" i="1"/>
  <c r="W970" i="1" s="1"/>
  <c r="AC970" i="1"/>
  <c r="AB970" i="1" s="1"/>
  <c r="AA970" i="1" s="1"/>
  <c r="AJ970" i="1"/>
  <c r="AI970" i="1" s="1"/>
  <c r="AH970" i="1" s="1"/>
  <c r="V963" i="1"/>
  <c r="W963" i="1" s="1"/>
  <c r="AC963" i="1"/>
  <c r="AB963" i="1" s="1"/>
  <c r="AA963" i="1" s="1"/>
  <c r="AJ963" i="1"/>
  <c r="AI963" i="1" s="1"/>
  <c r="AH963" i="1" s="1"/>
  <c r="V947" i="1"/>
  <c r="W947" i="1" s="1"/>
  <c r="AC947" i="1"/>
  <c r="AB947" i="1" s="1"/>
  <c r="AA947" i="1" s="1"/>
  <c r="AJ947" i="1"/>
  <c r="AI947" i="1" s="1"/>
  <c r="AH947" i="1" s="1"/>
  <c r="AJ942" i="1"/>
  <c r="AI942" i="1" s="1"/>
  <c r="AH942" i="1" s="1"/>
  <c r="V942" i="1"/>
  <c r="W942" i="1" s="1"/>
  <c r="AC942" i="1"/>
  <c r="AB942" i="1" s="1"/>
  <c r="AA942" i="1" s="1"/>
  <c r="AJ889" i="1"/>
  <c r="AI889" i="1" s="1"/>
  <c r="AH889" i="1" s="1"/>
  <c r="V889" i="1"/>
  <c r="W889" i="1" s="1"/>
  <c r="AC889" i="1"/>
  <c r="AB889" i="1" s="1"/>
  <c r="AA889" i="1" s="1"/>
  <c r="AJ875" i="1"/>
  <c r="AI875" i="1" s="1"/>
  <c r="AH875" i="1" s="1"/>
  <c r="V875" i="1"/>
  <c r="W875" i="1" s="1"/>
  <c r="AC875" i="1"/>
  <c r="AB875" i="1" s="1"/>
  <c r="AA875" i="1" s="1"/>
  <c r="V830" i="1"/>
  <c r="W830" i="1" s="1"/>
  <c r="AC830" i="1"/>
  <c r="AB830" i="1" s="1"/>
  <c r="AA830" i="1" s="1"/>
  <c r="AJ830" i="1"/>
  <c r="AI830" i="1" s="1"/>
  <c r="AH830" i="1" s="1"/>
  <c r="V820" i="1"/>
  <c r="W820" i="1" s="1"/>
  <c r="AC820" i="1"/>
  <c r="AB820" i="1" s="1"/>
  <c r="AA820" i="1" s="1"/>
  <c r="AJ820" i="1"/>
  <c r="AI820" i="1" s="1"/>
  <c r="AH820" i="1" s="1"/>
  <c r="AC812" i="1"/>
  <c r="AB812" i="1" s="1"/>
  <c r="AA812" i="1" s="1"/>
  <c r="V812" i="1"/>
  <c r="W812" i="1" s="1"/>
  <c r="AJ812" i="1"/>
  <c r="AI812" i="1" s="1"/>
  <c r="AH812" i="1" s="1"/>
  <c r="AJ1153" i="1"/>
  <c r="AI1153" i="1" s="1"/>
  <c r="AH1153" i="1" s="1"/>
  <c r="V1153" i="1"/>
  <c r="W1153" i="1" s="1"/>
  <c r="AC1153" i="1"/>
  <c r="AB1153" i="1" s="1"/>
  <c r="AA1153" i="1" s="1"/>
  <c r="AJ1167" i="1"/>
  <c r="AI1167" i="1" s="1"/>
  <c r="AH1167" i="1" s="1"/>
  <c r="V1167" i="1"/>
  <c r="W1167" i="1" s="1"/>
  <c r="AC1167" i="1"/>
  <c r="AB1167" i="1" s="1"/>
  <c r="AA1167" i="1" s="1"/>
  <c r="AC1156" i="1"/>
  <c r="AB1156" i="1" s="1"/>
  <c r="AA1156" i="1" s="1"/>
  <c r="AJ1156" i="1"/>
  <c r="AI1156" i="1" s="1"/>
  <c r="AH1156" i="1" s="1"/>
  <c r="V1156" i="1"/>
  <c r="W1156" i="1" s="1"/>
  <c r="AJ1023" i="1"/>
  <c r="AI1023" i="1" s="1"/>
  <c r="AH1023" i="1" s="1"/>
  <c r="AC1023" i="1"/>
  <c r="AB1023" i="1" s="1"/>
  <c r="AA1023" i="1" s="1"/>
  <c r="V1023" i="1"/>
  <c r="W1023" i="1" s="1"/>
  <c r="AC1011" i="1"/>
  <c r="AB1011" i="1" s="1"/>
  <c r="AA1011" i="1" s="1"/>
  <c r="AJ1011" i="1"/>
  <c r="AI1011" i="1" s="1"/>
  <c r="AH1011" i="1" s="1"/>
  <c r="V1011" i="1"/>
  <c r="W1011" i="1" s="1"/>
  <c r="AJ973" i="1"/>
  <c r="AI973" i="1" s="1"/>
  <c r="AH973" i="1" s="1"/>
  <c r="V973" i="1"/>
  <c r="W973" i="1" s="1"/>
  <c r="AC973" i="1"/>
  <c r="AB973" i="1" s="1"/>
  <c r="AA973" i="1" s="1"/>
  <c r="AJ966" i="1"/>
  <c r="AI966" i="1" s="1"/>
  <c r="AH966" i="1" s="1"/>
  <c r="V966" i="1"/>
  <c r="W966" i="1" s="1"/>
  <c r="AC966" i="1"/>
  <c r="AB966" i="1" s="1"/>
  <c r="AA966" i="1" s="1"/>
  <c r="AJ921" i="1"/>
  <c r="AI921" i="1" s="1"/>
  <c r="AH921" i="1" s="1"/>
  <c r="V921" i="1"/>
  <c r="W921" i="1" s="1"/>
  <c r="AC921" i="1"/>
  <c r="AB921" i="1" s="1"/>
  <c r="AA921" i="1" s="1"/>
  <c r="AJ885" i="1"/>
  <c r="AI885" i="1" s="1"/>
  <c r="AH885" i="1" s="1"/>
  <c r="V885" i="1"/>
  <c r="W885" i="1" s="1"/>
  <c r="AC885" i="1"/>
  <c r="AB885" i="1" s="1"/>
  <c r="AA885" i="1" s="1"/>
  <c r="AJ832" i="1"/>
  <c r="AI832" i="1" s="1"/>
  <c r="AH832" i="1" s="1"/>
  <c r="V832" i="1"/>
  <c r="W832" i="1" s="1"/>
  <c r="AC832" i="1"/>
  <c r="AB832" i="1" s="1"/>
  <c r="AA832" i="1" s="1"/>
  <c r="AJ823" i="1"/>
  <c r="AI823" i="1" s="1"/>
  <c r="AH823" i="1" s="1"/>
  <c r="V823" i="1"/>
  <c r="W823" i="1" s="1"/>
  <c r="AC823" i="1"/>
  <c r="AB823" i="1" s="1"/>
  <c r="AA823" i="1" s="1"/>
  <c r="AJ816" i="1"/>
  <c r="AI816" i="1" s="1"/>
  <c r="AH816" i="1" s="1"/>
  <c r="V816" i="1"/>
  <c r="W816" i="1" s="1"/>
  <c r="AC816" i="1"/>
  <c r="AB816" i="1" s="1"/>
  <c r="AA816" i="1" s="1"/>
  <c r="V769" i="1"/>
  <c r="W769" i="1" s="1"/>
  <c r="AC769" i="1"/>
  <c r="AB769" i="1" s="1"/>
  <c r="AA769" i="1" s="1"/>
  <c r="AJ769" i="1"/>
  <c r="AI769" i="1" s="1"/>
  <c r="AH769" i="1" s="1"/>
  <c r="AJ752" i="1"/>
  <c r="AI752" i="1" s="1"/>
  <c r="AH752" i="1" s="1"/>
  <c r="AC752" i="1"/>
  <c r="AB752" i="1" s="1"/>
  <c r="AA752" i="1" s="1"/>
  <c r="V752" i="1"/>
  <c r="W752" i="1" s="1"/>
  <c r="AC741" i="1"/>
  <c r="AB741" i="1" s="1"/>
  <c r="AA741" i="1" s="1"/>
  <c r="AJ741" i="1"/>
  <c r="AI741" i="1" s="1"/>
  <c r="AH741" i="1" s="1"/>
  <c r="V741" i="1"/>
  <c r="W741" i="1" s="1"/>
  <c r="AC754" i="1"/>
  <c r="AB754" i="1" s="1"/>
  <c r="AA754" i="1" s="1"/>
  <c r="AJ754" i="1"/>
  <c r="AI754" i="1" s="1"/>
  <c r="AH754" i="1" s="1"/>
  <c r="V754" i="1"/>
  <c r="W754" i="1" s="1"/>
  <c r="AC728" i="1"/>
  <c r="AB728" i="1" s="1"/>
  <c r="AA728" i="1" s="1"/>
  <c r="AJ728" i="1"/>
  <c r="AI728" i="1" s="1"/>
  <c r="AH728" i="1" s="1"/>
  <c r="V728" i="1"/>
  <c r="W728" i="1" s="1"/>
  <c r="AC722" i="1"/>
  <c r="AB722" i="1" s="1"/>
  <c r="AA722" i="1" s="1"/>
  <c r="AJ722" i="1"/>
  <c r="AI722" i="1" s="1"/>
  <c r="AH722" i="1" s="1"/>
  <c r="V722" i="1"/>
  <c r="W722" i="1" s="1"/>
  <c r="AC693" i="1"/>
  <c r="AB693" i="1" s="1"/>
  <c r="AA693" i="1" s="1"/>
  <c r="AJ693" i="1"/>
  <c r="AI693" i="1" s="1"/>
  <c r="AH693" i="1" s="1"/>
  <c r="V693" i="1"/>
  <c r="W693" i="1" s="1"/>
  <c r="AC669" i="1"/>
  <c r="AB669" i="1" s="1"/>
  <c r="AA669" i="1" s="1"/>
  <c r="AJ669" i="1"/>
  <c r="AI669" i="1" s="1"/>
  <c r="AH669" i="1" s="1"/>
  <c r="V669" i="1"/>
  <c r="W669" i="1" s="1"/>
  <c r="AC656" i="1"/>
  <c r="AB656" i="1" s="1"/>
  <c r="AA656" i="1" s="1"/>
  <c r="AJ656" i="1"/>
  <c r="AI656" i="1" s="1"/>
  <c r="AH656" i="1" s="1"/>
  <c r="V656" i="1"/>
  <c r="W656" i="1" s="1"/>
  <c r="AC650" i="1"/>
  <c r="AB650" i="1" s="1"/>
  <c r="AA650" i="1" s="1"/>
  <c r="AJ650" i="1"/>
  <c r="AI650" i="1" s="1"/>
  <c r="AH650" i="1" s="1"/>
  <c r="V650" i="1"/>
  <c r="W650" i="1" s="1"/>
  <c r="AC608" i="1"/>
  <c r="AB608" i="1" s="1"/>
  <c r="AA608" i="1" s="1"/>
  <c r="AJ608" i="1"/>
  <c r="AI608" i="1" s="1"/>
  <c r="AH608" i="1" s="1"/>
  <c r="V608" i="1"/>
  <c r="W608" i="1" s="1"/>
  <c r="AC597" i="1"/>
  <c r="AB597" i="1" s="1"/>
  <c r="AA597" i="1" s="1"/>
  <c r="AJ597" i="1"/>
  <c r="AI597" i="1" s="1"/>
  <c r="AH597" i="1" s="1"/>
  <c r="V597" i="1"/>
  <c r="W597" i="1" s="1"/>
  <c r="AC583" i="1"/>
  <c r="AB583" i="1" s="1"/>
  <c r="AA583" i="1" s="1"/>
  <c r="AJ583" i="1"/>
  <c r="AI583" i="1" s="1"/>
  <c r="AH583" i="1" s="1"/>
  <c r="V583" i="1"/>
  <c r="W583" i="1" s="1"/>
  <c r="AJ540" i="1"/>
  <c r="AI540" i="1" s="1"/>
  <c r="AH540" i="1" s="1"/>
  <c r="AC540" i="1"/>
  <c r="AB540" i="1" s="1"/>
  <c r="AA540" i="1" s="1"/>
  <c r="V540" i="1"/>
  <c r="W540" i="1" s="1"/>
  <c r="AC502" i="1"/>
  <c r="AB502" i="1" s="1"/>
  <c r="AA502" i="1" s="1"/>
  <c r="AJ502" i="1"/>
  <c r="AI502" i="1" s="1"/>
  <c r="AH502" i="1" s="1"/>
  <c r="V502" i="1"/>
  <c r="W502" i="1" s="1"/>
  <c r="AC484" i="1"/>
  <c r="AB484" i="1" s="1"/>
  <c r="AA484" i="1" s="1"/>
  <c r="AJ484" i="1"/>
  <c r="AI484" i="1" s="1"/>
  <c r="AH484" i="1" s="1"/>
  <c r="V484" i="1"/>
  <c r="W484" i="1" s="1"/>
  <c r="AJ470" i="1"/>
  <c r="AI470" i="1" s="1"/>
  <c r="AH470" i="1" s="1"/>
  <c r="AC470" i="1"/>
  <c r="AB470" i="1" s="1"/>
  <c r="AA470" i="1" s="1"/>
  <c r="V470" i="1"/>
  <c r="W470" i="1" s="1"/>
  <c r="AJ420" i="1"/>
  <c r="AI420" i="1" s="1"/>
  <c r="AH420" i="1" s="1"/>
  <c r="AC420" i="1"/>
  <c r="AB420" i="1" s="1"/>
  <c r="AA420" i="1" s="1"/>
  <c r="V420" i="1"/>
  <c r="W420" i="1" s="1"/>
  <c r="AC382" i="1"/>
  <c r="AB382" i="1" s="1"/>
  <c r="AA382" i="1" s="1"/>
  <c r="AJ382" i="1"/>
  <c r="AI382" i="1" s="1"/>
  <c r="AH382" i="1" s="1"/>
  <c r="V382" i="1"/>
  <c r="W382" i="1" s="1"/>
  <c r="AC364" i="1"/>
  <c r="AB364" i="1" s="1"/>
  <c r="AA364" i="1" s="1"/>
  <c r="AJ364" i="1"/>
  <c r="AI364" i="1" s="1"/>
  <c r="AH364" i="1" s="1"/>
  <c r="V364" i="1"/>
  <c r="W364" i="1" s="1"/>
  <c r="AJ350" i="1"/>
  <c r="AI350" i="1" s="1"/>
  <c r="AH350" i="1" s="1"/>
  <c r="AC350" i="1"/>
  <c r="AB350" i="1" s="1"/>
  <c r="AA350" i="1" s="1"/>
  <c r="V350" i="1"/>
  <c r="W350" i="1" s="1"/>
  <c r="AC337" i="1"/>
  <c r="AB337" i="1" s="1"/>
  <c r="AA337" i="1" s="1"/>
  <c r="V337" i="1"/>
  <c r="W337" i="1" s="1"/>
  <c r="AJ337" i="1"/>
  <c r="AI337" i="1" s="1"/>
  <c r="AH337" i="1" s="1"/>
  <c r="AC292" i="1"/>
  <c r="AB292" i="1" s="1"/>
  <c r="AA292" i="1" s="1"/>
  <c r="V292" i="1"/>
  <c r="W292" i="1" s="1"/>
  <c r="AJ292" i="1"/>
  <c r="AI292" i="1" s="1"/>
  <c r="AH292" i="1" s="1"/>
  <c r="AC276" i="1"/>
  <c r="AB276" i="1" s="1"/>
  <c r="AA276" i="1" s="1"/>
  <c r="AJ276" i="1"/>
  <c r="AI276" i="1" s="1"/>
  <c r="AH276" i="1" s="1"/>
  <c r="V276" i="1"/>
  <c r="W276" i="1" s="1"/>
  <c r="AJ779" i="1"/>
  <c r="AI779" i="1" s="1"/>
  <c r="AH779" i="1" s="1"/>
  <c r="V779" i="1"/>
  <c r="W779" i="1" s="1"/>
  <c r="AC779" i="1"/>
  <c r="AB779" i="1" s="1"/>
  <c r="AA779" i="1" s="1"/>
  <c r="V774" i="1"/>
  <c r="W774" i="1" s="1"/>
  <c r="AC774" i="1"/>
  <c r="AB774" i="1" s="1"/>
  <c r="AA774" i="1" s="1"/>
  <c r="AJ774" i="1"/>
  <c r="AI774" i="1" s="1"/>
  <c r="AH774" i="1" s="1"/>
  <c r="AC772" i="1"/>
  <c r="AB772" i="1" s="1"/>
  <c r="AA772" i="1" s="1"/>
  <c r="AJ772" i="1"/>
  <c r="AI772" i="1" s="1"/>
  <c r="AH772" i="1" s="1"/>
  <c r="V772" i="1"/>
  <c r="W772" i="1" s="1"/>
  <c r="V735" i="1"/>
  <c r="W735" i="1" s="1"/>
  <c r="AC735" i="1"/>
  <c r="AB735" i="1" s="1"/>
  <c r="AA735" i="1" s="1"/>
  <c r="AJ735" i="1"/>
  <c r="AI735" i="1" s="1"/>
  <c r="AH735" i="1" s="1"/>
  <c r="V725" i="1"/>
  <c r="W725" i="1" s="1"/>
  <c r="AC725" i="1"/>
  <c r="AB725" i="1" s="1"/>
  <c r="AA725" i="1" s="1"/>
  <c r="AJ725" i="1"/>
  <c r="AI725" i="1" s="1"/>
  <c r="AH725" i="1" s="1"/>
  <c r="V718" i="1"/>
  <c r="W718" i="1" s="1"/>
  <c r="AC718" i="1"/>
  <c r="AB718" i="1" s="1"/>
  <c r="AA718" i="1" s="1"/>
  <c r="AJ718" i="1"/>
  <c r="AI718" i="1" s="1"/>
  <c r="AH718" i="1" s="1"/>
  <c r="V708" i="1"/>
  <c r="W708" i="1" s="1"/>
  <c r="AC708" i="1"/>
  <c r="AB708" i="1" s="1"/>
  <c r="AA708" i="1" s="1"/>
  <c r="AJ708" i="1"/>
  <c r="AI708" i="1" s="1"/>
  <c r="AH708" i="1" s="1"/>
  <c r="V687" i="1"/>
  <c r="W687" i="1" s="1"/>
  <c r="AC687" i="1"/>
  <c r="AB687" i="1" s="1"/>
  <c r="AA687" i="1" s="1"/>
  <c r="AJ687" i="1"/>
  <c r="AI687" i="1" s="1"/>
  <c r="AH687" i="1" s="1"/>
  <c r="V680" i="1"/>
  <c r="W680" i="1" s="1"/>
  <c r="AC680" i="1"/>
  <c r="AB680" i="1" s="1"/>
  <c r="AA680" i="1" s="1"/>
  <c r="AJ680" i="1"/>
  <c r="AI680" i="1" s="1"/>
  <c r="AH680" i="1" s="1"/>
  <c r="V674" i="1"/>
  <c r="W674" i="1" s="1"/>
  <c r="AC674" i="1"/>
  <c r="AB674" i="1" s="1"/>
  <c r="AA674" i="1" s="1"/>
  <c r="AJ674" i="1"/>
  <c r="AI674" i="1" s="1"/>
  <c r="AH674" i="1" s="1"/>
  <c r="AJ629" i="1"/>
  <c r="AI629" i="1" s="1"/>
  <c r="AH629" i="1" s="1"/>
  <c r="V629" i="1"/>
  <c r="W629" i="1" s="1"/>
  <c r="AC629" i="1"/>
  <c r="AB629" i="1" s="1"/>
  <c r="AA629" i="1" s="1"/>
  <c r="AC612" i="1"/>
  <c r="AB612" i="1" s="1"/>
  <c r="AA612" i="1" s="1"/>
  <c r="V612" i="1"/>
  <c r="W612" i="1" s="1"/>
  <c r="AJ612" i="1"/>
  <c r="AI612" i="1" s="1"/>
  <c r="AH612" i="1" s="1"/>
  <c r="V598" i="1"/>
  <c r="W598" i="1" s="1"/>
  <c r="AC598" i="1"/>
  <c r="AB598" i="1" s="1"/>
  <c r="AA598" i="1" s="1"/>
  <c r="AJ598" i="1"/>
  <c r="AI598" i="1" s="1"/>
  <c r="AH598" i="1" s="1"/>
  <c r="V588" i="1"/>
  <c r="W588" i="1" s="1"/>
  <c r="AC588" i="1"/>
  <c r="AB588" i="1" s="1"/>
  <c r="AA588" i="1" s="1"/>
  <c r="AJ588" i="1"/>
  <c r="AI588" i="1" s="1"/>
  <c r="AH588" i="1" s="1"/>
  <c r="V542" i="1"/>
  <c r="W542" i="1" s="1"/>
  <c r="AC542" i="1"/>
  <c r="AB542" i="1" s="1"/>
  <c r="AA542" i="1" s="1"/>
  <c r="AJ542" i="1"/>
  <c r="AI542" i="1" s="1"/>
  <c r="AH542" i="1" s="1"/>
  <c r="V500" i="1"/>
  <c r="W500" i="1" s="1"/>
  <c r="AJ500" i="1"/>
  <c r="AI500" i="1" s="1"/>
  <c r="AH500" i="1" s="1"/>
  <c r="AC500" i="1"/>
  <c r="AB500" i="1" s="1"/>
  <c r="AA500" i="1" s="1"/>
  <c r="AC466" i="1"/>
  <c r="AB466" i="1" s="1"/>
  <c r="AA466" i="1" s="1"/>
  <c r="V466" i="1"/>
  <c r="W466" i="1" s="1"/>
  <c r="AJ466" i="1"/>
  <c r="AI466" i="1" s="1"/>
  <c r="AH466" i="1" s="1"/>
  <c r="V457" i="1"/>
  <c r="W457" i="1" s="1"/>
  <c r="AC457" i="1"/>
  <c r="AB457" i="1" s="1"/>
  <c r="AA457" i="1" s="1"/>
  <c r="AJ457" i="1"/>
  <c r="AI457" i="1" s="1"/>
  <c r="AH457" i="1" s="1"/>
  <c r="V415" i="1"/>
  <c r="W415" i="1" s="1"/>
  <c r="AC415" i="1"/>
  <c r="AB415" i="1" s="1"/>
  <c r="AA415" i="1" s="1"/>
  <c r="AJ415" i="1"/>
  <c r="AI415" i="1" s="1"/>
  <c r="AH415" i="1" s="1"/>
  <c r="V409" i="1"/>
  <c r="W409" i="1" s="1"/>
  <c r="AC409" i="1"/>
  <c r="AB409" i="1" s="1"/>
  <c r="AA409" i="1" s="1"/>
  <c r="AJ409" i="1"/>
  <c r="AI409" i="1" s="1"/>
  <c r="AH409" i="1" s="1"/>
  <c r="V392" i="1"/>
  <c r="W392" i="1" s="1"/>
  <c r="AC392" i="1"/>
  <c r="AB392" i="1" s="1"/>
  <c r="AA392" i="1" s="1"/>
  <c r="AJ392" i="1"/>
  <c r="AI392" i="1" s="1"/>
  <c r="AH392" i="1" s="1"/>
  <c r="V338" i="1"/>
  <c r="W338" i="1" s="1"/>
  <c r="AC338" i="1"/>
  <c r="AB338" i="1" s="1"/>
  <c r="AA338" i="1" s="1"/>
  <c r="AJ338" i="1"/>
  <c r="AI338" i="1" s="1"/>
  <c r="AH338" i="1" s="1"/>
  <c r="AJ290" i="1"/>
  <c r="AI290" i="1" s="1"/>
  <c r="AH290" i="1" s="1"/>
  <c r="V290" i="1"/>
  <c r="W290" i="1" s="1"/>
  <c r="AC290" i="1"/>
  <c r="AB290" i="1" s="1"/>
  <c r="AA290" i="1" s="1"/>
  <c r="V277" i="1"/>
  <c r="W277" i="1" s="1"/>
  <c r="AC277" i="1"/>
  <c r="AB277" i="1" s="1"/>
  <c r="AA277" i="1" s="1"/>
  <c r="AJ277" i="1"/>
  <c r="AI277" i="1" s="1"/>
  <c r="AH277" i="1" s="1"/>
  <c r="AJ261" i="1"/>
  <c r="AI261" i="1" s="1"/>
  <c r="AH261" i="1" s="1"/>
  <c r="V261" i="1"/>
  <c r="W261" i="1" s="1"/>
  <c r="AC261" i="1"/>
  <c r="AB261" i="1" s="1"/>
  <c r="AA261" i="1" s="1"/>
  <c r="AJ806" i="1"/>
  <c r="AI806" i="1" s="1"/>
  <c r="AH806" i="1" s="1"/>
  <c r="V806" i="1"/>
  <c r="W806" i="1" s="1"/>
  <c r="AC806" i="1"/>
  <c r="AB806" i="1" s="1"/>
  <c r="AA806" i="1" s="1"/>
  <c r="V797" i="1"/>
  <c r="W797" i="1" s="1"/>
  <c r="AC797" i="1"/>
  <c r="AB797" i="1" s="1"/>
  <c r="AA797" i="1" s="1"/>
  <c r="AJ797" i="1"/>
  <c r="AI797" i="1" s="1"/>
  <c r="AH797" i="1" s="1"/>
  <c r="V791" i="1"/>
  <c r="W791" i="1" s="1"/>
  <c r="AC791" i="1"/>
  <c r="AB791" i="1" s="1"/>
  <c r="AA791" i="1" s="1"/>
  <c r="AJ791" i="1"/>
  <c r="AI791" i="1" s="1"/>
  <c r="AH791" i="1" s="1"/>
  <c r="V802" i="1"/>
  <c r="W802" i="1" s="1"/>
  <c r="AC802" i="1"/>
  <c r="AB802" i="1" s="1"/>
  <c r="AA802" i="1" s="1"/>
  <c r="AJ802" i="1"/>
  <c r="AI802" i="1" s="1"/>
  <c r="AH802" i="1" s="1"/>
  <c r="AC807" i="1"/>
  <c r="AB807" i="1" s="1"/>
  <c r="AA807" i="1" s="1"/>
  <c r="AJ807" i="1"/>
  <c r="AI807" i="1" s="1"/>
  <c r="AH807" i="1" s="1"/>
  <c r="V807" i="1"/>
  <c r="W807" i="1" s="1"/>
  <c r="V736" i="1"/>
  <c r="W736" i="1" s="1"/>
  <c r="AC736" i="1"/>
  <c r="AB736" i="1" s="1"/>
  <c r="AA736" i="1" s="1"/>
  <c r="AJ736" i="1"/>
  <c r="AI736" i="1" s="1"/>
  <c r="AH736" i="1" s="1"/>
  <c r="AJ727" i="1"/>
  <c r="AI727" i="1" s="1"/>
  <c r="AH727" i="1" s="1"/>
  <c r="V727" i="1"/>
  <c r="W727" i="1" s="1"/>
  <c r="AC727" i="1"/>
  <c r="AB727" i="1" s="1"/>
  <c r="AA727" i="1" s="1"/>
  <c r="AJ720" i="1"/>
  <c r="AI720" i="1" s="1"/>
  <c r="AH720" i="1" s="1"/>
  <c r="V720" i="1"/>
  <c r="W720" i="1" s="1"/>
  <c r="AC720" i="1"/>
  <c r="AB720" i="1" s="1"/>
  <c r="AA720" i="1" s="1"/>
  <c r="AJ710" i="1"/>
  <c r="AI710" i="1" s="1"/>
  <c r="AH710" i="1" s="1"/>
  <c r="V710" i="1"/>
  <c r="W710" i="1" s="1"/>
  <c r="AC710" i="1"/>
  <c r="AB710" i="1" s="1"/>
  <c r="AA710" i="1" s="1"/>
  <c r="AJ657" i="1"/>
  <c r="AI657" i="1" s="1"/>
  <c r="AH657" i="1" s="1"/>
  <c r="V657" i="1"/>
  <c r="W657" i="1" s="1"/>
  <c r="AC657" i="1"/>
  <c r="AB657" i="1" s="1"/>
  <c r="AA657" i="1" s="1"/>
  <c r="AJ637" i="1"/>
  <c r="AI637" i="1" s="1"/>
  <c r="AH637" i="1" s="1"/>
  <c r="V637" i="1"/>
  <c r="W637" i="1" s="1"/>
  <c r="AC637" i="1"/>
  <c r="AB637" i="1" s="1"/>
  <c r="AA637" i="1" s="1"/>
  <c r="AJ627" i="1"/>
  <c r="AI627" i="1" s="1"/>
  <c r="AH627" i="1" s="1"/>
  <c r="V627" i="1"/>
  <c r="W627" i="1" s="1"/>
  <c r="AC627" i="1"/>
  <c r="AB627" i="1" s="1"/>
  <c r="AA627" i="1" s="1"/>
  <c r="AJ609" i="1"/>
  <c r="AI609" i="1" s="1"/>
  <c r="AH609" i="1" s="1"/>
  <c r="V609" i="1"/>
  <c r="W609" i="1" s="1"/>
  <c r="AC609" i="1"/>
  <c r="AB609" i="1" s="1"/>
  <c r="AA609" i="1" s="1"/>
  <c r="AJ599" i="1"/>
  <c r="AI599" i="1" s="1"/>
  <c r="AH599" i="1" s="1"/>
  <c r="V599" i="1"/>
  <c r="W599" i="1" s="1"/>
  <c r="AC599" i="1"/>
  <c r="AB599" i="1" s="1"/>
  <c r="AA599" i="1" s="1"/>
  <c r="AJ543" i="1"/>
  <c r="AI543" i="1" s="1"/>
  <c r="AH543" i="1" s="1"/>
  <c r="V543" i="1"/>
  <c r="W543" i="1" s="1"/>
  <c r="AC543" i="1"/>
  <c r="AB543" i="1" s="1"/>
  <c r="AA543" i="1" s="1"/>
  <c r="AC508" i="1"/>
  <c r="AB508" i="1" s="1"/>
  <c r="AA508" i="1" s="1"/>
  <c r="V508" i="1"/>
  <c r="W508" i="1" s="1"/>
  <c r="AJ508" i="1"/>
  <c r="AI508" i="1" s="1"/>
  <c r="AH508" i="1" s="1"/>
  <c r="AJ383" i="1"/>
  <c r="AI383" i="1" s="1"/>
  <c r="AH383" i="1" s="1"/>
  <c r="V383" i="1"/>
  <c r="W383" i="1" s="1"/>
  <c r="AC383" i="1"/>
  <c r="AB383" i="1" s="1"/>
  <c r="AA383" i="1" s="1"/>
  <c r="AJ789" i="1"/>
  <c r="AI789" i="1" s="1"/>
  <c r="AH789" i="1" s="1"/>
  <c r="V789" i="1"/>
  <c r="W789" i="1" s="1"/>
  <c r="AC789" i="1"/>
  <c r="AB789" i="1" s="1"/>
  <c r="AA789" i="1" s="1"/>
  <c r="AJ780" i="1"/>
  <c r="AI780" i="1" s="1"/>
  <c r="AH780" i="1" s="1"/>
  <c r="V780" i="1"/>
  <c r="W780" i="1" s="1"/>
  <c r="AC780" i="1"/>
  <c r="AB780" i="1" s="1"/>
  <c r="AA780" i="1" s="1"/>
  <c r="AJ684" i="1"/>
  <c r="AI684" i="1" s="1"/>
  <c r="AH684" i="1" s="1"/>
  <c r="V684" i="1"/>
  <c r="W684" i="1" s="1"/>
  <c r="AC684" i="1"/>
  <c r="AB684" i="1" s="1"/>
  <c r="AA684" i="1" s="1"/>
  <c r="AJ632" i="1"/>
  <c r="AI632" i="1" s="1"/>
  <c r="AH632" i="1" s="1"/>
  <c r="AC632" i="1"/>
  <c r="AB632" i="1" s="1"/>
  <c r="AA632" i="1" s="1"/>
  <c r="V632" i="1"/>
  <c r="W632" i="1" s="1"/>
  <c r="AC587" i="1"/>
  <c r="AB587" i="1" s="1"/>
  <c r="AA587" i="1" s="1"/>
  <c r="AJ587" i="1"/>
  <c r="AI587" i="1" s="1"/>
  <c r="AH587" i="1" s="1"/>
  <c r="V587" i="1"/>
  <c r="W587" i="1" s="1"/>
  <c r="AC577" i="1"/>
  <c r="AB577" i="1" s="1"/>
  <c r="AA577" i="1" s="1"/>
  <c r="AJ577" i="1"/>
  <c r="AI577" i="1" s="1"/>
  <c r="AH577" i="1" s="1"/>
  <c r="V577" i="1"/>
  <c r="W577" i="1" s="1"/>
  <c r="AJ536" i="1"/>
  <c r="AI536" i="1" s="1"/>
  <c r="AH536" i="1" s="1"/>
  <c r="V536" i="1"/>
  <c r="W536" i="1" s="1"/>
  <c r="AC536" i="1"/>
  <c r="AB536" i="1" s="1"/>
  <c r="AA536" i="1" s="1"/>
  <c r="AC527" i="1"/>
  <c r="AB527" i="1" s="1"/>
  <c r="AA527" i="1" s="1"/>
  <c r="AJ527" i="1"/>
  <c r="AI527" i="1" s="1"/>
  <c r="AH527" i="1" s="1"/>
  <c r="V527" i="1"/>
  <c r="W527" i="1" s="1"/>
  <c r="AJ518" i="1"/>
  <c r="AI518" i="1" s="1"/>
  <c r="AH518" i="1" s="1"/>
  <c r="AC518" i="1"/>
  <c r="AB518" i="1" s="1"/>
  <c r="AA518" i="1" s="1"/>
  <c r="V518" i="1"/>
  <c r="W518" i="1" s="1"/>
  <c r="AC505" i="1"/>
  <c r="AB505" i="1" s="1"/>
  <c r="AA505" i="1" s="1"/>
  <c r="AJ505" i="1"/>
  <c r="AI505" i="1" s="1"/>
  <c r="AH505" i="1" s="1"/>
  <c r="V505" i="1"/>
  <c r="W505" i="1" s="1"/>
  <c r="AJ490" i="1"/>
  <c r="AI490" i="1" s="1"/>
  <c r="AH490" i="1" s="1"/>
  <c r="V490" i="1"/>
  <c r="W490" i="1" s="1"/>
  <c r="AC490" i="1"/>
  <c r="AB490" i="1" s="1"/>
  <c r="AA490" i="1" s="1"/>
  <c r="AJ416" i="1"/>
  <c r="AI416" i="1" s="1"/>
  <c r="AH416" i="1" s="1"/>
  <c r="V416" i="1"/>
  <c r="W416" i="1" s="1"/>
  <c r="AC416" i="1"/>
  <c r="AB416" i="1" s="1"/>
  <c r="AA416" i="1" s="1"/>
  <c r="AC407" i="1"/>
  <c r="AB407" i="1" s="1"/>
  <c r="AA407" i="1" s="1"/>
  <c r="AJ407" i="1"/>
  <c r="AI407" i="1" s="1"/>
  <c r="AH407" i="1" s="1"/>
  <c r="V407" i="1"/>
  <c r="W407" i="1" s="1"/>
  <c r="AJ398" i="1"/>
  <c r="AI398" i="1" s="1"/>
  <c r="AH398" i="1" s="1"/>
  <c r="AC398" i="1"/>
  <c r="AB398" i="1" s="1"/>
  <c r="AA398" i="1" s="1"/>
  <c r="V398" i="1"/>
  <c r="W398" i="1" s="1"/>
  <c r="AC385" i="1"/>
  <c r="AB385" i="1" s="1"/>
  <c r="AA385" i="1" s="1"/>
  <c r="AJ385" i="1"/>
  <c r="AI385" i="1" s="1"/>
  <c r="AH385" i="1" s="1"/>
  <c r="V385" i="1"/>
  <c r="W385" i="1" s="1"/>
  <c r="AC349" i="1"/>
  <c r="AB349" i="1" s="1"/>
  <c r="AA349" i="1" s="1"/>
  <c r="AJ349" i="1"/>
  <c r="AI349" i="1" s="1"/>
  <c r="AH349" i="1" s="1"/>
  <c r="V349" i="1"/>
  <c r="W349" i="1" s="1"/>
  <c r="AC333" i="1"/>
  <c r="AB333" i="1" s="1"/>
  <c r="AA333" i="1" s="1"/>
  <c r="V333" i="1"/>
  <c r="W333" i="1" s="1"/>
  <c r="AJ333" i="1"/>
  <c r="AI333" i="1" s="1"/>
  <c r="AH333" i="1" s="1"/>
  <c r="AJ315" i="1"/>
  <c r="AI315" i="1" s="1"/>
  <c r="AH315" i="1" s="1"/>
  <c r="V315" i="1"/>
  <c r="W315" i="1" s="1"/>
  <c r="AC315" i="1"/>
  <c r="AB315" i="1" s="1"/>
  <c r="AA315" i="1" s="1"/>
  <c r="V314" i="1"/>
  <c r="W314" i="1" s="1"/>
  <c r="AJ314" i="1"/>
  <c r="AI314" i="1" s="1"/>
  <c r="AH314" i="1" s="1"/>
  <c r="AC314" i="1"/>
  <c r="AB314" i="1" s="1"/>
  <c r="AA314" i="1" s="1"/>
  <c r="AC328" i="1"/>
  <c r="AB328" i="1" s="1"/>
  <c r="AA328" i="1" s="1"/>
  <c r="V328" i="1"/>
  <c r="W328" i="1" s="1"/>
  <c r="AJ328" i="1"/>
  <c r="AI328" i="1" s="1"/>
  <c r="AH328" i="1" s="1"/>
  <c r="AJ317" i="1"/>
  <c r="AI317" i="1" s="1"/>
  <c r="AH317" i="1" s="1"/>
  <c r="AC317" i="1"/>
  <c r="AB317" i="1" s="1"/>
  <c r="AA317" i="1" s="1"/>
  <c r="V317" i="1"/>
  <c r="W317" i="1" s="1"/>
  <c r="AC327" i="1"/>
  <c r="AB327" i="1" s="1"/>
  <c r="AA327" i="1" s="1"/>
  <c r="V327" i="1"/>
  <c r="W327" i="1" s="1"/>
  <c r="AJ327" i="1"/>
  <c r="AI327" i="1" s="1"/>
  <c r="AH327" i="1" s="1"/>
  <c r="AC247" i="1"/>
  <c r="AB247" i="1" s="1"/>
  <c r="AA247" i="1" s="1"/>
  <c r="AJ247" i="1"/>
  <c r="AI247" i="1" s="1"/>
  <c r="AH247" i="1" s="1"/>
  <c r="V247" i="1"/>
  <c r="W247" i="1" s="1"/>
  <c r="AC230" i="1"/>
  <c r="AB230" i="1" s="1"/>
  <c r="AA230" i="1" s="1"/>
  <c r="AJ230" i="1"/>
  <c r="AI230" i="1" s="1"/>
  <c r="AH230" i="1" s="1"/>
  <c r="V230" i="1"/>
  <c r="W230" i="1" s="1"/>
  <c r="AC223" i="1"/>
  <c r="AB223" i="1" s="1"/>
  <c r="AA223" i="1" s="1"/>
  <c r="AJ223" i="1"/>
  <c r="AI223" i="1" s="1"/>
  <c r="AH223" i="1" s="1"/>
  <c r="V223" i="1"/>
  <c r="W223" i="1" s="1"/>
  <c r="AC217" i="1"/>
  <c r="AB217" i="1" s="1"/>
  <c r="AA217" i="1" s="1"/>
  <c r="AJ217" i="1"/>
  <c r="AI217" i="1" s="1"/>
  <c r="AH217" i="1" s="1"/>
  <c r="V217" i="1"/>
  <c r="W217" i="1" s="1"/>
  <c r="AC108" i="1"/>
  <c r="AB108" i="1" s="1"/>
  <c r="AA108" i="1" s="1"/>
  <c r="AJ108" i="1"/>
  <c r="AI108" i="1" s="1"/>
  <c r="AH108" i="1" s="1"/>
  <c r="V108" i="1"/>
  <c r="W108" i="1" s="1"/>
  <c r="AC100" i="1"/>
  <c r="AB100" i="1" s="1"/>
  <c r="AA100" i="1" s="1"/>
  <c r="AJ100" i="1"/>
  <c r="AI100" i="1" s="1"/>
  <c r="AH100" i="1" s="1"/>
  <c r="V100" i="1"/>
  <c r="W100" i="1" s="1"/>
  <c r="AC92" i="1"/>
  <c r="AB92" i="1" s="1"/>
  <c r="AA92" i="1" s="1"/>
  <c r="AJ92" i="1"/>
  <c r="AI92" i="1" s="1"/>
  <c r="AH92" i="1" s="1"/>
  <c r="V92" i="1"/>
  <c r="W92" i="1" s="1"/>
  <c r="V80" i="1"/>
  <c r="W80" i="1" s="1"/>
  <c r="AC80" i="1"/>
  <c r="AB80" i="1" s="1"/>
  <c r="AA80" i="1" s="1"/>
  <c r="AJ80" i="1"/>
  <c r="AI80" i="1" s="1"/>
  <c r="AH80" i="1" s="1"/>
  <c r="AC72" i="1"/>
  <c r="AB72" i="1" s="1"/>
  <c r="AA72" i="1" s="1"/>
  <c r="AJ72" i="1"/>
  <c r="AI72" i="1" s="1"/>
  <c r="AH72" i="1" s="1"/>
  <c r="V72" i="1"/>
  <c r="W72" i="1" s="1"/>
  <c r="AC63" i="1"/>
  <c r="AB63" i="1" s="1"/>
  <c r="AA63" i="1" s="1"/>
  <c r="AJ63" i="1"/>
  <c r="AI63" i="1" s="1"/>
  <c r="AH63" i="1" s="1"/>
  <c r="V63" i="1"/>
  <c r="W63" i="1" s="1"/>
  <c r="AC54" i="1"/>
  <c r="AB54" i="1" s="1"/>
  <c r="AA54" i="1" s="1"/>
  <c r="V54" i="1"/>
  <c r="W54" i="1" s="1"/>
  <c r="AJ54" i="1"/>
  <c r="AI54" i="1" s="1"/>
  <c r="AH54" i="1" s="1"/>
  <c r="AC46" i="1"/>
  <c r="AB46" i="1" s="1"/>
  <c r="AA46" i="1" s="1"/>
  <c r="AJ46" i="1"/>
  <c r="AI46" i="1" s="1"/>
  <c r="AH46" i="1" s="1"/>
  <c r="V46" i="1"/>
  <c r="W46" i="1" s="1"/>
  <c r="AC34" i="1"/>
  <c r="AB34" i="1" s="1"/>
  <c r="AA34" i="1" s="1"/>
  <c r="V34" i="1"/>
  <c r="W34" i="1" s="1"/>
  <c r="AJ34" i="1"/>
  <c r="AI34" i="1" s="1"/>
  <c r="AH34" i="1" s="1"/>
  <c r="AC26" i="1"/>
  <c r="AB26" i="1" s="1"/>
  <c r="AA26" i="1" s="1"/>
  <c r="AJ26" i="1"/>
  <c r="AI26" i="1" s="1"/>
  <c r="AH26" i="1" s="1"/>
  <c r="V26" i="1"/>
  <c r="W26" i="1" s="1"/>
  <c r="AC118" i="1"/>
  <c r="AB118" i="1" s="1"/>
  <c r="AA118" i="1" s="1"/>
  <c r="AJ118" i="1"/>
  <c r="AI118" i="1" s="1"/>
  <c r="AH118" i="1" s="1"/>
  <c r="V118" i="1"/>
  <c r="W118" i="1" s="1"/>
  <c r="V242" i="1"/>
  <c r="W242" i="1" s="1"/>
  <c r="AC242" i="1"/>
  <c r="AB242" i="1" s="1"/>
  <c r="AA242" i="1" s="1"/>
  <c r="AJ242" i="1"/>
  <c r="AI242" i="1" s="1"/>
  <c r="AH242" i="1" s="1"/>
  <c r="V232" i="1"/>
  <c r="W232" i="1" s="1"/>
  <c r="AC232" i="1"/>
  <c r="AB232" i="1" s="1"/>
  <c r="AA232" i="1" s="1"/>
  <c r="AJ232" i="1"/>
  <c r="AI232" i="1" s="1"/>
  <c r="AH232" i="1" s="1"/>
  <c r="V222" i="1"/>
  <c r="W222" i="1" s="1"/>
  <c r="AC222" i="1"/>
  <c r="AB222" i="1" s="1"/>
  <c r="AA222" i="1" s="1"/>
  <c r="AJ222" i="1"/>
  <c r="AI222" i="1" s="1"/>
  <c r="AH222" i="1" s="1"/>
  <c r="AC207" i="1"/>
  <c r="AB207" i="1" s="1"/>
  <c r="AA207" i="1" s="1"/>
  <c r="V207" i="1"/>
  <c r="W207" i="1" s="1"/>
  <c r="AJ207" i="1"/>
  <c r="AI207" i="1" s="1"/>
  <c r="AH207" i="1" s="1"/>
  <c r="AC199" i="1"/>
  <c r="AB199" i="1" s="1"/>
  <c r="AA199" i="1" s="1"/>
  <c r="V199" i="1"/>
  <c r="W199" i="1" s="1"/>
  <c r="AJ199" i="1"/>
  <c r="AI199" i="1" s="1"/>
  <c r="AH199" i="1" s="1"/>
  <c r="AC191" i="1"/>
  <c r="AB191" i="1" s="1"/>
  <c r="AA191" i="1" s="1"/>
  <c r="V191" i="1"/>
  <c r="W191" i="1" s="1"/>
  <c r="AJ191" i="1"/>
  <c r="AI191" i="1" s="1"/>
  <c r="AH191" i="1" s="1"/>
  <c r="V177" i="1"/>
  <c r="W177" i="1" s="1"/>
  <c r="AC177" i="1"/>
  <c r="AB177" i="1" s="1"/>
  <c r="AA177" i="1" s="1"/>
  <c r="AJ177" i="1"/>
  <c r="AI177" i="1" s="1"/>
  <c r="AH177" i="1" s="1"/>
  <c r="V169" i="1"/>
  <c r="W169" i="1" s="1"/>
  <c r="AC169" i="1"/>
  <c r="AB169" i="1" s="1"/>
  <c r="AA169" i="1" s="1"/>
  <c r="AJ169" i="1"/>
  <c r="AI169" i="1" s="1"/>
  <c r="AH169" i="1" s="1"/>
  <c r="V133" i="1"/>
  <c r="W133" i="1" s="1"/>
  <c r="AC133" i="1"/>
  <c r="AB133" i="1" s="1"/>
  <c r="AA133" i="1" s="1"/>
  <c r="AJ133" i="1"/>
  <c r="AI133" i="1" s="1"/>
  <c r="AH133" i="1" s="1"/>
  <c r="V125" i="1"/>
  <c r="W125" i="1" s="1"/>
  <c r="AJ125" i="1"/>
  <c r="AI125" i="1" s="1"/>
  <c r="AH125" i="1" s="1"/>
  <c r="AC125" i="1"/>
  <c r="AB125" i="1" s="1"/>
  <c r="AA125" i="1" s="1"/>
  <c r="V117" i="1"/>
  <c r="W117" i="1" s="1"/>
  <c r="AJ117" i="1"/>
  <c r="AI117" i="1" s="1"/>
  <c r="AH117" i="1" s="1"/>
  <c r="AC117" i="1"/>
  <c r="AB117" i="1" s="1"/>
  <c r="AA117" i="1" s="1"/>
  <c r="AJ206" i="1"/>
  <c r="AI206" i="1" s="1"/>
  <c r="AH206" i="1" s="1"/>
  <c r="V206" i="1"/>
  <c r="W206" i="1" s="1"/>
  <c r="AC206" i="1"/>
  <c r="AB206" i="1" s="1"/>
  <c r="AA206" i="1" s="1"/>
  <c r="AJ198" i="1"/>
  <c r="AI198" i="1" s="1"/>
  <c r="AH198" i="1" s="1"/>
  <c r="V198" i="1"/>
  <c r="W198" i="1" s="1"/>
  <c r="AC198" i="1"/>
  <c r="AB198" i="1" s="1"/>
  <c r="AA198" i="1" s="1"/>
  <c r="AJ190" i="1"/>
  <c r="AI190" i="1" s="1"/>
  <c r="AH190" i="1" s="1"/>
  <c r="V190" i="1"/>
  <c r="W190" i="1" s="1"/>
  <c r="AC190" i="1"/>
  <c r="AB190" i="1" s="1"/>
  <c r="AA190" i="1" s="1"/>
  <c r="AJ182" i="1"/>
  <c r="AI182" i="1" s="1"/>
  <c r="AH182" i="1" s="1"/>
  <c r="V182" i="1"/>
  <c r="W182" i="1" s="1"/>
  <c r="AC182" i="1"/>
  <c r="AB182" i="1" s="1"/>
  <c r="AA182" i="1" s="1"/>
  <c r="AJ115" i="1"/>
  <c r="AI115" i="1" s="1"/>
  <c r="AH115" i="1" s="1"/>
  <c r="AC115" i="1"/>
  <c r="AB115" i="1" s="1"/>
  <c r="AA115" i="1" s="1"/>
  <c r="V115" i="1"/>
  <c r="W115" i="1" s="1"/>
  <c r="AJ103" i="1"/>
  <c r="AI103" i="1" s="1"/>
  <c r="AH103" i="1" s="1"/>
  <c r="V103" i="1"/>
  <c r="W103" i="1" s="1"/>
  <c r="AC103" i="1"/>
  <c r="AB103" i="1" s="1"/>
  <c r="AA103" i="1" s="1"/>
  <c r="AJ95" i="1"/>
  <c r="AI95" i="1" s="1"/>
  <c r="AH95" i="1" s="1"/>
  <c r="V95" i="1"/>
  <c r="W95" i="1" s="1"/>
  <c r="AC95" i="1"/>
  <c r="AB95" i="1" s="1"/>
  <c r="AA95" i="1" s="1"/>
  <c r="AJ83" i="1"/>
  <c r="AI83" i="1" s="1"/>
  <c r="AH83" i="1" s="1"/>
  <c r="V83" i="1"/>
  <c r="W83" i="1" s="1"/>
  <c r="AC83" i="1"/>
  <c r="AB83" i="1" s="1"/>
  <c r="AA83" i="1" s="1"/>
  <c r="AJ75" i="1"/>
  <c r="AI75" i="1" s="1"/>
  <c r="AH75" i="1" s="1"/>
  <c r="V75" i="1"/>
  <c r="W75" i="1" s="1"/>
  <c r="AC75" i="1"/>
  <c r="AB75" i="1" s="1"/>
  <c r="AA75" i="1" s="1"/>
  <c r="AJ57" i="1"/>
  <c r="AI57" i="1" s="1"/>
  <c r="AH57" i="1" s="1"/>
  <c r="V57" i="1"/>
  <c r="W57" i="1" s="1"/>
  <c r="AC57" i="1"/>
  <c r="AB57" i="1" s="1"/>
  <c r="AA57" i="1" s="1"/>
  <c r="AJ49" i="1"/>
  <c r="AI49" i="1" s="1"/>
  <c r="AH49" i="1" s="1"/>
  <c r="V49" i="1"/>
  <c r="W49" i="1" s="1"/>
  <c r="AC49" i="1"/>
  <c r="AB49" i="1" s="1"/>
  <c r="AA49" i="1" s="1"/>
  <c r="AJ35" i="1"/>
  <c r="AI35" i="1" s="1"/>
  <c r="AH35" i="1" s="1"/>
  <c r="V35" i="1"/>
  <c r="W35" i="1" s="1"/>
  <c r="AC35" i="1"/>
  <c r="AB35" i="1" s="1"/>
  <c r="AA35" i="1" s="1"/>
  <c r="AJ27" i="1"/>
  <c r="AI27" i="1" s="1"/>
  <c r="AH27" i="1" s="1"/>
  <c r="V27" i="1"/>
  <c r="W27" i="1" s="1"/>
  <c r="AC27" i="1"/>
  <c r="AB27" i="1" s="1"/>
  <c r="AA27" i="1" s="1"/>
  <c r="AC174" i="1"/>
  <c r="AB174" i="1" s="1"/>
  <c r="AA174" i="1" s="1"/>
  <c r="AJ174" i="1"/>
  <c r="AI174" i="1" s="1"/>
  <c r="AH174" i="1" s="1"/>
  <c r="V174" i="1"/>
  <c r="W174" i="1" s="1"/>
  <c r="AC128" i="1"/>
  <c r="AB128" i="1" s="1"/>
  <c r="AA128" i="1" s="1"/>
  <c r="AJ128" i="1"/>
  <c r="AI128" i="1" s="1"/>
  <c r="AH128" i="1" s="1"/>
  <c r="V128" i="1"/>
  <c r="W128" i="1" s="1"/>
  <c r="AC180" i="1"/>
  <c r="AB180" i="1" s="1"/>
  <c r="AA180" i="1" s="1"/>
  <c r="AJ180" i="1"/>
  <c r="AI180" i="1" s="1"/>
  <c r="AH180" i="1" s="1"/>
  <c r="V180" i="1"/>
  <c r="W180" i="1" s="1"/>
  <c r="AC170" i="1"/>
  <c r="AB170" i="1" s="1"/>
  <c r="AA170" i="1" s="1"/>
  <c r="AJ170" i="1"/>
  <c r="AI170" i="1" s="1"/>
  <c r="AH170" i="1" s="1"/>
  <c r="V170" i="1"/>
  <c r="W170" i="1" s="1"/>
  <c r="AC124" i="1"/>
  <c r="AB124" i="1" s="1"/>
  <c r="AA124" i="1" s="1"/>
  <c r="AJ124" i="1"/>
  <c r="AI124" i="1" s="1"/>
  <c r="AH124" i="1" s="1"/>
  <c r="V124" i="1"/>
  <c r="W124" i="1" s="1"/>
  <c r="AJ2072" i="1"/>
  <c r="AI2072" i="1" s="1"/>
  <c r="AH2072" i="1" s="1"/>
  <c r="AC2072" i="1"/>
  <c r="AB2072" i="1" s="1"/>
  <c r="AA2072" i="1" s="1"/>
  <c r="V2072" i="1"/>
  <c r="W2072" i="1" s="1"/>
  <c r="AJ2079" i="1"/>
  <c r="AI2079" i="1" s="1"/>
  <c r="AH2079" i="1" s="1"/>
  <c r="V2079" i="1"/>
  <c r="W2079" i="1" s="1"/>
  <c r="AC2079" i="1"/>
  <c r="AB2079" i="1" s="1"/>
  <c r="AA2079" i="1" s="1"/>
  <c r="AJ2089" i="1"/>
  <c r="AI2089" i="1" s="1"/>
  <c r="AH2089" i="1" s="1"/>
  <c r="AC2089" i="1"/>
  <c r="AB2089" i="1" s="1"/>
  <c r="AA2089" i="1" s="1"/>
  <c r="V2089" i="1"/>
  <c r="W2089" i="1" s="1"/>
  <c r="AJ1989" i="1"/>
  <c r="AI1989" i="1" s="1"/>
  <c r="AH1989" i="1" s="1"/>
  <c r="V1989" i="1"/>
  <c r="W1989" i="1" s="1"/>
  <c r="AC1989" i="1"/>
  <c r="AB1989" i="1" s="1"/>
  <c r="AA1989" i="1" s="1"/>
  <c r="AJ1985" i="1"/>
  <c r="AI1985" i="1" s="1"/>
  <c r="AH1985" i="1" s="1"/>
  <c r="V1985" i="1"/>
  <c r="W1985" i="1" s="1"/>
  <c r="AC1985" i="1"/>
  <c r="AB1985" i="1" s="1"/>
  <c r="AA1985" i="1" s="1"/>
  <c r="AJ1981" i="1"/>
  <c r="AI1981" i="1" s="1"/>
  <c r="AH1981" i="1" s="1"/>
  <c r="V1981" i="1"/>
  <c r="W1981" i="1" s="1"/>
  <c r="AC1981" i="1"/>
  <c r="AB1981" i="1" s="1"/>
  <c r="AA1981" i="1" s="1"/>
  <c r="AJ1977" i="1"/>
  <c r="AI1977" i="1" s="1"/>
  <c r="AH1977" i="1" s="1"/>
  <c r="V1977" i="1"/>
  <c r="W1977" i="1" s="1"/>
  <c r="AC1977" i="1"/>
  <c r="AB1977" i="1" s="1"/>
  <c r="AA1977" i="1" s="1"/>
  <c r="AJ1973" i="1"/>
  <c r="AI1973" i="1" s="1"/>
  <c r="AH1973" i="1" s="1"/>
  <c r="V1973" i="1"/>
  <c r="W1973" i="1" s="1"/>
  <c r="AC1973" i="1"/>
  <c r="AB1973" i="1" s="1"/>
  <c r="AA1973" i="1" s="1"/>
  <c r="V2007" i="1"/>
  <c r="W2007" i="1" s="1"/>
  <c r="AC2007" i="1"/>
  <c r="AB2007" i="1" s="1"/>
  <c r="AA2007" i="1" s="1"/>
  <c r="AJ2007" i="1"/>
  <c r="AI2007" i="1" s="1"/>
  <c r="AH2007" i="1" s="1"/>
  <c r="V2003" i="1"/>
  <c r="W2003" i="1" s="1"/>
  <c r="AC2003" i="1"/>
  <c r="AB2003" i="1" s="1"/>
  <c r="AA2003" i="1" s="1"/>
  <c r="AJ2003" i="1"/>
  <c r="AI2003" i="1" s="1"/>
  <c r="AH2003" i="1" s="1"/>
  <c r="AJ1998" i="1"/>
  <c r="AI1998" i="1" s="1"/>
  <c r="AH1998" i="1" s="1"/>
  <c r="AC1998" i="1"/>
  <c r="AB1998" i="1" s="1"/>
  <c r="AA1998" i="1" s="1"/>
  <c r="V1998" i="1"/>
  <c r="W1998" i="1" s="1"/>
  <c r="AJ1997" i="1"/>
  <c r="AI1997" i="1" s="1"/>
  <c r="AH1997" i="1" s="1"/>
  <c r="V1997" i="1"/>
  <c r="W1997" i="1" s="1"/>
  <c r="AC1997" i="1"/>
  <c r="AB1997" i="1" s="1"/>
  <c r="AA1997" i="1" s="1"/>
  <c r="AC2037" i="1"/>
  <c r="AB2037" i="1" s="1"/>
  <c r="AA2037" i="1" s="1"/>
  <c r="V2037" i="1"/>
  <c r="W2037" i="1" s="1"/>
  <c r="AJ2037" i="1"/>
  <c r="AI2037" i="1" s="1"/>
  <c r="AH2037" i="1" s="1"/>
  <c r="AJ2027" i="1"/>
  <c r="AI2027" i="1" s="1"/>
  <c r="AH2027" i="1" s="1"/>
  <c r="AC2027" i="1"/>
  <c r="AB2027" i="1" s="1"/>
  <c r="AA2027" i="1" s="1"/>
  <c r="V2027" i="1"/>
  <c r="W2027" i="1" s="1"/>
  <c r="AJ2031" i="1"/>
  <c r="AI2031" i="1" s="1"/>
  <c r="AH2031" i="1" s="1"/>
  <c r="AC2031" i="1"/>
  <c r="AB2031" i="1" s="1"/>
  <c r="AA2031" i="1" s="1"/>
  <c r="V2031" i="1"/>
  <c r="W2031" i="1" s="1"/>
  <c r="AC2021" i="1"/>
  <c r="AB2021" i="1" s="1"/>
  <c r="AA2021" i="1" s="1"/>
  <c r="V2021" i="1"/>
  <c r="W2021" i="1" s="1"/>
  <c r="AJ2021" i="1"/>
  <c r="AI2021" i="1" s="1"/>
  <c r="AH2021" i="1" s="1"/>
  <c r="AC2038" i="1"/>
  <c r="AB2038" i="1" s="1"/>
  <c r="AA2038" i="1" s="1"/>
  <c r="V2038" i="1"/>
  <c r="W2038" i="1" s="1"/>
  <c r="AJ2038" i="1"/>
  <c r="AI2038" i="1" s="1"/>
  <c r="AH2038" i="1" s="1"/>
  <c r="AC1836" i="1"/>
  <c r="AB1836" i="1" s="1"/>
  <c r="AA1836" i="1" s="1"/>
  <c r="AJ1836" i="1"/>
  <c r="AI1836" i="1" s="1"/>
  <c r="AH1836" i="1" s="1"/>
  <c r="AC1786" i="1"/>
  <c r="AB1786" i="1" s="1"/>
  <c r="AA1786" i="1" s="1"/>
  <c r="V1786" i="1"/>
  <c r="W1786" i="1" s="1"/>
  <c r="AJ1786" i="1"/>
  <c r="AI1786" i="1" s="1"/>
  <c r="AH1786" i="1" s="1"/>
  <c r="AC1706" i="1"/>
  <c r="AB1706" i="1" s="1"/>
  <c r="AA1706" i="1" s="1"/>
  <c r="V1706" i="1"/>
  <c r="W1706" i="1" s="1"/>
  <c r="AJ1706" i="1"/>
  <c r="AI1706" i="1" s="1"/>
  <c r="AH1706" i="1" s="1"/>
  <c r="V1803" i="1"/>
  <c r="W1803" i="1" s="1"/>
  <c r="AC1803" i="1"/>
  <c r="AB1803" i="1" s="1"/>
  <c r="AA1803" i="1" s="1"/>
  <c r="AJ1803" i="1"/>
  <c r="AI1803" i="1" s="1"/>
  <c r="AH1803" i="1" s="1"/>
  <c r="V1734" i="1"/>
  <c r="W1734" i="1" s="1"/>
  <c r="AC1734" i="1"/>
  <c r="AB1734" i="1" s="1"/>
  <c r="AA1734" i="1" s="1"/>
  <c r="AJ1734" i="1"/>
  <c r="AI1734" i="1" s="1"/>
  <c r="AH1734" i="1" s="1"/>
  <c r="AC1736" i="1"/>
  <c r="AB1736" i="1" s="1"/>
  <c r="AA1736" i="1" s="1"/>
  <c r="V1736" i="1"/>
  <c r="W1736" i="1" s="1"/>
  <c r="AJ1736" i="1"/>
  <c r="AI1736" i="1" s="1"/>
  <c r="AH1736" i="1" s="1"/>
  <c r="V1700" i="1"/>
  <c r="W1700" i="1" s="1"/>
  <c r="AC1700" i="1"/>
  <c r="AB1700" i="1" s="1"/>
  <c r="AA1700" i="1" s="1"/>
  <c r="AJ1700" i="1"/>
  <c r="AI1700" i="1" s="1"/>
  <c r="AH1700" i="1" s="1"/>
  <c r="AC1691" i="1"/>
  <c r="AB1691" i="1" s="1"/>
  <c r="AA1691" i="1" s="1"/>
  <c r="AJ1691" i="1"/>
  <c r="AI1691" i="1" s="1"/>
  <c r="AH1691" i="1" s="1"/>
  <c r="V1691" i="1"/>
  <c r="W1691" i="1" s="1"/>
  <c r="AJ1608" i="1"/>
  <c r="AI1608" i="1" s="1"/>
  <c r="AH1608" i="1" s="1"/>
  <c r="AC1608" i="1"/>
  <c r="AB1608" i="1" s="1"/>
  <c r="AA1608" i="1" s="1"/>
  <c r="V1608" i="1"/>
  <c r="W1608" i="1" s="1"/>
  <c r="AC1457" i="1"/>
  <c r="AB1457" i="1" s="1"/>
  <c r="AA1457" i="1" s="1"/>
  <c r="AJ1457" i="1"/>
  <c r="AI1457" i="1" s="1"/>
  <c r="AH1457" i="1" s="1"/>
  <c r="V1457" i="1"/>
  <c r="W1457" i="1" s="1"/>
  <c r="AC1449" i="1"/>
  <c r="AB1449" i="1" s="1"/>
  <c r="AA1449" i="1" s="1"/>
  <c r="V1449" i="1"/>
  <c r="W1449" i="1" s="1"/>
  <c r="AJ1449" i="1"/>
  <c r="AI1449" i="1" s="1"/>
  <c r="AH1449" i="1" s="1"/>
  <c r="AC1805" i="1"/>
  <c r="AB1805" i="1" s="1"/>
  <c r="AA1805" i="1" s="1"/>
  <c r="AJ1805" i="1"/>
  <c r="AI1805" i="1" s="1"/>
  <c r="AH1805" i="1" s="1"/>
  <c r="V1805" i="1"/>
  <c r="W1805" i="1" s="1"/>
  <c r="AC1821" i="1"/>
  <c r="AB1821" i="1" s="1"/>
  <c r="AA1821" i="1" s="1"/>
  <c r="V1821" i="1"/>
  <c r="W1821" i="1" s="1"/>
  <c r="AJ1821" i="1"/>
  <c r="AI1821" i="1" s="1"/>
  <c r="AH1821" i="1" s="1"/>
  <c r="AJ1948" i="1"/>
  <c r="AI1948" i="1" s="1"/>
  <c r="AH1948" i="1" s="1"/>
  <c r="V1948" i="1"/>
  <c r="W1948" i="1" s="1"/>
  <c r="AC1948" i="1"/>
  <c r="AB1948" i="1" s="1"/>
  <c r="AA1948" i="1" s="1"/>
  <c r="AJ1952" i="1"/>
  <c r="AI1952" i="1" s="1"/>
  <c r="AH1952" i="1" s="1"/>
  <c r="V1952" i="1"/>
  <c r="W1952" i="1" s="1"/>
  <c r="AC1952" i="1"/>
  <c r="AB1952" i="1" s="1"/>
  <c r="AA1952" i="1" s="1"/>
  <c r="AJ1956" i="1"/>
  <c r="AI1956" i="1" s="1"/>
  <c r="AH1956" i="1" s="1"/>
  <c r="V1956" i="1"/>
  <c r="W1956" i="1" s="1"/>
  <c r="AC1956" i="1"/>
  <c r="AB1956" i="1" s="1"/>
  <c r="AA1956" i="1" s="1"/>
  <c r="AJ1960" i="1"/>
  <c r="AI1960" i="1" s="1"/>
  <c r="AH1960" i="1" s="1"/>
  <c r="V1960" i="1"/>
  <c r="W1960" i="1" s="1"/>
  <c r="AC1960" i="1"/>
  <c r="AB1960" i="1" s="1"/>
  <c r="AA1960" i="1" s="1"/>
  <c r="AJ1964" i="1"/>
  <c r="AI1964" i="1" s="1"/>
  <c r="AH1964" i="1" s="1"/>
  <c r="V1964" i="1"/>
  <c r="W1964" i="1" s="1"/>
  <c r="AC1964" i="1"/>
  <c r="AB1964" i="1" s="1"/>
  <c r="AA1964" i="1" s="1"/>
  <c r="AJ1968" i="1"/>
  <c r="AI1968" i="1" s="1"/>
  <c r="AH1968" i="1" s="1"/>
  <c r="V1968" i="1"/>
  <c r="W1968" i="1" s="1"/>
  <c r="AC1968" i="1"/>
  <c r="AB1968" i="1" s="1"/>
  <c r="AA1968" i="1" s="1"/>
  <c r="V1866" i="1"/>
  <c r="W1866" i="1" s="1"/>
  <c r="AC1866" i="1"/>
  <c r="AB1866" i="1" s="1"/>
  <c r="AA1866" i="1" s="1"/>
  <c r="AJ1866" i="1"/>
  <c r="AI1866" i="1" s="1"/>
  <c r="AH1866" i="1" s="1"/>
  <c r="V1855" i="1"/>
  <c r="W1855" i="1" s="1"/>
  <c r="AC1855" i="1"/>
  <c r="AB1855" i="1" s="1"/>
  <c r="AA1855" i="1" s="1"/>
  <c r="AJ1855" i="1"/>
  <c r="AI1855" i="1" s="1"/>
  <c r="AH1855" i="1" s="1"/>
  <c r="V1851" i="1"/>
  <c r="W1851" i="1" s="1"/>
  <c r="AC1851" i="1"/>
  <c r="AB1851" i="1" s="1"/>
  <c r="AA1851" i="1" s="1"/>
  <c r="AJ1851" i="1"/>
  <c r="AI1851" i="1" s="1"/>
  <c r="AH1851" i="1" s="1"/>
  <c r="AC1853" i="1"/>
  <c r="AB1853" i="1" s="1"/>
  <c r="AA1853" i="1" s="1"/>
  <c r="AJ1853" i="1"/>
  <c r="AI1853" i="1" s="1"/>
  <c r="AH1853" i="1" s="1"/>
  <c r="V1853" i="1"/>
  <c r="W1853" i="1" s="1"/>
  <c r="AC1861" i="1"/>
  <c r="AB1861" i="1" s="1"/>
  <c r="AA1861" i="1" s="1"/>
  <c r="AJ1861" i="1"/>
  <c r="AI1861" i="1" s="1"/>
  <c r="AH1861" i="1" s="1"/>
  <c r="V1861" i="1"/>
  <c r="W1861" i="1" s="1"/>
  <c r="AJ1649" i="1"/>
  <c r="AI1649" i="1" s="1"/>
  <c r="AH1649" i="1" s="1"/>
  <c r="AC1649" i="1"/>
  <c r="AB1649" i="1" s="1"/>
  <c r="AA1649" i="1" s="1"/>
  <c r="V1649" i="1"/>
  <c r="W1649" i="1" s="1"/>
  <c r="V1637" i="1"/>
  <c r="W1637" i="1" s="1"/>
  <c r="AC1637" i="1"/>
  <c r="AB1637" i="1" s="1"/>
  <c r="AA1637" i="1" s="1"/>
  <c r="AJ1637" i="1"/>
  <c r="AI1637" i="1" s="1"/>
  <c r="AH1637" i="1" s="1"/>
  <c r="AC1540" i="1"/>
  <c r="AB1540" i="1" s="1"/>
  <c r="AA1540" i="1" s="1"/>
  <c r="V1540" i="1"/>
  <c r="W1540" i="1" s="1"/>
  <c r="AJ1540" i="1"/>
  <c r="AI1540" i="1" s="1"/>
  <c r="AH1540" i="1" s="1"/>
  <c r="AC1549" i="1"/>
  <c r="AB1549" i="1" s="1"/>
  <c r="AA1549" i="1" s="1"/>
  <c r="AJ1549" i="1"/>
  <c r="AI1549" i="1" s="1"/>
  <c r="AH1549" i="1" s="1"/>
  <c r="V1549" i="1"/>
  <c r="W1549" i="1" s="1"/>
  <c r="AC1393" i="1"/>
  <c r="AB1393" i="1" s="1"/>
  <c r="AA1393" i="1" s="1"/>
  <c r="AJ1393" i="1"/>
  <c r="AI1393" i="1" s="1"/>
  <c r="AH1393" i="1" s="1"/>
  <c r="V1393" i="1"/>
  <c r="W1393" i="1" s="1"/>
  <c r="AC1406" i="1"/>
  <c r="AB1406" i="1" s="1"/>
  <c r="AA1406" i="1" s="1"/>
  <c r="AJ1406" i="1"/>
  <c r="AI1406" i="1" s="1"/>
  <c r="AH1406" i="1" s="1"/>
  <c r="V1406" i="1"/>
  <c r="W1406" i="1" s="1"/>
  <c r="AC1303" i="1"/>
  <c r="AB1303" i="1" s="1"/>
  <c r="AA1303" i="1" s="1"/>
  <c r="V1303" i="1"/>
  <c r="W1303" i="1" s="1"/>
  <c r="AJ1303" i="1"/>
  <c r="AI1303" i="1" s="1"/>
  <c r="AH1303" i="1" s="1"/>
  <c r="AJ1284" i="1"/>
  <c r="AI1284" i="1" s="1"/>
  <c r="AH1284" i="1" s="1"/>
  <c r="V1284" i="1"/>
  <c r="W1284" i="1" s="1"/>
  <c r="AC1284" i="1"/>
  <c r="AB1284" i="1" s="1"/>
  <c r="AA1284" i="1" s="1"/>
  <c r="AJ1280" i="1"/>
  <c r="AI1280" i="1" s="1"/>
  <c r="AH1280" i="1" s="1"/>
  <c r="AC1280" i="1"/>
  <c r="AB1280" i="1" s="1"/>
  <c r="AA1280" i="1" s="1"/>
  <c r="V1280" i="1"/>
  <c r="W1280" i="1" s="1"/>
  <c r="AJ1276" i="1"/>
  <c r="AI1276" i="1" s="1"/>
  <c r="AH1276" i="1" s="1"/>
  <c r="V1276" i="1"/>
  <c r="W1276" i="1" s="1"/>
  <c r="AC1276" i="1"/>
  <c r="AB1276" i="1" s="1"/>
  <c r="AA1276" i="1" s="1"/>
  <c r="AJ1272" i="1"/>
  <c r="AI1272" i="1" s="1"/>
  <c r="AH1272" i="1" s="1"/>
  <c r="AC1272" i="1"/>
  <c r="AB1272" i="1" s="1"/>
  <c r="AA1272" i="1" s="1"/>
  <c r="V1272" i="1"/>
  <c r="W1272" i="1" s="1"/>
  <c r="AJ1885" i="1"/>
  <c r="AI1885" i="1" s="1"/>
  <c r="AH1885" i="1" s="1"/>
  <c r="AC1885" i="1"/>
  <c r="AB1885" i="1" s="1"/>
  <c r="AA1885" i="1" s="1"/>
  <c r="V1876" i="1"/>
  <c r="W1876" i="1" s="1"/>
  <c r="AJ1876" i="1"/>
  <c r="AI1876" i="1" s="1"/>
  <c r="AH1876" i="1" s="1"/>
  <c r="AC1876" i="1"/>
  <c r="AB1876" i="1" s="1"/>
  <c r="AA1876" i="1" s="1"/>
  <c r="AC1881" i="1"/>
  <c r="AB1881" i="1" s="1"/>
  <c r="AA1881" i="1" s="1"/>
  <c r="AJ1881" i="1"/>
  <c r="AI1881" i="1" s="1"/>
  <c r="AH1881" i="1" s="1"/>
  <c r="V1881" i="1"/>
  <c r="W1881" i="1" s="1"/>
  <c r="AC1892" i="1"/>
  <c r="AB1892" i="1" s="1"/>
  <c r="AA1892" i="1" s="1"/>
  <c r="AJ1892" i="1"/>
  <c r="AI1892" i="1" s="1"/>
  <c r="AH1892" i="1" s="1"/>
  <c r="V1892" i="1"/>
  <c r="W1892" i="1" s="1"/>
  <c r="AJ1756" i="1"/>
  <c r="AI1756" i="1" s="1"/>
  <c r="AH1756" i="1" s="1"/>
  <c r="V1756" i="1"/>
  <c r="W1756" i="1" s="1"/>
  <c r="AC1756" i="1"/>
  <c r="AB1756" i="1" s="1"/>
  <c r="AA1756" i="1" s="1"/>
  <c r="AJ1767" i="1"/>
  <c r="AI1767" i="1" s="1"/>
  <c r="AH1767" i="1" s="1"/>
  <c r="V1767" i="1"/>
  <c r="W1767" i="1" s="1"/>
  <c r="AC1767" i="1"/>
  <c r="AB1767" i="1" s="1"/>
  <c r="AA1767" i="1" s="1"/>
  <c r="AJ1757" i="1"/>
  <c r="AI1757" i="1" s="1"/>
  <c r="AH1757" i="1" s="1"/>
  <c r="AC1757" i="1"/>
  <c r="AB1757" i="1" s="1"/>
  <c r="AA1757" i="1" s="1"/>
  <c r="V1757" i="1"/>
  <c r="W1757" i="1" s="1"/>
  <c r="AC1759" i="1"/>
  <c r="AB1759" i="1" s="1"/>
  <c r="AA1759" i="1" s="1"/>
  <c r="AJ1759" i="1"/>
  <c r="AI1759" i="1" s="1"/>
  <c r="AH1759" i="1" s="1"/>
  <c r="V1759" i="1"/>
  <c r="W1759" i="1" s="1"/>
  <c r="AC1770" i="1"/>
  <c r="AB1770" i="1" s="1"/>
  <c r="AA1770" i="1" s="1"/>
  <c r="AJ1770" i="1"/>
  <c r="AI1770" i="1" s="1"/>
  <c r="AH1770" i="1" s="1"/>
  <c r="V1770" i="1"/>
  <c r="W1770" i="1" s="1"/>
  <c r="K1679" i="1"/>
  <c r="AN1679" i="1" s="1"/>
  <c r="AM1678" i="1"/>
  <c r="V1659" i="1"/>
  <c r="W1659" i="1" s="1"/>
  <c r="AC1659" i="1"/>
  <c r="AB1659" i="1" s="1"/>
  <c r="AA1659" i="1" s="1"/>
  <c r="AJ1659" i="1"/>
  <c r="AI1659" i="1" s="1"/>
  <c r="AH1659" i="1" s="1"/>
  <c r="AJ1673" i="1"/>
  <c r="AI1673" i="1" s="1"/>
  <c r="AH1673" i="1" s="1"/>
  <c r="V1673" i="1"/>
  <c r="W1673" i="1" s="1"/>
  <c r="AC1673" i="1"/>
  <c r="AB1673" i="1" s="1"/>
  <c r="AA1673" i="1" s="1"/>
  <c r="AC1666" i="1"/>
  <c r="AB1666" i="1" s="1"/>
  <c r="AA1666" i="1" s="1"/>
  <c r="V1666" i="1"/>
  <c r="W1666" i="1" s="1"/>
  <c r="AJ1666" i="1"/>
  <c r="AI1666" i="1" s="1"/>
  <c r="AH1666" i="1" s="1"/>
  <c r="AC1674" i="1"/>
  <c r="AB1674" i="1" s="1"/>
  <c r="AA1674" i="1" s="1"/>
  <c r="AJ1674" i="1"/>
  <c r="AI1674" i="1" s="1"/>
  <c r="AH1674" i="1" s="1"/>
  <c r="V1674" i="1"/>
  <c r="W1674" i="1" s="1"/>
  <c r="AJ1639" i="1"/>
  <c r="AI1639" i="1" s="1"/>
  <c r="AH1639" i="1" s="1"/>
  <c r="V1639" i="1"/>
  <c r="W1639" i="1" s="1"/>
  <c r="AC1639" i="1"/>
  <c r="AB1639" i="1" s="1"/>
  <c r="AA1639" i="1" s="1"/>
  <c r="AJ1547" i="1"/>
  <c r="AI1547" i="1" s="1"/>
  <c r="AH1547" i="1" s="1"/>
  <c r="V1547" i="1"/>
  <c r="W1547" i="1" s="1"/>
  <c r="AC1547" i="1"/>
  <c r="AB1547" i="1" s="1"/>
  <c r="AA1547" i="1" s="1"/>
  <c r="AJ1428" i="1"/>
  <c r="AI1428" i="1" s="1"/>
  <c r="AH1428" i="1" s="1"/>
  <c r="V1428" i="1"/>
  <c r="W1428" i="1" s="1"/>
  <c r="AC1428" i="1"/>
  <c r="AB1428" i="1" s="1"/>
  <c r="AA1428" i="1" s="1"/>
  <c r="AJ1414" i="1"/>
  <c r="AI1414" i="1" s="1"/>
  <c r="AH1414" i="1" s="1"/>
  <c r="V1414" i="1"/>
  <c r="W1414" i="1" s="1"/>
  <c r="AC1414" i="1"/>
  <c r="AB1414" i="1" s="1"/>
  <c r="AA1414" i="1" s="1"/>
  <c r="AC1424" i="1"/>
  <c r="AB1424" i="1" s="1"/>
  <c r="AA1424" i="1" s="1"/>
  <c r="V1424" i="1"/>
  <c r="W1424" i="1" s="1"/>
  <c r="AJ1424" i="1"/>
  <c r="AI1424" i="1" s="1"/>
  <c r="AH1424" i="1" s="1"/>
  <c r="V1378" i="1"/>
  <c r="W1378" i="1" s="1"/>
  <c r="AC1378" i="1"/>
  <c r="AB1378" i="1" s="1"/>
  <c r="AA1378" i="1" s="1"/>
  <c r="AJ1378" i="1"/>
  <c r="AI1378" i="1" s="1"/>
  <c r="AH1378" i="1" s="1"/>
  <c r="AC1380" i="1"/>
  <c r="AB1380" i="1" s="1"/>
  <c r="AA1380" i="1" s="1"/>
  <c r="AJ1380" i="1"/>
  <c r="AI1380" i="1" s="1"/>
  <c r="AH1380" i="1" s="1"/>
  <c r="V1380" i="1"/>
  <c r="W1380" i="1" s="1"/>
  <c r="V1313" i="1"/>
  <c r="W1313" i="1" s="1"/>
  <c r="AC1313" i="1"/>
  <c r="AB1313" i="1" s="1"/>
  <c r="AA1313" i="1" s="1"/>
  <c r="AJ1313" i="1"/>
  <c r="AI1313" i="1" s="1"/>
  <c r="AH1313" i="1" s="1"/>
  <c r="V1305" i="1"/>
  <c r="W1305" i="1" s="1"/>
  <c r="AC1305" i="1"/>
  <c r="AB1305" i="1" s="1"/>
  <c r="AA1305" i="1" s="1"/>
  <c r="AJ1305" i="1"/>
  <c r="AI1305" i="1" s="1"/>
  <c r="AH1305" i="1" s="1"/>
  <c r="V1289" i="1"/>
  <c r="W1289" i="1" s="1"/>
  <c r="AC1289" i="1"/>
  <c r="AB1289" i="1" s="1"/>
  <c r="AA1289" i="1" s="1"/>
  <c r="AJ1289" i="1"/>
  <c r="AI1289" i="1" s="1"/>
  <c r="AH1289" i="1" s="1"/>
  <c r="AC1633" i="1"/>
  <c r="AB1633" i="1" s="1"/>
  <c r="AA1633" i="1" s="1"/>
  <c r="V1633" i="1"/>
  <c r="W1633" i="1" s="1"/>
  <c r="AJ1633" i="1"/>
  <c r="AI1633" i="1" s="1"/>
  <c r="AH1633" i="1" s="1"/>
  <c r="V1647" i="1"/>
  <c r="W1647" i="1" s="1"/>
  <c r="AC1647" i="1"/>
  <c r="AB1647" i="1" s="1"/>
  <c r="AA1647" i="1" s="1"/>
  <c r="AJ1647" i="1"/>
  <c r="AI1647" i="1" s="1"/>
  <c r="AH1647" i="1" s="1"/>
  <c r="AC1642" i="1"/>
  <c r="AB1642" i="1" s="1"/>
  <c r="AA1642" i="1" s="1"/>
  <c r="AJ1642" i="1"/>
  <c r="AI1642" i="1" s="1"/>
  <c r="AH1642" i="1" s="1"/>
  <c r="V1642" i="1"/>
  <c r="W1642" i="1" s="1"/>
  <c r="AJ1529" i="1"/>
  <c r="AI1529" i="1" s="1"/>
  <c r="AH1529" i="1" s="1"/>
  <c r="V1529" i="1"/>
  <c r="W1529" i="1" s="1"/>
  <c r="AC1529" i="1"/>
  <c r="AB1529" i="1" s="1"/>
  <c r="AA1529" i="1" s="1"/>
  <c r="AJ1527" i="1"/>
  <c r="AI1527" i="1" s="1"/>
  <c r="AH1527" i="1" s="1"/>
  <c r="AC1527" i="1"/>
  <c r="AB1527" i="1" s="1"/>
  <c r="AA1527" i="1" s="1"/>
  <c r="V1527" i="1"/>
  <c r="W1527" i="1" s="1"/>
  <c r="AC1522" i="1"/>
  <c r="AB1522" i="1" s="1"/>
  <c r="AA1522" i="1" s="1"/>
  <c r="AJ1522" i="1"/>
  <c r="AI1522" i="1" s="1"/>
  <c r="AH1522" i="1" s="1"/>
  <c r="V1522" i="1"/>
  <c r="W1522" i="1" s="1"/>
  <c r="V1497" i="1"/>
  <c r="W1497" i="1" s="1"/>
  <c r="AJ1497" i="1"/>
  <c r="AI1497" i="1" s="1"/>
  <c r="AH1497" i="1" s="1"/>
  <c r="AC1497" i="1"/>
  <c r="AB1497" i="1" s="1"/>
  <c r="AA1497" i="1" s="1"/>
  <c r="V1496" i="1"/>
  <c r="W1496" i="1" s="1"/>
  <c r="AC1496" i="1"/>
  <c r="AB1496" i="1" s="1"/>
  <c r="AA1496" i="1" s="1"/>
  <c r="AJ1496" i="1"/>
  <c r="AI1496" i="1" s="1"/>
  <c r="AH1496" i="1" s="1"/>
  <c r="AC1488" i="1"/>
  <c r="AB1488" i="1" s="1"/>
  <c r="AA1488" i="1" s="1"/>
  <c r="V1488" i="1"/>
  <c r="W1488" i="1" s="1"/>
  <c r="AJ1488" i="1"/>
  <c r="AI1488" i="1" s="1"/>
  <c r="AH1488" i="1" s="1"/>
  <c r="AC1503" i="1"/>
  <c r="AB1503" i="1" s="1"/>
  <c r="AA1503" i="1" s="1"/>
  <c r="AJ1503" i="1"/>
  <c r="AI1503" i="1" s="1"/>
  <c r="AH1503" i="1" s="1"/>
  <c r="V1503" i="1"/>
  <c r="W1503" i="1" s="1"/>
  <c r="AJ1491" i="1"/>
  <c r="AI1491" i="1" s="1"/>
  <c r="AH1491" i="1" s="1"/>
  <c r="V1491" i="1"/>
  <c r="W1491" i="1" s="1"/>
  <c r="AC1491" i="1"/>
  <c r="AB1491" i="1" s="1"/>
  <c r="AA1491" i="1" s="1"/>
  <c r="AJ1479" i="1"/>
  <c r="AI1479" i="1" s="1"/>
  <c r="AH1479" i="1" s="1"/>
  <c r="V1479" i="1"/>
  <c r="W1479" i="1" s="1"/>
  <c r="AC1479" i="1"/>
  <c r="AB1479" i="1" s="1"/>
  <c r="AA1479" i="1" s="1"/>
  <c r="V1464" i="1"/>
  <c r="W1464" i="1" s="1"/>
  <c r="AC1464" i="1"/>
  <c r="AB1464" i="1" s="1"/>
  <c r="AA1464" i="1" s="1"/>
  <c r="AJ1464" i="1"/>
  <c r="AI1464" i="1" s="1"/>
  <c r="AH1464" i="1" s="1"/>
  <c r="V1478" i="1"/>
  <c r="W1478" i="1" s="1"/>
  <c r="AJ1478" i="1"/>
  <c r="AI1478" i="1" s="1"/>
  <c r="AH1478" i="1" s="1"/>
  <c r="AC1478" i="1"/>
  <c r="AB1478" i="1" s="1"/>
  <c r="AA1478" i="1" s="1"/>
  <c r="V1477" i="1"/>
  <c r="W1477" i="1" s="1"/>
  <c r="AC1477" i="1"/>
  <c r="AB1477" i="1" s="1"/>
  <c r="AA1477" i="1" s="1"/>
  <c r="AJ1477" i="1"/>
  <c r="AI1477" i="1" s="1"/>
  <c r="AH1477" i="1" s="1"/>
  <c r="AC1475" i="1"/>
  <c r="AB1475" i="1" s="1"/>
  <c r="AA1475" i="1" s="1"/>
  <c r="AJ1475" i="1"/>
  <c r="AI1475" i="1" s="1"/>
  <c r="AH1475" i="1" s="1"/>
  <c r="V1475" i="1"/>
  <c r="W1475" i="1" s="1"/>
  <c r="V1346" i="1"/>
  <c r="W1346" i="1" s="1"/>
  <c r="AC1346" i="1"/>
  <c r="AB1346" i="1" s="1"/>
  <c r="AA1346" i="1" s="1"/>
  <c r="AJ1346" i="1"/>
  <c r="AI1346" i="1" s="1"/>
  <c r="AH1346" i="1" s="1"/>
  <c r="V1359" i="1"/>
  <c r="W1359" i="1" s="1"/>
  <c r="AC1359" i="1"/>
  <c r="AB1359" i="1" s="1"/>
  <c r="AA1359" i="1" s="1"/>
  <c r="AJ1359" i="1"/>
  <c r="AI1359" i="1" s="1"/>
  <c r="AH1359" i="1" s="1"/>
  <c r="AC1349" i="1"/>
  <c r="AB1349" i="1" s="1"/>
  <c r="AA1349" i="1" s="1"/>
  <c r="AJ1349" i="1"/>
  <c r="AI1349" i="1" s="1"/>
  <c r="AH1349" i="1" s="1"/>
  <c r="V1349" i="1"/>
  <c r="W1349" i="1" s="1"/>
  <c r="V1231" i="1"/>
  <c r="W1231" i="1" s="1"/>
  <c r="AC1231" i="1"/>
  <c r="AB1231" i="1" s="1"/>
  <c r="AA1231" i="1" s="1"/>
  <c r="AJ1231" i="1"/>
  <c r="AI1231" i="1" s="1"/>
  <c r="AH1231" i="1" s="1"/>
  <c r="AC1225" i="1"/>
  <c r="AB1225" i="1" s="1"/>
  <c r="AA1225" i="1" s="1"/>
  <c r="V1225" i="1"/>
  <c r="W1225" i="1" s="1"/>
  <c r="AJ1225" i="1"/>
  <c r="AI1225" i="1" s="1"/>
  <c r="AH1225" i="1" s="1"/>
  <c r="AC1237" i="1"/>
  <c r="AB1237" i="1" s="1"/>
  <c r="AA1237" i="1" s="1"/>
  <c r="AJ1237" i="1"/>
  <c r="AI1237" i="1" s="1"/>
  <c r="AH1237" i="1" s="1"/>
  <c r="V1237" i="1"/>
  <c r="W1237" i="1" s="1"/>
  <c r="V1239" i="1"/>
  <c r="W1239" i="1" s="1"/>
  <c r="AC1239" i="1"/>
  <c r="AB1239" i="1" s="1"/>
  <c r="AA1239" i="1" s="1"/>
  <c r="AJ1239" i="1"/>
  <c r="AI1239" i="1" s="1"/>
  <c r="AH1239" i="1" s="1"/>
  <c r="AC1233" i="1"/>
  <c r="AB1233" i="1" s="1"/>
  <c r="AA1233" i="1" s="1"/>
  <c r="V1233" i="1"/>
  <c r="W1233" i="1" s="1"/>
  <c r="AJ1233" i="1"/>
  <c r="AI1233" i="1" s="1"/>
  <c r="AH1233" i="1" s="1"/>
  <c r="V1263" i="1"/>
  <c r="W1263" i="1" s="1"/>
  <c r="AC1263" i="1"/>
  <c r="AB1263" i="1" s="1"/>
  <c r="AA1263" i="1" s="1"/>
  <c r="AJ1263" i="1"/>
  <c r="AI1263" i="1" s="1"/>
  <c r="AH1263" i="1" s="1"/>
  <c r="AC1202" i="1"/>
  <c r="AB1202" i="1" s="1"/>
  <c r="AA1202" i="1" s="1"/>
  <c r="AJ1202" i="1"/>
  <c r="AI1202" i="1" s="1"/>
  <c r="AH1202" i="1" s="1"/>
  <c r="V1202" i="1"/>
  <c r="W1202" i="1" s="1"/>
  <c r="V1207" i="1"/>
  <c r="W1207" i="1" s="1"/>
  <c r="AJ1207" i="1"/>
  <c r="AI1207" i="1" s="1"/>
  <c r="AH1207" i="1" s="1"/>
  <c r="AC1207" i="1"/>
  <c r="AB1207" i="1" s="1"/>
  <c r="AA1207" i="1" s="1"/>
  <c r="V1266" i="1"/>
  <c r="W1266" i="1" s="1"/>
  <c r="AJ1266" i="1"/>
  <c r="AI1266" i="1" s="1"/>
  <c r="AH1266" i="1" s="1"/>
  <c r="AC1266" i="1"/>
  <c r="AB1266" i="1" s="1"/>
  <c r="AA1266" i="1" s="1"/>
  <c r="AC1265" i="1"/>
  <c r="AB1265" i="1" s="1"/>
  <c r="AA1265" i="1" s="1"/>
  <c r="V1265" i="1"/>
  <c r="W1265" i="1" s="1"/>
  <c r="AJ1265" i="1"/>
  <c r="AI1265" i="1" s="1"/>
  <c r="AH1265" i="1" s="1"/>
  <c r="V1264" i="1"/>
  <c r="W1264" i="1" s="1"/>
  <c r="AJ1264" i="1"/>
  <c r="AI1264" i="1" s="1"/>
  <c r="AH1264" i="1" s="1"/>
  <c r="AC1264" i="1"/>
  <c r="AB1264" i="1" s="1"/>
  <c r="AA1264" i="1" s="1"/>
  <c r="V1251" i="1"/>
  <c r="W1251" i="1" s="1"/>
  <c r="AC1251" i="1"/>
  <c r="AB1251" i="1" s="1"/>
  <c r="AA1251" i="1" s="1"/>
  <c r="AJ1251" i="1"/>
  <c r="AI1251" i="1" s="1"/>
  <c r="AH1251" i="1" s="1"/>
  <c r="AC1249" i="1"/>
  <c r="AB1249" i="1" s="1"/>
  <c r="AA1249" i="1" s="1"/>
  <c r="AJ1249" i="1"/>
  <c r="AI1249" i="1" s="1"/>
  <c r="AH1249" i="1" s="1"/>
  <c r="V1249" i="1"/>
  <c r="W1249" i="1" s="1"/>
  <c r="AJ1218" i="1"/>
  <c r="AI1218" i="1" s="1"/>
  <c r="AH1218" i="1" s="1"/>
  <c r="AC1218" i="1"/>
  <c r="AB1218" i="1" s="1"/>
  <c r="AA1218" i="1" s="1"/>
  <c r="V1218" i="1"/>
  <c r="W1218" i="1" s="1"/>
  <c r="AC1214" i="1"/>
  <c r="AB1214" i="1" s="1"/>
  <c r="AA1214" i="1" s="1"/>
  <c r="V1214" i="1"/>
  <c r="W1214" i="1" s="1"/>
  <c r="AJ1214" i="1"/>
  <c r="AI1214" i="1" s="1"/>
  <c r="AH1214" i="1" s="1"/>
  <c r="AJ1150" i="1"/>
  <c r="AI1150" i="1" s="1"/>
  <c r="AH1150" i="1" s="1"/>
  <c r="V1150" i="1"/>
  <c r="W1150" i="1" s="1"/>
  <c r="AC1150" i="1"/>
  <c r="AB1150" i="1" s="1"/>
  <c r="AA1150" i="1" s="1"/>
  <c r="AJ1136" i="1"/>
  <c r="AI1136" i="1" s="1"/>
  <c r="AH1136" i="1" s="1"/>
  <c r="V1136" i="1"/>
  <c r="W1136" i="1" s="1"/>
  <c r="AC1136" i="1"/>
  <c r="AB1136" i="1" s="1"/>
  <c r="AA1136" i="1" s="1"/>
  <c r="V1134" i="1"/>
  <c r="W1134" i="1" s="1"/>
  <c r="AC1134" i="1"/>
  <c r="AB1134" i="1" s="1"/>
  <c r="AA1134" i="1" s="1"/>
  <c r="AJ1134" i="1"/>
  <c r="AI1134" i="1" s="1"/>
  <c r="AH1134" i="1" s="1"/>
  <c r="AC1127" i="1"/>
  <c r="AB1127" i="1" s="1"/>
  <c r="AA1127" i="1" s="1"/>
  <c r="AJ1127" i="1"/>
  <c r="AI1127" i="1" s="1"/>
  <c r="AH1127" i="1" s="1"/>
  <c r="V1127" i="1"/>
  <c r="W1127" i="1" s="1"/>
  <c r="AC1138" i="1"/>
  <c r="AB1138" i="1" s="1"/>
  <c r="AA1138" i="1" s="1"/>
  <c r="AJ1138" i="1"/>
  <c r="AI1138" i="1" s="1"/>
  <c r="AH1138" i="1" s="1"/>
  <c r="V1138" i="1"/>
  <c r="W1138" i="1" s="1"/>
  <c r="AJ1120" i="1"/>
  <c r="AI1120" i="1" s="1"/>
  <c r="AH1120" i="1" s="1"/>
  <c r="V1120" i="1"/>
  <c r="W1120" i="1" s="1"/>
  <c r="AC1120" i="1"/>
  <c r="AB1120" i="1" s="1"/>
  <c r="AA1120" i="1" s="1"/>
  <c r="AJ1065" i="1"/>
  <c r="AI1065" i="1" s="1"/>
  <c r="AH1065" i="1" s="1"/>
  <c r="V1065" i="1"/>
  <c r="W1065" i="1" s="1"/>
  <c r="AC1065" i="1"/>
  <c r="AB1065" i="1" s="1"/>
  <c r="AA1065" i="1" s="1"/>
  <c r="AJ1048" i="1"/>
  <c r="AI1048" i="1" s="1"/>
  <c r="AH1048" i="1" s="1"/>
  <c r="V1048" i="1"/>
  <c r="W1048" i="1" s="1"/>
  <c r="AC1048" i="1"/>
  <c r="AB1048" i="1" s="1"/>
  <c r="AA1048" i="1" s="1"/>
  <c r="V1020" i="1"/>
  <c r="W1020" i="1" s="1"/>
  <c r="AJ1020" i="1"/>
  <c r="AI1020" i="1" s="1"/>
  <c r="AH1020" i="1" s="1"/>
  <c r="AC1020" i="1"/>
  <c r="AB1020" i="1" s="1"/>
  <c r="AA1020" i="1" s="1"/>
  <c r="AC998" i="1"/>
  <c r="AB998" i="1" s="1"/>
  <c r="AA998" i="1" s="1"/>
  <c r="AJ998" i="1"/>
  <c r="AI998" i="1" s="1"/>
  <c r="AH998" i="1" s="1"/>
  <c r="V998" i="1"/>
  <c r="W998" i="1" s="1"/>
  <c r="AC944" i="1"/>
  <c r="AB944" i="1" s="1"/>
  <c r="AA944" i="1" s="1"/>
  <c r="AJ944" i="1"/>
  <c r="AI944" i="1" s="1"/>
  <c r="AH944" i="1" s="1"/>
  <c r="V944" i="1"/>
  <c r="W944" i="1" s="1"/>
  <c r="AC922" i="1"/>
  <c r="AB922" i="1" s="1"/>
  <c r="AA922" i="1" s="1"/>
  <c r="AJ922" i="1"/>
  <c r="AI922" i="1" s="1"/>
  <c r="AH922" i="1" s="1"/>
  <c r="V922" i="1"/>
  <c r="W922" i="1" s="1"/>
  <c r="AC851" i="1"/>
  <c r="AB851" i="1" s="1"/>
  <c r="AA851" i="1" s="1"/>
  <c r="AJ851" i="1"/>
  <c r="AI851" i="1" s="1"/>
  <c r="AH851" i="1" s="1"/>
  <c r="V851" i="1"/>
  <c r="W851" i="1" s="1"/>
  <c r="AJ1192" i="1"/>
  <c r="AI1192" i="1" s="1"/>
  <c r="AH1192" i="1" s="1"/>
  <c r="V1192" i="1"/>
  <c r="W1192" i="1" s="1"/>
  <c r="AC1192" i="1"/>
  <c r="AB1192" i="1" s="1"/>
  <c r="AA1192" i="1" s="1"/>
  <c r="AJ1181" i="1"/>
  <c r="AI1181" i="1" s="1"/>
  <c r="AH1181" i="1" s="1"/>
  <c r="V1181" i="1"/>
  <c r="W1181" i="1" s="1"/>
  <c r="AC1181" i="1"/>
  <c r="AB1181" i="1" s="1"/>
  <c r="AA1181" i="1" s="1"/>
  <c r="V1178" i="1"/>
  <c r="W1178" i="1" s="1"/>
  <c r="AC1178" i="1"/>
  <c r="AB1178" i="1" s="1"/>
  <c r="AA1178" i="1" s="1"/>
  <c r="AJ1178" i="1"/>
  <c r="AI1178" i="1" s="1"/>
  <c r="AH1178" i="1" s="1"/>
  <c r="AC1185" i="1"/>
  <c r="AB1185" i="1" s="1"/>
  <c r="AA1185" i="1" s="1"/>
  <c r="AJ1185" i="1"/>
  <c r="AI1185" i="1" s="1"/>
  <c r="AH1185" i="1" s="1"/>
  <c r="V1185" i="1"/>
  <c r="W1185" i="1" s="1"/>
  <c r="AJ1105" i="1"/>
  <c r="AI1105" i="1" s="1"/>
  <c r="AH1105" i="1" s="1"/>
  <c r="V1105" i="1"/>
  <c r="W1105" i="1" s="1"/>
  <c r="AC1105" i="1"/>
  <c r="AB1105" i="1" s="1"/>
  <c r="AA1105" i="1" s="1"/>
  <c r="AJ1119" i="1"/>
  <c r="AI1119" i="1" s="1"/>
  <c r="AH1119" i="1" s="1"/>
  <c r="V1119" i="1"/>
  <c r="W1119" i="1" s="1"/>
  <c r="AC1119" i="1"/>
  <c r="AB1119" i="1" s="1"/>
  <c r="AA1119" i="1" s="1"/>
  <c r="V1117" i="1"/>
  <c r="W1117" i="1" s="1"/>
  <c r="AC1117" i="1"/>
  <c r="AB1117" i="1" s="1"/>
  <c r="AA1117" i="1" s="1"/>
  <c r="AJ1117" i="1"/>
  <c r="AI1117" i="1" s="1"/>
  <c r="AH1117" i="1" s="1"/>
  <c r="AC1107" i="1"/>
  <c r="AB1107" i="1" s="1"/>
  <c r="AA1107" i="1" s="1"/>
  <c r="AJ1107" i="1"/>
  <c r="AI1107" i="1" s="1"/>
  <c r="AH1107" i="1" s="1"/>
  <c r="V1107" i="1"/>
  <c r="W1107" i="1" s="1"/>
  <c r="AJ1097" i="1"/>
  <c r="AI1097" i="1" s="1"/>
  <c r="AH1097" i="1" s="1"/>
  <c r="V1097" i="1"/>
  <c r="W1097" i="1" s="1"/>
  <c r="AC1097" i="1"/>
  <c r="AB1097" i="1" s="1"/>
  <c r="AA1097" i="1" s="1"/>
  <c r="AJ1053" i="1"/>
  <c r="AI1053" i="1" s="1"/>
  <c r="AH1053" i="1" s="1"/>
  <c r="AC1053" i="1"/>
  <c r="AB1053" i="1" s="1"/>
  <c r="AA1053" i="1" s="1"/>
  <c r="V1053" i="1"/>
  <c r="W1053" i="1" s="1"/>
  <c r="V1070" i="1"/>
  <c r="W1070" i="1" s="1"/>
  <c r="AC1070" i="1"/>
  <c r="AB1070" i="1" s="1"/>
  <c r="AA1070" i="1" s="1"/>
  <c r="AJ1070" i="1"/>
  <c r="AI1070" i="1" s="1"/>
  <c r="AH1070" i="1" s="1"/>
  <c r="V1068" i="1"/>
  <c r="W1068" i="1" s="1"/>
  <c r="AC1068" i="1"/>
  <c r="AB1068" i="1" s="1"/>
  <c r="AA1068" i="1" s="1"/>
  <c r="AJ1068" i="1"/>
  <c r="AI1068" i="1" s="1"/>
  <c r="AH1068" i="1" s="1"/>
  <c r="AC1056" i="1"/>
  <c r="AB1056" i="1" s="1"/>
  <c r="AA1056" i="1" s="1"/>
  <c r="AJ1056" i="1"/>
  <c r="AI1056" i="1" s="1"/>
  <c r="AH1056" i="1" s="1"/>
  <c r="V1056" i="1"/>
  <c r="W1056" i="1" s="1"/>
  <c r="AC1067" i="1"/>
  <c r="AB1067" i="1" s="1"/>
  <c r="AA1067" i="1" s="1"/>
  <c r="AJ1067" i="1"/>
  <c r="AI1067" i="1" s="1"/>
  <c r="AH1067" i="1" s="1"/>
  <c r="V1067" i="1"/>
  <c r="W1067" i="1" s="1"/>
  <c r="V1038" i="1"/>
  <c r="W1038" i="1" s="1"/>
  <c r="AJ1038" i="1"/>
  <c r="AI1038" i="1" s="1"/>
  <c r="AH1038" i="1" s="1"/>
  <c r="AC1038" i="1"/>
  <c r="AB1038" i="1" s="1"/>
  <c r="AA1038" i="1" s="1"/>
  <c r="AJ1024" i="1"/>
  <c r="AI1024" i="1" s="1"/>
  <c r="AH1024" i="1" s="1"/>
  <c r="V1024" i="1"/>
  <c r="W1024" i="1" s="1"/>
  <c r="AC1024" i="1"/>
  <c r="AB1024" i="1" s="1"/>
  <c r="AA1024" i="1" s="1"/>
  <c r="V1015" i="1"/>
  <c r="W1015" i="1" s="1"/>
  <c r="AC1015" i="1"/>
  <c r="AB1015" i="1" s="1"/>
  <c r="AA1015" i="1" s="1"/>
  <c r="AJ1015" i="1"/>
  <c r="AI1015" i="1" s="1"/>
  <c r="AH1015" i="1" s="1"/>
  <c r="V996" i="1"/>
  <c r="W996" i="1" s="1"/>
  <c r="AC996" i="1"/>
  <c r="AB996" i="1" s="1"/>
  <c r="AA996" i="1" s="1"/>
  <c r="AJ996" i="1"/>
  <c r="AI996" i="1" s="1"/>
  <c r="AH996" i="1" s="1"/>
  <c r="V991" i="1"/>
  <c r="W991" i="1" s="1"/>
  <c r="AC991" i="1"/>
  <c r="AB991" i="1" s="1"/>
  <c r="AA991" i="1" s="1"/>
  <c r="AJ991" i="1"/>
  <c r="AI991" i="1" s="1"/>
  <c r="AH991" i="1" s="1"/>
  <c r="V977" i="1"/>
  <c r="W977" i="1" s="1"/>
  <c r="AC977" i="1"/>
  <c r="AB977" i="1" s="1"/>
  <c r="AA977" i="1" s="1"/>
  <c r="AJ977" i="1"/>
  <c r="AI977" i="1" s="1"/>
  <c r="AH977" i="1" s="1"/>
  <c r="V969" i="1"/>
  <c r="W969" i="1" s="1"/>
  <c r="AC969" i="1"/>
  <c r="AB969" i="1" s="1"/>
  <c r="AA969" i="1" s="1"/>
  <c r="AJ969" i="1"/>
  <c r="AI969" i="1" s="1"/>
  <c r="AH969" i="1" s="1"/>
  <c r="V961" i="1"/>
  <c r="W961" i="1" s="1"/>
  <c r="AC961" i="1"/>
  <c r="AB961" i="1" s="1"/>
  <c r="AA961" i="1" s="1"/>
  <c r="AJ961" i="1"/>
  <c r="AI961" i="1" s="1"/>
  <c r="AH961" i="1" s="1"/>
  <c r="V935" i="1"/>
  <c r="W935" i="1" s="1"/>
  <c r="AC935" i="1"/>
  <c r="AB935" i="1" s="1"/>
  <c r="AA935" i="1" s="1"/>
  <c r="AJ935" i="1"/>
  <c r="AI935" i="1" s="1"/>
  <c r="AH935" i="1" s="1"/>
  <c r="V887" i="1"/>
  <c r="W887" i="1" s="1"/>
  <c r="AC887" i="1"/>
  <c r="AB887" i="1" s="1"/>
  <c r="AA887" i="1" s="1"/>
  <c r="AJ887" i="1"/>
  <c r="AI887" i="1" s="1"/>
  <c r="AH887" i="1" s="1"/>
  <c r="V863" i="1"/>
  <c r="W863" i="1" s="1"/>
  <c r="AC863" i="1"/>
  <c r="AB863" i="1" s="1"/>
  <c r="AA863" i="1" s="1"/>
  <c r="AJ863" i="1"/>
  <c r="AI863" i="1" s="1"/>
  <c r="AH863" i="1" s="1"/>
  <c r="V854" i="1"/>
  <c r="W854" i="1" s="1"/>
  <c r="AC854" i="1"/>
  <c r="AB854" i="1" s="1"/>
  <c r="AA854" i="1" s="1"/>
  <c r="AJ854" i="1"/>
  <c r="AI854" i="1" s="1"/>
  <c r="AH854" i="1" s="1"/>
  <c r="V847" i="1"/>
  <c r="W847" i="1" s="1"/>
  <c r="AC847" i="1"/>
  <c r="AB847" i="1" s="1"/>
  <c r="AA847" i="1" s="1"/>
  <c r="AJ847" i="1"/>
  <c r="AI847" i="1" s="1"/>
  <c r="AH847" i="1" s="1"/>
  <c r="AJ1077" i="1"/>
  <c r="AI1077" i="1" s="1"/>
  <c r="AH1077" i="1" s="1"/>
  <c r="AC1077" i="1"/>
  <c r="AB1077" i="1" s="1"/>
  <c r="AA1077" i="1" s="1"/>
  <c r="V1077" i="1"/>
  <c r="W1077" i="1" s="1"/>
  <c r="V1094" i="1"/>
  <c r="W1094" i="1" s="1"/>
  <c r="AC1094" i="1"/>
  <c r="AB1094" i="1" s="1"/>
  <c r="AA1094" i="1" s="1"/>
  <c r="AJ1094" i="1"/>
  <c r="AI1094" i="1" s="1"/>
  <c r="AH1094" i="1" s="1"/>
  <c r="V1092" i="1"/>
  <c r="W1092" i="1" s="1"/>
  <c r="AC1092" i="1"/>
  <c r="AB1092" i="1" s="1"/>
  <c r="AA1092" i="1" s="1"/>
  <c r="AJ1092" i="1"/>
  <c r="AI1092" i="1" s="1"/>
  <c r="AH1092" i="1" s="1"/>
  <c r="AC1080" i="1"/>
  <c r="AB1080" i="1" s="1"/>
  <c r="AA1080" i="1" s="1"/>
  <c r="AJ1080" i="1"/>
  <c r="AI1080" i="1" s="1"/>
  <c r="AH1080" i="1" s="1"/>
  <c r="V1080" i="1"/>
  <c r="W1080" i="1" s="1"/>
  <c r="AC1091" i="1"/>
  <c r="AB1091" i="1" s="1"/>
  <c r="AA1091" i="1" s="1"/>
  <c r="AJ1091" i="1"/>
  <c r="AI1091" i="1" s="1"/>
  <c r="AH1091" i="1" s="1"/>
  <c r="V1091" i="1"/>
  <c r="W1091" i="1" s="1"/>
  <c r="AJ1040" i="1"/>
  <c r="AI1040" i="1" s="1"/>
  <c r="AH1040" i="1" s="1"/>
  <c r="AC1040" i="1"/>
  <c r="AB1040" i="1" s="1"/>
  <c r="AA1040" i="1" s="1"/>
  <c r="V1040" i="1"/>
  <c r="W1040" i="1" s="1"/>
  <c r="AC1031" i="1"/>
  <c r="AB1031" i="1" s="1"/>
  <c r="AA1031" i="1" s="1"/>
  <c r="AJ1031" i="1"/>
  <c r="AI1031" i="1" s="1"/>
  <c r="AH1031" i="1" s="1"/>
  <c r="V1031" i="1"/>
  <c r="W1031" i="1" s="1"/>
  <c r="AC1042" i="1"/>
  <c r="AB1042" i="1" s="1"/>
  <c r="AA1042" i="1" s="1"/>
  <c r="AJ1042" i="1"/>
  <c r="AI1042" i="1" s="1"/>
  <c r="AH1042" i="1" s="1"/>
  <c r="V1042" i="1"/>
  <c r="W1042" i="1" s="1"/>
  <c r="AJ1010" i="1"/>
  <c r="AI1010" i="1" s="1"/>
  <c r="AH1010" i="1" s="1"/>
  <c r="V1010" i="1"/>
  <c r="W1010" i="1" s="1"/>
  <c r="AC1010" i="1"/>
  <c r="AB1010" i="1" s="1"/>
  <c r="AA1010" i="1" s="1"/>
  <c r="AJ1005" i="1"/>
  <c r="AI1005" i="1" s="1"/>
  <c r="AH1005" i="1" s="1"/>
  <c r="AC1005" i="1"/>
  <c r="AB1005" i="1" s="1"/>
  <c r="AA1005" i="1" s="1"/>
  <c r="V1005" i="1"/>
  <c r="W1005" i="1" s="1"/>
  <c r="V987" i="1"/>
  <c r="W987" i="1" s="1"/>
  <c r="AC987" i="1"/>
  <c r="AB987" i="1" s="1"/>
  <c r="AA987" i="1" s="1"/>
  <c r="AJ987" i="1"/>
  <c r="AI987" i="1" s="1"/>
  <c r="AH987" i="1" s="1"/>
  <c r="V941" i="1"/>
  <c r="W941" i="1" s="1"/>
  <c r="AC941" i="1"/>
  <c r="AB941" i="1" s="1"/>
  <c r="AA941" i="1" s="1"/>
  <c r="AJ941" i="1"/>
  <c r="AI941" i="1" s="1"/>
  <c r="AH941" i="1" s="1"/>
  <c r="V888" i="1"/>
  <c r="W888" i="1" s="1"/>
  <c r="AC888" i="1"/>
  <c r="AB888" i="1" s="1"/>
  <c r="AA888" i="1" s="1"/>
  <c r="AJ888" i="1"/>
  <c r="AI888" i="1" s="1"/>
  <c r="AH888" i="1" s="1"/>
  <c r="V874" i="1"/>
  <c r="W874" i="1" s="1"/>
  <c r="AC874" i="1"/>
  <c r="AB874" i="1" s="1"/>
  <c r="AA874" i="1" s="1"/>
  <c r="AJ874" i="1"/>
  <c r="AI874" i="1" s="1"/>
  <c r="AH874" i="1" s="1"/>
  <c r="AJ856" i="1"/>
  <c r="AI856" i="1" s="1"/>
  <c r="AH856" i="1" s="1"/>
  <c r="V856" i="1"/>
  <c r="W856" i="1" s="1"/>
  <c r="AC856" i="1"/>
  <c r="AB856" i="1" s="1"/>
  <c r="AA856" i="1" s="1"/>
  <c r="V1159" i="1"/>
  <c r="W1159" i="1" s="1"/>
  <c r="AC1159" i="1"/>
  <c r="AB1159" i="1" s="1"/>
  <c r="AA1159" i="1" s="1"/>
  <c r="AJ1159" i="1"/>
  <c r="AI1159" i="1" s="1"/>
  <c r="AH1159" i="1" s="1"/>
  <c r="V1157" i="1"/>
  <c r="W1157" i="1" s="1"/>
  <c r="AC1157" i="1"/>
  <c r="AB1157" i="1" s="1"/>
  <c r="AA1157" i="1" s="1"/>
  <c r="AJ1157" i="1"/>
  <c r="AI1157" i="1" s="1"/>
  <c r="AH1157" i="1" s="1"/>
  <c r="AC1151" i="1"/>
  <c r="AB1151" i="1" s="1"/>
  <c r="AA1151" i="1" s="1"/>
  <c r="AJ1151" i="1"/>
  <c r="AI1151" i="1" s="1"/>
  <c r="AH1151" i="1" s="1"/>
  <c r="V1151" i="1"/>
  <c r="W1151" i="1" s="1"/>
  <c r="AC1162" i="1"/>
  <c r="AB1162" i="1" s="1"/>
  <c r="AA1162" i="1" s="1"/>
  <c r="AJ1162" i="1"/>
  <c r="AI1162" i="1" s="1"/>
  <c r="AH1162" i="1" s="1"/>
  <c r="V1162" i="1"/>
  <c r="W1162" i="1" s="1"/>
  <c r="V1014" i="1"/>
  <c r="W1014" i="1" s="1"/>
  <c r="AC1014" i="1"/>
  <c r="AB1014" i="1" s="1"/>
  <c r="AA1014" i="1" s="1"/>
  <c r="AJ1014" i="1"/>
  <c r="AI1014" i="1" s="1"/>
  <c r="AH1014" i="1" s="1"/>
  <c r="AC1012" i="1"/>
  <c r="AB1012" i="1" s="1"/>
  <c r="AA1012" i="1" s="1"/>
  <c r="AJ1012" i="1"/>
  <c r="AI1012" i="1" s="1"/>
  <c r="AH1012" i="1" s="1"/>
  <c r="V1012" i="1"/>
  <c r="W1012" i="1" s="1"/>
  <c r="AJ972" i="1"/>
  <c r="AI972" i="1" s="1"/>
  <c r="AH972" i="1" s="1"/>
  <c r="V972" i="1"/>
  <c r="W972" i="1" s="1"/>
  <c r="AC972" i="1"/>
  <c r="AB972" i="1" s="1"/>
  <c r="AA972" i="1" s="1"/>
  <c r="AJ965" i="1"/>
  <c r="AI965" i="1" s="1"/>
  <c r="AH965" i="1" s="1"/>
  <c r="V965" i="1"/>
  <c r="W965" i="1" s="1"/>
  <c r="AC965" i="1"/>
  <c r="AB965" i="1" s="1"/>
  <c r="AA965" i="1" s="1"/>
  <c r="AJ928" i="1"/>
  <c r="AI928" i="1" s="1"/>
  <c r="AH928" i="1" s="1"/>
  <c r="V928" i="1"/>
  <c r="W928" i="1" s="1"/>
  <c r="AC928" i="1"/>
  <c r="AB928" i="1" s="1"/>
  <c r="AA928" i="1" s="1"/>
  <c r="AJ919" i="1"/>
  <c r="AI919" i="1" s="1"/>
  <c r="AH919" i="1" s="1"/>
  <c r="V919" i="1"/>
  <c r="W919" i="1" s="1"/>
  <c r="AC919" i="1"/>
  <c r="AB919" i="1" s="1"/>
  <c r="AA919" i="1" s="1"/>
  <c r="AJ912" i="1"/>
  <c r="AI912" i="1" s="1"/>
  <c r="AH912" i="1" s="1"/>
  <c r="V912" i="1"/>
  <c r="W912" i="1" s="1"/>
  <c r="AC912" i="1"/>
  <c r="AB912" i="1" s="1"/>
  <c r="AA912" i="1" s="1"/>
  <c r="AJ902" i="1"/>
  <c r="AI902" i="1" s="1"/>
  <c r="AH902" i="1" s="1"/>
  <c r="V902" i="1"/>
  <c r="W902" i="1" s="1"/>
  <c r="AC902" i="1"/>
  <c r="AB902" i="1" s="1"/>
  <c r="AA902" i="1" s="1"/>
  <c r="AJ895" i="1"/>
  <c r="AI895" i="1" s="1"/>
  <c r="AH895" i="1" s="1"/>
  <c r="V895" i="1"/>
  <c r="W895" i="1" s="1"/>
  <c r="AC895" i="1"/>
  <c r="AB895" i="1" s="1"/>
  <c r="AA895" i="1" s="1"/>
  <c r="AJ822" i="1"/>
  <c r="AI822" i="1" s="1"/>
  <c r="AH822" i="1" s="1"/>
  <c r="V822" i="1"/>
  <c r="W822" i="1" s="1"/>
  <c r="AC822" i="1"/>
  <c r="AB822" i="1" s="1"/>
  <c r="AA822" i="1" s="1"/>
  <c r="AJ815" i="1"/>
  <c r="AI815" i="1" s="1"/>
  <c r="AH815" i="1" s="1"/>
  <c r="V815" i="1"/>
  <c r="W815" i="1" s="1"/>
  <c r="AC815" i="1"/>
  <c r="AB815" i="1" s="1"/>
  <c r="AA815" i="1" s="1"/>
  <c r="AJ776" i="1"/>
  <c r="AI776" i="1" s="1"/>
  <c r="AH776" i="1" s="1"/>
  <c r="V776" i="1"/>
  <c r="W776" i="1" s="1"/>
  <c r="AC776" i="1"/>
  <c r="AB776" i="1" s="1"/>
  <c r="AA776" i="1" s="1"/>
  <c r="V755" i="1"/>
  <c r="W755" i="1" s="1"/>
  <c r="AC755" i="1"/>
  <c r="AB755" i="1" s="1"/>
  <c r="AA755" i="1" s="1"/>
  <c r="AJ755" i="1"/>
  <c r="AI755" i="1" s="1"/>
  <c r="AH755" i="1" s="1"/>
  <c r="V750" i="1"/>
  <c r="W750" i="1" s="1"/>
  <c r="AC750" i="1"/>
  <c r="AB750" i="1" s="1"/>
  <c r="AA750" i="1" s="1"/>
  <c r="AJ750" i="1"/>
  <c r="AI750" i="1" s="1"/>
  <c r="AH750" i="1" s="1"/>
  <c r="AC747" i="1"/>
  <c r="AB747" i="1" s="1"/>
  <c r="AA747" i="1" s="1"/>
  <c r="AJ747" i="1"/>
  <c r="AI747" i="1" s="1"/>
  <c r="AH747" i="1" s="1"/>
  <c r="V747" i="1"/>
  <c r="W747" i="1" s="1"/>
  <c r="AC700" i="1"/>
  <c r="AB700" i="1" s="1"/>
  <c r="AA700" i="1" s="1"/>
  <c r="AJ700" i="1"/>
  <c r="AI700" i="1" s="1"/>
  <c r="AH700" i="1" s="1"/>
  <c r="V700" i="1"/>
  <c r="W700" i="1" s="1"/>
  <c r="AC679" i="1"/>
  <c r="AB679" i="1" s="1"/>
  <c r="AA679" i="1" s="1"/>
  <c r="AJ679" i="1"/>
  <c r="AI679" i="1" s="1"/>
  <c r="AH679" i="1" s="1"/>
  <c r="V679" i="1"/>
  <c r="W679" i="1" s="1"/>
  <c r="AC633" i="1"/>
  <c r="AB633" i="1" s="1"/>
  <c r="AA633" i="1" s="1"/>
  <c r="AJ633" i="1"/>
  <c r="AI633" i="1" s="1"/>
  <c r="AH633" i="1" s="1"/>
  <c r="V633" i="1"/>
  <c r="W633" i="1" s="1"/>
  <c r="AC622" i="1"/>
  <c r="AB622" i="1" s="1"/>
  <c r="AA622" i="1" s="1"/>
  <c r="AJ622" i="1"/>
  <c r="AI622" i="1" s="1"/>
  <c r="AH622" i="1" s="1"/>
  <c r="V622" i="1"/>
  <c r="W622" i="1" s="1"/>
  <c r="AC603" i="1"/>
  <c r="AB603" i="1" s="1"/>
  <c r="AA603" i="1" s="1"/>
  <c r="AJ603" i="1"/>
  <c r="AI603" i="1" s="1"/>
  <c r="AH603" i="1" s="1"/>
  <c r="V603" i="1"/>
  <c r="W603" i="1" s="1"/>
  <c r="AC580" i="1"/>
  <c r="AB580" i="1" s="1"/>
  <c r="AA580" i="1" s="1"/>
  <c r="AJ580" i="1"/>
  <c r="AI580" i="1" s="1"/>
  <c r="AH580" i="1" s="1"/>
  <c r="V580" i="1"/>
  <c r="W580" i="1" s="1"/>
  <c r="AC533" i="1"/>
  <c r="AB533" i="1" s="1"/>
  <c r="AA533" i="1" s="1"/>
  <c r="AJ533" i="1"/>
  <c r="AI533" i="1" s="1"/>
  <c r="AH533" i="1" s="1"/>
  <c r="V533" i="1"/>
  <c r="W533" i="1" s="1"/>
  <c r="AC515" i="1"/>
  <c r="AB515" i="1" s="1"/>
  <c r="AA515" i="1" s="1"/>
  <c r="AJ515" i="1"/>
  <c r="AI515" i="1" s="1"/>
  <c r="AH515" i="1" s="1"/>
  <c r="V515" i="1"/>
  <c r="W515" i="1" s="1"/>
  <c r="AC479" i="1"/>
  <c r="AB479" i="1" s="1"/>
  <c r="AA479" i="1" s="1"/>
  <c r="AJ479" i="1"/>
  <c r="AI479" i="1" s="1"/>
  <c r="AH479" i="1" s="1"/>
  <c r="V479" i="1"/>
  <c r="W479" i="1" s="1"/>
  <c r="AC465" i="1"/>
  <c r="AB465" i="1" s="1"/>
  <c r="AA465" i="1" s="1"/>
  <c r="AJ465" i="1"/>
  <c r="AI465" i="1" s="1"/>
  <c r="AH465" i="1" s="1"/>
  <c r="V465" i="1"/>
  <c r="W465" i="1" s="1"/>
  <c r="AC444" i="1"/>
  <c r="AB444" i="1" s="1"/>
  <c r="AA444" i="1" s="1"/>
  <c r="AJ444" i="1"/>
  <c r="AI444" i="1" s="1"/>
  <c r="AH444" i="1" s="1"/>
  <c r="V444" i="1"/>
  <c r="W444" i="1" s="1"/>
  <c r="AC413" i="1"/>
  <c r="AB413" i="1" s="1"/>
  <c r="AA413" i="1" s="1"/>
  <c r="AJ413" i="1"/>
  <c r="AI413" i="1" s="1"/>
  <c r="AH413" i="1" s="1"/>
  <c r="V413" i="1"/>
  <c r="W413" i="1" s="1"/>
  <c r="AC395" i="1"/>
  <c r="AB395" i="1" s="1"/>
  <c r="AA395" i="1" s="1"/>
  <c r="AJ395" i="1"/>
  <c r="AI395" i="1" s="1"/>
  <c r="AH395" i="1" s="1"/>
  <c r="V395" i="1"/>
  <c r="W395" i="1" s="1"/>
  <c r="AC359" i="1"/>
  <c r="AB359" i="1" s="1"/>
  <c r="AA359" i="1" s="1"/>
  <c r="AJ359" i="1"/>
  <c r="AI359" i="1" s="1"/>
  <c r="AH359" i="1" s="1"/>
  <c r="V359" i="1"/>
  <c r="W359" i="1" s="1"/>
  <c r="AC345" i="1"/>
  <c r="AB345" i="1" s="1"/>
  <c r="AA345" i="1" s="1"/>
  <c r="V345" i="1"/>
  <c r="W345" i="1" s="1"/>
  <c r="AJ345" i="1"/>
  <c r="AI345" i="1" s="1"/>
  <c r="AH345" i="1" s="1"/>
  <c r="AJ336" i="1"/>
  <c r="AI336" i="1" s="1"/>
  <c r="AH336" i="1" s="1"/>
  <c r="AC336" i="1"/>
  <c r="AB336" i="1" s="1"/>
  <c r="AA336" i="1" s="1"/>
  <c r="V336" i="1"/>
  <c r="W336" i="1" s="1"/>
  <c r="AC297" i="1"/>
  <c r="AB297" i="1" s="1"/>
  <c r="AA297" i="1" s="1"/>
  <c r="V297" i="1"/>
  <c r="W297" i="1" s="1"/>
  <c r="AJ297" i="1"/>
  <c r="AI297" i="1" s="1"/>
  <c r="AH297" i="1" s="1"/>
  <c r="AC289" i="1"/>
  <c r="AB289" i="1" s="1"/>
  <c r="AA289" i="1" s="1"/>
  <c r="AJ289" i="1"/>
  <c r="AI289" i="1" s="1"/>
  <c r="AH289" i="1" s="1"/>
  <c r="V289" i="1"/>
  <c r="W289" i="1" s="1"/>
  <c r="AC272" i="1"/>
  <c r="AB272" i="1" s="1"/>
  <c r="AA272" i="1" s="1"/>
  <c r="V272" i="1"/>
  <c r="W272" i="1" s="1"/>
  <c r="AJ272" i="1"/>
  <c r="AI272" i="1" s="1"/>
  <c r="AH272" i="1" s="1"/>
  <c r="AJ765" i="1"/>
  <c r="AI765" i="1" s="1"/>
  <c r="AH765" i="1" s="1"/>
  <c r="AC765" i="1"/>
  <c r="AB765" i="1" s="1"/>
  <c r="AA765" i="1" s="1"/>
  <c r="V765" i="1"/>
  <c r="W765" i="1" s="1"/>
  <c r="V775" i="1"/>
  <c r="W775" i="1" s="1"/>
  <c r="AC775" i="1"/>
  <c r="AB775" i="1" s="1"/>
  <c r="AA775" i="1" s="1"/>
  <c r="AJ775" i="1"/>
  <c r="AI775" i="1" s="1"/>
  <c r="AH775" i="1" s="1"/>
  <c r="AC773" i="1"/>
  <c r="AB773" i="1" s="1"/>
  <c r="AA773" i="1" s="1"/>
  <c r="AJ773" i="1"/>
  <c r="AI773" i="1" s="1"/>
  <c r="AH773" i="1" s="1"/>
  <c r="V773" i="1"/>
  <c r="W773" i="1" s="1"/>
  <c r="V756" i="1"/>
  <c r="W756" i="1" s="1"/>
  <c r="AJ756" i="1"/>
  <c r="AI756" i="1" s="1"/>
  <c r="AH756" i="1" s="1"/>
  <c r="AC756" i="1"/>
  <c r="AB756" i="1" s="1"/>
  <c r="AA756" i="1" s="1"/>
  <c r="V734" i="1"/>
  <c r="W734" i="1" s="1"/>
  <c r="AC734" i="1"/>
  <c r="AB734" i="1" s="1"/>
  <c r="AA734" i="1" s="1"/>
  <c r="AJ734" i="1"/>
  <c r="AI734" i="1" s="1"/>
  <c r="AH734" i="1" s="1"/>
  <c r="V724" i="1"/>
  <c r="W724" i="1" s="1"/>
  <c r="AC724" i="1"/>
  <c r="AB724" i="1" s="1"/>
  <c r="AA724" i="1" s="1"/>
  <c r="AJ724" i="1"/>
  <c r="AI724" i="1" s="1"/>
  <c r="AH724" i="1" s="1"/>
  <c r="AC716" i="1"/>
  <c r="AB716" i="1" s="1"/>
  <c r="AA716" i="1" s="1"/>
  <c r="V716" i="1"/>
  <c r="W716" i="1" s="1"/>
  <c r="AJ716" i="1"/>
  <c r="AI716" i="1" s="1"/>
  <c r="AH716" i="1" s="1"/>
  <c r="V707" i="1"/>
  <c r="W707" i="1" s="1"/>
  <c r="AC707" i="1"/>
  <c r="AB707" i="1" s="1"/>
  <c r="AA707" i="1" s="1"/>
  <c r="AJ707" i="1"/>
  <c r="AI707" i="1" s="1"/>
  <c r="AH707" i="1" s="1"/>
  <c r="AJ639" i="1"/>
  <c r="AI639" i="1" s="1"/>
  <c r="AH639" i="1" s="1"/>
  <c r="V639" i="1"/>
  <c r="W639" i="1" s="1"/>
  <c r="AC639" i="1"/>
  <c r="AB639" i="1" s="1"/>
  <c r="AA639" i="1" s="1"/>
  <c r="V626" i="1"/>
  <c r="W626" i="1" s="1"/>
  <c r="AC626" i="1"/>
  <c r="AB626" i="1" s="1"/>
  <c r="AA626" i="1" s="1"/>
  <c r="AJ626" i="1"/>
  <c r="AI626" i="1" s="1"/>
  <c r="AH626" i="1" s="1"/>
  <c r="V605" i="1"/>
  <c r="W605" i="1" s="1"/>
  <c r="AC605" i="1"/>
  <c r="AB605" i="1" s="1"/>
  <c r="AA605" i="1" s="1"/>
  <c r="AJ605" i="1"/>
  <c r="AI605" i="1" s="1"/>
  <c r="AH605" i="1" s="1"/>
  <c r="AC596" i="1"/>
  <c r="AB596" i="1" s="1"/>
  <c r="AA596" i="1" s="1"/>
  <c r="V596" i="1"/>
  <c r="W596" i="1" s="1"/>
  <c r="AJ596" i="1"/>
  <c r="AI596" i="1" s="1"/>
  <c r="AH596" i="1" s="1"/>
  <c r="AJ581" i="1"/>
  <c r="AI581" i="1" s="1"/>
  <c r="AH581" i="1" s="1"/>
  <c r="V581" i="1"/>
  <c r="W581" i="1" s="1"/>
  <c r="AC581" i="1"/>
  <c r="AB581" i="1" s="1"/>
  <c r="AA581" i="1" s="1"/>
  <c r="V537" i="1"/>
  <c r="W537" i="1" s="1"/>
  <c r="AC537" i="1"/>
  <c r="AB537" i="1" s="1"/>
  <c r="AA537" i="1" s="1"/>
  <c r="AJ537" i="1"/>
  <c r="AI537" i="1" s="1"/>
  <c r="AH537" i="1" s="1"/>
  <c r="V516" i="1"/>
  <c r="W516" i="1" s="1"/>
  <c r="AC516" i="1"/>
  <c r="AB516" i="1" s="1"/>
  <c r="AA516" i="1" s="1"/>
  <c r="AJ516" i="1"/>
  <c r="AI516" i="1" s="1"/>
  <c r="AH516" i="1" s="1"/>
  <c r="V493" i="1"/>
  <c r="W493" i="1" s="1"/>
  <c r="AC493" i="1"/>
  <c r="AB493" i="1" s="1"/>
  <c r="AA493" i="1" s="1"/>
  <c r="AJ493" i="1"/>
  <c r="AI493" i="1" s="1"/>
  <c r="AH493" i="1" s="1"/>
  <c r="V480" i="1"/>
  <c r="W480" i="1" s="1"/>
  <c r="AC480" i="1"/>
  <c r="AB480" i="1" s="1"/>
  <c r="AA480" i="1" s="1"/>
  <c r="AJ480" i="1"/>
  <c r="AI480" i="1" s="1"/>
  <c r="AH480" i="1" s="1"/>
  <c r="V472" i="1"/>
  <c r="W472" i="1" s="1"/>
  <c r="AC472" i="1"/>
  <c r="AB472" i="1" s="1"/>
  <c r="AA472" i="1" s="1"/>
  <c r="AJ472" i="1"/>
  <c r="AI472" i="1" s="1"/>
  <c r="AH472" i="1" s="1"/>
  <c r="AC456" i="1"/>
  <c r="AB456" i="1" s="1"/>
  <c r="AA456" i="1" s="1"/>
  <c r="V456" i="1"/>
  <c r="W456" i="1" s="1"/>
  <c r="AJ456" i="1"/>
  <c r="AI456" i="1" s="1"/>
  <c r="AH456" i="1" s="1"/>
  <c r="V422" i="1"/>
  <c r="W422" i="1" s="1"/>
  <c r="AC422" i="1"/>
  <c r="AB422" i="1" s="1"/>
  <c r="AA422" i="1" s="1"/>
  <c r="AJ422" i="1"/>
  <c r="AI422" i="1" s="1"/>
  <c r="AH422" i="1" s="1"/>
  <c r="AC414" i="1"/>
  <c r="AB414" i="1" s="1"/>
  <c r="AA414" i="1" s="1"/>
  <c r="V414" i="1"/>
  <c r="W414" i="1" s="1"/>
  <c r="AJ414" i="1"/>
  <c r="AI414" i="1" s="1"/>
  <c r="AH414" i="1" s="1"/>
  <c r="V406" i="1"/>
  <c r="W406" i="1" s="1"/>
  <c r="AC406" i="1"/>
  <c r="AB406" i="1" s="1"/>
  <c r="AA406" i="1" s="1"/>
  <c r="AJ406" i="1"/>
  <c r="AI406" i="1" s="1"/>
  <c r="AH406" i="1" s="1"/>
  <c r="V387" i="1"/>
  <c r="W387" i="1" s="1"/>
  <c r="AC387" i="1"/>
  <c r="AB387" i="1" s="1"/>
  <c r="AA387" i="1" s="1"/>
  <c r="AJ387" i="1"/>
  <c r="AI387" i="1" s="1"/>
  <c r="AH387" i="1" s="1"/>
  <c r="V373" i="1"/>
  <c r="W373" i="1" s="1"/>
  <c r="AC373" i="1"/>
  <c r="AB373" i="1" s="1"/>
  <c r="AA373" i="1" s="1"/>
  <c r="AJ373" i="1"/>
  <c r="AI373" i="1" s="1"/>
  <c r="AH373" i="1" s="1"/>
  <c r="V360" i="1"/>
  <c r="W360" i="1" s="1"/>
  <c r="AC360" i="1"/>
  <c r="AB360" i="1" s="1"/>
  <c r="AA360" i="1" s="1"/>
  <c r="AJ360" i="1"/>
  <c r="AI360" i="1" s="1"/>
  <c r="AH360" i="1" s="1"/>
  <c r="V352" i="1"/>
  <c r="W352" i="1" s="1"/>
  <c r="AC352" i="1"/>
  <c r="AB352" i="1" s="1"/>
  <c r="AA352" i="1" s="1"/>
  <c r="AJ352" i="1"/>
  <c r="AI352" i="1" s="1"/>
  <c r="AH352" i="1" s="1"/>
  <c r="V334" i="1"/>
  <c r="W334" i="1" s="1"/>
  <c r="AC334" i="1"/>
  <c r="AB334" i="1" s="1"/>
  <c r="AA334" i="1" s="1"/>
  <c r="AJ334" i="1"/>
  <c r="AI334" i="1" s="1"/>
  <c r="AH334" i="1" s="1"/>
  <c r="AJ298" i="1"/>
  <c r="AI298" i="1" s="1"/>
  <c r="AH298" i="1" s="1"/>
  <c r="V298" i="1"/>
  <c r="W298" i="1" s="1"/>
  <c r="AC298" i="1"/>
  <c r="AB298" i="1" s="1"/>
  <c r="AA298" i="1" s="1"/>
  <c r="V287" i="1"/>
  <c r="W287" i="1" s="1"/>
  <c r="AC287" i="1"/>
  <c r="AB287" i="1" s="1"/>
  <c r="AA287" i="1" s="1"/>
  <c r="AJ287" i="1"/>
  <c r="AI287" i="1" s="1"/>
  <c r="AH287" i="1" s="1"/>
  <c r="V269" i="1"/>
  <c r="W269" i="1" s="1"/>
  <c r="AC269" i="1"/>
  <c r="AB269" i="1" s="1"/>
  <c r="AA269" i="1" s="1"/>
  <c r="AJ269" i="1"/>
  <c r="AI269" i="1" s="1"/>
  <c r="AH269" i="1" s="1"/>
  <c r="AJ788" i="1"/>
  <c r="AI788" i="1" s="1"/>
  <c r="AH788" i="1" s="1"/>
  <c r="AC788" i="1"/>
  <c r="AB788" i="1" s="1"/>
  <c r="AA788" i="1" s="1"/>
  <c r="V788" i="1"/>
  <c r="W788" i="1" s="1"/>
  <c r="AJ798" i="1"/>
  <c r="AI798" i="1" s="1"/>
  <c r="AH798" i="1" s="1"/>
  <c r="V798" i="1"/>
  <c r="W798" i="1" s="1"/>
  <c r="AC798" i="1"/>
  <c r="AB798" i="1" s="1"/>
  <c r="AA798" i="1" s="1"/>
  <c r="V795" i="1"/>
  <c r="W795" i="1" s="1"/>
  <c r="AC795" i="1"/>
  <c r="AB795" i="1" s="1"/>
  <c r="AA795" i="1" s="1"/>
  <c r="AJ795" i="1"/>
  <c r="AI795" i="1" s="1"/>
  <c r="AH795" i="1" s="1"/>
  <c r="AC808" i="1"/>
  <c r="AB808" i="1" s="1"/>
  <c r="AA808" i="1" s="1"/>
  <c r="AJ808" i="1"/>
  <c r="AI808" i="1" s="1"/>
  <c r="AH808" i="1" s="1"/>
  <c r="V808" i="1"/>
  <c r="W808" i="1" s="1"/>
  <c r="V726" i="1"/>
  <c r="W726" i="1" s="1"/>
  <c r="AC726" i="1"/>
  <c r="AB726" i="1" s="1"/>
  <c r="AA726" i="1" s="1"/>
  <c r="AJ726" i="1"/>
  <c r="AI726" i="1" s="1"/>
  <c r="AH726" i="1" s="1"/>
  <c r="V719" i="1"/>
  <c r="W719" i="1" s="1"/>
  <c r="AC719" i="1"/>
  <c r="AB719" i="1" s="1"/>
  <c r="AA719" i="1" s="1"/>
  <c r="AJ719" i="1"/>
  <c r="AI719" i="1" s="1"/>
  <c r="AH719" i="1" s="1"/>
  <c r="V709" i="1"/>
  <c r="W709" i="1" s="1"/>
  <c r="AC709" i="1"/>
  <c r="AB709" i="1" s="1"/>
  <c r="AA709" i="1" s="1"/>
  <c r="AJ709" i="1"/>
  <c r="AI709" i="1" s="1"/>
  <c r="AH709" i="1" s="1"/>
  <c r="V664" i="1"/>
  <c r="W664" i="1" s="1"/>
  <c r="AC664" i="1"/>
  <c r="AB664" i="1" s="1"/>
  <c r="AA664" i="1" s="1"/>
  <c r="AJ664" i="1"/>
  <c r="AI664" i="1" s="1"/>
  <c r="AH664" i="1" s="1"/>
  <c r="AJ655" i="1"/>
  <c r="AI655" i="1" s="1"/>
  <c r="AH655" i="1" s="1"/>
  <c r="V655" i="1"/>
  <c r="W655" i="1" s="1"/>
  <c r="AC655" i="1"/>
  <c r="AB655" i="1" s="1"/>
  <c r="AA655" i="1" s="1"/>
  <c r="AJ648" i="1"/>
  <c r="AI648" i="1" s="1"/>
  <c r="AH648" i="1" s="1"/>
  <c r="V648" i="1"/>
  <c r="W648" i="1" s="1"/>
  <c r="AC648" i="1"/>
  <c r="AB648" i="1" s="1"/>
  <c r="AA648" i="1" s="1"/>
  <c r="AJ634" i="1"/>
  <c r="AI634" i="1" s="1"/>
  <c r="AH634" i="1" s="1"/>
  <c r="V634" i="1"/>
  <c r="W634" i="1" s="1"/>
  <c r="AC634" i="1"/>
  <c r="AB634" i="1" s="1"/>
  <c r="AA634" i="1" s="1"/>
  <c r="AJ623" i="1"/>
  <c r="AI623" i="1" s="1"/>
  <c r="AH623" i="1" s="1"/>
  <c r="V623" i="1"/>
  <c r="W623" i="1" s="1"/>
  <c r="AC623" i="1"/>
  <c r="AB623" i="1" s="1"/>
  <c r="AA623" i="1" s="1"/>
  <c r="AJ607" i="1"/>
  <c r="AI607" i="1" s="1"/>
  <c r="AH607" i="1" s="1"/>
  <c r="V607" i="1"/>
  <c r="W607" i="1" s="1"/>
  <c r="AC607" i="1"/>
  <c r="AB607" i="1" s="1"/>
  <c r="AA607" i="1" s="1"/>
  <c r="AJ573" i="1"/>
  <c r="AI573" i="1" s="1"/>
  <c r="AH573" i="1" s="1"/>
  <c r="V573" i="1"/>
  <c r="W573" i="1" s="1"/>
  <c r="AC573" i="1"/>
  <c r="AB573" i="1" s="1"/>
  <c r="AA573" i="1" s="1"/>
  <c r="AJ538" i="1"/>
  <c r="AI538" i="1" s="1"/>
  <c r="AH538" i="1" s="1"/>
  <c r="V538" i="1"/>
  <c r="W538" i="1" s="1"/>
  <c r="AC538" i="1"/>
  <c r="AB538" i="1" s="1"/>
  <c r="AA538" i="1" s="1"/>
  <c r="AJ503" i="1"/>
  <c r="AI503" i="1" s="1"/>
  <c r="AH503" i="1" s="1"/>
  <c r="V503" i="1"/>
  <c r="W503" i="1" s="1"/>
  <c r="AC503" i="1"/>
  <c r="AB503" i="1" s="1"/>
  <c r="AA503" i="1" s="1"/>
  <c r="AJ397" i="1"/>
  <c r="AI397" i="1" s="1"/>
  <c r="AH397" i="1" s="1"/>
  <c r="V397" i="1"/>
  <c r="W397" i="1" s="1"/>
  <c r="AC397" i="1"/>
  <c r="AB397" i="1" s="1"/>
  <c r="AA397" i="1" s="1"/>
  <c r="AJ381" i="1"/>
  <c r="AI381" i="1" s="1"/>
  <c r="AH381" i="1" s="1"/>
  <c r="V381" i="1"/>
  <c r="W381" i="1" s="1"/>
  <c r="AC381" i="1"/>
  <c r="AB381" i="1" s="1"/>
  <c r="AA381" i="1" s="1"/>
  <c r="AJ759" i="1"/>
  <c r="AI759" i="1" s="1"/>
  <c r="AH759" i="1" s="1"/>
  <c r="AC759" i="1"/>
  <c r="AB759" i="1" s="1"/>
  <c r="AA759" i="1" s="1"/>
  <c r="V759" i="1"/>
  <c r="W759" i="1" s="1"/>
  <c r="AJ683" i="1"/>
  <c r="AI683" i="1" s="1"/>
  <c r="AH683" i="1" s="1"/>
  <c r="V683" i="1"/>
  <c r="W683" i="1" s="1"/>
  <c r="AC683" i="1"/>
  <c r="AB683" i="1" s="1"/>
  <c r="AA683" i="1" s="1"/>
  <c r="AJ659" i="1"/>
  <c r="AI659" i="1" s="1"/>
  <c r="AH659" i="1" s="1"/>
  <c r="V659" i="1"/>
  <c r="W659" i="1" s="1"/>
  <c r="AC659" i="1"/>
  <c r="AB659" i="1" s="1"/>
  <c r="AA659" i="1" s="1"/>
  <c r="AJ649" i="1"/>
  <c r="AI649" i="1" s="1"/>
  <c r="AH649" i="1" s="1"/>
  <c r="V649" i="1"/>
  <c r="W649" i="1" s="1"/>
  <c r="AC649" i="1"/>
  <c r="AB649" i="1" s="1"/>
  <c r="AA649" i="1" s="1"/>
  <c r="AJ640" i="1"/>
  <c r="AI640" i="1" s="1"/>
  <c r="AH640" i="1" s="1"/>
  <c r="V640" i="1"/>
  <c r="W640" i="1" s="1"/>
  <c r="AC640" i="1"/>
  <c r="AB640" i="1" s="1"/>
  <c r="AA640" i="1" s="1"/>
  <c r="AJ630" i="1"/>
  <c r="AI630" i="1" s="1"/>
  <c r="AH630" i="1" s="1"/>
  <c r="V630" i="1"/>
  <c r="W630" i="1" s="1"/>
  <c r="AC630" i="1"/>
  <c r="AB630" i="1" s="1"/>
  <c r="AA630" i="1" s="1"/>
  <c r="AC615" i="1"/>
  <c r="AB615" i="1" s="1"/>
  <c r="AA615" i="1" s="1"/>
  <c r="AJ615" i="1"/>
  <c r="AI615" i="1" s="1"/>
  <c r="AH615" i="1" s="1"/>
  <c r="V615" i="1"/>
  <c r="W615" i="1" s="1"/>
  <c r="AJ584" i="1"/>
  <c r="AI584" i="1" s="1"/>
  <c r="AH584" i="1" s="1"/>
  <c r="AC584" i="1"/>
  <c r="AB584" i="1" s="1"/>
  <c r="AA584" i="1" s="1"/>
  <c r="V584" i="1"/>
  <c r="W584" i="1" s="1"/>
  <c r="AJ576" i="1"/>
  <c r="AI576" i="1" s="1"/>
  <c r="AH576" i="1" s="1"/>
  <c r="V576" i="1"/>
  <c r="W576" i="1" s="1"/>
  <c r="AC576" i="1"/>
  <c r="AB576" i="1" s="1"/>
  <c r="AA576" i="1" s="1"/>
  <c r="AJ532" i="1"/>
  <c r="AI532" i="1" s="1"/>
  <c r="AH532" i="1" s="1"/>
  <c r="V532" i="1"/>
  <c r="W532" i="1" s="1"/>
  <c r="AC532" i="1"/>
  <c r="AB532" i="1" s="1"/>
  <c r="AA532" i="1" s="1"/>
  <c r="AC513" i="1"/>
  <c r="AB513" i="1" s="1"/>
  <c r="AA513" i="1" s="1"/>
  <c r="AJ513" i="1"/>
  <c r="AI513" i="1" s="1"/>
  <c r="AH513" i="1" s="1"/>
  <c r="V513" i="1"/>
  <c r="W513" i="1" s="1"/>
  <c r="AJ504" i="1"/>
  <c r="AI504" i="1" s="1"/>
  <c r="AH504" i="1" s="1"/>
  <c r="AC504" i="1"/>
  <c r="AB504" i="1" s="1"/>
  <c r="AA504" i="1" s="1"/>
  <c r="V504" i="1"/>
  <c r="W504" i="1" s="1"/>
  <c r="AC469" i="1"/>
  <c r="AB469" i="1" s="1"/>
  <c r="AA469" i="1" s="1"/>
  <c r="AJ469" i="1"/>
  <c r="AI469" i="1" s="1"/>
  <c r="AH469" i="1" s="1"/>
  <c r="V469" i="1"/>
  <c r="W469" i="1" s="1"/>
  <c r="AJ424" i="1"/>
  <c r="AI424" i="1" s="1"/>
  <c r="AH424" i="1" s="1"/>
  <c r="AC424" i="1"/>
  <c r="AB424" i="1" s="1"/>
  <c r="AA424" i="1" s="1"/>
  <c r="V424" i="1"/>
  <c r="W424" i="1" s="1"/>
  <c r="AJ412" i="1"/>
  <c r="AI412" i="1" s="1"/>
  <c r="AH412" i="1" s="1"/>
  <c r="V412" i="1"/>
  <c r="W412" i="1" s="1"/>
  <c r="AC412" i="1"/>
  <c r="AB412" i="1" s="1"/>
  <c r="AA412" i="1" s="1"/>
  <c r="AC393" i="1"/>
  <c r="AB393" i="1" s="1"/>
  <c r="AA393" i="1" s="1"/>
  <c r="AJ393" i="1"/>
  <c r="AI393" i="1" s="1"/>
  <c r="AH393" i="1" s="1"/>
  <c r="V393" i="1"/>
  <c r="W393" i="1" s="1"/>
  <c r="AJ384" i="1"/>
  <c r="AI384" i="1" s="1"/>
  <c r="AH384" i="1" s="1"/>
  <c r="AC384" i="1"/>
  <c r="AB384" i="1" s="1"/>
  <c r="AA384" i="1" s="1"/>
  <c r="V384" i="1"/>
  <c r="W384" i="1" s="1"/>
  <c r="AC341" i="1"/>
  <c r="AB341" i="1" s="1"/>
  <c r="AA341" i="1" s="1"/>
  <c r="AJ341" i="1"/>
  <c r="AI341" i="1" s="1"/>
  <c r="AH341" i="1" s="1"/>
  <c r="V341" i="1"/>
  <c r="W341" i="1" s="1"/>
  <c r="V319" i="1"/>
  <c r="W319" i="1" s="1"/>
  <c r="AC319" i="1"/>
  <c r="AB319" i="1" s="1"/>
  <c r="AA319" i="1" s="1"/>
  <c r="AJ319" i="1"/>
  <c r="AI319" i="1" s="1"/>
  <c r="AH319" i="1" s="1"/>
  <c r="AC318" i="1"/>
  <c r="AB318" i="1" s="1"/>
  <c r="AA318" i="1" s="1"/>
  <c r="V318" i="1"/>
  <c r="W318" i="1" s="1"/>
  <c r="AJ318" i="1"/>
  <c r="AI318" i="1" s="1"/>
  <c r="AH318" i="1" s="1"/>
  <c r="AC244" i="1"/>
  <c r="AB244" i="1" s="1"/>
  <c r="AA244" i="1" s="1"/>
  <c r="AJ244" i="1"/>
  <c r="AI244" i="1" s="1"/>
  <c r="AH244" i="1" s="1"/>
  <c r="V244" i="1"/>
  <c r="W244" i="1" s="1"/>
  <c r="AC252" i="1"/>
  <c r="AB252" i="1" s="1"/>
  <c r="AA252" i="1" s="1"/>
  <c r="AJ252" i="1"/>
  <c r="AI252" i="1" s="1"/>
  <c r="AH252" i="1" s="1"/>
  <c r="V252" i="1"/>
  <c r="W252" i="1" s="1"/>
  <c r="AJ228" i="1"/>
  <c r="AI228" i="1" s="1"/>
  <c r="AH228" i="1" s="1"/>
  <c r="AC228" i="1"/>
  <c r="AB228" i="1" s="1"/>
  <c r="AA228" i="1" s="1"/>
  <c r="V228" i="1"/>
  <c r="W228" i="1" s="1"/>
  <c r="AC215" i="1"/>
  <c r="AB215" i="1" s="1"/>
  <c r="AA215" i="1" s="1"/>
  <c r="AJ215" i="1"/>
  <c r="AI215" i="1" s="1"/>
  <c r="AH215" i="1" s="1"/>
  <c r="V215" i="1"/>
  <c r="W215" i="1" s="1"/>
  <c r="AC116" i="1"/>
  <c r="AB116" i="1" s="1"/>
  <c r="AA116" i="1" s="1"/>
  <c r="AJ116" i="1"/>
  <c r="AI116" i="1" s="1"/>
  <c r="AH116" i="1" s="1"/>
  <c r="V116" i="1"/>
  <c r="W116" i="1" s="1"/>
  <c r="AC106" i="1"/>
  <c r="AB106" i="1" s="1"/>
  <c r="AA106" i="1" s="1"/>
  <c r="AJ106" i="1"/>
  <c r="AI106" i="1" s="1"/>
  <c r="AH106" i="1" s="1"/>
  <c r="V106" i="1"/>
  <c r="W106" i="1" s="1"/>
  <c r="AC98" i="1"/>
  <c r="AB98" i="1" s="1"/>
  <c r="AA98" i="1" s="1"/>
  <c r="V98" i="1"/>
  <c r="W98" i="1" s="1"/>
  <c r="AJ98" i="1"/>
  <c r="AI98" i="1" s="1"/>
  <c r="AH98" i="1" s="1"/>
  <c r="AC78" i="1"/>
  <c r="AB78" i="1" s="1"/>
  <c r="AA78" i="1" s="1"/>
  <c r="AJ78" i="1"/>
  <c r="AI78" i="1" s="1"/>
  <c r="AH78" i="1" s="1"/>
  <c r="V78" i="1"/>
  <c r="W78" i="1" s="1"/>
  <c r="AC70" i="1"/>
  <c r="AB70" i="1" s="1"/>
  <c r="AA70" i="1" s="1"/>
  <c r="AJ70" i="1"/>
  <c r="AI70" i="1" s="1"/>
  <c r="AH70" i="1" s="1"/>
  <c r="V70" i="1"/>
  <c r="W70" i="1" s="1"/>
  <c r="AC60" i="1"/>
  <c r="AB60" i="1" s="1"/>
  <c r="AA60" i="1" s="1"/>
  <c r="V60" i="1"/>
  <c r="W60" i="1" s="1"/>
  <c r="AJ60" i="1"/>
  <c r="AI60" i="1" s="1"/>
  <c r="AH60" i="1" s="1"/>
  <c r="AC52" i="1"/>
  <c r="AB52" i="1" s="1"/>
  <c r="AA52" i="1" s="1"/>
  <c r="AJ52" i="1"/>
  <c r="AI52" i="1" s="1"/>
  <c r="AH52" i="1" s="1"/>
  <c r="V52" i="1"/>
  <c r="W52" i="1" s="1"/>
  <c r="AC44" i="1"/>
  <c r="AB44" i="1" s="1"/>
  <c r="AA44" i="1" s="1"/>
  <c r="AJ44" i="1"/>
  <c r="AI44" i="1" s="1"/>
  <c r="AH44" i="1" s="1"/>
  <c r="V44" i="1"/>
  <c r="W44" i="1" s="1"/>
  <c r="AC32" i="1"/>
  <c r="AB32" i="1" s="1"/>
  <c r="AA32" i="1" s="1"/>
  <c r="AJ32" i="1"/>
  <c r="AI32" i="1" s="1"/>
  <c r="AH32" i="1" s="1"/>
  <c r="V32" i="1"/>
  <c r="W32" i="1" s="1"/>
  <c r="AC24" i="1"/>
  <c r="AB24" i="1" s="1"/>
  <c r="AA24" i="1" s="1"/>
  <c r="AJ24" i="1"/>
  <c r="AI24" i="1" s="1"/>
  <c r="AH24" i="1" s="1"/>
  <c r="V24" i="1"/>
  <c r="W24" i="1" s="1"/>
  <c r="AC86" i="1"/>
  <c r="AB86" i="1" s="1"/>
  <c r="AA86" i="1" s="1"/>
  <c r="AJ86" i="1"/>
  <c r="AI86" i="1" s="1"/>
  <c r="AH86" i="1" s="1"/>
  <c r="V86" i="1"/>
  <c r="W86" i="1" s="1"/>
  <c r="AC220" i="1"/>
  <c r="AB220" i="1" s="1"/>
  <c r="AA220" i="1" s="1"/>
  <c r="V220" i="1"/>
  <c r="W220" i="1" s="1"/>
  <c r="AJ220" i="1"/>
  <c r="AI220" i="1" s="1"/>
  <c r="AH220" i="1" s="1"/>
  <c r="AC205" i="1"/>
  <c r="AB205" i="1" s="1"/>
  <c r="AA205" i="1" s="1"/>
  <c r="V205" i="1"/>
  <c r="W205" i="1" s="1"/>
  <c r="AJ205" i="1"/>
  <c r="AI205" i="1" s="1"/>
  <c r="AH205" i="1" s="1"/>
  <c r="AC197" i="1"/>
  <c r="AB197" i="1" s="1"/>
  <c r="AA197" i="1" s="1"/>
  <c r="V197" i="1"/>
  <c r="W197" i="1" s="1"/>
  <c r="AJ197" i="1"/>
  <c r="AI197" i="1" s="1"/>
  <c r="AH197" i="1" s="1"/>
  <c r="AC189" i="1"/>
  <c r="AB189" i="1" s="1"/>
  <c r="AA189" i="1" s="1"/>
  <c r="V189" i="1"/>
  <c r="W189" i="1" s="1"/>
  <c r="AJ189" i="1"/>
  <c r="AI189" i="1" s="1"/>
  <c r="AH189" i="1" s="1"/>
  <c r="V175" i="1"/>
  <c r="W175" i="1" s="1"/>
  <c r="AC175" i="1"/>
  <c r="AB175" i="1" s="1"/>
  <c r="AA175" i="1" s="1"/>
  <c r="AJ175" i="1"/>
  <c r="AI175" i="1" s="1"/>
  <c r="AH175" i="1" s="1"/>
  <c r="V167" i="1"/>
  <c r="W167" i="1" s="1"/>
  <c r="AC167" i="1"/>
  <c r="AB167" i="1" s="1"/>
  <c r="AA167" i="1" s="1"/>
  <c r="AJ167" i="1"/>
  <c r="AI167" i="1" s="1"/>
  <c r="AH167" i="1" s="1"/>
  <c r="V131" i="1"/>
  <c r="W131" i="1" s="1"/>
  <c r="AC131" i="1"/>
  <c r="AB131" i="1" s="1"/>
  <c r="AA131" i="1" s="1"/>
  <c r="AJ131" i="1"/>
  <c r="AI131" i="1" s="1"/>
  <c r="AH131" i="1" s="1"/>
  <c r="V123" i="1"/>
  <c r="W123" i="1" s="1"/>
  <c r="AC123" i="1"/>
  <c r="AB123" i="1" s="1"/>
  <c r="AA123" i="1" s="1"/>
  <c r="AJ123" i="1"/>
  <c r="AI123" i="1" s="1"/>
  <c r="AH123" i="1" s="1"/>
  <c r="AJ251" i="1"/>
  <c r="AI251" i="1" s="1"/>
  <c r="AH251" i="1" s="1"/>
  <c r="V251" i="1"/>
  <c r="W251" i="1" s="1"/>
  <c r="AC251" i="1"/>
  <c r="AB251" i="1" s="1"/>
  <c r="AA251" i="1" s="1"/>
  <c r="AJ204" i="1"/>
  <c r="AI204" i="1" s="1"/>
  <c r="AH204" i="1" s="1"/>
  <c r="V204" i="1"/>
  <c r="W204" i="1" s="1"/>
  <c r="AC204" i="1"/>
  <c r="AB204" i="1" s="1"/>
  <c r="AA204" i="1" s="1"/>
  <c r="AJ196" i="1"/>
  <c r="AI196" i="1" s="1"/>
  <c r="AH196" i="1" s="1"/>
  <c r="V196" i="1"/>
  <c r="W196" i="1" s="1"/>
  <c r="AC196" i="1"/>
  <c r="AB196" i="1" s="1"/>
  <c r="AA196" i="1" s="1"/>
  <c r="AJ188" i="1"/>
  <c r="AI188" i="1" s="1"/>
  <c r="AH188" i="1" s="1"/>
  <c r="V188" i="1"/>
  <c r="W188" i="1" s="1"/>
  <c r="AC188" i="1"/>
  <c r="AB188" i="1" s="1"/>
  <c r="AA188" i="1" s="1"/>
  <c r="AJ109" i="1"/>
  <c r="AI109" i="1" s="1"/>
  <c r="AH109" i="1" s="1"/>
  <c r="V109" i="1"/>
  <c r="W109" i="1" s="1"/>
  <c r="AC109" i="1"/>
  <c r="AB109" i="1" s="1"/>
  <c r="AA109" i="1" s="1"/>
  <c r="AJ101" i="1"/>
  <c r="AI101" i="1" s="1"/>
  <c r="AH101" i="1" s="1"/>
  <c r="V101" i="1"/>
  <c r="W101" i="1" s="1"/>
  <c r="AC101" i="1"/>
  <c r="AB101" i="1" s="1"/>
  <c r="AA101" i="1" s="1"/>
  <c r="AJ93" i="1"/>
  <c r="AI93" i="1" s="1"/>
  <c r="AH93" i="1" s="1"/>
  <c r="V93" i="1"/>
  <c r="W93" i="1" s="1"/>
  <c r="AC93" i="1"/>
  <c r="AB93" i="1" s="1"/>
  <c r="AA93" i="1" s="1"/>
  <c r="AJ81" i="1"/>
  <c r="AI81" i="1" s="1"/>
  <c r="AH81" i="1" s="1"/>
  <c r="V81" i="1"/>
  <c r="W81" i="1" s="1"/>
  <c r="AC81" i="1"/>
  <c r="AB81" i="1" s="1"/>
  <c r="AA81" i="1" s="1"/>
  <c r="AJ73" i="1"/>
  <c r="AI73" i="1" s="1"/>
  <c r="AH73" i="1" s="1"/>
  <c r="V73" i="1"/>
  <c r="W73" i="1" s="1"/>
  <c r="AC73" i="1"/>
  <c r="AB73" i="1" s="1"/>
  <c r="AA73" i="1" s="1"/>
  <c r="AJ67" i="1"/>
  <c r="AI67" i="1" s="1"/>
  <c r="AH67" i="1" s="1"/>
  <c r="AC67" i="1"/>
  <c r="AB67" i="1" s="1"/>
  <c r="AA67" i="1" s="1"/>
  <c r="V67" i="1"/>
  <c r="W67" i="1" s="1"/>
  <c r="AJ55" i="1"/>
  <c r="AI55" i="1" s="1"/>
  <c r="AH55" i="1" s="1"/>
  <c r="V55" i="1"/>
  <c r="W55" i="1" s="1"/>
  <c r="AC55" i="1"/>
  <c r="AB55" i="1" s="1"/>
  <c r="AA55" i="1" s="1"/>
  <c r="AJ47" i="1"/>
  <c r="AI47" i="1" s="1"/>
  <c r="AH47" i="1" s="1"/>
  <c r="V47" i="1"/>
  <c r="W47" i="1" s="1"/>
  <c r="AC47" i="1"/>
  <c r="AB47" i="1" s="1"/>
  <c r="AA47" i="1" s="1"/>
  <c r="AJ33" i="1"/>
  <c r="AI33" i="1" s="1"/>
  <c r="AH33" i="1" s="1"/>
  <c r="V33" i="1"/>
  <c r="W33" i="1" s="1"/>
  <c r="AC33" i="1"/>
  <c r="AB33" i="1" s="1"/>
  <c r="AA33" i="1" s="1"/>
  <c r="AJ25" i="1"/>
  <c r="AI25" i="1" s="1"/>
  <c r="AH25" i="1" s="1"/>
  <c r="V25" i="1"/>
  <c r="W25" i="1" s="1"/>
  <c r="AC25" i="1"/>
  <c r="AB25" i="1" s="1"/>
  <c r="AA25" i="1" s="1"/>
  <c r="AC168" i="1"/>
  <c r="AB168" i="1" s="1"/>
  <c r="AA168" i="1" s="1"/>
  <c r="AJ168" i="1"/>
  <c r="AI168" i="1" s="1"/>
  <c r="AH168" i="1" s="1"/>
  <c r="V168" i="1"/>
  <c r="W168" i="1" s="1"/>
  <c r="AC122" i="1"/>
  <c r="AB122" i="1" s="1"/>
  <c r="AA122" i="1" s="1"/>
  <c r="AJ122" i="1"/>
  <c r="AI122" i="1" s="1"/>
  <c r="AH122" i="1" s="1"/>
  <c r="V122" i="1"/>
  <c r="W122" i="1" s="1"/>
  <c r="AC178" i="1"/>
  <c r="AB178" i="1" s="1"/>
  <c r="AA178" i="1" s="1"/>
  <c r="AJ178" i="1"/>
  <c r="AI178" i="1" s="1"/>
  <c r="AH178" i="1" s="1"/>
  <c r="V178" i="1"/>
  <c r="W178" i="1" s="1"/>
  <c r="AC166" i="1"/>
  <c r="AB166" i="1" s="1"/>
  <c r="AA166" i="1" s="1"/>
  <c r="AJ166" i="1"/>
  <c r="AI166" i="1" s="1"/>
  <c r="AH166" i="1" s="1"/>
  <c r="V166" i="1"/>
  <c r="W166" i="1" s="1"/>
  <c r="AC120" i="1"/>
  <c r="AB120" i="1" s="1"/>
  <c r="AA120" i="1" s="1"/>
  <c r="AJ120" i="1"/>
  <c r="AI120" i="1" s="1"/>
  <c r="AH120" i="1" s="1"/>
  <c r="V120" i="1"/>
  <c r="W120" i="1" s="1"/>
  <c r="AJ1943" i="1"/>
  <c r="AI1943" i="1" s="1"/>
  <c r="AH1943" i="1" s="1"/>
  <c r="AC1943" i="1"/>
  <c r="AB1943" i="1" s="1"/>
  <c r="AA1943" i="1" s="1"/>
  <c r="V1943" i="1"/>
  <c r="W1943" i="1" s="1"/>
  <c r="AJ1942" i="1"/>
  <c r="AI1942" i="1" s="1"/>
  <c r="AH1942" i="1" s="1"/>
  <c r="AC1942" i="1"/>
  <c r="AB1942" i="1" s="1"/>
  <c r="AA1942" i="1" s="1"/>
  <c r="V1942" i="1"/>
  <c r="W1942" i="1" s="1"/>
  <c r="W1921" i="1"/>
  <c r="AH1921" i="1"/>
  <c r="AH1922" i="1" s="1"/>
  <c r="AA1921" i="1"/>
  <c r="AA1922" i="1" s="1"/>
  <c r="Z8" i="12" l="1"/>
  <c r="AG7" i="12"/>
  <c r="AB7" i="12"/>
  <c r="AF7" i="12" s="1"/>
  <c r="AH7" i="12"/>
  <c r="AI7" i="12"/>
  <c r="AA160" i="1"/>
  <c r="AA161" i="1" s="1"/>
  <c r="AR161" i="1" s="1"/>
  <c r="AH1605" i="1"/>
  <c r="AH1606" i="1" s="1"/>
  <c r="AH2066" i="1"/>
  <c r="AH2067" i="1" s="1"/>
  <c r="AA2066" i="1"/>
  <c r="AA2067" i="1" s="1"/>
  <c r="AH569" i="1"/>
  <c r="AH570" i="1" s="1"/>
  <c r="AS570" i="1" s="1"/>
  <c r="AH1459" i="1"/>
  <c r="AH1460" i="1" s="1"/>
  <c r="AH1726" i="1"/>
  <c r="AH1727" i="1" s="1"/>
  <c r="W1315" i="1"/>
  <c r="V1315" i="1" s="1"/>
  <c r="AA1726" i="1"/>
  <c r="AA1727" i="1" s="1"/>
  <c r="W1726" i="1"/>
  <c r="AA1799" i="1"/>
  <c r="AA1800" i="1" s="1"/>
  <c r="W1629" i="1"/>
  <c r="W1581" i="1"/>
  <c r="V1581" i="1" s="1"/>
  <c r="W1847" i="1"/>
  <c r="V1847" i="1" s="1"/>
  <c r="AH160" i="1"/>
  <c r="AH161" i="1" s="1"/>
  <c r="AS161" i="1" s="1"/>
  <c r="AA1945" i="1"/>
  <c r="AA1946" i="1" s="1"/>
  <c r="W305" i="1"/>
  <c r="V305" i="1" s="1"/>
  <c r="AH473" i="1"/>
  <c r="AH474" i="1" s="1"/>
  <c r="AH497" i="1"/>
  <c r="AH498" i="1" s="1"/>
  <c r="W881" i="1"/>
  <c r="W882" i="1" s="1"/>
  <c r="AA1629" i="1"/>
  <c r="AA1630" i="1" s="1"/>
  <c r="AH1799" i="1"/>
  <c r="AH1800" i="1" s="1"/>
  <c r="AH2042" i="1"/>
  <c r="AH2043" i="1" s="1"/>
  <c r="AA1315" i="1"/>
  <c r="AA1316" i="1" s="1"/>
  <c r="W2066" i="1"/>
  <c r="W2067" i="1" s="1"/>
  <c r="AH40" i="1"/>
  <c r="AH41" i="1" s="1"/>
  <c r="AS41" i="1" s="1"/>
  <c r="AA257" i="1"/>
  <c r="AA258" i="1" s="1"/>
  <c r="AR258" i="1" s="1"/>
  <c r="AH1315" i="1"/>
  <c r="AH1316" i="1" s="1"/>
  <c r="W160" i="1"/>
  <c r="W809" i="1"/>
  <c r="V809" i="1" s="1"/>
  <c r="AH1483" i="1"/>
  <c r="AH1484" i="1" s="1"/>
  <c r="W545" i="1"/>
  <c r="V545" i="1" s="1"/>
  <c r="AH329" i="1"/>
  <c r="AH330" i="1" s="1"/>
  <c r="AA761" i="1"/>
  <c r="AA762" i="1" s="1"/>
  <c r="AH377" i="1"/>
  <c r="AH378" i="1" s="1"/>
  <c r="AA1411" i="1"/>
  <c r="AA1412" i="1" s="1"/>
  <c r="AH1629" i="1"/>
  <c r="AH1630" i="1" s="1"/>
  <c r="W1799" i="1"/>
  <c r="W1800" i="1" s="1"/>
  <c r="AH1581" i="1"/>
  <c r="AH1582" i="1" s="1"/>
  <c r="AS1582" i="1" s="1"/>
  <c r="AA449" i="1"/>
  <c r="AA450" i="1" s="1"/>
  <c r="AR450" i="1" s="1"/>
  <c r="AA281" i="1"/>
  <c r="AA282" i="1" s="1"/>
  <c r="W425" i="1"/>
  <c r="W426" i="1" s="1"/>
  <c r="W353" i="1"/>
  <c r="W354" i="1" s="1"/>
  <c r="AQ354" i="1" s="1"/>
  <c r="AA473" i="1"/>
  <c r="AA474" i="1" s="1"/>
  <c r="AH881" i="1"/>
  <c r="AH882" i="1" s="1"/>
  <c r="W1435" i="1"/>
  <c r="W1436" i="1" s="1"/>
  <c r="W1459" i="1"/>
  <c r="AH2018" i="1"/>
  <c r="AH2019" i="1" s="1"/>
  <c r="W2090" i="1"/>
  <c r="W2091" i="1" s="1"/>
  <c r="AA1581" i="1"/>
  <c r="AA1582" i="1" s="1"/>
  <c r="AR1582" i="1" s="1"/>
  <c r="W1605" i="1"/>
  <c r="W1606" i="1" s="1"/>
  <c r="AH2090" i="1"/>
  <c r="AH2091" i="1" s="1"/>
  <c r="AH281" i="1"/>
  <c r="AH282" i="1" s="1"/>
  <c r="AA689" i="1"/>
  <c r="AA690" i="1" s="1"/>
  <c r="W1945" i="1"/>
  <c r="W1946" i="1" s="1"/>
  <c r="AH257" i="1"/>
  <c r="AH258" i="1" s="1"/>
  <c r="AS258" i="1" s="1"/>
  <c r="AA329" i="1"/>
  <c r="AA330" i="1" s="1"/>
  <c r="AA305" i="1"/>
  <c r="AA306" i="1" s="1"/>
  <c r="AR306" i="1" s="1"/>
  <c r="AH1387" i="1"/>
  <c r="AH1388" i="1" s="1"/>
  <c r="AA1459" i="1"/>
  <c r="AA1460" i="1" s="1"/>
  <c r="AH1750" i="1"/>
  <c r="AH1751" i="1" s="1"/>
  <c r="AA2090" i="1"/>
  <c r="AA2091" i="1" s="1"/>
  <c r="AH449" i="1"/>
  <c r="AH450" i="1" s="1"/>
  <c r="AS450" i="1" s="1"/>
  <c r="AA569" i="1"/>
  <c r="AA570" i="1" s="1"/>
  <c r="AR570" i="1" s="1"/>
  <c r="V2090" i="1"/>
  <c r="V425" i="1"/>
  <c r="AH737" i="1"/>
  <c r="AH738" i="1" s="1"/>
  <c r="AH641" i="1"/>
  <c r="AH642" i="1" s="1"/>
  <c r="AS642" i="1" s="1"/>
  <c r="AH136" i="1"/>
  <c r="AH137" i="1" s="1"/>
  <c r="AS137" i="1" s="1"/>
  <c r="AH425" i="1"/>
  <c r="AH426" i="1" s="1"/>
  <c r="W1026" i="1"/>
  <c r="AA1098" i="1"/>
  <c r="AA1099" i="1" s="1"/>
  <c r="W1483" i="1"/>
  <c r="AA1654" i="1"/>
  <c r="AA1655" i="1" s="1"/>
  <c r="AH1678" i="1"/>
  <c r="AH1679" i="1" s="1"/>
  <c r="AH1969" i="1"/>
  <c r="AH1970" i="1" s="1"/>
  <c r="AA2042" i="1"/>
  <c r="AA2043" i="1" s="1"/>
  <c r="AA136" i="1"/>
  <c r="AA137" i="1" s="1"/>
  <c r="AR137" i="1" s="1"/>
  <c r="AH401" i="1"/>
  <c r="AH402" i="1" s="1"/>
  <c r="AH521" i="1"/>
  <c r="AH522" i="1" s="1"/>
  <c r="W689" i="1"/>
  <c r="AH713" i="1"/>
  <c r="AH714" i="1" s="1"/>
  <c r="AH761" i="1"/>
  <c r="AH762" i="1" s="1"/>
  <c r="AH833" i="1"/>
  <c r="AH834" i="1" s="1"/>
  <c r="AH1219" i="1"/>
  <c r="AH1220" i="1" s="1"/>
  <c r="AS1220" i="1" s="1"/>
  <c r="W1363" i="1"/>
  <c r="W1774" i="1"/>
  <c r="AH1555" i="1"/>
  <c r="AH1556" i="1" s="1"/>
  <c r="W40" i="1"/>
  <c r="W64" i="1"/>
  <c r="AH545" i="1"/>
  <c r="AH546" i="1" s="1"/>
  <c r="AS546" i="1" s="1"/>
  <c r="AH665" i="1"/>
  <c r="AH666" i="1" s="1"/>
  <c r="AS666" i="1" s="1"/>
  <c r="W281" i="1"/>
  <c r="W497" i="1"/>
  <c r="AH1170" i="1"/>
  <c r="AH1171" i="1" s="1"/>
  <c r="AA905" i="1"/>
  <c r="AA906" i="1" s="1"/>
  <c r="AH929" i="1"/>
  <c r="AH930" i="1" s="1"/>
  <c r="AA857" i="1"/>
  <c r="AA858" i="1" s="1"/>
  <c r="AR858" i="1" s="1"/>
  <c r="AA953" i="1"/>
  <c r="AA954" i="1" s="1"/>
  <c r="W1507" i="1"/>
  <c r="W1339" i="1"/>
  <c r="W1702" i="1"/>
  <c r="AH112" i="1"/>
  <c r="AH113" i="1" s="1"/>
  <c r="AA64" i="1"/>
  <c r="AA65" i="1" s="1"/>
  <c r="AR65" i="1" s="1"/>
  <c r="AA208" i="1"/>
  <c r="AA209" i="1" s="1"/>
  <c r="AR209" i="1" s="1"/>
  <c r="AA184" i="1"/>
  <c r="AA185" i="1" s="1"/>
  <c r="AR185" i="1" s="1"/>
  <c r="AH184" i="1"/>
  <c r="AH185" i="1" s="1"/>
  <c r="AS185" i="1" s="1"/>
  <c r="AA233" i="1"/>
  <c r="AA234" i="1" s="1"/>
  <c r="AR234" i="1" s="1"/>
  <c r="AA545" i="1"/>
  <c r="AA546" i="1" s="1"/>
  <c r="AR546" i="1" s="1"/>
  <c r="W401" i="1"/>
  <c r="AH593" i="1"/>
  <c r="AH594" i="1" s="1"/>
  <c r="W785" i="1"/>
  <c r="AH978" i="1"/>
  <c r="AH979" i="1" s="1"/>
  <c r="AH1050" i="1"/>
  <c r="AH1051" i="1" s="1"/>
  <c r="AA1146" i="1"/>
  <c r="AA1147" i="1" s="1"/>
  <c r="W1267" i="1"/>
  <c r="W1243" i="1"/>
  <c r="W1531" i="1"/>
  <c r="W1387" i="1"/>
  <c r="W1555" i="1"/>
  <c r="AA1823" i="1"/>
  <c r="AA1824" i="1" s="1"/>
  <c r="AR1824" i="1" s="1"/>
  <c r="AH1993" i="1"/>
  <c r="AH1994" i="1" s="1"/>
  <c r="AA1026" i="1"/>
  <c r="AA1027" i="1" s="1"/>
  <c r="AH1098" i="1"/>
  <c r="AH1099" i="1" s="1"/>
  <c r="AA881" i="1"/>
  <c r="AA882" i="1" s="1"/>
  <c r="W1074" i="1"/>
  <c r="AH1435" i="1"/>
  <c r="AH1436" i="1" s="1"/>
  <c r="AA1774" i="1"/>
  <c r="AA1775" i="1" s="1"/>
  <c r="AA1895" i="1"/>
  <c r="AA1896" i="1" s="1"/>
  <c r="W136" i="1"/>
  <c r="W521" i="1"/>
  <c r="AA401" i="1"/>
  <c r="AA402" i="1" s="1"/>
  <c r="AA521" i="1"/>
  <c r="AA522" i="1" s="1"/>
  <c r="AH617" i="1"/>
  <c r="AH618" i="1" s="1"/>
  <c r="AS618" i="1" s="1"/>
  <c r="AH689" i="1"/>
  <c r="AH690" i="1" s="1"/>
  <c r="AA713" i="1"/>
  <c r="AA714" i="1" s="1"/>
  <c r="W833" i="1"/>
  <c r="W1122" i="1"/>
  <c r="AH1267" i="1"/>
  <c r="AH1268" i="1" s="1"/>
  <c r="W1219" i="1"/>
  <c r="AA1363" i="1"/>
  <c r="AA1364" i="1" s="1"/>
  <c r="AH1774" i="1"/>
  <c r="AH1775" i="1" s="1"/>
  <c r="W1411" i="1"/>
  <c r="W1871" i="1"/>
  <c r="AA1605" i="1"/>
  <c r="AA1606" i="1" s="1"/>
  <c r="W1750" i="1"/>
  <c r="AH1847" i="1"/>
  <c r="AH1848" i="1" s="1"/>
  <c r="AH212" i="1"/>
  <c r="AH233" i="1" s="1"/>
  <c r="AH234" i="1" s="1"/>
  <c r="AS234" i="1" s="1"/>
  <c r="M2096" i="1"/>
  <c r="S2098" i="1" s="1"/>
  <c r="M2095" i="1"/>
  <c r="W257" i="1"/>
  <c r="W449" i="1"/>
  <c r="W665" i="1"/>
  <c r="W377" i="1"/>
  <c r="AH905" i="1"/>
  <c r="AH906" i="1" s="1"/>
  <c r="W929" i="1"/>
  <c r="W857" i="1"/>
  <c r="W953" i="1"/>
  <c r="W1195" i="1"/>
  <c r="AA1507" i="1"/>
  <c r="AA1508" i="1" s="1"/>
  <c r="W1895" i="1"/>
  <c r="AH1339" i="1"/>
  <c r="AH1340" i="1" s="1"/>
  <c r="AS1340" i="1" s="1"/>
  <c r="AA1702" i="1"/>
  <c r="AA1703" i="1" s="1"/>
  <c r="AH88" i="1"/>
  <c r="AH89" i="1" s="1"/>
  <c r="AS89" i="1" s="1"/>
  <c r="AA785" i="1"/>
  <c r="AA786" i="1" s="1"/>
  <c r="AR786" i="1" s="1"/>
  <c r="W978" i="1"/>
  <c r="W1002" i="1"/>
  <c r="AH1146" i="1"/>
  <c r="AH1147" i="1" s="1"/>
  <c r="AA1267" i="1"/>
  <c r="AA1268" i="1" s="1"/>
  <c r="AA1243" i="1"/>
  <c r="AA1244" i="1" s="1"/>
  <c r="AR1244" i="1" s="1"/>
  <c r="AA1678" i="1"/>
  <c r="AA1679" i="1" s="1"/>
  <c r="W1291" i="1"/>
  <c r="AA1555" i="1"/>
  <c r="AA1556" i="1" s="1"/>
  <c r="AH208" i="1"/>
  <c r="AH209" i="1" s="1"/>
  <c r="AS209" i="1" s="1"/>
  <c r="AH1945" i="1"/>
  <c r="AH1946" i="1" s="1"/>
  <c r="W88" i="1"/>
  <c r="W208" i="1"/>
  <c r="AA593" i="1"/>
  <c r="AA594" i="1" s="1"/>
  <c r="AA809" i="1"/>
  <c r="AA810" i="1" s="1"/>
  <c r="AA353" i="1"/>
  <c r="AA354" i="1" s="1"/>
  <c r="AR354" i="1" s="1"/>
  <c r="W473" i="1"/>
  <c r="W737" i="1"/>
  <c r="AA641" i="1"/>
  <c r="AA642" i="1" s="1"/>
  <c r="AR642" i="1" s="1"/>
  <c r="AH1026" i="1"/>
  <c r="AH1027" i="1" s="1"/>
  <c r="AA1074" i="1"/>
  <c r="AA1075" i="1" s="1"/>
  <c r="AH1654" i="1"/>
  <c r="AH1655" i="1" s="1"/>
  <c r="AA1969" i="1"/>
  <c r="AA1970" i="1" s="1"/>
  <c r="AA2018" i="1"/>
  <c r="AA2019" i="1" s="1"/>
  <c r="AA617" i="1"/>
  <c r="AA618" i="1" s="1"/>
  <c r="AR618" i="1" s="1"/>
  <c r="AA833" i="1"/>
  <c r="AA834" i="1" s="1"/>
  <c r="AA1122" i="1"/>
  <c r="AA1123" i="1" s="1"/>
  <c r="AA1219" i="1"/>
  <c r="AA1220" i="1" s="1"/>
  <c r="AR1220" i="1" s="1"/>
  <c r="W1678" i="1"/>
  <c r="AH1411" i="1"/>
  <c r="AH1412" i="1" s="1"/>
  <c r="AH1871" i="1"/>
  <c r="AH1872" i="1" s="1"/>
  <c r="AA1847" i="1"/>
  <c r="AA1848" i="1" s="1"/>
  <c r="W593" i="1"/>
  <c r="AA665" i="1"/>
  <c r="AA666" i="1" s="1"/>
  <c r="AR666" i="1" s="1"/>
  <c r="AA497" i="1"/>
  <c r="AA498" i="1" s="1"/>
  <c r="W1170" i="1"/>
  <c r="AA929" i="1"/>
  <c r="AA930" i="1" s="1"/>
  <c r="AA1195" i="1"/>
  <c r="AA1196" i="1" s="1"/>
  <c r="AR1196" i="1" s="1"/>
  <c r="AH1507" i="1"/>
  <c r="AH1508" i="1" s="1"/>
  <c r="AA1339" i="1"/>
  <c r="AA1340" i="1" s="1"/>
  <c r="AR1340" i="1" s="1"/>
  <c r="AH1702" i="1"/>
  <c r="AH1703" i="1" s="1"/>
  <c r="AA112" i="1"/>
  <c r="AA113" i="1" s="1"/>
  <c r="AH64" i="1"/>
  <c r="AH65" i="1" s="1"/>
  <c r="AS65" i="1" s="1"/>
  <c r="AA88" i="1"/>
  <c r="AA89" i="1" s="1"/>
  <c r="AR89" i="1" s="1"/>
  <c r="W329" i="1"/>
  <c r="AA425" i="1"/>
  <c r="AA426" i="1" s="1"/>
  <c r="AA978" i="1"/>
  <c r="AA979" i="1" s="1"/>
  <c r="W1050" i="1"/>
  <c r="AA1002" i="1"/>
  <c r="AA1003" i="1" s="1"/>
  <c r="AH1243" i="1"/>
  <c r="AH1244" i="1" s="1"/>
  <c r="AS1244" i="1" s="1"/>
  <c r="AH1291" i="1"/>
  <c r="AH1292" i="1" s="1"/>
  <c r="W1823" i="1"/>
  <c r="AA1993" i="1"/>
  <c r="AA1994" i="1" s="1"/>
  <c r="AH353" i="1"/>
  <c r="AH354" i="1" s="1"/>
  <c r="AS354" i="1" s="1"/>
  <c r="AH809" i="1"/>
  <c r="AH810" i="1" s="1"/>
  <c r="AH305" i="1"/>
  <c r="AH306" i="1" s="1"/>
  <c r="AS306" i="1" s="1"/>
  <c r="AA737" i="1"/>
  <c r="AA738" i="1" s="1"/>
  <c r="W1098" i="1"/>
  <c r="AH1074" i="1"/>
  <c r="AH1075" i="1" s="1"/>
  <c r="AA1483" i="1"/>
  <c r="AA1484" i="1" s="1"/>
  <c r="AH1531" i="1"/>
  <c r="AH1532" i="1" s="1"/>
  <c r="AS1532" i="1" s="1"/>
  <c r="W1654" i="1"/>
  <c r="AA1435" i="1"/>
  <c r="AA1436" i="1" s="1"/>
  <c r="W1969" i="1"/>
  <c r="W2042" i="1"/>
  <c r="W2018" i="1"/>
  <c r="W617" i="1"/>
  <c r="W713" i="1"/>
  <c r="W761" i="1"/>
  <c r="AH1122" i="1"/>
  <c r="AH1123" i="1" s="1"/>
  <c r="AH1363" i="1"/>
  <c r="AH1364" i="1" s="1"/>
  <c r="AA1871" i="1"/>
  <c r="AA1872" i="1" s="1"/>
  <c r="AA1750" i="1"/>
  <c r="AA1751" i="1" s="1"/>
  <c r="AA40" i="1"/>
  <c r="AA41" i="1" s="1"/>
  <c r="AR41" i="1" s="1"/>
  <c r="W233" i="1"/>
  <c r="W569" i="1"/>
  <c r="AA377" i="1"/>
  <c r="AA378" i="1" s="1"/>
  <c r="AA1170" i="1"/>
  <c r="AA1171" i="1" s="1"/>
  <c r="W905" i="1"/>
  <c r="AH857" i="1"/>
  <c r="AH858" i="1" s="1"/>
  <c r="AS858" i="1" s="1"/>
  <c r="AH953" i="1"/>
  <c r="AH954" i="1" s="1"/>
  <c r="AH1195" i="1"/>
  <c r="AH1196" i="1" s="1"/>
  <c r="AS1196" i="1" s="1"/>
  <c r="W112" i="1"/>
  <c r="W184" i="1"/>
  <c r="W641" i="1"/>
  <c r="AH785" i="1"/>
  <c r="AH786" i="1" s="1"/>
  <c r="AS786" i="1" s="1"/>
  <c r="AA1050" i="1"/>
  <c r="AA1051" i="1" s="1"/>
  <c r="AH1002" i="1"/>
  <c r="AH1003" i="1" s="1"/>
  <c r="W1146" i="1"/>
  <c r="AA1531" i="1"/>
  <c r="AA1532" i="1" s="1"/>
  <c r="AR1532" i="1" s="1"/>
  <c r="AA1387" i="1"/>
  <c r="AA1388" i="1" s="1"/>
  <c r="AH1895" i="1"/>
  <c r="AH1896" i="1" s="1"/>
  <c r="AA1291" i="1"/>
  <c r="AA1292" i="1" s="1"/>
  <c r="AH1823" i="1"/>
  <c r="AH1824" i="1" s="1"/>
  <c r="AS1824" i="1" s="1"/>
  <c r="W1993" i="1"/>
  <c r="V1921" i="1"/>
  <c r="P1921" i="1" s="1"/>
  <c r="W1922" i="1"/>
  <c r="AB8" i="12" l="1"/>
  <c r="AF8" i="12" s="1"/>
  <c r="AG8" i="12"/>
  <c r="AH8" i="12"/>
  <c r="Z9" i="12"/>
  <c r="AI8" i="12"/>
  <c r="AR15" i="1"/>
  <c r="AS15" i="1"/>
  <c r="W1316" i="1"/>
  <c r="P1315" i="1"/>
  <c r="P1316" i="1" s="1"/>
  <c r="W546" i="1"/>
  <c r="AQ546" i="1" s="1"/>
  <c r="V881" i="1"/>
  <c r="P881" i="1" s="1"/>
  <c r="V1435" i="1"/>
  <c r="P1435" i="1" s="1"/>
  <c r="W1848" i="1"/>
  <c r="W810" i="1"/>
  <c r="W1582" i="1"/>
  <c r="AQ1582" i="1" s="1"/>
  <c r="V1945" i="1"/>
  <c r="P1945" i="1" s="1"/>
  <c r="AM1945" i="1" s="1"/>
  <c r="W306" i="1"/>
  <c r="AQ306" i="1" s="1"/>
  <c r="V1605" i="1"/>
  <c r="P1605" i="1" s="1"/>
  <c r="V353" i="1"/>
  <c r="P353" i="1" s="1"/>
  <c r="W1630" i="1"/>
  <c r="V1629" i="1"/>
  <c r="P1629" i="1" s="1"/>
  <c r="V2066" i="1"/>
  <c r="P2066" i="1" s="1"/>
  <c r="P2067" i="1" s="1"/>
  <c r="V1726" i="1"/>
  <c r="P1726" i="1" s="1"/>
  <c r="P1727" i="1" s="1"/>
  <c r="W1727" i="1"/>
  <c r="V1799" i="1"/>
  <c r="P1799" i="1" s="1"/>
  <c r="P1800" i="1" s="1"/>
  <c r="P1581" i="1"/>
  <c r="P1582" i="1" s="1"/>
  <c r="AP1582" i="1" s="1"/>
  <c r="W161" i="1"/>
  <c r="AQ161" i="1" s="1"/>
  <c r="V160" i="1"/>
  <c r="P160" i="1" s="1"/>
  <c r="P2090" i="1"/>
  <c r="P2091" i="1" s="1"/>
  <c r="W1460" i="1"/>
  <c r="V1459" i="1"/>
  <c r="P1459" i="1" s="1"/>
  <c r="V1993" i="1"/>
  <c r="P1993" i="1" s="1"/>
  <c r="W1994" i="1"/>
  <c r="W185" i="1"/>
  <c r="AQ185" i="1" s="1"/>
  <c r="V184" i="1"/>
  <c r="P184" i="1" s="1"/>
  <c r="V569" i="1"/>
  <c r="P569" i="1" s="1"/>
  <c r="W570" i="1"/>
  <c r="AQ570" i="1" s="1"/>
  <c r="V1969" i="1"/>
  <c r="P1969" i="1" s="1"/>
  <c r="W1970" i="1"/>
  <c r="W1824" i="1"/>
  <c r="AQ1824" i="1" s="1"/>
  <c r="V1823" i="1"/>
  <c r="P1823" i="1" s="1"/>
  <c r="W1171" i="1"/>
  <c r="V1170" i="1"/>
  <c r="P1170" i="1" s="1"/>
  <c r="W738" i="1"/>
  <c r="V737" i="1"/>
  <c r="P737" i="1" s="1"/>
  <c r="V1291" i="1"/>
  <c r="P1291" i="1" s="1"/>
  <c r="W1292" i="1"/>
  <c r="W930" i="1"/>
  <c r="V929" i="1"/>
  <c r="P929" i="1" s="1"/>
  <c r="W1872" i="1"/>
  <c r="V1871" i="1"/>
  <c r="P1871" i="1" s="1"/>
  <c r="W1775" i="1"/>
  <c r="V1774" i="1"/>
  <c r="P1774" i="1" s="1"/>
  <c r="W1484" i="1"/>
  <c r="V1483" i="1"/>
  <c r="P1483" i="1" s="1"/>
  <c r="V112" i="1"/>
  <c r="W113" i="1"/>
  <c r="W209" i="1"/>
  <c r="AQ209" i="1" s="1"/>
  <c r="V208" i="1"/>
  <c r="P208" i="1" s="1"/>
  <c r="W1003" i="1"/>
  <c r="V1002" i="1"/>
  <c r="P1002" i="1" s="1"/>
  <c r="V257" i="1"/>
  <c r="P257" i="1" s="1"/>
  <c r="W258" i="1"/>
  <c r="AQ258" i="1" s="1"/>
  <c r="V1411" i="1"/>
  <c r="P1411" i="1" s="1"/>
  <c r="W1412" i="1"/>
  <c r="W1556" i="1"/>
  <c r="V1555" i="1"/>
  <c r="P1555" i="1" s="1"/>
  <c r="W786" i="1"/>
  <c r="AQ786" i="1" s="1"/>
  <c r="V785" i="1"/>
  <c r="P785" i="1" s="1"/>
  <c r="W1508" i="1"/>
  <c r="V1507" i="1"/>
  <c r="P1507" i="1" s="1"/>
  <c r="P809" i="1"/>
  <c r="W1147" i="1"/>
  <c r="V1146" i="1"/>
  <c r="P1146" i="1" s="1"/>
  <c r="V641" i="1"/>
  <c r="P641" i="1" s="1"/>
  <c r="W642" i="1"/>
  <c r="AQ642" i="1" s="1"/>
  <c r="W2019" i="1"/>
  <c r="V2018" i="1"/>
  <c r="P2018" i="1" s="1"/>
  <c r="P2019" i="1" s="1"/>
  <c r="W1655" i="1"/>
  <c r="V1654" i="1"/>
  <c r="W1099" i="1"/>
  <c r="V1098" i="1"/>
  <c r="P1098" i="1" s="1"/>
  <c r="W89" i="1"/>
  <c r="AQ89" i="1" s="1"/>
  <c r="AT89" i="1" s="1"/>
  <c r="V88" i="1"/>
  <c r="W979" i="1"/>
  <c r="V978" i="1"/>
  <c r="P978" i="1" s="1"/>
  <c r="V953" i="1"/>
  <c r="P953" i="1" s="1"/>
  <c r="W954" i="1"/>
  <c r="W378" i="1"/>
  <c r="V377" i="1"/>
  <c r="P377" i="1" s="1"/>
  <c r="J2118" i="1"/>
  <c r="S2100" i="1"/>
  <c r="V1750" i="1"/>
  <c r="P1750" i="1" s="1"/>
  <c r="W1751" i="1"/>
  <c r="W1123" i="1"/>
  <c r="V1122" i="1"/>
  <c r="P1122" i="1" s="1"/>
  <c r="W137" i="1"/>
  <c r="AQ137" i="1" s="1"/>
  <c r="AT137" i="1" s="1"/>
  <c r="V136" i="1"/>
  <c r="W1075" i="1"/>
  <c r="V1074" i="1"/>
  <c r="P1074" i="1" s="1"/>
  <c r="V1387" i="1"/>
  <c r="P1387" i="1" s="1"/>
  <c r="W1388" i="1"/>
  <c r="V689" i="1"/>
  <c r="P689" i="1" s="1"/>
  <c r="W690" i="1"/>
  <c r="W1027" i="1"/>
  <c r="V1026" i="1"/>
  <c r="P1026" i="1" s="1"/>
  <c r="P425" i="1"/>
  <c r="P545" i="1"/>
  <c r="V713" i="1"/>
  <c r="P713" i="1" s="1"/>
  <c r="W714" i="1"/>
  <c r="W1051" i="1"/>
  <c r="V1050" i="1"/>
  <c r="P1050" i="1" s="1"/>
  <c r="V449" i="1"/>
  <c r="P449" i="1" s="1"/>
  <c r="W450" i="1"/>
  <c r="AQ450" i="1" s="1"/>
  <c r="V1219" i="1"/>
  <c r="P1219" i="1" s="1"/>
  <c r="W1220" i="1"/>
  <c r="AQ1220" i="1" s="1"/>
  <c r="W1244" i="1"/>
  <c r="AQ1244" i="1" s="1"/>
  <c r="V1243" i="1"/>
  <c r="P1243" i="1" s="1"/>
  <c r="V1339" i="1"/>
  <c r="P1339" i="1" s="1"/>
  <c r="W1340" i="1"/>
  <c r="AQ1340" i="1" s="1"/>
  <c r="W282" i="1"/>
  <c r="V281" i="1"/>
  <c r="P281" i="1" s="1"/>
  <c r="W41" i="1"/>
  <c r="AQ41" i="1" s="1"/>
  <c r="AT41" i="1" s="1"/>
  <c r="V40" i="1"/>
  <c r="V905" i="1"/>
  <c r="P905" i="1" s="1"/>
  <c r="W906" i="1"/>
  <c r="W234" i="1"/>
  <c r="AQ234" i="1" s="1"/>
  <c r="V233" i="1"/>
  <c r="P233" i="1" s="1"/>
  <c r="V617" i="1"/>
  <c r="P617" i="1" s="1"/>
  <c r="W618" i="1"/>
  <c r="AQ618" i="1" s="1"/>
  <c r="V473" i="1"/>
  <c r="P473" i="1" s="1"/>
  <c r="W474" i="1"/>
  <c r="W1196" i="1"/>
  <c r="AQ1196" i="1" s="1"/>
  <c r="V1195" i="1"/>
  <c r="P1195" i="1" s="1"/>
  <c r="V521" i="1"/>
  <c r="P521" i="1" s="1"/>
  <c r="W522" i="1"/>
  <c r="V1267" i="1"/>
  <c r="P1267" i="1" s="1"/>
  <c r="W1268" i="1"/>
  <c r="W1364" i="1"/>
  <c r="V1363" i="1"/>
  <c r="P1363" i="1" s="1"/>
  <c r="V761" i="1"/>
  <c r="P761" i="1" s="1"/>
  <c r="W762" i="1"/>
  <c r="V2042" i="1"/>
  <c r="P2042" i="1" s="1"/>
  <c r="W2043" i="1"/>
  <c r="W330" i="1"/>
  <c r="V329" i="1"/>
  <c r="P329" i="1" s="1"/>
  <c r="V593" i="1"/>
  <c r="P593" i="1" s="1"/>
  <c r="W594" i="1"/>
  <c r="V1678" i="1"/>
  <c r="W1679" i="1"/>
  <c r="V1895" i="1"/>
  <c r="P1895" i="1" s="1"/>
  <c r="W1896" i="1"/>
  <c r="V857" i="1"/>
  <c r="P857" i="1" s="1"/>
  <c r="W858" i="1"/>
  <c r="AQ858" i="1" s="1"/>
  <c r="W666" i="1"/>
  <c r="AQ666" i="1" s="1"/>
  <c r="V665" i="1"/>
  <c r="P665" i="1" s="1"/>
  <c r="AJ2098" i="1"/>
  <c r="AI2098" i="1" s="1"/>
  <c r="AH2098" i="1" s="1"/>
  <c r="AC2098" i="1"/>
  <c r="AB2098" i="1" s="1"/>
  <c r="AA2098" i="1" s="1"/>
  <c r="V2098" i="1"/>
  <c r="W2098" i="1" s="1"/>
  <c r="W834" i="1"/>
  <c r="V833" i="1"/>
  <c r="P833" i="1" s="1"/>
  <c r="V1531" i="1"/>
  <c r="P1531" i="1" s="1"/>
  <c r="W1532" i="1"/>
  <c r="AQ1532" i="1" s="1"/>
  <c r="V401" i="1"/>
  <c r="P401" i="1" s="1"/>
  <c r="W402" i="1"/>
  <c r="W1703" i="1"/>
  <c r="V1702" i="1"/>
  <c r="W498" i="1"/>
  <c r="V497" i="1"/>
  <c r="P497" i="1" s="1"/>
  <c r="V64" i="1"/>
  <c r="W65" i="1"/>
  <c r="AQ65" i="1" s="1"/>
  <c r="AT65" i="1" s="1"/>
  <c r="P1847" i="1"/>
  <c r="P305" i="1"/>
  <c r="P1922" i="1"/>
  <c r="AM1921" i="1"/>
  <c r="K1922" i="1"/>
  <c r="AN1922" i="1" s="1"/>
  <c r="Z10" i="12" l="1"/>
  <c r="AI9" i="12"/>
  <c r="AB9" i="12"/>
  <c r="AF9" i="12" s="1"/>
  <c r="AG9" i="12"/>
  <c r="AH9" i="12"/>
  <c r="K1946" i="1"/>
  <c r="AN1946" i="1" s="1"/>
  <c r="AM2066" i="1"/>
  <c r="K1727" i="1"/>
  <c r="AN1727" i="1" s="1"/>
  <c r="AT1582" i="1"/>
  <c r="AM1315" i="1"/>
  <c r="P1946" i="1"/>
  <c r="K1316" i="1"/>
  <c r="AN1316" i="1" s="1"/>
  <c r="P882" i="1"/>
  <c r="AM881" i="1"/>
  <c r="AM2090" i="1"/>
  <c r="K2067" i="1"/>
  <c r="AN2067" i="1" s="1"/>
  <c r="AM1726" i="1"/>
  <c r="K2091" i="1"/>
  <c r="AN2091" i="1" s="1"/>
  <c r="K882" i="1"/>
  <c r="AN882" i="1" s="1"/>
  <c r="K161" i="1"/>
  <c r="AN161" i="1" s="1"/>
  <c r="P161" i="1"/>
  <c r="AP161" i="1" s="1"/>
  <c r="AT161" i="1" s="1"/>
  <c r="AM160" i="1"/>
  <c r="AM1581" i="1"/>
  <c r="K1582" i="1"/>
  <c r="AN1582" i="1" s="1"/>
  <c r="P1460" i="1"/>
  <c r="AM1459" i="1"/>
  <c r="K1460" i="1"/>
  <c r="AN1460" i="1" s="1"/>
  <c r="AM1799" i="1"/>
  <c r="K1800" i="1"/>
  <c r="AN1800" i="1" s="1"/>
  <c r="K1630" i="1"/>
  <c r="AN1630" i="1" s="1"/>
  <c r="AM1629" i="1"/>
  <c r="P1630" i="1"/>
  <c r="K1896" i="1"/>
  <c r="AN1896" i="1" s="1"/>
  <c r="P1896" i="1"/>
  <c r="AM1895" i="1"/>
  <c r="AM593" i="1"/>
  <c r="P594" i="1"/>
  <c r="K594" i="1"/>
  <c r="AN594" i="1" s="1"/>
  <c r="P2043" i="1"/>
  <c r="AM2042" i="1"/>
  <c r="K2043" i="1"/>
  <c r="AN2043" i="1" s="1"/>
  <c r="K522" i="1"/>
  <c r="AN522" i="1" s="1"/>
  <c r="AM521" i="1"/>
  <c r="P522" i="1"/>
  <c r="AM473" i="1"/>
  <c r="K474" i="1"/>
  <c r="AN474" i="1" s="1"/>
  <c r="P474" i="1"/>
  <c r="AM449" i="1"/>
  <c r="P450" i="1"/>
  <c r="AP450" i="1" s="1"/>
  <c r="AT450" i="1" s="1"/>
  <c r="K450" i="1"/>
  <c r="AN450" i="1" s="1"/>
  <c r="P714" i="1"/>
  <c r="AM713" i="1"/>
  <c r="K714" i="1"/>
  <c r="AN714" i="1" s="1"/>
  <c r="P426" i="1"/>
  <c r="K426" i="1"/>
  <c r="AN426" i="1" s="1"/>
  <c r="AM425" i="1"/>
  <c r="AM953" i="1"/>
  <c r="K954" i="1"/>
  <c r="AN954" i="1" s="1"/>
  <c r="P954" i="1"/>
  <c r="K1484" i="1"/>
  <c r="AN1484" i="1" s="1"/>
  <c r="P1484" i="1"/>
  <c r="AM1483" i="1"/>
  <c r="AM1170" i="1"/>
  <c r="K1171" i="1"/>
  <c r="AN1171" i="1" s="1"/>
  <c r="P1171" i="1"/>
  <c r="K330" i="1"/>
  <c r="AN330" i="1" s="1"/>
  <c r="AM329" i="1"/>
  <c r="P330" i="1"/>
  <c r="P1051" i="1"/>
  <c r="AM1050" i="1"/>
  <c r="K1051" i="1"/>
  <c r="AN1051" i="1" s="1"/>
  <c r="P354" i="1"/>
  <c r="AP354" i="1" s="1"/>
  <c r="AT354" i="1" s="1"/>
  <c r="AM353" i="1"/>
  <c r="K354" i="1"/>
  <c r="AN354" i="1" s="1"/>
  <c r="K1027" i="1"/>
  <c r="AN1027" i="1" s="1"/>
  <c r="AM1026" i="1"/>
  <c r="P1027" i="1"/>
  <c r="P690" i="1"/>
  <c r="AM689" i="1"/>
  <c r="K690" i="1"/>
  <c r="AN690" i="1" s="1"/>
  <c r="AM377" i="1"/>
  <c r="K378" i="1"/>
  <c r="AN378" i="1" s="1"/>
  <c r="P378" i="1"/>
  <c r="AM978" i="1"/>
  <c r="P979" i="1"/>
  <c r="K979" i="1"/>
  <c r="AN979" i="1" s="1"/>
  <c r="K1099" i="1"/>
  <c r="AN1099" i="1" s="1"/>
  <c r="AM1098" i="1"/>
  <c r="P1099" i="1"/>
  <c r="AM2018" i="1"/>
  <c r="K2019" i="1"/>
  <c r="AN2019" i="1" s="1"/>
  <c r="P1147" i="1"/>
  <c r="K1147" i="1"/>
  <c r="AN1147" i="1" s="1"/>
  <c r="AM1146" i="1"/>
  <c r="P1508" i="1"/>
  <c r="K1508" i="1"/>
  <c r="AN1508" i="1" s="1"/>
  <c r="AM1507" i="1"/>
  <c r="AM1555" i="1"/>
  <c r="P1556" i="1"/>
  <c r="K1556" i="1"/>
  <c r="AN1556" i="1" s="1"/>
  <c r="K209" i="1"/>
  <c r="AN209" i="1" s="1"/>
  <c r="AM208" i="1"/>
  <c r="P209" i="1"/>
  <c r="AP209" i="1" s="1"/>
  <c r="AT209" i="1" s="1"/>
  <c r="K1292" i="1"/>
  <c r="AN1292" i="1" s="1"/>
  <c r="P1292" i="1"/>
  <c r="AM1291" i="1"/>
  <c r="K1970" i="1"/>
  <c r="AN1970" i="1" s="1"/>
  <c r="P1970" i="1"/>
  <c r="AM1969" i="1"/>
  <c r="P306" i="1"/>
  <c r="AP306" i="1" s="1"/>
  <c r="AT306" i="1" s="1"/>
  <c r="K306" i="1"/>
  <c r="AN306" i="1" s="1"/>
  <c r="AM305" i="1"/>
  <c r="AM497" i="1"/>
  <c r="P498" i="1"/>
  <c r="K498" i="1"/>
  <c r="AN498" i="1" s="1"/>
  <c r="K834" i="1"/>
  <c r="AN834" i="1" s="1"/>
  <c r="P834" i="1"/>
  <c r="AM833" i="1"/>
  <c r="P858" i="1"/>
  <c r="AP858" i="1" s="1"/>
  <c r="AT858" i="1" s="1"/>
  <c r="AM857" i="1"/>
  <c r="K858" i="1"/>
  <c r="AN858" i="1" s="1"/>
  <c r="AM761" i="1"/>
  <c r="K762" i="1"/>
  <c r="AN762" i="1" s="1"/>
  <c r="P762" i="1"/>
  <c r="AM1267" i="1"/>
  <c r="K1268" i="1"/>
  <c r="AN1268" i="1" s="1"/>
  <c r="P1268" i="1"/>
  <c r="AM617" i="1"/>
  <c r="K618" i="1"/>
  <c r="AN618" i="1" s="1"/>
  <c r="P618" i="1"/>
  <c r="AP618" i="1" s="1"/>
  <c r="AT618" i="1" s="1"/>
  <c r="K906" i="1"/>
  <c r="AN906" i="1" s="1"/>
  <c r="AM905" i="1"/>
  <c r="P906" i="1"/>
  <c r="P1340" i="1"/>
  <c r="AP1340" i="1" s="1"/>
  <c r="AT1340" i="1" s="1"/>
  <c r="K1340" i="1"/>
  <c r="AN1340" i="1" s="1"/>
  <c r="AM1339" i="1"/>
  <c r="K1220" i="1"/>
  <c r="AN1220" i="1" s="1"/>
  <c r="P1220" i="1"/>
  <c r="AP1220" i="1" s="1"/>
  <c r="AT1220" i="1" s="1"/>
  <c r="AM1219" i="1"/>
  <c r="AM1605" i="1"/>
  <c r="P1606" i="1"/>
  <c r="K1606" i="1"/>
  <c r="AN1606" i="1" s="1"/>
  <c r="K1751" i="1"/>
  <c r="AN1751" i="1" s="1"/>
  <c r="P1751" i="1"/>
  <c r="AM1750" i="1"/>
  <c r="AM257" i="1"/>
  <c r="K258" i="1"/>
  <c r="P258" i="1"/>
  <c r="AP258" i="1" s="1"/>
  <c r="AT258" i="1" s="1"/>
  <c r="K1775" i="1"/>
  <c r="AN1775" i="1" s="1"/>
  <c r="P1775" i="1"/>
  <c r="AM1774" i="1"/>
  <c r="AM929" i="1"/>
  <c r="K930" i="1"/>
  <c r="AN930" i="1" s="1"/>
  <c r="P930" i="1"/>
  <c r="AM737" i="1"/>
  <c r="P738" i="1"/>
  <c r="K738" i="1"/>
  <c r="AN738" i="1" s="1"/>
  <c r="AM1823" i="1"/>
  <c r="P1824" i="1"/>
  <c r="AP1824" i="1" s="1"/>
  <c r="AT1824" i="1" s="1"/>
  <c r="K1824" i="1"/>
  <c r="AN1824" i="1" s="1"/>
  <c r="AM641" i="1"/>
  <c r="P642" i="1"/>
  <c r="AP642" i="1" s="1"/>
  <c r="AT642" i="1" s="1"/>
  <c r="K642" i="1"/>
  <c r="AN642" i="1" s="1"/>
  <c r="P810" i="1"/>
  <c r="AM809" i="1"/>
  <c r="K810" i="1"/>
  <c r="AN810" i="1" s="1"/>
  <c r="AM1411" i="1"/>
  <c r="P1412" i="1"/>
  <c r="K1412" i="1"/>
  <c r="AN1412" i="1" s="1"/>
  <c r="AM1871" i="1"/>
  <c r="P1872" i="1"/>
  <c r="K1872" i="1"/>
  <c r="AN1872" i="1" s="1"/>
  <c r="AM184" i="1"/>
  <c r="K185" i="1"/>
  <c r="AN185" i="1" s="1"/>
  <c r="P185" i="1"/>
  <c r="AP185" i="1" s="1"/>
  <c r="AT185" i="1" s="1"/>
  <c r="K1532" i="1"/>
  <c r="AN1532" i="1" s="1"/>
  <c r="AM1531" i="1"/>
  <c r="P1532" i="1"/>
  <c r="AP1532" i="1" s="1"/>
  <c r="AT1532" i="1" s="1"/>
  <c r="AM1195" i="1"/>
  <c r="K1196" i="1"/>
  <c r="AN1196" i="1" s="1"/>
  <c r="P1196" i="1"/>
  <c r="AP1196" i="1" s="1"/>
  <c r="AT1196" i="1" s="1"/>
  <c r="K1848" i="1"/>
  <c r="AN1848" i="1" s="1"/>
  <c r="AM1847" i="1"/>
  <c r="P1848" i="1"/>
  <c r="P402" i="1"/>
  <c r="K402" i="1"/>
  <c r="AN402" i="1" s="1"/>
  <c r="AM401" i="1"/>
  <c r="AM665" i="1"/>
  <c r="K666" i="1"/>
  <c r="AN666" i="1" s="1"/>
  <c r="P666" i="1"/>
  <c r="AP666" i="1" s="1"/>
  <c r="AT666" i="1" s="1"/>
  <c r="K1364" i="1"/>
  <c r="AN1364" i="1" s="1"/>
  <c r="P1364" i="1"/>
  <c r="AM1363" i="1"/>
  <c r="K234" i="1"/>
  <c r="P234" i="1"/>
  <c r="AP234" i="1" s="1"/>
  <c r="AT234" i="1" s="1"/>
  <c r="AM233" i="1"/>
  <c r="K282" i="1"/>
  <c r="AN282" i="1" s="1"/>
  <c r="P282" i="1"/>
  <c r="AM281" i="1"/>
  <c r="AM1243" i="1"/>
  <c r="K1244" i="1"/>
  <c r="AN1244" i="1" s="1"/>
  <c r="P1244" i="1"/>
  <c r="AP1244" i="1" s="1"/>
  <c r="AT1244" i="1" s="1"/>
  <c r="K546" i="1"/>
  <c r="AN546" i="1" s="1"/>
  <c r="AM545" i="1"/>
  <c r="P546" i="1"/>
  <c r="AP546" i="1" s="1"/>
  <c r="AT546" i="1" s="1"/>
  <c r="K1436" i="1"/>
  <c r="AN1436" i="1" s="1"/>
  <c r="P1436" i="1"/>
  <c r="AM1435" i="1"/>
  <c r="P1388" i="1"/>
  <c r="AM1387" i="1"/>
  <c r="K1388" i="1"/>
  <c r="AN1388" i="1" s="1"/>
  <c r="AM1074" i="1"/>
  <c r="P1075" i="1"/>
  <c r="K1075" i="1"/>
  <c r="AN1075" i="1" s="1"/>
  <c r="K1123" i="1"/>
  <c r="AN1123" i="1" s="1"/>
  <c r="P1123" i="1"/>
  <c r="AM1122" i="1"/>
  <c r="AC2100" i="1"/>
  <c r="AB2100" i="1" s="1"/>
  <c r="AA2100" i="1" s="1"/>
  <c r="AA2116" i="1" s="1"/>
  <c r="V2100" i="1"/>
  <c r="W2100" i="1" s="1"/>
  <c r="W2116" i="1" s="1"/>
  <c r="V2116" i="1" s="1"/>
  <c r="AQ2116" i="1" s="1"/>
  <c r="AQ15" i="1" s="1"/>
  <c r="AQ1" i="1" s="1"/>
  <c r="AJ2100" i="1"/>
  <c r="AI2100" i="1" s="1"/>
  <c r="AH2100" i="1" s="1"/>
  <c r="AH2116" i="1" s="1"/>
  <c r="AH2118" i="1" s="1"/>
  <c r="P786" i="1"/>
  <c r="AP786" i="1" s="1"/>
  <c r="AM785" i="1"/>
  <c r="K786" i="1"/>
  <c r="AN786" i="1" s="1"/>
  <c r="K1003" i="1"/>
  <c r="AN1003" i="1" s="1"/>
  <c r="AM1002" i="1"/>
  <c r="P1003" i="1"/>
  <c r="P570" i="1"/>
  <c r="AP570" i="1" s="1"/>
  <c r="AT570" i="1" s="1"/>
  <c r="K570" i="1"/>
  <c r="AN570" i="1" s="1"/>
  <c r="AM569" i="1"/>
  <c r="AM1993" i="1"/>
  <c r="K1994" i="1"/>
  <c r="AN1994" i="1" s="1"/>
  <c r="P1994" i="1"/>
  <c r="AG10" i="12" l="1"/>
  <c r="AB10" i="12"/>
  <c r="AF10" i="12" s="1"/>
  <c r="Z11" i="12"/>
  <c r="AH10" i="12"/>
  <c r="AT786" i="1"/>
  <c r="P2116" i="1"/>
  <c r="AM234" i="1"/>
  <c r="AN234" i="1"/>
  <c r="AM258" i="1"/>
  <c r="AN258" i="1"/>
  <c r="AB11" i="12" l="1"/>
  <c r="AF11" i="12" s="1"/>
  <c r="AG11" i="12"/>
  <c r="Z12" i="12"/>
  <c r="AH11" i="12"/>
  <c r="P2118" i="1"/>
  <c r="K2118" i="1"/>
  <c r="AM2116" i="1"/>
  <c r="AM13" i="1" s="1"/>
  <c r="C9" i="1" s="1"/>
  <c r="AH12" i="12" l="1"/>
  <c r="Z13" i="12"/>
  <c r="AG12" i="12"/>
  <c r="AB12" i="12"/>
  <c r="AF12" i="12" s="1"/>
  <c r="AN2118" i="1"/>
  <c r="AP2118" i="1"/>
  <c r="AP15" i="1" s="1"/>
  <c r="J9" i="1"/>
  <c r="J12" i="1" s="1"/>
  <c r="AM15" i="1" s="1"/>
  <c r="AH13" i="12" l="1"/>
  <c r="AG13" i="12"/>
  <c r="AB13" i="12"/>
  <c r="AF13" i="12" s="1"/>
  <c r="Z14" i="12"/>
  <c r="AV15" i="1"/>
  <c r="AG14" i="12" l="1"/>
  <c r="Z15" i="12"/>
  <c r="AB14" i="12"/>
  <c r="AF14" i="12" s="1"/>
  <c r="AH14" i="12"/>
  <c r="AT15" i="1"/>
  <c r="Z16" i="12" l="1"/>
  <c r="AH15" i="12"/>
  <c r="AB15" i="12"/>
  <c r="AF15" i="12" s="1"/>
  <c r="AG15" i="12"/>
  <c r="Z17" i="12" l="1"/>
  <c r="AH16" i="12"/>
  <c r="AG16" i="12"/>
  <c r="AB16" i="12"/>
  <c r="AF16" i="12" s="1"/>
  <c r="AG17" i="12" l="1"/>
  <c r="AB17" i="12"/>
  <c r="AF17" i="12" s="1"/>
  <c r="Z18" i="12"/>
  <c r="AH17" i="12"/>
  <c r="Z19" i="12" l="1"/>
  <c r="AH18" i="12"/>
  <c r="AG18" i="12"/>
  <c r="AB18" i="12"/>
  <c r="AF18" i="12" s="1"/>
  <c r="C71" i="8"/>
  <c r="Z20" i="12" l="1"/>
  <c r="AH19" i="12"/>
  <c r="AG19" i="12"/>
  <c r="AB19" i="12"/>
  <c r="AF19" i="12" s="1"/>
  <c r="AB20" i="12" l="1"/>
  <c r="AF20" i="12" s="1"/>
  <c r="AG20" i="12"/>
  <c r="AH20" i="12"/>
  <c r="Z21" i="12"/>
  <c r="Z22" i="12" l="1"/>
  <c r="AH21" i="12"/>
  <c r="AB21" i="12"/>
  <c r="AF21" i="12" s="1"/>
  <c r="AG21" i="12"/>
  <c r="AH22" i="12" l="1"/>
  <c r="AG22" i="12"/>
  <c r="AB22" i="12"/>
  <c r="AF22" i="12" s="1"/>
  <c r="AN1" i="14"/>
  <c r="AN2" i="14" l="1"/>
  <c r="AW2" i="14" s="1"/>
  <c r="AP2" i="14"/>
  <c r="AT2" i="14" s="1"/>
  <c r="AV2" i="14" l="1"/>
  <c r="AU2" i="14"/>
  <c r="AN3" i="14"/>
  <c r="AU3" i="14" s="1"/>
  <c r="AW3" i="14" l="1"/>
  <c r="AM2" i="14"/>
  <c r="S2" i="14" s="1"/>
  <c r="AN4" i="14"/>
  <c r="AP3" i="14"/>
  <c r="AT3" i="14" s="1"/>
  <c r="AV3" i="14"/>
  <c r="AU4" i="14" l="1"/>
  <c r="AW4" i="14"/>
  <c r="AV4" i="14"/>
  <c r="AN5" i="14"/>
  <c r="AN6" i="14" s="1"/>
  <c r="AP4" i="14"/>
  <c r="AT4" i="14" s="1"/>
  <c r="AV5" i="14" l="1"/>
  <c r="AW5" i="14"/>
  <c r="AP5" i="14"/>
  <c r="AT5" i="14" s="1"/>
  <c r="AU5" i="14"/>
  <c r="AP6" i="14"/>
  <c r="AT6" i="14" s="1"/>
  <c r="AN7" i="14"/>
  <c r="AV6" i="14"/>
  <c r="AU6" i="14"/>
  <c r="AW7" i="14" l="1"/>
  <c r="AP7" i="14"/>
  <c r="AT7" i="14" s="1"/>
  <c r="AN8" i="14"/>
  <c r="AV7" i="14"/>
  <c r="AU7" i="14"/>
  <c r="AV8" i="14" l="1"/>
  <c r="AN9" i="14"/>
  <c r="AU8" i="14"/>
  <c r="AP8" i="14"/>
  <c r="AT8" i="14" s="1"/>
  <c r="AP9" i="14" l="1"/>
  <c r="AT9" i="14" s="1"/>
  <c r="AN10" i="14"/>
  <c r="AV9" i="14"/>
  <c r="AU9" i="14"/>
  <c r="AW10" i="14" l="1"/>
  <c r="AP10" i="14"/>
  <c r="AT10" i="14" s="1"/>
  <c r="AN11" i="14"/>
  <c r="AU10" i="14"/>
  <c r="AV10" i="14"/>
  <c r="AU11" i="14" l="1"/>
  <c r="AV11" i="14"/>
  <c r="AP11" i="14"/>
  <c r="AT11" i="14" s="1"/>
  <c r="AN12" i="14"/>
  <c r="AU12" i="14" l="1"/>
  <c r="AV12" i="14"/>
  <c r="AP12" i="14"/>
  <c r="AT12" i="14" s="1"/>
  <c r="AN13" i="14"/>
  <c r="AU13" i="14" l="1"/>
  <c r="AV13" i="14"/>
  <c r="AP13" i="14"/>
  <c r="AT13" i="14" s="1"/>
  <c r="AN14" i="14"/>
  <c r="AU14" i="14" l="1"/>
  <c r="AV14" i="14"/>
  <c r="AP14" i="14"/>
  <c r="AT14" i="14" s="1"/>
  <c r="AN15" i="14"/>
  <c r="AU15" i="14" l="1"/>
  <c r="AV15" i="14"/>
  <c r="AP15" i="14"/>
  <c r="AT15" i="14" s="1"/>
  <c r="AN16" i="14"/>
  <c r="AU16" i="14" l="1"/>
  <c r="AV16" i="14"/>
  <c r="AP16" i="14"/>
  <c r="AT16" i="14" s="1"/>
  <c r="AN17" i="14"/>
  <c r="AU17" i="14" l="1"/>
  <c r="AV17" i="14"/>
  <c r="AN18" i="14"/>
  <c r="AP17" i="14"/>
  <c r="AT17" i="14" s="1"/>
  <c r="AU18" i="14" l="1"/>
  <c r="AV18" i="14"/>
  <c r="AP18" i="14"/>
  <c r="AT18" i="14" s="1"/>
  <c r="AN19" i="14"/>
  <c r="AU19" i="14" l="1"/>
  <c r="AV19" i="14"/>
  <c r="AN20" i="14"/>
  <c r="AP19" i="14"/>
  <c r="AT19" i="14" s="1"/>
  <c r="AU20" i="14" l="1"/>
  <c r="AV20" i="14"/>
  <c r="AP20" i="14"/>
  <c r="AT20" i="14" s="1"/>
  <c r="AN21" i="14"/>
  <c r="AU21" i="14" l="1"/>
  <c r="AV21" i="14"/>
  <c r="AN22" i="14"/>
  <c r="W1" i="18" s="1"/>
  <c r="AP21" i="14"/>
  <c r="AT21" i="14" s="1"/>
  <c r="W2" i="18" l="1"/>
  <c r="AF2" i="18" s="1"/>
  <c r="AU22" i="14"/>
  <c r="AV22" i="14"/>
  <c r="AP22" i="14"/>
  <c r="AT22" i="14" s="1"/>
  <c r="AE2" i="18" l="1"/>
  <c r="Y2" i="18"/>
  <c r="AC2" i="18" s="1"/>
  <c r="W3" i="18"/>
  <c r="AF3" i="18" s="1"/>
  <c r="AD2" i="18"/>
  <c r="G3" i="8"/>
  <c r="AE3" i="18" l="1"/>
  <c r="Y3" i="18"/>
  <c r="AC3" i="18" s="1"/>
  <c r="V2" i="18"/>
  <c r="AD3" i="18"/>
  <c r="W4" i="18"/>
  <c r="AF4" i="18" s="1"/>
  <c r="F3" i="8"/>
  <c r="I7" i="8" s="1"/>
  <c r="AE4" i="18" l="1"/>
  <c r="V3" i="18"/>
  <c r="Y4" i="18"/>
  <c r="AC4" i="18" s="1"/>
  <c r="AD4" i="18"/>
  <c r="W5" i="18"/>
  <c r="AF5" i="18" s="1"/>
  <c r="B28" i="6"/>
  <c r="E7" i="6"/>
  <c r="F23" i="6" s="1"/>
  <c r="AE5" i="18" l="1"/>
  <c r="Y5" i="18"/>
  <c r="AC5" i="18" s="1"/>
  <c r="V4" i="18"/>
  <c r="AD5" i="18"/>
  <c r="W6" i="18"/>
  <c r="AF6" i="18" s="1"/>
  <c r="B27" i="6"/>
  <c r="K7" i="6"/>
  <c r="E8" i="6"/>
  <c r="E9" i="6"/>
  <c r="I7" i="6"/>
  <c r="M7" i="6"/>
  <c r="E10" i="6"/>
  <c r="B14" i="6"/>
  <c r="AE6" i="18" l="1"/>
  <c r="S20" i="6"/>
  <c r="S21" i="6"/>
  <c r="Y6" i="18"/>
  <c r="AC6" i="18" s="1"/>
  <c r="V5" i="18"/>
  <c r="AD6" i="18"/>
  <c r="W7" i="18"/>
  <c r="AF7" i="18" s="1"/>
  <c r="S22" i="6"/>
  <c r="S19" i="6"/>
  <c r="S18" i="6"/>
  <c r="S17" i="6"/>
  <c r="E6" i="6"/>
  <c r="L20" i="6" s="1"/>
  <c r="L18" i="6" s="1"/>
  <c r="N7" i="6"/>
  <c r="O7" i="6" s="1"/>
  <c r="K9" i="6"/>
  <c r="M9" i="6"/>
  <c r="B16" i="6"/>
  <c r="I9" i="6"/>
  <c r="K10" i="6"/>
  <c r="M10" i="6"/>
  <c r="B17" i="6"/>
  <c r="I10" i="6"/>
  <c r="M8" i="6"/>
  <c r="I8" i="6"/>
  <c r="K8" i="6"/>
  <c r="B15" i="6"/>
  <c r="AE7" i="18" l="1"/>
  <c r="V6" i="18"/>
  <c r="Y7" i="18"/>
  <c r="AC7" i="18" s="1"/>
  <c r="AD7" i="18"/>
  <c r="W8" i="18"/>
  <c r="AF8" i="18" s="1"/>
  <c r="B13" i="6"/>
  <c r="B8" i="6"/>
  <c r="B7" i="6" s="1"/>
  <c r="N9" i="6"/>
  <c r="O9" i="6" s="1"/>
  <c r="N8" i="6"/>
  <c r="O8" i="6" s="1"/>
  <c r="N10" i="6"/>
  <c r="O10" i="6" s="1"/>
  <c r="G13" i="6"/>
  <c r="G12" i="6"/>
  <c r="G11" i="6"/>
  <c r="G7" i="6"/>
  <c r="AE8" i="18" l="1"/>
  <c r="Y8" i="18"/>
  <c r="AC8" i="18" s="1"/>
  <c r="V7" i="18"/>
  <c r="AD8" i="18"/>
  <c r="W9" i="18"/>
  <c r="AF9" i="18" s="1"/>
  <c r="O14" i="6"/>
  <c r="N14" i="6"/>
  <c r="B1" i="6"/>
  <c r="B3" i="6"/>
  <c r="B2" i="6"/>
  <c r="AE9" i="18" l="1"/>
  <c r="Y9" i="18"/>
  <c r="AC9" i="18" s="1"/>
  <c r="V8" i="18"/>
  <c r="AD9" i="18"/>
  <c r="W10" i="18"/>
  <c r="AF10" i="18" s="1"/>
  <c r="C1" i="6"/>
  <c r="M20" i="6"/>
  <c r="M18" i="6" s="1"/>
  <c r="N18" i="6" s="1"/>
  <c r="AM3" i="14"/>
  <c r="S3" i="14" s="1"/>
  <c r="AE10" i="18" l="1"/>
  <c r="Y10" i="18"/>
  <c r="AC10" i="18" s="1"/>
  <c r="V9" i="18"/>
  <c r="AD10" i="18"/>
  <c r="W11" i="18"/>
  <c r="AF11" i="18" s="1"/>
  <c r="AE11" i="18" l="1"/>
  <c r="Y11" i="18"/>
  <c r="AC11" i="18" s="1"/>
  <c r="V10" i="18"/>
  <c r="AD11" i="18"/>
  <c r="W12" i="18"/>
  <c r="AF12" i="18" s="1"/>
  <c r="AE12" i="18" l="1"/>
  <c r="V11" i="18"/>
  <c r="Y12" i="18"/>
  <c r="AC12" i="18" s="1"/>
  <c r="V12" i="18" s="1"/>
  <c r="AD12" i="18"/>
  <c r="W13" i="18"/>
  <c r="AF13" i="18" s="1"/>
  <c r="AE13" i="18" l="1"/>
  <c r="Y13" i="18"/>
  <c r="AC13" i="18" s="1"/>
  <c r="AD13" i="18"/>
  <c r="W14" i="18"/>
  <c r="AF14" i="18" s="1"/>
  <c r="AM4" i="14"/>
  <c r="S4" i="14" s="1"/>
  <c r="AM5" i="14"/>
  <c r="S5" i="14" s="1"/>
  <c r="AE14" i="18" l="1"/>
  <c r="Y14" i="18"/>
  <c r="AC14" i="18" s="1"/>
  <c r="V13" i="18"/>
  <c r="AD14" i="18"/>
  <c r="W15" i="18"/>
  <c r="AF15" i="18" s="1"/>
  <c r="X5" i="6"/>
  <c r="AE15" i="18" l="1"/>
  <c r="Y15" i="18"/>
  <c r="AC15" i="18" s="1"/>
  <c r="V14" i="18"/>
  <c r="AD15" i="18"/>
  <c r="W16" i="18"/>
  <c r="AF16" i="18" s="1"/>
  <c r="AE16" i="18" l="1"/>
  <c r="Y16" i="18"/>
  <c r="AC16" i="18" s="1"/>
  <c r="V15" i="18"/>
  <c r="X6" i="6" s="1"/>
  <c r="AD16" i="18"/>
  <c r="W17" i="18"/>
  <c r="AF17" i="18" s="1"/>
  <c r="AD17" i="18" l="1"/>
  <c r="AC17" i="18"/>
  <c r="W18" i="18"/>
  <c r="AF18" i="18" s="1"/>
  <c r="AD18" i="18" l="1"/>
  <c r="AC18" i="18"/>
  <c r="W19" i="18"/>
  <c r="AF19" i="18" s="1"/>
  <c r="AD19" i="18" l="1"/>
  <c r="AC19" i="18"/>
  <c r="W20" i="18"/>
  <c r="AF20" i="18" s="1"/>
  <c r="AD20" i="18" l="1"/>
  <c r="AC20" i="18"/>
  <c r="W21" i="18"/>
  <c r="AF21" i="18" s="1"/>
  <c r="AD21" i="18" l="1"/>
  <c r="AC21" i="18"/>
  <c r="W22" i="18"/>
  <c r="AF22" i="18" s="1"/>
  <c r="O1" i="20" l="1"/>
  <c r="O2" i="20" s="1"/>
  <c r="AD22" i="18"/>
  <c r="AC22" i="18"/>
  <c r="O3" i="20" l="1"/>
  <c r="V2" i="20"/>
  <c r="Q2" i="20"/>
  <c r="U2" i="20" s="1"/>
  <c r="O4" i="20" l="1"/>
  <c r="V3" i="20"/>
  <c r="Q3" i="20"/>
  <c r="U3" i="20" s="1"/>
  <c r="N3" i="20" s="1"/>
  <c r="O5" i="20" l="1"/>
  <c r="V4" i="20"/>
  <c r="Q4" i="20"/>
  <c r="U4" i="20" s="1"/>
  <c r="N4" i="20" s="1"/>
  <c r="W5" i="20" l="1"/>
  <c r="Q5" i="20"/>
  <c r="U5" i="20" s="1"/>
  <c r="O6" i="20"/>
  <c r="V5" i="20"/>
  <c r="N5" i="20" s="1"/>
  <c r="W6" i="20" l="1"/>
  <c r="Q6" i="20"/>
  <c r="U6" i="20" s="1"/>
  <c r="O7" i="20"/>
  <c r="V6" i="20"/>
  <c r="O8" i="20" l="1"/>
  <c r="V7" i="20"/>
  <c r="W7" i="20"/>
  <c r="Q7" i="20"/>
  <c r="U7" i="20" s="1"/>
  <c r="W8" i="20" l="1"/>
  <c r="O9" i="20"/>
  <c r="V8" i="20"/>
  <c r="Q8" i="20"/>
  <c r="U8" i="20" s="1"/>
  <c r="N8" i="20" s="1"/>
  <c r="Q9" i="20" l="1"/>
  <c r="U9" i="20" s="1"/>
  <c r="O10" i="20"/>
  <c r="W9" i="20"/>
  <c r="V9" i="20"/>
  <c r="Q10" i="20" l="1"/>
  <c r="U10" i="20" s="1"/>
  <c r="N10" i="20" s="1"/>
  <c r="X7" i="6" s="1"/>
  <c r="O11" i="20"/>
  <c r="W10" i="20"/>
  <c r="V10" i="20"/>
  <c r="O12" i="20" l="1"/>
  <c r="V11" i="20"/>
  <c r="V12" i="20" l="1"/>
  <c r="O13" i="20"/>
  <c r="V13" i="20" l="1"/>
  <c r="O14" i="20"/>
  <c r="V14" i="20" l="1"/>
  <c r="O15" i="20"/>
  <c r="V15" i="20" l="1"/>
  <c r="O16" i="20"/>
  <c r="O17" i="20" l="1"/>
  <c r="V16" i="20"/>
  <c r="V17" i="20" l="1"/>
  <c r="O18" i="20"/>
  <c r="O19" i="20" l="1"/>
  <c r="V18" i="20"/>
  <c r="V19" i="20" l="1"/>
  <c r="O20" i="20"/>
  <c r="O21" i="20" l="1"/>
  <c r="V20" i="20"/>
  <c r="V21" i="20" l="1"/>
  <c r="O22" i="20"/>
  <c r="AG1" i="8" l="1"/>
  <c r="V22" i="20"/>
  <c r="AG2" i="8" l="1"/>
  <c r="AQ2" i="8" l="1"/>
  <c r="AG3" i="8"/>
  <c r="AQ3" i="8" l="1"/>
  <c r="AG4" i="8"/>
  <c r="AQ4" i="8" l="1"/>
  <c r="AG5" i="8"/>
  <c r="AQ5" i="8" l="1"/>
  <c r="AG6" i="8"/>
  <c r="AQ6" i="8" l="1"/>
  <c r="AG7" i="8"/>
  <c r="AQ7" i="8" l="1"/>
  <c r="AG8" i="8"/>
  <c r="AQ8" i="8" l="1"/>
  <c r="AG9" i="8"/>
  <c r="AQ9" i="8" l="1"/>
  <c r="AG10" i="8"/>
  <c r="AQ10" i="8" l="1"/>
  <c r="AG11" i="8"/>
  <c r="AQ11" i="8" l="1"/>
  <c r="AG12" i="8"/>
  <c r="AG13" i="8" s="1"/>
  <c r="AG14" i="8" s="1"/>
  <c r="AQ12" i="8" l="1"/>
  <c r="AQ14" i="8"/>
  <c r="AE1" i="8"/>
  <c r="W8" i="6" s="1"/>
  <c r="X8" i="6" l="1"/>
  <c r="X1" i="6" s="1"/>
  <c r="H1" i="6" s="1"/>
  <c r="AE2" i="20"/>
  <c r="D139" i="6" s="1"/>
  <c r="AE4" i="20"/>
  <c r="D141" i="6" s="1"/>
  <c r="AE21" i="20"/>
  <c r="D158" i="6" s="1"/>
  <c r="AE14" i="20"/>
  <c r="D151" i="6" s="1"/>
  <c r="AE6" i="20"/>
  <c r="D143" i="6" s="1"/>
  <c r="AE11" i="20"/>
  <c r="D148" i="6" s="1"/>
  <c r="AE22" i="20"/>
  <c r="D159" i="6" s="1"/>
  <c r="AE19" i="20"/>
  <c r="D156" i="6" s="1"/>
  <c r="AE16" i="20"/>
  <c r="D153" i="6" s="1"/>
  <c r="AE13" i="20"/>
  <c r="D150" i="6" s="1"/>
  <c r="AE17" i="20"/>
  <c r="D154" i="6" s="1"/>
  <c r="AE5" i="20"/>
  <c r="D142" i="6" s="1"/>
  <c r="AE15" i="20"/>
  <c r="D152" i="6" s="1"/>
  <c r="AE9" i="20"/>
  <c r="D146" i="6" s="1"/>
  <c r="AE8" i="20"/>
  <c r="D145" i="6" s="1"/>
  <c r="AE18" i="20"/>
  <c r="D155" i="6" s="1"/>
  <c r="AE3" i="20"/>
  <c r="D140" i="6" s="1"/>
  <c r="AE10" i="20"/>
  <c r="D147" i="6" s="1"/>
  <c r="AE7" i="20"/>
  <c r="D144" i="6" s="1"/>
  <c r="AE12" i="20"/>
  <c r="D149" i="6" s="1"/>
  <c r="AE20" i="20"/>
  <c r="D157" i="6" s="1"/>
</calcChain>
</file>

<file path=xl/sharedStrings.xml><?xml version="1.0" encoding="utf-8"?>
<sst xmlns="http://schemas.openxmlformats.org/spreadsheetml/2006/main" count="14978" uniqueCount="1350">
  <si>
    <t>QTY</t>
  </si>
  <si>
    <t>Supply and install</t>
  </si>
  <si>
    <t>flush mounted junction box</t>
  </si>
  <si>
    <t>MSSBs</t>
  </si>
  <si>
    <t>Major component ( included in cover letter description). Note as excluded/supply only/install at end only where not supply and install</t>
  </si>
  <si>
    <t>Minor Components or internal notes ( not shown in cover letter)</t>
  </si>
  <si>
    <t>one</t>
  </si>
  <si>
    <t>two</t>
  </si>
  <si>
    <t>three</t>
  </si>
  <si>
    <t>four</t>
  </si>
  <si>
    <t>five</t>
  </si>
  <si>
    <t>six</t>
  </si>
  <si>
    <t>seven</t>
  </si>
  <si>
    <t>eight</t>
  </si>
  <si>
    <t>nine</t>
  </si>
  <si>
    <t>ten</t>
  </si>
  <si>
    <t>eleven</t>
  </si>
  <si>
    <t>twelve</t>
  </si>
  <si>
    <t>thirteen</t>
  </si>
  <si>
    <t>fourteen</t>
  </si>
  <si>
    <t>fifteen</t>
  </si>
  <si>
    <t>sixteen</t>
  </si>
  <si>
    <t>seventeen</t>
  </si>
  <si>
    <t>eighteen</t>
  </si>
  <si>
    <t>nineteen</t>
  </si>
  <si>
    <t>twenty</t>
  </si>
  <si>
    <t>twenty-one</t>
  </si>
  <si>
    <t>twenty-two</t>
  </si>
  <si>
    <t>twenty-three</t>
  </si>
  <si>
    <t>twenty-four</t>
  </si>
  <si>
    <t>twenty-five</t>
  </si>
  <si>
    <t>twenty-six</t>
  </si>
  <si>
    <t>twenty-seven</t>
  </si>
  <si>
    <t>twenty-eight</t>
  </si>
  <si>
    <t>twenty-nine</t>
  </si>
  <si>
    <t>thirty</t>
  </si>
  <si>
    <t>thirty-one</t>
  </si>
  <si>
    <t>thirty-two</t>
  </si>
  <si>
    <t>thirty-three</t>
  </si>
  <si>
    <t>thirty-four</t>
  </si>
  <si>
    <t>thirty-five</t>
  </si>
  <si>
    <t>thirty-six</t>
  </si>
  <si>
    <t>thirty-seven</t>
  </si>
  <si>
    <t>thirty-eight</t>
  </si>
  <si>
    <t>thirty-nine</t>
  </si>
  <si>
    <t>forty</t>
  </si>
  <si>
    <t>forty-one</t>
  </si>
  <si>
    <t>forty-two</t>
  </si>
  <si>
    <t>forty-three</t>
  </si>
  <si>
    <t>forty-four</t>
  </si>
  <si>
    <t>forty-five</t>
  </si>
  <si>
    <t>forty-six</t>
  </si>
  <si>
    <t>forty-seven</t>
  </si>
  <si>
    <t>forty-eight</t>
  </si>
  <si>
    <t>forty-nine</t>
  </si>
  <si>
    <t>fifty</t>
  </si>
  <si>
    <t>fifty-one</t>
  </si>
  <si>
    <t>fifty-two</t>
  </si>
  <si>
    <t>fifty-three</t>
  </si>
  <si>
    <t>fifty-four</t>
  </si>
  <si>
    <t>fifty-five</t>
  </si>
  <si>
    <t>fifty-six</t>
  </si>
  <si>
    <t>fifty-seven</t>
  </si>
  <si>
    <t>fifty-eight</t>
  </si>
  <si>
    <t>fifty-nine</t>
  </si>
  <si>
    <t>sixty</t>
  </si>
  <si>
    <t>sixty-one</t>
  </si>
  <si>
    <t>sixty-two</t>
  </si>
  <si>
    <t>sixty-three</t>
  </si>
  <si>
    <t>sixty-four</t>
  </si>
  <si>
    <t>sixty-five</t>
  </si>
  <si>
    <t>sixty-six</t>
  </si>
  <si>
    <t>sixty-seven</t>
  </si>
  <si>
    <t>sixty-eight</t>
  </si>
  <si>
    <t>sixty-nine</t>
  </si>
  <si>
    <t>seventy</t>
  </si>
  <si>
    <t>seventy-one</t>
  </si>
  <si>
    <t>seventy-two</t>
  </si>
  <si>
    <t>seventy-three</t>
  </si>
  <si>
    <t>seventy-four</t>
  </si>
  <si>
    <t>seventy-five</t>
  </si>
  <si>
    <t>seventy-six</t>
  </si>
  <si>
    <t>seventy-seven</t>
  </si>
  <si>
    <t>seventy-eight</t>
  </si>
  <si>
    <t>seventy-nine</t>
  </si>
  <si>
    <t>eighty</t>
  </si>
  <si>
    <t>eighty-one</t>
  </si>
  <si>
    <t>eighty-two</t>
  </si>
  <si>
    <t>eighty-three</t>
  </si>
  <si>
    <t>eighty-four</t>
  </si>
  <si>
    <t>eighty-five</t>
  </si>
  <si>
    <t>eighty-six</t>
  </si>
  <si>
    <t>eighty-seven</t>
  </si>
  <si>
    <t>eighty-eight</t>
  </si>
  <si>
    <t>eighty-nine</t>
  </si>
  <si>
    <t>ninety</t>
  </si>
  <si>
    <t>ninety-one</t>
  </si>
  <si>
    <t>ninety-two</t>
  </si>
  <si>
    <t>ninety-three</t>
  </si>
  <si>
    <t>ninety-four</t>
  </si>
  <si>
    <t>ninety-five</t>
  </si>
  <si>
    <t>ninety-six</t>
  </si>
  <si>
    <t>ninety-seven</t>
  </si>
  <si>
    <t>ninety-eight</t>
  </si>
  <si>
    <t>ninety-nine</t>
  </si>
  <si>
    <t>one hundred</t>
  </si>
  <si>
    <t>Zero</t>
  </si>
  <si>
    <t>Number off systems</t>
  </si>
  <si>
    <t>System Description</t>
  </si>
  <si>
    <t>Labour hrs ( per item)</t>
  </si>
  <si>
    <t>A: Labour cost (per item)</t>
  </si>
  <si>
    <t>B: Materials cost per item</t>
  </si>
  <si>
    <t>Labour cost per hr</t>
  </si>
  <si>
    <t>Item 1</t>
  </si>
  <si>
    <t>Item 2</t>
  </si>
  <si>
    <t>Item 3</t>
  </si>
  <si>
    <t>Item 4</t>
  </si>
  <si>
    <t>Item 5</t>
  </si>
  <si>
    <t>Item 6</t>
  </si>
  <si>
    <t>Item 7</t>
  </si>
  <si>
    <t>Item 8</t>
  </si>
  <si>
    <t>Item 9</t>
  </si>
  <si>
    <t>Item 10</t>
  </si>
  <si>
    <t>Item 11</t>
  </si>
  <si>
    <t>Item 12</t>
  </si>
  <si>
    <t>Item 13</t>
  </si>
  <si>
    <t>Item 14</t>
  </si>
  <si>
    <t>Item 15</t>
  </si>
  <si>
    <t>Item 16</t>
  </si>
  <si>
    <t>Item 17</t>
  </si>
  <si>
    <t>Item 18</t>
  </si>
  <si>
    <t>Item 19</t>
  </si>
  <si>
    <t>Item 20</t>
  </si>
  <si>
    <t>Electrical power supply to</t>
  </si>
  <si>
    <t>cabling and conduit fom MSSB</t>
  </si>
  <si>
    <t>and local isolator.</t>
  </si>
  <si>
    <t xml:space="preserve">cabling and conduit fom MSSB </t>
  </si>
  <si>
    <t>Ducted VRF fan coil units</t>
  </si>
  <si>
    <t>Electrical power supply and controls cabling to</t>
  </si>
  <si>
    <t>one hundred and thirty six</t>
  </si>
  <si>
    <t xml:space="preserve">controls cabling, </t>
  </si>
  <si>
    <t>and local power isolator.</t>
  </si>
  <si>
    <t>and install only of branch connector boxes interconnect cabling.</t>
  </si>
  <si>
    <t xml:space="preserve">power cabling and conduit fom outdoor unit </t>
  </si>
  <si>
    <t xml:space="preserve">Each sytem includes install only of  proprietory controller </t>
  </si>
  <si>
    <t>one hundred and thirty</t>
  </si>
  <si>
    <t>interconnect controls and power cabling between indoor and outdoor unit,</t>
  </si>
  <si>
    <t xml:space="preserve">and local isolator for outdoor unit. </t>
  </si>
  <si>
    <t>single split systems</t>
  </si>
  <si>
    <t xml:space="preserve"> power cabling and conduit fom MSSB /ILU-DB to outdoor unit </t>
  </si>
  <si>
    <t>continuously running fans</t>
  </si>
  <si>
    <t xml:space="preserve">circuit breaker, </t>
  </si>
  <si>
    <t xml:space="preserve">Electrical power supply for </t>
  </si>
  <si>
    <t>timeclock controlled fans</t>
  </si>
  <si>
    <t xml:space="preserve">Electrical power supply and controls for </t>
  </si>
  <si>
    <t xml:space="preserve">timeclock controller, </t>
  </si>
  <si>
    <t xml:space="preserve">control contacts, </t>
  </si>
  <si>
    <t>fans with local on/off control</t>
  </si>
  <si>
    <t xml:space="preserve">local switch ( complete with indication light, cabeling to MSSB and label), </t>
  </si>
  <si>
    <t>two speed fans with push button boost to high speed</t>
  </si>
  <si>
    <t>cabling and conduit fom MSSB for both speeds</t>
  </si>
  <si>
    <t xml:space="preserve">local switch ( complete with pushbutton, cabeling to MSSB and label), </t>
  </si>
  <si>
    <t xml:space="preserve">circuit breakers, </t>
  </si>
  <si>
    <t xml:space="preserve">control contacts/relays, </t>
  </si>
  <si>
    <t>kitchen/café canopy exhaust fans</t>
  </si>
  <si>
    <t xml:space="preserve">LO/OFF/HI local switch ( complete with run light , cabeling to MSSB and label), </t>
  </si>
  <si>
    <t xml:space="preserve">cabling and conduit fom MSSB for both speeds </t>
  </si>
  <si>
    <t>local thermostat</t>
  </si>
  <si>
    <t>thermostat controlled fan</t>
  </si>
  <si>
    <t>dryer enclosure fan</t>
  </si>
  <si>
    <t>flowsitch</t>
  </si>
  <si>
    <t>This includes interface controls and cabling to gas solenoid valve</t>
  </si>
  <si>
    <t>2 speed kitchen/cafe canopy supply fan</t>
  </si>
  <si>
    <t>interlock with kitchen/canopy exhaust fan but with fire shutdown</t>
  </si>
  <si>
    <t>supply fans interlocked with airconditioning</t>
  </si>
  <si>
    <t>interlock cabling and controls with AC indoor unit</t>
  </si>
  <si>
    <t>This excludes supply and installation of AC manufacturers interface card where required.</t>
  </si>
  <si>
    <t>timeclock controlled energy recovery ventilators</t>
  </si>
  <si>
    <t xml:space="preserve">Electrical power supply and controls cabling for </t>
  </si>
  <si>
    <t>central airconditioning controllers</t>
  </si>
  <si>
    <t>interconnect controls cabling</t>
  </si>
  <si>
    <t xml:space="preserve">power supply fom MSSB, </t>
  </si>
  <si>
    <t>and display install</t>
  </si>
  <si>
    <t>This excludes supply or commissioning od central controller.</t>
  </si>
  <si>
    <t>flush mounted junction box (1 per apartment)</t>
  </si>
  <si>
    <t>Note we exclude AC interface card for window reed switches interface</t>
  </si>
  <si>
    <t>and controls cabling.</t>
  </si>
  <si>
    <t>Typical apartment AC window interlocks ( no time delay)</t>
  </si>
  <si>
    <t>Common area door-AC interlocks ( with time delay)</t>
  </si>
  <si>
    <t xml:space="preserve">reed switch integrated into door frame,  </t>
  </si>
  <si>
    <t>delay timer</t>
  </si>
  <si>
    <t>flush mounted junction box,</t>
  </si>
  <si>
    <t xml:space="preserve">micro switch integrated into window frame,  </t>
  </si>
  <si>
    <t>common area window-AC interlocks ( no time delay)</t>
  </si>
  <si>
    <t>cold/freezer rooms</t>
  </si>
  <si>
    <t>Electrical services for</t>
  </si>
  <si>
    <t>For the freezer room(only), installation will include two powersupply circuits for underfloor heating.</t>
  </si>
  <si>
    <t>light switch complete with illuminated lamp</t>
  </si>
  <si>
    <t xml:space="preserve">internal lighting ( spec 12.10.2) </t>
  </si>
  <si>
    <t xml:space="preserve">and LED lighting to illuminate shelving behing insert doors (spec 12.3.6). </t>
  </si>
  <si>
    <t>Note: Powersupply for  room and  shelving lighting to be plovided in a junction box by electrical trade). Underfloor and door heating elements by others.</t>
  </si>
  <si>
    <t>For the freezer room(only), installation will include powersupply for the door heater.</t>
  </si>
  <si>
    <t>powersupply from MSSB to evaporator (including CB, contactors, wiring and local isolator)</t>
  </si>
  <si>
    <t>Installation (only) of refrigeration controller ( including power supply and interconnect controls cabling)</t>
  </si>
  <si>
    <t>Installation (only) of temperature probe</t>
  </si>
  <si>
    <t>Commissioning of control panel and refrigeration systems is excluded.</t>
  </si>
  <si>
    <t>Supply of heaters is excluded.</t>
  </si>
  <si>
    <t>For freezer, installation includes proximity switch for freezer door ( spec 15.9.2)</t>
  </si>
  <si>
    <t>powersupply from MSSB to condenser set (including CB, contactors, wiring and local isolator),</t>
  </si>
  <si>
    <t>For freezer, installation includes powersupply from MSSB to evaporator heaters (including CB, contactors, wiring and local isolator)</t>
  </si>
  <si>
    <t>Mechanical services switchboard</t>
  </si>
  <si>
    <t>Main Isolators - E</t>
  </si>
  <si>
    <t>contactors</t>
  </si>
  <si>
    <t>circuit breakers</t>
  </si>
  <si>
    <t>busbar and wiring</t>
  </si>
  <si>
    <t>thermographic test</t>
  </si>
  <si>
    <t>Note: Lamps and Auto/Off/Manual switches are excluded.</t>
  </si>
  <si>
    <t>Gas solenoid interlock is excluded.</t>
  </si>
  <si>
    <t xml:space="preserve">Supply only of reed switch to be integrated into window frame by builders trade (2 per apartment), </t>
  </si>
  <si>
    <t>freezer refrigeration systems</t>
  </si>
  <si>
    <t>VRF cassettes</t>
  </si>
  <si>
    <t>Mech Elect Install Labour</t>
  </si>
  <si>
    <t>CU Unit Roof (or Ground) VRF</t>
  </si>
  <si>
    <t xml:space="preserve">Install of Cable tray </t>
  </si>
  <si>
    <t>Cassette VRF to CU</t>
  </si>
  <si>
    <t>Wall VRF Indoor to CU</t>
  </si>
  <si>
    <t xml:space="preserve">Branch Box for Heat Recovery </t>
  </si>
  <si>
    <t>Room VRF to Room DB</t>
  </si>
  <si>
    <t xml:space="preserve">Install Catenery </t>
  </si>
  <si>
    <t>Install Catenery set out</t>
  </si>
  <si>
    <t>Wall Controller VRF</t>
  </si>
  <si>
    <t xml:space="preserve">Wall controller Dx </t>
  </si>
  <si>
    <t xml:space="preserve">Contactors </t>
  </si>
  <si>
    <t>per DOL Fan</t>
  </si>
  <si>
    <t>Wall plate to fan OnOff or two speed</t>
  </si>
  <si>
    <t>per VSD Fan</t>
  </si>
  <si>
    <t>per MSSB</t>
  </si>
  <si>
    <t>per door or windor reed</t>
  </si>
  <si>
    <t>Cold room or freeser room</t>
  </si>
  <si>
    <t>VRF Network</t>
  </si>
  <si>
    <t>OAF feed from associated AC</t>
  </si>
  <si>
    <t>co sensor</t>
  </si>
  <si>
    <t>Control panel</t>
  </si>
  <si>
    <t>Feed to MSSB from MSB</t>
  </si>
  <si>
    <t xml:space="preserve">Mech Elect Install Hardware </t>
  </si>
  <si>
    <t>3 phase isolator 63A WP363</t>
  </si>
  <si>
    <t>RCDBO 10A + GPO Din Mtg</t>
  </si>
  <si>
    <t>1 phase isolator  WP135</t>
  </si>
  <si>
    <t>Eureka  60 Pole 400A MS</t>
  </si>
  <si>
    <t>MBO06530 600 x 500 Enclosure, Orange</t>
  </si>
  <si>
    <t>CB 3 phase 50A (aprox size)</t>
  </si>
  <si>
    <t>CB Enclosure 12 pole surface</t>
  </si>
  <si>
    <t>CB 3 Phase 25A</t>
  </si>
  <si>
    <t>CB 1 Phase 10A</t>
  </si>
  <si>
    <t>Complete Control Panel</t>
  </si>
  <si>
    <t xml:space="preserve">Reed Sw 15mm barrel </t>
  </si>
  <si>
    <t>CDIX-400</t>
  </si>
  <si>
    <t xml:space="preserve">IO-DIM6 </t>
  </si>
  <si>
    <t>GSTA-C</t>
  </si>
  <si>
    <t>CDIB-650</t>
  </si>
  <si>
    <t>TF63-240-24</t>
  </si>
  <si>
    <t>QBM2030-1U</t>
  </si>
  <si>
    <t>VSD Car Park 1.5kW</t>
  </si>
  <si>
    <t>VSD Car Park 2.2kW</t>
  </si>
  <si>
    <t>VSD Car Park 3kW</t>
  </si>
  <si>
    <t>VSD Stair Press 7.5kW</t>
  </si>
  <si>
    <t>6mm Cable 3 core and Earth</t>
  </si>
  <si>
    <t>4mm Cable 3 core and Earth</t>
  </si>
  <si>
    <t>2.5mm Twin and Earth</t>
  </si>
  <si>
    <t>7030 2 pair TCAS7302P</t>
  </si>
  <si>
    <t>FRC3025+E 2 hour fire for stair p</t>
  </si>
  <si>
    <t>VSD3015E 1.5mm Screened Cable</t>
  </si>
  <si>
    <t>Caternery 120m per level x 15</t>
  </si>
  <si>
    <t>mech thermostat</t>
  </si>
  <si>
    <t>trefolite</t>
  </si>
  <si>
    <t>Wall plates (on off or 2 speed)</t>
  </si>
  <si>
    <t>PC Amt stuff</t>
  </si>
  <si>
    <t>AOM Switches</t>
  </si>
  <si>
    <t>003 Keyed Padlocks</t>
  </si>
  <si>
    <t>Cable Tray 225mm wide 2.4mtr</t>
  </si>
  <si>
    <t xml:space="preserve">run and fault leds </t>
  </si>
  <si>
    <t>Hardware Total</t>
  </si>
  <si>
    <t>Project Total Cost</t>
  </si>
  <si>
    <t>Project MU</t>
  </si>
  <si>
    <t>Project Sell</t>
  </si>
  <si>
    <t>Typical hrs</t>
  </si>
  <si>
    <t xml:space="preserve">Cond Unit  Sml Dx </t>
  </si>
  <si>
    <t>Labour Item</t>
  </si>
  <si>
    <t>Quantity of  Labour Items</t>
  </si>
  <si>
    <t>Materials Item 1</t>
  </si>
  <si>
    <t>Office VRF outdoor units</t>
  </si>
  <si>
    <t>Hours indication ( for total qty)</t>
  </si>
  <si>
    <t>Nill</t>
  </si>
  <si>
    <t>Continuous Material ( Cable tray,  cable, conduit,  catenery)</t>
  </si>
  <si>
    <t>A: Number of lengths</t>
  </si>
  <si>
    <t>B: Length ( m) per item</t>
  </si>
  <si>
    <t>Total Length ( M) = A x B</t>
  </si>
  <si>
    <t>CU Unit  - 10 to 20 m cable</t>
  </si>
  <si>
    <t>`</t>
  </si>
  <si>
    <t>Outdoor Units</t>
  </si>
  <si>
    <t>Indoor Units</t>
  </si>
  <si>
    <t>Ducted VRF Unit &lt; 10m</t>
  </si>
  <si>
    <t>CU Unit  &lt;1m cable</t>
  </si>
  <si>
    <t>stair  pressurisation systems</t>
  </si>
  <si>
    <t>Auto/Off/On switch</t>
  </si>
  <si>
    <t xml:space="preserve">cabling to VSD, </t>
  </si>
  <si>
    <t xml:space="preserve">fan isolator and MSSB AS1668.1  trefolyte label. </t>
  </si>
  <si>
    <t xml:space="preserve">Controls for systems includes: </t>
  </si>
  <si>
    <t xml:space="preserve">CB, </t>
  </si>
  <si>
    <t xml:space="preserve">local isolator, </t>
  </si>
  <si>
    <t xml:space="preserve">003 padlock, </t>
  </si>
  <si>
    <t xml:space="preserve">pressure sensing tubing, </t>
  </si>
  <si>
    <t xml:space="preserve">contactors/relays, </t>
  </si>
  <si>
    <t xml:space="preserve">air pressure  switch, </t>
  </si>
  <si>
    <t xml:space="preserve">run light, </t>
  </si>
  <si>
    <t xml:space="preserve">fault light, </t>
  </si>
  <si>
    <t>B: Items per system</t>
  </si>
  <si>
    <t>Total number required = A x B</t>
  </si>
  <si>
    <t>A: Number of systems</t>
  </si>
  <si>
    <t>Stair press sensor</t>
  </si>
  <si>
    <t>Tubing - 1m</t>
  </si>
  <si>
    <t>Air Pressure switch</t>
  </si>
  <si>
    <t>Interface for fire trade fan control</t>
  </si>
  <si>
    <t xml:space="preserve">Danfoss VSD, </t>
  </si>
  <si>
    <t xml:space="preserve">fan isolator and MSSB AS1668.1  trefolyte labels. </t>
  </si>
  <si>
    <t>Spring return damper actuator</t>
  </si>
  <si>
    <t>Fire Relay</t>
  </si>
  <si>
    <t>lobby relief system ( including on floor relief dampers)</t>
  </si>
  <si>
    <t xml:space="preserve">Controls for system includes: </t>
  </si>
  <si>
    <t xml:space="preserve">Auto/Off/On switch, </t>
  </si>
  <si>
    <t xml:space="preserve">air flow switch, </t>
  </si>
  <si>
    <t>run and fault lights</t>
  </si>
  <si>
    <t>Strobe-alarm</t>
  </si>
  <si>
    <t>Control box - Plastic</t>
  </si>
  <si>
    <t>Controls transformer</t>
  </si>
  <si>
    <t>temperature controlled fan - from local power supply</t>
  </si>
  <si>
    <t xml:space="preserve">high temp thermostat, </t>
  </si>
  <si>
    <t xml:space="preserve">run and fault lights, </t>
  </si>
  <si>
    <t xml:space="preserve">controls enclosure, </t>
  </si>
  <si>
    <t xml:space="preserve">controls transformer </t>
  </si>
  <si>
    <t xml:space="preserve">power and controls. Power for system includes: </t>
  </si>
  <si>
    <t xml:space="preserve">alarm thermostat, </t>
  </si>
  <si>
    <t xml:space="preserve">low temp thermostat, </t>
  </si>
  <si>
    <t xml:space="preserve">strobe-alarm, </t>
  </si>
  <si>
    <t>fire pump room fan - from local power supply</t>
  </si>
  <si>
    <t xml:space="preserve">fire relay for interface with fire trade, </t>
  </si>
  <si>
    <t>general fan with fire shutdown - from local power supply</t>
  </si>
  <si>
    <t>Electrical power supply and controls to</t>
  </si>
  <si>
    <t>small MSSBs</t>
  </si>
  <si>
    <t>installation of VRF central controller</t>
  </si>
  <si>
    <t xml:space="preserve">Central Controller VRF </t>
  </si>
  <si>
    <t>Total Labour Cost</t>
  </si>
  <si>
    <t>Total Materials item 1 cost</t>
  </si>
  <si>
    <t>Cost</t>
  </si>
  <si>
    <t>Cost Per Item</t>
  </si>
  <si>
    <t>Cost for all items</t>
  </si>
  <si>
    <t>Total continuous material cost</t>
  </si>
  <si>
    <t>Total Cost:</t>
  </si>
  <si>
    <t xml:space="preserve">interconnect controls cabling </t>
  </si>
  <si>
    <t xml:space="preserve">and display install. </t>
  </si>
  <si>
    <t>Network cable</t>
  </si>
  <si>
    <t>Fan &lt; 3m cable</t>
  </si>
  <si>
    <t>Commissioning 1hr</t>
  </si>
  <si>
    <t>Misc Install - 1hr</t>
  </si>
  <si>
    <t>Misc Install - 2hr</t>
  </si>
  <si>
    <t>Average cost per system</t>
  </si>
  <si>
    <t>Average hrs per system</t>
  </si>
  <si>
    <t xml:space="preserve">Price Check Summary: </t>
  </si>
  <si>
    <t>Sell</t>
  </si>
  <si>
    <t>Markup</t>
  </si>
  <si>
    <t xml:space="preserve">an estimated </t>
  </si>
  <si>
    <t xml:space="preserve">cable tray, </t>
  </si>
  <si>
    <t>weather proof enclosure</t>
  </si>
  <si>
    <t>sheilded cable</t>
  </si>
  <si>
    <t>Supply and install appropriate cabling support/fixings for</t>
  </si>
  <si>
    <t>Exclusions</t>
  </si>
  <si>
    <t>VRF supplier and commissioning team</t>
  </si>
  <si>
    <t>Inclusions summary:</t>
  </si>
  <si>
    <t>Exclusions summary</t>
  </si>
  <si>
    <t>By</t>
  </si>
  <si>
    <t>Fire trade</t>
  </si>
  <si>
    <t>AC system supplier</t>
  </si>
  <si>
    <t>proprietary air-conditioning interconnect cabling for branch connector boxes.</t>
  </si>
  <si>
    <t>proprietary air-conditioning controllers.</t>
  </si>
  <si>
    <t>fire cabling from FIP.</t>
  </si>
  <si>
    <t>VRF central controller supply and commissioning.</t>
  </si>
  <si>
    <t>Inclusions</t>
  </si>
  <si>
    <t>Inclusions Suggested Words</t>
  </si>
  <si>
    <t>Exclusions Suggested Words</t>
  </si>
  <si>
    <t xml:space="preserve">power supply from MSSB, </t>
  </si>
  <si>
    <t xml:space="preserve">shielded cabling, </t>
  </si>
  <si>
    <t xml:space="preserve">Danfoss VSD ( with internal program for stair press control), </t>
  </si>
  <si>
    <t xml:space="preserve"> power cabling from outdoor unit </t>
  </si>
  <si>
    <t xml:space="preserve">CB, power cabling from outdoor unit </t>
  </si>
  <si>
    <t xml:space="preserve">Each system includes install only of  proprietary controller </t>
  </si>
  <si>
    <t xml:space="preserve">CB, cabling from MSSB </t>
  </si>
  <si>
    <t>kilometres of cabling required throughout this project</t>
  </si>
  <si>
    <t>and miscellaneous hardware. Support systems will be chosen on a case-by-case basis by our licensed electricians in compliance with AS3000 and design specification.</t>
  </si>
  <si>
    <t xml:space="preserve">Main switch </t>
  </si>
  <si>
    <t xml:space="preserve">contactors </t>
  </si>
  <si>
    <t xml:space="preserve">circuit breakers </t>
  </si>
  <si>
    <t xml:space="preserve">busbar and wiring </t>
  </si>
  <si>
    <t xml:space="preserve">trefolyte labelling </t>
  </si>
  <si>
    <t xml:space="preserve">miscellaneous items </t>
  </si>
  <si>
    <t xml:space="preserve">testing </t>
  </si>
  <si>
    <t xml:space="preserve">Please note: MSSB includes other components listed under each system type. </t>
  </si>
  <si>
    <t xml:space="preserve">and local isolator. </t>
  </si>
  <si>
    <t xml:space="preserve">trefolyte labelling, </t>
  </si>
  <si>
    <t xml:space="preserve">and commissioning/testing. </t>
  </si>
  <si>
    <t xml:space="preserve">fire relay per floor for fire interface, </t>
  </si>
  <si>
    <t xml:space="preserve">relief damper actuators ( 1 per floor) including cabling, </t>
  </si>
  <si>
    <t xml:space="preserve">power and controls. Power for systems includes: </t>
  </si>
  <si>
    <t xml:space="preserve">interface at MSSB for fire trade connection </t>
  </si>
  <si>
    <t xml:space="preserve">and local power isolator ( for Indoor unit). </t>
  </si>
  <si>
    <t xml:space="preserve">Each system includes install only of  proprietary controller. </t>
  </si>
  <si>
    <t xml:space="preserve">local power supply and isolator for common area split AC systems condenser units. </t>
  </si>
  <si>
    <t>Eureka 18-42 Pole 250A MS</t>
  </si>
  <si>
    <t>Small Form 1 MSSB ( upto 18 poles)</t>
  </si>
  <si>
    <t>Switchboard Cable 1mm</t>
  </si>
  <si>
    <t>Mech thermostat control relay, control relay, enclosure, terminals etc.</t>
  </si>
  <si>
    <t>Builders Electrician</t>
  </si>
  <si>
    <t xml:space="preserve">status cabling from pumps. </t>
  </si>
  <si>
    <t>Current Switch CCS131</t>
  </si>
  <si>
    <t xml:space="preserve">run and fault light, </t>
  </si>
  <si>
    <t xml:space="preserve">pressure transducers ( 1 per fan ), </t>
  </si>
  <si>
    <t xml:space="preserve"> Auto/Off/On switch, </t>
  </si>
  <si>
    <t xml:space="preserve">interconnect cabling, </t>
  </si>
  <si>
    <t>common area split AC systems (local power supply)</t>
  </si>
  <si>
    <t>Ducted VRF Unit 10-30m cable</t>
  </si>
  <si>
    <t xml:space="preserve">cable ladder tray, </t>
  </si>
  <si>
    <t>Cable Tray 80mm wide 2.4mtr</t>
  </si>
  <si>
    <t>Ladder Tray 300mm wid 2.4mtr</t>
  </si>
  <si>
    <t>Ladder Tray 300mm wid  per metre</t>
  </si>
  <si>
    <t>300mm Cable ladder tray install per m</t>
  </si>
  <si>
    <t>80mm Cable ladder tray install per m</t>
  </si>
  <si>
    <t>Cable Tray 80mm wide per metre</t>
  </si>
  <si>
    <t>Catenery/Conduit per metre</t>
  </si>
  <si>
    <t xml:space="preserve">catenary, conduit </t>
  </si>
  <si>
    <t>Average cost per metre of cable</t>
  </si>
  <si>
    <t>Hardware Misc Screws etc per m of cable</t>
  </si>
  <si>
    <t xml:space="preserve">inside powder coated enclosure. </t>
  </si>
  <si>
    <t xml:space="preserve">cabling to fan and control panel (from Builder's Electrician's isolator) </t>
  </si>
  <si>
    <t>substation ventilation system (Including temperature control and alarm) - From local power supply</t>
  </si>
  <si>
    <t>substation ventilation  power supply (including isolator)</t>
  </si>
  <si>
    <t xml:space="preserve">Builder's Electrician </t>
  </si>
  <si>
    <t xml:space="preserve">local power supply and isolator for apartment condenser units. </t>
  </si>
  <si>
    <t xml:space="preserve">cabling from electricians isolator to unit. </t>
  </si>
  <si>
    <t xml:space="preserve">AC system supplier </t>
  </si>
  <si>
    <t xml:space="preserve">Builders Electrician </t>
  </si>
  <si>
    <t xml:space="preserve">proprietary air-conditioning controllers. </t>
  </si>
  <si>
    <t xml:space="preserve">and local power isolator. </t>
  </si>
  <si>
    <t xml:space="preserve">and install only of branch connector boxes interconnect cabling. </t>
  </si>
  <si>
    <t>Extras</t>
  </si>
  <si>
    <t>alarm thermostat  ( separate to control thermostat to avoid false alarms)</t>
  </si>
  <si>
    <t>high temp thermostat  (for additional safety/redundancy)</t>
  </si>
  <si>
    <t>Run and fault lights</t>
  </si>
  <si>
    <t>Hydraulics/Kichen trade</t>
  </si>
  <si>
    <t>supply and install of gas solenoid</t>
  </si>
  <si>
    <t>Stainless switchplate</t>
  </si>
  <si>
    <t>push button switch</t>
  </si>
  <si>
    <t>speed control dial</t>
  </si>
  <si>
    <t>Stainless switchplate - 4 switches</t>
  </si>
  <si>
    <t>Kitchen Exhaust Sytem ( from local power supply with 2 separate switchplates)</t>
  </si>
  <si>
    <t>Electrical trade</t>
  </si>
  <si>
    <t>Power suply adjacent fan</t>
  </si>
  <si>
    <t>Kitchen Hood Make Up Supply Sytem ( from local power supply)</t>
  </si>
  <si>
    <t>fire cabling from FIP to VSD</t>
  </si>
  <si>
    <t xml:space="preserve">trefolyte labeling, </t>
  </si>
  <si>
    <t xml:space="preserve">cabling between MSSB and Heater </t>
  </si>
  <si>
    <t xml:space="preserve">heater  trefolyte label. </t>
  </si>
  <si>
    <t xml:space="preserve">interface with ahu air pressure  switch, </t>
  </si>
  <si>
    <t>BMS trade</t>
  </si>
  <si>
    <t>cabling from MSSB's to BMS system</t>
  </si>
  <si>
    <t xml:space="preserve">contactors/relays ( per phase), </t>
  </si>
  <si>
    <t xml:space="preserve">HPT fault light, </t>
  </si>
  <si>
    <t>SSR ( 1 phase)</t>
  </si>
  <si>
    <t>SSR (3 phase)</t>
  </si>
  <si>
    <t>HPT</t>
  </si>
  <si>
    <t>Cabling 10-20m</t>
  </si>
  <si>
    <t>Cabling 20-30m</t>
  </si>
  <si>
    <t>Electric Duct Heater ( 3 phase with SSR's)</t>
  </si>
  <si>
    <t>Fire essential Chilled Water AHU with VSD</t>
  </si>
  <si>
    <t>Chilled Water Fancoil Unit ( single speed)</t>
  </si>
  <si>
    <t xml:space="preserve">fan isolator and trefolyte label. </t>
  </si>
  <si>
    <t xml:space="preserve">air pressure  switch , </t>
  </si>
  <si>
    <t>Fire essential spring return damper actuator</t>
  </si>
  <si>
    <t>Smoke Exhaust system ( including on floor dampers)</t>
  </si>
  <si>
    <t>DOL fan with fire shutdown - from MSSB power supply and BMS interface provisions</t>
  </si>
  <si>
    <t>Electrical power supply and controls ( Excluding BMS) to</t>
  </si>
  <si>
    <t xml:space="preserve">cabling from MSSB, </t>
  </si>
  <si>
    <t>VSD 11 kW</t>
  </si>
  <si>
    <t>Shopping List</t>
  </si>
  <si>
    <t>Item</t>
  </si>
  <si>
    <t>Fans</t>
  </si>
  <si>
    <t>Chilled Water</t>
  </si>
  <si>
    <t>Smoke Management</t>
  </si>
  <si>
    <t>DX Air Conditioning</t>
  </si>
  <si>
    <t>Kitchen</t>
  </si>
  <si>
    <t xml:space="preserve">current switch and cable to light switch ( to turn system on with lights) </t>
  </si>
  <si>
    <t xml:space="preserve">current switch for fan status, </t>
  </si>
  <si>
    <t xml:space="preserve">BMS terminals for on/off control, </t>
  </si>
  <si>
    <t xml:space="preserve">SSR and BMS interface to allow modulating control ( 1 per phase), </t>
  </si>
  <si>
    <t xml:space="preserve">heater protection thermostat ( including cabling back to MSSB and interlock relay), </t>
  </si>
  <si>
    <t xml:space="preserve">BMS terminals for HPT fault indication, </t>
  </si>
  <si>
    <t xml:space="preserve">Spring return damper actuator ( Nominal allowance of 2 per system for smoke control - TBC in detailed design), </t>
  </si>
  <si>
    <t xml:space="preserve">cabling to unit, </t>
  </si>
  <si>
    <t xml:space="preserve">BMS terminals for flow fault indication, </t>
  </si>
  <si>
    <t xml:space="preserve">Power cabling from electricians isolator to outdoor unit. </t>
  </si>
  <si>
    <t xml:space="preserve">current switch for pump status, </t>
  </si>
  <si>
    <t xml:space="preserve">escutcheon plate (to retain IP rating for mounting of lights and switches), </t>
  </si>
  <si>
    <t xml:space="preserve">cabling to VSD ( from local isolator), </t>
  </si>
  <si>
    <t xml:space="preserve">Danfoss VSD ( interconnected to ramp with kitchen exhaust VSD), </t>
  </si>
  <si>
    <t xml:space="preserve">air pressure  switch, </t>
  </si>
  <si>
    <t xml:space="preserve">interface for fire trade connection available at VSD, </t>
  </si>
  <si>
    <t xml:space="preserve">controls enclosure,  </t>
  </si>
  <si>
    <t xml:space="preserve">24v transformer to ensure all wiring within wet area is extra low voltage, </t>
  </si>
  <si>
    <t xml:space="preserve">trefolyte labeling in compliance with AS1668, </t>
  </si>
  <si>
    <t xml:space="preserve">2 separate 316 stainless steel switchplates installed in kitchen, </t>
  </si>
  <si>
    <t xml:space="preserve">run and fault lights (mounted in kitchen switchplate), </t>
  </si>
  <si>
    <t xml:space="preserve">start puchbutton (mounted in kitchen switchplate), </t>
  </si>
  <si>
    <t xml:space="preserve">speed control dial (total of 1 mounted in kitchen switchplate), </t>
  </si>
  <si>
    <t xml:space="preserve">relay, cabling and connection to gas solenoid, </t>
  </si>
  <si>
    <t xml:space="preserve">interface for fire trade connection, </t>
  </si>
  <si>
    <t xml:space="preserve">316 stainless steel switchplate installed in kitchen, </t>
  </si>
  <si>
    <t xml:space="preserve">speed control dial (mounted in kitchen switchplate), </t>
  </si>
  <si>
    <t>large-sized weatherproof MSSB</t>
  </si>
  <si>
    <t>large-sized weatherproof CHILLER MSSB</t>
  </si>
  <si>
    <t>medium-sized weatherproof Form 1 MSSB</t>
  </si>
  <si>
    <t>medium-sized Form 1 MSSBs</t>
  </si>
  <si>
    <t>medium-sized Form 2  MSSB</t>
  </si>
  <si>
    <t xml:space="preserve">Cabling to chiller, </t>
  </si>
  <si>
    <t xml:space="preserve">cable ladder with mechanical protection, </t>
  </si>
  <si>
    <t xml:space="preserve">Please Note: Chiller MSSB is a specialist custom made system including required components for chiller power supply. Details to be determined following consultants detailed design. </t>
  </si>
  <si>
    <t>Cost per system</t>
  </si>
  <si>
    <t xml:space="preserve">Main switch , Multifunction Meter, </t>
  </si>
  <si>
    <t>DOL fan from local power supply</t>
  </si>
  <si>
    <t xml:space="preserve">local isolator </t>
  </si>
  <si>
    <t xml:space="preserve">cabling from local supply, </t>
  </si>
  <si>
    <t xml:space="preserve">supply of local power supply. </t>
  </si>
  <si>
    <t>Builders electrician</t>
  </si>
  <si>
    <t>general fan with interlock - from local power supply</t>
  </si>
  <si>
    <t xml:space="preserve">interlock with associated system, </t>
  </si>
  <si>
    <t>VSD 1.5kW</t>
  </si>
  <si>
    <t>VSD 2.2kW</t>
  </si>
  <si>
    <t>VSD 3kW</t>
  </si>
  <si>
    <t>VSD 7.5kW</t>
  </si>
  <si>
    <t>VSD 5.5kW</t>
  </si>
  <si>
    <t>Medium sized VSD fan with fire shutdown - from MSSB power supply and BMS interface provisions</t>
  </si>
  <si>
    <t>Small sized VSD fan with fire shutdown - from MSSB power supply and BMS interface provisions</t>
  </si>
  <si>
    <t>Chilled Water AHU with small VSD</t>
  </si>
  <si>
    <t>Chilled Water AHU with medium VSD</t>
  </si>
  <si>
    <t>Chilled Water AHU with 2 x medium VSD ( Dual fan)</t>
  </si>
  <si>
    <t xml:space="preserve">CB ( 2 per system), </t>
  </si>
  <si>
    <t xml:space="preserve">cabling to VSD ( 2 per system), </t>
  </si>
  <si>
    <t xml:space="preserve">Danfoss VSD  ( 2 per system), </t>
  </si>
  <si>
    <t xml:space="preserve">shielded cabling ( 2 per system), </t>
  </si>
  <si>
    <t xml:space="preserve">local isolator ( 2 per system), </t>
  </si>
  <si>
    <t xml:space="preserve">fan isolator and  trefolyte label, </t>
  </si>
  <si>
    <t>Small VSD pump - from MSSB power supply and BMS interface provisions</t>
  </si>
  <si>
    <t>Medium VSD pump - from MSSB power supply and BMS interface provisions</t>
  </si>
  <si>
    <t>Small DOL pump - from MSSB power supply and BMS interface provisions</t>
  </si>
  <si>
    <t>Medium Aircooled Chillers - from Chiller MSSB</t>
  </si>
  <si>
    <t>Small Aircooled Chillers - from Chiller MSSB</t>
  </si>
  <si>
    <t>Chilled Water Precision Cooling Unit</t>
  </si>
  <si>
    <t>medium-sized Form 3  MSSB</t>
  </si>
  <si>
    <t>Packaged units</t>
  </si>
  <si>
    <t>split AC systems (local power supply)</t>
  </si>
  <si>
    <t xml:space="preserve">CB and Power cabling from electricians isolator to outdoor unit. </t>
  </si>
  <si>
    <t>smoke exhaust systems</t>
  </si>
  <si>
    <t>Large sized VSD fan with fire shutdown - from MSSB power supply and BMS interface provisions</t>
  </si>
  <si>
    <t>carpark fan ( excluding controls)</t>
  </si>
  <si>
    <t>Cooling tower fan wirh VSD - from MSSB power supply and BMS interface provisions</t>
  </si>
  <si>
    <t>large sized VSD fan with fire shutdown - from MSSB power supply and BMS interface provisions</t>
  </si>
  <si>
    <t>Ducted VRF indoor fan coil units</t>
  </si>
  <si>
    <t>MSSB powered VRF outdoor units</t>
  </si>
  <si>
    <t xml:space="preserve">cabling from MSSB to CU, </t>
  </si>
  <si>
    <t xml:space="preserve">electrical connection of VSD ( supplied by others), </t>
  </si>
  <si>
    <t>Fume cupboard specialist</t>
  </si>
  <si>
    <t>supply and commissioning of VSD, interconnect cabling between  FC and VSD.</t>
  </si>
  <si>
    <t xml:space="preserve">controls cabling between VSD and MSSB, </t>
  </si>
  <si>
    <t>Fume Cupboard fan ( Excluding supply of VSD and FC controls) - from MSSB power supply</t>
  </si>
  <si>
    <t>Chilled Water AHU with large VSD</t>
  </si>
  <si>
    <t>other</t>
  </si>
  <si>
    <t>split AC systems - MSSB powered with run and fault lights</t>
  </si>
  <si>
    <t xml:space="preserve">CB and Power cabling from MSSB to outdoor unit. </t>
  </si>
  <si>
    <t xml:space="preserve">Run light, </t>
  </si>
  <si>
    <t xml:space="preserve">controls cabling between MSSB and outdoor unit ( for run and fault lights), </t>
  </si>
  <si>
    <t xml:space="preserve">interface card for air-conditioning controllers. </t>
  </si>
  <si>
    <t>Programable Timeclock controller</t>
  </si>
  <si>
    <t xml:space="preserve">adjustable timeclock controller, </t>
  </si>
  <si>
    <t xml:space="preserve">CB and cabling to fan from MSSB, </t>
  </si>
  <si>
    <t>Air Conditioning</t>
  </si>
  <si>
    <t>split AC systems - MSSB powered with run and fault lights ( Excluding field wiring option)</t>
  </si>
  <si>
    <t>Customers in-house electrician</t>
  </si>
  <si>
    <t xml:space="preserve">proprietary air-conditioning controllers supply and installation. </t>
  </si>
  <si>
    <t xml:space="preserve">connections of both controls and power cabling into MSSB, </t>
  </si>
  <si>
    <t xml:space="preserve">testing of customer installed power cabling for compliance with AS3000 ( including polarity, insulation resistance, earth continuity and fault loop impedence), </t>
  </si>
  <si>
    <t xml:space="preserve">Documented test results of final electrical systems and Form 16 certification. </t>
  </si>
  <si>
    <t xml:space="preserve">fault light and relay, </t>
  </si>
  <si>
    <t>Power cabling from MSSB to outdoor unit. Customers electrician to leave tails adjacent MSSB for Controlworks to connect.</t>
  </si>
  <si>
    <t>Misc Install - 1.5hr</t>
  </si>
  <si>
    <t xml:space="preserve">interface card for air-conditioning controllers for both run and fault indication. </t>
  </si>
  <si>
    <t>Fault signal controls cabling from each AC system adjacent to MSSB for fault lights. Customers electrician to leave tails adjacent MSSB for Controlworks to connect.</t>
  </si>
  <si>
    <t>Run signal controls cabling from each AC system adjacent to MSSB for run lights. Customers electrician to leave tails adjacent MSSB for Controlworks to connect.</t>
  </si>
  <si>
    <t xml:space="preserve">Run light and relay, </t>
  </si>
  <si>
    <t>Sell Price ( Excluding GST)</t>
  </si>
  <si>
    <t xml:space="preserve">Main switch, </t>
  </si>
  <si>
    <t>Our Cost - DO NOT SEND</t>
  </si>
  <si>
    <t>general fan with interlock - from MSSB power supply ( field wiring outside MSSB by customer)</t>
  </si>
  <si>
    <t>Power cabling from MSSB to fan. Customers electrician to leave tails adjacent MSSB for Controlworks to connect.</t>
  </si>
  <si>
    <t xml:space="preserve">and local power isolator ( adjacent to fan). </t>
  </si>
  <si>
    <t xml:space="preserve">connections of power cabling into MSSB, </t>
  </si>
  <si>
    <t>DOL fan with fire shutdown - from MSSB power supply and timeclock control ( field wiring outside MSSB by customer)</t>
  </si>
  <si>
    <t xml:space="preserve">connections power cabling into MSSB, </t>
  </si>
  <si>
    <t>Power cabling from MSSB to fans. Customers electrician to leave tails adjacent MSSB for Controlworks to connect.</t>
  </si>
  <si>
    <t xml:space="preserve">and local power isolator ( for fan). </t>
  </si>
  <si>
    <t>fire trade</t>
  </si>
  <si>
    <t xml:space="preserve">Run light and current switch, </t>
  </si>
  <si>
    <t>split AC systems - MSSB powered with run lights ( Excluding field wiring option)</t>
  </si>
  <si>
    <t>Packaged units (Field wiring by customer)</t>
  </si>
  <si>
    <t>Power cabling from MSSB to PAC unit. Customers electrician to leave tails adjacent MSSB for Controlworks to connect.</t>
  </si>
  <si>
    <t xml:space="preserve">Run light and Fault light, </t>
  </si>
  <si>
    <t xml:space="preserve">power cabling from MSSB and local power isolator ( for PAC unit). </t>
  </si>
  <si>
    <t xml:space="preserve">run and fault cabling from  PAC unit to MSSB </t>
  </si>
  <si>
    <t>Cable Support &amp; Miscellaneous</t>
  </si>
  <si>
    <t>Electric Duct Heater ( 3 phase -Exclude Field cabling)</t>
  </si>
  <si>
    <t xml:space="preserve">connections of both HPT cabling and power cabling into MSSB, </t>
  </si>
  <si>
    <t>Power cabling from MSSB to heater and HPT. Customers electrician to leave tails adjacent MSSB for Controlworks to connect.</t>
  </si>
  <si>
    <t>Electric Duct Heater ( 3 phase -Exclude Field cabling, SSRs and HPT)</t>
  </si>
  <si>
    <t xml:space="preserve"> HPT cabling and power cabling into MSSB, </t>
  </si>
  <si>
    <t xml:space="preserve">Power cabling from MSSB to heater and HPT. Customers electrician to leave tails adjacent MSSB for Controlworks to connect. </t>
  </si>
  <si>
    <t xml:space="preserve">cabling from MSSB's to BMS system </t>
  </si>
  <si>
    <t xml:space="preserve">fire cabling from FIP. </t>
  </si>
  <si>
    <t>timeclock controlled DOL fan - from local power supply</t>
  </si>
  <si>
    <t xml:space="preserve">timeclock, </t>
  </si>
  <si>
    <t>VRF outdoor units</t>
  </si>
  <si>
    <t>VRF indoor units</t>
  </si>
  <si>
    <t>Small Coolingwater Aircooled Chillers - from Chiller MSSB</t>
  </si>
  <si>
    <t>DX CRAC Systems - MSSB powered with run and fault lights</t>
  </si>
  <si>
    <t xml:space="preserve"> </t>
  </si>
  <si>
    <t xml:space="preserve">Each system includes cabling from units for interlock with other system. </t>
  </si>
  <si>
    <t>AC interface card with system status contactors.</t>
  </si>
  <si>
    <t>VRF indoor units with cabling for run status from unit to other system/s</t>
  </si>
  <si>
    <t>VRF indoor units with cabling for on/off control from other system/s to unit</t>
  </si>
  <si>
    <t>AC interface card with on/off control contactors.</t>
  </si>
  <si>
    <t xml:space="preserve">local switch, </t>
  </si>
  <si>
    <t xml:space="preserve">current switch mounted in enclosure, </t>
  </si>
  <si>
    <t xml:space="preserve">runlight and controls cabling, </t>
  </si>
  <si>
    <t>DOL fan from local power supply - With local switch and run status light</t>
  </si>
  <si>
    <t>general fan with interlock to lighting circuit- from local power supply</t>
  </si>
  <si>
    <t xml:space="preserve">Current switch an interlock with lighting circuit ( note current switch ensures clear demarcation between trades), </t>
  </si>
  <si>
    <t>DOL fan with interlock - from MSSB power supply</t>
  </si>
  <si>
    <t xml:space="preserve">2 speed DOL fan with fire shutdown - from MSSB power supply </t>
  </si>
  <si>
    <t xml:space="preserve">2xCB, </t>
  </si>
  <si>
    <t xml:space="preserve">2xcabling from MSSB, </t>
  </si>
  <si>
    <t xml:space="preserve">and 2xlocal isolator. </t>
  </si>
  <si>
    <t xml:space="preserve">2Xcontactors/relays, </t>
  </si>
  <si>
    <t>Hi/low speed switch</t>
  </si>
  <si>
    <t>DOL fan with interlock with lights an run on timer - from MSSB power supply and timeclock control</t>
  </si>
  <si>
    <t xml:space="preserve">adjustable run on timer controller, </t>
  </si>
  <si>
    <t xml:space="preserve">current switch for lighting interlock, </t>
  </si>
  <si>
    <t>DOL fan with interlock with mechanical thermostat - from MSSB power supply</t>
  </si>
  <si>
    <t xml:space="preserve">interlock with mechanical thermostat, </t>
  </si>
  <si>
    <t>Proprietary DOL fan with interlock with Proprietary controller- from MSSB power supply</t>
  </si>
  <si>
    <t>installation only of Proprietary controller</t>
  </si>
  <si>
    <t xml:space="preserve"> Proprietary controller</t>
  </si>
  <si>
    <t xml:space="preserve"> Proprietary system supplier</t>
  </si>
  <si>
    <t>DOL fan with interlock with reed switch - from MSSB power supply</t>
  </si>
  <si>
    <t xml:space="preserve">reed switch, </t>
  </si>
  <si>
    <t>Reed Switch</t>
  </si>
  <si>
    <t>Humidifier</t>
  </si>
  <si>
    <t xml:space="preserve">isolator at  unit. </t>
  </si>
  <si>
    <t>Small sized VSD fan with fire shutdown - from local power supply</t>
  </si>
  <si>
    <t xml:space="preserve">cabling to VSD ( from builders electricians isolator), </t>
  </si>
  <si>
    <t>isolator adjacent fan</t>
  </si>
  <si>
    <t xml:space="preserve">enclosure, </t>
  </si>
  <si>
    <t>Power Supply</t>
  </si>
  <si>
    <t>EITHER</t>
  </si>
  <si>
    <t>MSSB</t>
  </si>
  <si>
    <t>LOCAL</t>
  </si>
  <si>
    <t>Other</t>
  </si>
  <si>
    <t>Variations</t>
  </si>
  <si>
    <t>Cable Tray ( M)</t>
  </si>
  <si>
    <t>Cable Ladder (M)</t>
  </si>
  <si>
    <t>DOL fan with interlock with local switch - from MSSB power supply</t>
  </si>
  <si>
    <t xml:space="preserve">local switch with run light, </t>
  </si>
  <si>
    <t>DOL timeclock controlled fan with fire shutdown - from MSSB power supply and</t>
  </si>
  <si>
    <t xml:space="preserve">local power supply </t>
  </si>
  <si>
    <t>medium-sized 316 S/S Form 2  MSSB</t>
  </si>
  <si>
    <t xml:space="preserve">wireless air-conditioning controllers. </t>
  </si>
  <si>
    <t>Misc Install - 2.5hr</t>
  </si>
  <si>
    <t>power supply to outdoor unit</t>
  </si>
  <si>
    <t>Multihead split AC systems (local power supply) - 2 indoor units with wireless controlers</t>
  </si>
  <si>
    <t>Multihead split AC systems (local power supply) - 3 indoor units with wireless controlers</t>
  </si>
  <si>
    <t>Multihead split AC systems (local power supply) - 4 indoor units with wireless controlers</t>
  </si>
  <si>
    <t>-</t>
  </si>
  <si>
    <t xml:space="preserve">Current switch an interlock with other circuit ( note current switch ensures clear demarcation between trades), </t>
  </si>
  <si>
    <t>General Relay</t>
  </si>
  <si>
    <t>DOL fan with current switch interlock to other circuit- from local power supply</t>
  </si>
  <si>
    <t xml:space="preserve">run on timer, </t>
  </si>
  <si>
    <t>Run on timer</t>
  </si>
  <si>
    <t>DOL fan from local power supply - With local switch and run on timer</t>
  </si>
  <si>
    <t>Motion Sensor ( with internal run on timer) with interlock with other system</t>
  </si>
  <si>
    <t xml:space="preserve">power supply, </t>
  </si>
  <si>
    <t>Motion sensor with run on timer</t>
  </si>
  <si>
    <t xml:space="preserve">and enclosure. </t>
  </si>
  <si>
    <t>Either</t>
  </si>
  <si>
    <t xml:space="preserve">contactors/relays </t>
  </si>
  <si>
    <t xml:space="preserve">interface for fire trade connection </t>
  </si>
  <si>
    <t xml:space="preserve">fan isolator and manual controls AS1668.1  trefolyte label. </t>
  </si>
  <si>
    <t>Kitchen Hood Make Up Supply Sytem ( from MSSB power supply)</t>
  </si>
  <si>
    <t xml:space="preserve">interface for fire trade connection available at MSSB, </t>
  </si>
  <si>
    <t>fire cabling from FIP to MSSB</t>
  </si>
  <si>
    <t>Kitchen Exhaust Sytem (from MSSB)</t>
  </si>
  <si>
    <t xml:space="preserve">start pushbutton (mounted in kitchen switchplate), </t>
  </si>
  <si>
    <t>Cost Per System</t>
  </si>
  <si>
    <t>Labour</t>
  </si>
  <si>
    <t>Materials</t>
  </si>
  <si>
    <t>Continous Materials Const.</t>
  </si>
  <si>
    <t>Additional Markup</t>
  </si>
  <si>
    <t>Cabling Cost</t>
  </si>
  <si>
    <t>Final Total ($)</t>
  </si>
  <si>
    <t>Margin (%)</t>
  </si>
  <si>
    <t>Contingency / Client (%)</t>
  </si>
  <si>
    <t>Summary</t>
  </si>
  <si>
    <t>Total (Hrs)</t>
  </si>
  <si>
    <t>Rate</t>
  </si>
  <si>
    <t>Install Labour (Hrs)</t>
  </si>
  <si>
    <t>Project Management (Hrs)</t>
  </si>
  <si>
    <t>Admin/Overhead</t>
  </si>
  <si>
    <t>Site Supervision (Hrs)</t>
  </si>
  <si>
    <t>Additional</t>
  </si>
  <si>
    <t>Drafting (Hrs)</t>
  </si>
  <si>
    <t>Total ($)</t>
  </si>
  <si>
    <t>Install Labour ($)</t>
  </si>
  <si>
    <t>Project Management ($)</t>
  </si>
  <si>
    <t>Site Supervision ($)</t>
  </si>
  <si>
    <t>Drafting ($)</t>
  </si>
  <si>
    <t>Margin ($)</t>
  </si>
  <si>
    <t>Contingency / Client ($)</t>
  </si>
  <si>
    <t>Sheet1!$B$6:$C$45</t>
  </si>
  <si>
    <t>Component</t>
  </si>
  <si>
    <t>Number</t>
  </si>
  <si>
    <t>Location</t>
  </si>
  <si>
    <t>WP363</t>
  </si>
  <si>
    <t>WP135</t>
  </si>
  <si>
    <t>MBO6620</t>
  </si>
  <si>
    <t>B53</t>
  </si>
  <si>
    <t>B17</t>
  </si>
  <si>
    <t>FASTRON</t>
  </si>
  <si>
    <t>Supplier</t>
  </si>
  <si>
    <t>Wes Price</t>
  </si>
  <si>
    <t>TOH63</t>
  </si>
  <si>
    <t>B48</t>
  </si>
  <si>
    <t>B8</t>
  </si>
  <si>
    <t>PL22G24LED + PL22R24LED</t>
  </si>
  <si>
    <t>DINGPO + RCBO10P1</t>
  </si>
  <si>
    <t>MCB10P1</t>
  </si>
  <si>
    <t>MCB25P3</t>
  </si>
  <si>
    <t>MCB50P3</t>
  </si>
  <si>
    <t>B36</t>
  </si>
  <si>
    <t>B11</t>
  </si>
  <si>
    <t>B17 / 3B4</t>
  </si>
  <si>
    <t>B34</t>
  </si>
  <si>
    <t>ETO6060U</t>
  </si>
  <si>
    <t>PBF22B</t>
  </si>
  <si>
    <t>RKR22OFO + LEGEND/MOA</t>
  </si>
  <si>
    <t>B7</t>
  </si>
  <si>
    <t>B30</t>
  </si>
  <si>
    <t>882DC24SLS or 882DC12SLS</t>
  </si>
  <si>
    <t>MD12WP</t>
  </si>
  <si>
    <t>Controlstore</t>
  </si>
  <si>
    <t>QBM2030-1U (Differential Pressure Sensor)</t>
  </si>
  <si>
    <t>Siemens</t>
  </si>
  <si>
    <t>Design Data</t>
  </si>
  <si>
    <t>Turks</t>
  </si>
  <si>
    <t>B12</t>
  </si>
  <si>
    <t>SYF13DC24R</t>
  </si>
  <si>
    <t>#</t>
  </si>
  <si>
    <t>CDC1712AC 24vac 10a + 
CDR17A2.2</t>
  </si>
  <si>
    <t xml:space="preserve">Two CO Detectors per Basement Level </t>
  </si>
  <si>
    <t>DOL fan with interlock with lights an run on timer - from MSSB power supply</t>
  </si>
  <si>
    <t>Location:</t>
  </si>
  <si>
    <t>%</t>
  </si>
  <si>
    <t>Clients:</t>
  </si>
  <si>
    <t>FC-101P1K5</t>
  </si>
  <si>
    <t>FC-101P2K2</t>
  </si>
  <si>
    <t>FC-101P7K5</t>
  </si>
  <si>
    <t>FC-101P3K0</t>
  </si>
  <si>
    <t>FC-101P11K</t>
  </si>
  <si>
    <t>FC-101P5K5</t>
  </si>
  <si>
    <t>Cost Price</t>
  </si>
  <si>
    <t>Pre Markup</t>
  </si>
  <si>
    <t>Selling Price (pre markup)</t>
  </si>
  <si>
    <t>Travel Time</t>
  </si>
  <si>
    <t>Travel Cost</t>
  </si>
  <si>
    <t>CO Sensors</t>
  </si>
  <si>
    <t>Flat</t>
  </si>
  <si>
    <t>Travel</t>
  </si>
  <si>
    <t xml:space="preserve">Calibration and testing of </t>
  </si>
  <si>
    <t>This includes calibration with relevant testing gases and appropriate adjustment of sensor outputs.</t>
  </si>
  <si>
    <t>Flag / Sensor</t>
  </si>
  <si>
    <t>Reports</t>
  </si>
  <si>
    <t>Car Park Base cover reports</t>
  </si>
  <si>
    <t>Car Park Calibration</t>
  </si>
  <si>
    <t>4/ Allow for Gas (2 sensors ) $220</t>
  </si>
  <si>
    <t>3/ allow one hour per sensor (2 sensors) $220</t>
  </si>
  <si>
    <t>2/ allow  2 hours for the report  $220</t>
  </si>
  <si>
    <t>1/ Inital visit detail site 2 hours $220</t>
  </si>
  <si>
    <t>I charge as the following</t>
  </si>
  <si>
    <t>accom(nite)</t>
  </si>
  <si>
    <t>Misc random</t>
  </si>
  <si>
    <t>LAHA</t>
  </si>
  <si>
    <t>Flights  return</t>
  </si>
  <si>
    <t>Misc</t>
  </si>
  <si>
    <t xml:space="preserve">Turks n that </t>
  </si>
  <si>
    <t>Fifty parts per million</t>
  </si>
  <si>
    <t>CO Calibration</t>
  </si>
  <si>
    <t>zero part per million.</t>
  </si>
  <si>
    <t>one hour per sensor</t>
  </si>
  <si>
    <t>Labour per sensor</t>
  </si>
  <si>
    <t>Base call out</t>
  </si>
  <si>
    <t>Site survey – inspection</t>
  </si>
  <si>
    <t xml:space="preserve">Inital Visit </t>
  </si>
  <si>
    <t>install</t>
  </si>
  <si>
    <t>Labour Site Install</t>
  </si>
  <si>
    <t>comm</t>
  </si>
  <si>
    <t>Supervision</t>
  </si>
  <si>
    <t>Labour Eng</t>
  </si>
  <si>
    <t>program</t>
  </si>
  <si>
    <t>Graphics</t>
  </si>
  <si>
    <t xml:space="preserve">Labour Graphics </t>
  </si>
  <si>
    <t>Current Switch</t>
  </si>
  <si>
    <t>Enclosure 280x380x180</t>
  </si>
  <si>
    <t>Dore</t>
  </si>
  <si>
    <t>EC-VUE</t>
  </si>
  <si>
    <t>12VDC Relay</t>
  </si>
  <si>
    <t>TS-DRP008</t>
  </si>
  <si>
    <t>930.81 AFS</t>
  </si>
  <si>
    <t>TF-100-240/24</t>
  </si>
  <si>
    <t>ECB-350</t>
  </si>
  <si>
    <t>mark up</t>
  </si>
  <si>
    <t>cost Total</t>
  </si>
  <si>
    <t>Cost  ea</t>
  </si>
  <si>
    <t>Qty</t>
  </si>
  <si>
    <t>Part</t>
  </si>
  <si>
    <t>Gas (0ppm)</t>
  </si>
  <si>
    <t>Gas (50ppm)</t>
  </si>
  <si>
    <t>Text:</t>
  </si>
  <si>
    <t>Site Visit</t>
  </si>
  <si>
    <t>Site Time</t>
  </si>
  <si>
    <t>Drafting /  Site Visit</t>
  </si>
  <si>
    <t>Drafting</t>
  </si>
  <si>
    <t xml:space="preserve"> CO Detector</t>
  </si>
  <si>
    <t xml:space="preserve"> CO Detectors</t>
  </si>
  <si>
    <t>24VAC 2 Pole Relay</t>
  </si>
  <si>
    <t>GAS DETECTION AUSTRALIA.</t>
  </si>
  <si>
    <t>Hydrogen Sensor 65-5001A</t>
  </si>
  <si>
    <t xml:space="preserve">GasTech </t>
  </si>
  <si>
    <t>CO detector</t>
  </si>
  <si>
    <t>Switch Plate with Momentary PB</t>
  </si>
  <si>
    <t>Enclosure 800 x 600</t>
  </si>
  <si>
    <t>Rotating Light with Buzzer 24VAC</t>
  </si>
  <si>
    <t>Carpark Fans</t>
  </si>
  <si>
    <t>Internal</t>
  </si>
  <si>
    <t>COST</t>
  </si>
  <si>
    <t>Labour Site Comm</t>
  </si>
  <si>
    <t>Labour Site Install CO Sensor</t>
  </si>
  <si>
    <t>Install (2 hours Ea)</t>
  </si>
  <si>
    <t>Smoke Detector</t>
  </si>
  <si>
    <t>Apollo Optical Detector</t>
  </si>
  <si>
    <t>Build Control Panel</t>
  </si>
  <si>
    <t>Enclosure Steel 400 x 300 x 150</t>
  </si>
  <si>
    <t>Bunnings</t>
  </si>
  <si>
    <t>Clear Perspex – Red Paint</t>
  </si>
  <si>
    <t>Laboue</t>
  </si>
  <si>
    <t>Assemble Fire AO Panel</t>
  </si>
  <si>
    <t xml:space="preserve">Travel Time per visit </t>
  </si>
  <si>
    <t>Install conduit in slab</t>
  </si>
  <si>
    <t>Per visit 6 hours 3 visits</t>
  </si>
  <si>
    <t>10 &amp; 4</t>
  </si>
  <si>
    <t>Calibration Numbers</t>
  </si>
  <si>
    <t>Install Numbers</t>
  </si>
  <si>
    <t>Mat</t>
  </si>
  <si>
    <t>Lab</t>
  </si>
  <si>
    <t>IO-IRM-A</t>
  </si>
  <si>
    <t>Yes</t>
  </si>
  <si>
    <t>No</t>
  </si>
  <si>
    <t>OCLV Occupancy Sensor</t>
  </si>
  <si>
    <t>Occupancy Sensor</t>
  </si>
  <si>
    <t>Stand Alone Fire Panel</t>
  </si>
  <si>
    <t>Install</t>
  </si>
  <si>
    <t>Carpark</t>
  </si>
  <si>
    <t>ECB-650</t>
  </si>
  <si>
    <t>Total</t>
  </si>
  <si>
    <t>qty</t>
  </si>
  <si>
    <t>unit</t>
  </si>
  <si>
    <t>Programming</t>
  </si>
  <si>
    <t>Commissioning</t>
  </si>
  <si>
    <t>CP Fan Install</t>
  </si>
  <si>
    <t>CO Sensor Install</t>
  </si>
  <si>
    <t>Switchboard Assembly</t>
  </si>
  <si>
    <t>Site Visit Labour</t>
  </si>
  <si>
    <t>Car Park Materials</t>
  </si>
  <si>
    <t>Install Time</t>
  </si>
  <si>
    <t>Programming (Car Park)</t>
  </si>
  <si>
    <t>Site Visit Materials</t>
  </si>
  <si>
    <t>Calibration Labour</t>
  </si>
  <si>
    <t>Calibration Materials</t>
  </si>
  <si>
    <t>No. Calib. Visits</t>
  </si>
  <si>
    <t>Calib Site Visits</t>
  </si>
  <si>
    <t>Install Materials</t>
  </si>
  <si>
    <t>Install Labour (added to hours)</t>
  </si>
  <si>
    <t>&lt;--- To front sheet</t>
  </si>
  <si>
    <t>K:Site Delay</t>
  </si>
  <si>
    <t>Site Delay</t>
  </si>
  <si>
    <t>K: Overtime</t>
  </si>
  <si>
    <t>Overtime</t>
  </si>
  <si>
    <t>K: Labour</t>
  </si>
  <si>
    <t>Total Labour</t>
  </si>
  <si>
    <t>Total Price</t>
  </si>
  <si>
    <t>Car Park Install</t>
  </si>
  <si>
    <t>Travel/Accommodation</t>
  </si>
  <si>
    <t>Accommodation</t>
  </si>
  <si>
    <t>Travel Time ($)</t>
  </si>
  <si>
    <t>Fuel</t>
  </si>
  <si>
    <t>Flights</t>
  </si>
  <si>
    <t>Transformer</t>
  </si>
  <si>
    <t>CB 10 A</t>
  </si>
  <si>
    <t xml:space="preserve">Stairwell pressure transducers ( Note if &gt; 8 levels multiple tranducers and increase cable length required), </t>
  </si>
  <si>
    <t>Notes</t>
  </si>
  <si>
    <t>Valid</t>
  </si>
  <si>
    <t>ID</t>
  </si>
  <si>
    <t>Price</t>
  </si>
  <si>
    <t>Hours</t>
  </si>
  <si>
    <t>[O] Hours</t>
  </si>
  <si>
    <t>Unit Price</t>
  </si>
  <si>
    <t>Unit Hours</t>
  </si>
  <si>
    <t>Part No.
[Enclosure]</t>
  </si>
  <si>
    <t>Form</t>
  </si>
  <si>
    <t>IP Rating</t>
  </si>
  <si>
    <t>Colour</t>
  </si>
  <si>
    <t>CB Size</t>
  </si>
  <si>
    <t>Poles / Dim</t>
  </si>
  <si>
    <t>Non-Auto/
MCCB</t>
  </si>
  <si>
    <t>CB</t>
  </si>
  <si>
    <t>MSSBS</t>
  </si>
  <si>
    <t>IP56</t>
  </si>
  <si>
    <t>Orange</t>
  </si>
  <si>
    <t>600x800</t>
  </si>
  <si>
    <t>MCCB</t>
  </si>
  <si>
    <t>Grey</t>
  </si>
  <si>
    <t>Non-Auto</t>
  </si>
  <si>
    <t>Poles</t>
  </si>
  <si>
    <t>Enclosures</t>
  </si>
  <si>
    <t>Dim</t>
  </si>
  <si>
    <t>IGOC</t>
  </si>
  <si>
    <t>Note</t>
  </si>
  <si>
    <t>IP65</t>
  </si>
  <si>
    <t>400x600</t>
  </si>
  <si>
    <t>Form 1 (Always), IP65 (Always)
Includes MS3100 (Main Switch, 3 Pole, 100 Amp)</t>
  </si>
  <si>
    <t>MBO4620</t>
  </si>
  <si>
    <t>IP42</t>
  </si>
  <si>
    <t>600x600</t>
  </si>
  <si>
    <t>MBO6825</t>
  </si>
  <si>
    <t>Enclosure</t>
  </si>
  <si>
    <t>800x800</t>
  </si>
  <si>
    <t>Not a valid selection (Configuration does not exist)</t>
  </si>
  <si>
    <t>N/A</t>
  </si>
  <si>
    <t>800x1000</t>
  </si>
  <si>
    <t>MB81030</t>
  </si>
  <si>
    <t>MB4620</t>
  </si>
  <si>
    <t>MB6630</t>
  </si>
  <si>
    <t>MB6830</t>
  </si>
  <si>
    <t>MB8830</t>
  </si>
  <si>
    <t>PART NUMBERS EXPLAINED</t>
  </si>
  <si>
    <t>Distro (Eureka)</t>
  </si>
  <si>
    <t>EN[Dimensions]-[Colour]</t>
  </si>
  <si>
    <t>DB</t>
  </si>
  <si>
    <t>DB[Poles]-[250/400A]-[IP Rating]-[Colour]</t>
  </si>
  <si>
    <t>[OVERIDE] Hours</t>
  </si>
  <si>
    <t>[OVERIDE] Cabling</t>
  </si>
  <si>
    <t>Part No.
[Fan]</t>
  </si>
  <si>
    <t>BMS Provisions</t>
  </si>
  <si>
    <t>Fire Shutdown</t>
  </si>
  <si>
    <t>Interlock</t>
  </si>
  <si>
    <t>Mechanical Thermostat</t>
  </si>
  <si>
    <t>Run On Timer</t>
  </si>
  <si>
    <t>Time Clock</t>
  </si>
  <si>
    <t>Local Switch</t>
  </si>
  <si>
    <t>Run Status Light</t>
  </si>
  <si>
    <t>Local</t>
  </si>
  <si>
    <t>Interlock with Lighting Circuit</t>
  </si>
  <si>
    <t>Interlock with Associated Units</t>
  </si>
  <si>
    <t>Interlock with Local Switch</t>
  </si>
  <si>
    <t>Facet</t>
  </si>
  <si>
    <t>$</t>
  </si>
  <si>
    <t>t</t>
  </si>
  <si>
    <t xml:space="preserve">cabling to fan and control panel (from Builder's Electrician's isolator) and local isolator, </t>
  </si>
  <si>
    <t>1 Phase Isolator</t>
  </si>
  <si>
    <t>Controls Enclosure</t>
  </si>
  <si>
    <t>Commissioning/Testing</t>
  </si>
  <si>
    <t>""</t>
  </si>
  <si>
    <t xml:space="preserve">CB and cabling to fan from MSSB, and local isolator, </t>
  </si>
  <si>
    <t>Run &amp; Fault LEDs</t>
  </si>
  <si>
    <t>Traffolyte Labelling</t>
  </si>
  <si>
    <t xml:space="preserve">BMS Provisions, </t>
  </si>
  <si>
    <t xml:space="preserve">Fire Shutdown, </t>
  </si>
  <si>
    <t xml:space="preserve">Interlock, </t>
  </si>
  <si>
    <t xml:space="preserve">Interlock with Associated Units, </t>
  </si>
  <si>
    <t xml:space="preserve">Interlock with Lighting Circuit, </t>
  </si>
  <si>
    <t xml:space="preserve">Interlock with Local Switch, </t>
  </si>
  <si>
    <t xml:space="preserve">Reed Switch, </t>
  </si>
  <si>
    <t xml:space="preserve">Mechanical Thermostat, </t>
  </si>
  <si>
    <t xml:space="preserve">Run On Timer, </t>
  </si>
  <si>
    <t xml:space="preserve">Time Clock, </t>
  </si>
  <si>
    <t xml:space="preserve">Local Switch, </t>
  </si>
  <si>
    <t xml:space="preserve">Run Status Light, </t>
  </si>
  <si>
    <t/>
  </si>
  <si>
    <t>Cabling</t>
  </si>
  <si>
    <t>CAN HAVE</t>
  </si>
  <si>
    <t>Run &amp; Fault Lights</t>
  </si>
  <si>
    <t>Timeclock</t>
  </si>
  <si>
    <t>Status to Other Units</t>
  </si>
  <si>
    <t>Push Button</t>
  </si>
  <si>
    <t>HAS</t>
  </si>
  <si>
    <t>VRFs</t>
  </si>
  <si>
    <t>Controller</t>
  </si>
  <si>
    <t>Indoor</t>
  </si>
  <si>
    <t>Outdoor</t>
  </si>
  <si>
    <t>Split</t>
  </si>
  <si>
    <t>PAC</t>
  </si>
  <si>
    <t>Branch Box</t>
  </si>
  <si>
    <t>Type</t>
  </si>
  <si>
    <t xml:space="preserve">cabling to unit and control panel (from Builder's Electrician's isolator) and local isolator, </t>
  </si>
  <si>
    <t xml:space="preserve">CB and cabling to unit from MSSB, and local isolator, </t>
  </si>
  <si>
    <t>Commissioning Wall Controller VRF</t>
  </si>
  <si>
    <t>Outdoor_Local</t>
  </si>
  <si>
    <t>cabling from electricians isolator to unit.</t>
  </si>
  <si>
    <t>Cond. Unit Sml Dx Install</t>
  </si>
  <si>
    <t>3 Phase Isolator</t>
  </si>
  <si>
    <t>CB 3 Phase 50A</t>
  </si>
  <si>
    <t>TYPES</t>
  </si>
  <si>
    <t>TEXTS</t>
  </si>
  <si>
    <t xml:space="preserve">Run &amp; Fault Lights, </t>
  </si>
  <si>
    <t xml:space="preserve">Electrical power supply and controls cabling for  one (1)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
</t>
  </si>
  <si>
    <t xml:space="preserve">Status to Other Units, </t>
  </si>
  <si>
    <t xml:space="preserve">Electrical power supply to one (1) Packaged units. This includes supply and install of CB, cabling from MSSB 
</t>
  </si>
  <si>
    <t xml:space="preserve">Push Button, </t>
  </si>
  <si>
    <t>Outdoor_MSSB</t>
  </si>
  <si>
    <t>CB, cabling from MSSB to CU, and local isolator.</t>
  </si>
  <si>
    <t>VRF indoor unit</t>
  </si>
  <si>
    <t>DX</t>
  </si>
  <si>
    <t>CU</t>
  </si>
  <si>
    <t>Split AC system</t>
  </si>
  <si>
    <t>SS</t>
  </si>
  <si>
    <t>Packaged unit</t>
  </si>
  <si>
    <t>VRF Central Controller</t>
  </si>
  <si>
    <t>C</t>
  </si>
  <si>
    <t>BB</t>
  </si>
  <si>
    <t>Part No.</t>
  </si>
  <si>
    <t>CCS131</t>
  </si>
  <si>
    <t>EN46-O</t>
  </si>
  <si>
    <t>EN66-O</t>
  </si>
  <si>
    <t>EN68-O</t>
  </si>
  <si>
    <t>EN810-O</t>
  </si>
  <si>
    <t>EN46-G</t>
  </si>
  <si>
    <t>EN66-G</t>
  </si>
  <si>
    <t>EN68-G</t>
  </si>
  <si>
    <t>EN88-G</t>
  </si>
  <si>
    <t>EN810-G</t>
  </si>
  <si>
    <t>DB24-2-42-O</t>
  </si>
  <si>
    <t>EUR-MDB24OR</t>
  </si>
  <si>
    <t>Eureka</t>
  </si>
  <si>
    <t>DB24-2-42-O-M</t>
  </si>
  <si>
    <t>EUR-MDB24O2MC</t>
  </si>
  <si>
    <t>DB36-2-42-O</t>
  </si>
  <si>
    <t>EUR-MDB36OR</t>
  </si>
  <si>
    <t>DB36-2-42-O-M</t>
  </si>
  <si>
    <t>EUR-MDB36O2MC</t>
  </si>
  <si>
    <t>DB48-2-42-O</t>
  </si>
  <si>
    <t>EUR-MDB48OR</t>
  </si>
  <si>
    <t>DB48-2-42-O-M</t>
  </si>
  <si>
    <t>EUR-MDB48O2MC</t>
  </si>
  <si>
    <t>DB60-2-42-O</t>
  </si>
  <si>
    <t>EUR-MDB60OR</t>
  </si>
  <si>
    <t>DB60-2-42-O-M</t>
  </si>
  <si>
    <t>EUR-MDB60O2MC</t>
  </si>
  <si>
    <t>DB72-2-42-O</t>
  </si>
  <si>
    <t>EUR-MDB72OR</t>
  </si>
  <si>
    <t>DB72-2-42-O-M</t>
  </si>
  <si>
    <t>EUR-MDB72O2MC</t>
  </si>
  <si>
    <t>DB24-2-56-O</t>
  </si>
  <si>
    <t>EUR-MDB24OR/WP</t>
  </si>
  <si>
    <t>DB24-2-56-O-M</t>
  </si>
  <si>
    <t>EUR-MDB24O2MCWP</t>
  </si>
  <si>
    <t>DB36-2-56-O</t>
  </si>
  <si>
    <t>EUR-MDB36OR/WP</t>
  </si>
  <si>
    <t>DB36-2-56-O-M</t>
  </si>
  <si>
    <t>EUR-MDB36O2MCWP</t>
  </si>
  <si>
    <t>DB48-2-56-O</t>
  </si>
  <si>
    <t>EUR-MDB48OR/WP</t>
  </si>
  <si>
    <t>DB48-2-56-O-M</t>
  </si>
  <si>
    <t>EUR-MDB48O2MCWP</t>
  </si>
  <si>
    <t>DB60-2-56-O</t>
  </si>
  <si>
    <t>EUR-MDB60OR/WP</t>
  </si>
  <si>
    <t>DB60-2-56-O-M</t>
  </si>
  <si>
    <t>EUR-MDB60O2MCWP</t>
  </si>
  <si>
    <t>DB72-2-56-O</t>
  </si>
  <si>
    <t>EUR-MDB72OR/WP</t>
  </si>
  <si>
    <t>DB72-2-56-O-M</t>
  </si>
  <si>
    <t>EUR-MDB72O2MCWP</t>
  </si>
  <si>
    <t>DB24-4-42-O</t>
  </si>
  <si>
    <t>EUR-MDB24O4NA</t>
  </si>
  <si>
    <t>DB24-4-42-O-M</t>
  </si>
  <si>
    <t>EUR-MDB24O4MC</t>
  </si>
  <si>
    <t>DB36-4-42-O</t>
  </si>
  <si>
    <t>EUR-MDB36O4NA</t>
  </si>
  <si>
    <t>DB36-4-42-O-M</t>
  </si>
  <si>
    <t>EUR-MDB36O4MC</t>
  </si>
  <si>
    <t>DB48-4-42-O</t>
  </si>
  <si>
    <t>EUR-MDB48O4NA</t>
  </si>
  <si>
    <t>DB48-4-42-O-M</t>
  </si>
  <si>
    <t>EUR-MDB48O4MC</t>
  </si>
  <si>
    <t>DB60-4-42-O</t>
  </si>
  <si>
    <t>EUR-MDB60O4NA</t>
  </si>
  <si>
    <t>DB60-4-42-O-M</t>
  </si>
  <si>
    <t>EUR-MDB60O4MC</t>
  </si>
  <si>
    <t>DB72-4-42-O</t>
  </si>
  <si>
    <t>EUR-MDB72O4NA</t>
  </si>
  <si>
    <t>DB72-4-42-O-M</t>
  </si>
  <si>
    <t>EUR-MDB72O4MC</t>
  </si>
  <si>
    <t>DB24-4-56-O</t>
  </si>
  <si>
    <t>EUR-MDB24O4NAWP</t>
  </si>
  <si>
    <t>DB24-4-56-O-M</t>
  </si>
  <si>
    <t>EUR-MDB24O4MCWP</t>
  </si>
  <si>
    <t>DB36-4-56-O</t>
  </si>
  <si>
    <t>EUR-MDB36O4NAWP</t>
  </si>
  <si>
    <t>DB36-4-56-O-M</t>
  </si>
  <si>
    <t>EUR-MDB36O4MCWP</t>
  </si>
  <si>
    <t>DB48-4-56-O</t>
  </si>
  <si>
    <t>EUR-MDB48O4NAWP</t>
  </si>
  <si>
    <t>DB48-4-56-O-M</t>
  </si>
  <si>
    <t>EUR-MDB48O4MCWP</t>
  </si>
  <si>
    <t>DB60-4-56-O</t>
  </si>
  <si>
    <t>EUR-MDB60O4NAWP</t>
  </si>
  <si>
    <t>DB60-4-56-O-M</t>
  </si>
  <si>
    <t>EUR-MDB60O4MCWP</t>
  </si>
  <si>
    <t>DB72-4-56-O</t>
  </si>
  <si>
    <t>EUR-MDB72O4NAWP</t>
  </si>
  <si>
    <t>DB72-4-56-O-M</t>
  </si>
  <si>
    <t>EUR-MDB72O4MCWP</t>
  </si>
  <si>
    <t>DB24-2-42-G</t>
  </si>
  <si>
    <t>EUR-MDB24G</t>
  </si>
  <si>
    <t>DB24-2-42-G-M</t>
  </si>
  <si>
    <t>EUR-MDB24G2MC</t>
  </si>
  <si>
    <t>DB36-2-42-G</t>
  </si>
  <si>
    <t>EUR-MDB36G</t>
  </si>
  <si>
    <t>DB36-2-42-G-M</t>
  </si>
  <si>
    <t>EUR-MDB36G2MC</t>
  </si>
  <si>
    <t>DB48-2-42-G</t>
  </si>
  <si>
    <t>EUR-MDB48G</t>
  </si>
  <si>
    <t>DB48-2-42-G-M</t>
  </si>
  <si>
    <t>EUR-MDB48G2MC</t>
  </si>
  <si>
    <t>DB60-2-42-G</t>
  </si>
  <si>
    <t>EUR-MDB60G</t>
  </si>
  <si>
    <t>DB60-2-42-G-M</t>
  </si>
  <si>
    <t>EUR-MDB60G2MC</t>
  </si>
  <si>
    <t>DB72-2-42-G</t>
  </si>
  <si>
    <t>EUR-MDB72G</t>
  </si>
  <si>
    <t>DB72-2-42-G-M</t>
  </si>
  <si>
    <t>EUR-MDB72G2MC</t>
  </si>
  <si>
    <t>DB24-2-56-G</t>
  </si>
  <si>
    <t>EUR-MDB24G/WP</t>
  </si>
  <si>
    <t>DB24-2-56-G-M</t>
  </si>
  <si>
    <t>EUR-MDB24G2MCWP</t>
  </si>
  <si>
    <t>DB36-2-56-G</t>
  </si>
  <si>
    <t>EUR-MDB36G/WP</t>
  </si>
  <si>
    <t>DB36-2-56-G-M</t>
  </si>
  <si>
    <t>EUR-MDB36G2MCWP</t>
  </si>
  <si>
    <t>DB48-2-56-G</t>
  </si>
  <si>
    <t>EUR-MDB48G/WP</t>
  </si>
  <si>
    <t>DB48-2-56-G-M</t>
  </si>
  <si>
    <t>EUR-MDB48G2MCWP</t>
  </si>
  <si>
    <t>DB60-2-56-G</t>
  </si>
  <si>
    <t>EUR-MDB60G/WP</t>
  </si>
  <si>
    <t>DB60-2-56-G-M</t>
  </si>
  <si>
    <t>EUR-MDB60G2MCWP</t>
  </si>
  <si>
    <t>DB72-2-56-G</t>
  </si>
  <si>
    <t>EUR-MDB72G/WP</t>
  </si>
  <si>
    <t>DB72-2-56-G-M</t>
  </si>
  <si>
    <t>EUR-MDB72G2MCWP</t>
  </si>
  <si>
    <t>DB24-4-42-G</t>
  </si>
  <si>
    <t>EUR-MDB24G4NA</t>
  </si>
  <si>
    <t>DB24-4-42-G-M</t>
  </si>
  <si>
    <t>EUR-MDB24G4MC</t>
  </si>
  <si>
    <t>DB36-4-42-G</t>
  </si>
  <si>
    <t>EUR-MDB36G4NA</t>
  </si>
  <si>
    <t>DB36-4-42-G-M</t>
  </si>
  <si>
    <t>EUR-MDB36G4MC</t>
  </si>
  <si>
    <t>DB48-4-42-G</t>
  </si>
  <si>
    <t>EUR-MDB48G4NA</t>
  </si>
  <si>
    <t>DB48-4-42-G-M</t>
  </si>
  <si>
    <t>EUR-MDB48G4MC</t>
  </si>
  <si>
    <t>DB60-4-42-G</t>
  </si>
  <si>
    <t>EUR-MDB60G4NA</t>
  </si>
  <si>
    <t>DB60-4-42-G-M</t>
  </si>
  <si>
    <t>EUR-MDB60G4MC</t>
  </si>
  <si>
    <t>DB72-4-42-G</t>
  </si>
  <si>
    <t>EUR-MDB72G4NA</t>
  </si>
  <si>
    <t>DB72-4-42-G-M</t>
  </si>
  <si>
    <t>EUR-MDB72G4MC</t>
  </si>
  <si>
    <t>DB24-4-56-G</t>
  </si>
  <si>
    <t>EUR-MDB24G4NAWP</t>
  </si>
  <si>
    <t>DB24-4-56-G-M</t>
  </si>
  <si>
    <t>EUR-MDB24G4MCWP</t>
  </si>
  <si>
    <t>DB36-4-56-G</t>
  </si>
  <si>
    <t>EUR-MDB36G4NAWP</t>
  </si>
  <si>
    <t>DB36-4-56-G-M</t>
  </si>
  <si>
    <t>EUR-MDB36G4MCWP</t>
  </si>
  <si>
    <t>DB48-4-56-G</t>
  </si>
  <si>
    <t>EUR-MDB48G4NAWP</t>
  </si>
  <si>
    <t>DB48-4-56-G-M</t>
  </si>
  <si>
    <t>EUR-MDB48G4MCWP</t>
  </si>
  <si>
    <t>DB60-4-56-G</t>
  </si>
  <si>
    <t>EUR-MDB60G4NAWP</t>
  </si>
  <si>
    <t>DB60-4-56-G-M</t>
  </si>
  <si>
    <t>EUR-MDB60G4MCWP</t>
  </si>
  <si>
    <t>DB72-4-56-G</t>
  </si>
  <si>
    <t>EUR-MDB72G4NAWP</t>
  </si>
  <si>
    <t>DB72-4-56-G-M</t>
  </si>
  <si>
    <t>EUR-MDB72G4MCWP</t>
  </si>
  <si>
    <t>MS3100</t>
  </si>
  <si>
    <t>PN</t>
  </si>
  <si>
    <t>Secondary Supplier</t>
  </si>
  <si>
    <t>EN88-O</t>
  </si>
  <si>
    <t>Pump Room</t>
  </si>
  <si>
    <t>Traffolyte</t>
  </si>
  <si>
    <t>Pump Fans</t>
  </si>
  <si>
    <t>Power Cabling</t>
  </si>
  <si>
    <t>Controls Cabling</t>
  </si>
  <si>
    <t>Jet Fan</t>
  </si>
  <si>
    <t>Material</t>
  </si>
  <si>
    <t>Fan</t>
  </si>
  <si>
    <t>VRF</t>
  </si>
  <si>
    <t>NEW NEW NEW</t>
  </si>
  <si>
    <t>Difference</t>
  </si>
  <si>
    <t>Old</t>
  </si>
  <si>
    <t>New</t>
  </si>
  <si>
    <t>VSD</t>
  </si>
  <si>
    <t xml:space="preserve">VSD, </t>
  </si>
  <si>
    <t>VSD Typical</t>
  </si>
  <si>
    <t>Controls</t>
  </si>
  <si>
    <t>Mech Elec</t>
  </si>
  <si>
    <t>Air Pressure Switch</t>
  </si>
  <si>
    <t>FRC3025+E</t>
  </si>
  <si>
    <t>[CABLE LENGTH]</t>
  </si>
  <si>
    <t>OUT</t>
  </si>
  <si>
    <t>STRINGs</t>
  </si>
  <si>
    <t>CPEF</t>
  </si>
  <si>
    <t>PUMP</t>
  </si>
  <si>
    <t>CO</t>
  </si>
  <si>
    <t>VISIT</t>
  </si>
  <si>
    <t>Count</t>
  </si>
  <si>
    <t>Count 2</t>
  </si>
  <si>
    <t>Str1</t>
  </si>
  <si>
    <t>Title</t>
  </si>
  <si>
    <t>Carpark Fan</t>
  </si>
  <si>
    <t>CO Sensor</t>
  </si>
  <si>
    <t>IO Expansion Modules</t>
  </si>
  <si>
    <t>VRF outdoor condenser unit</t>
  </si>
  <si>
    <t xml:space="preserve">Electrical power supply and controls to </t>
  </si>
  <si>
    <t xml:space="preserve">Power for system includes: cabling to fan and control panel (from Builder's Electrician's isolator) and local isolator. </t>
  </si>
  <si>
    <t xml:space="preserve">This includes supply and install of power and controls. </t>
  </si>
  <si>
    <t>Pump Room Fan</t>
  </si>
  <si>
    <t>Controls for system includes: high temp thermostat, current switch and cable to light switch, controls cabling, contactors/relays, fire relay for interface with fire trade, run and fault lights, Auto/Off/On switch, controls enclosure, Traffolyte labelling and commissioning/testing.</t>
  </si>
  <si>
    <t>Controls for systems includes: controls cabling, contactors/relays, air pressure switch, run light, fault light, Auto/Off/On switch, interface for fire trade connection and commissioning/testing.</t>
  </si>
  <si>
    <t>Carpark &amp; Pump Room</t>
  </si>
  <si>
    <t>This includes a combination of cable ladder tray, cable tray, catenary, conduit, and miscellaneous hardware</t>
  </si>
  <si>
    <t>Support systems will be chosen on a case-by-case basis by our licensed electricians in compliance with AS3000 and design specification</t>
  </si>
  <si>
    <t>Supply and install appropriate cabling support/fixings for cabling required throughout this project</t>
  </si>
  <si>
    <t xml:space="preserve"> for </t>
  </si>
  <si>
    <t xml:space="preserve"> visits</t>
  </si>
  <si>
    <t>Power for systems includes: CB, cabling to VSD, Danfoss VSD (with internal program for control), shielded cabling, local isolator, 003 padlock, fan isolator and manual controls AS1668.1, Traffolyte labels.</t>
  </si>
  <si>
    <t xml:space="preserve">
Cabling &amp; Miscellaneous</t>
  </si>
  <si>
    <t>DON’T TOUCH</t>
  </si>
  <si>
    <t>Price Breakdown</t>
  </si>
  <si>
    <t>Switchboards</t>
  </si>
  <si>
    <t>VSD or KEF</t>
  </si>
  <si>
    <t>KEF</t>
  </si>
  <si>
    <t xml:space="preserve">Kitchen Exhaust Fan, </t>
  </si>
  <si>
    <t>Transformer (50A)</t>
  </si>
  <si>
    <t>Switchplate (4 Switches)</t>
  </si>
  <si>
    <t>Speed Control Dial</t>
  </si>
  <si>
    <t>Size</t>
  </si>
  <si>
    <t>Dual Fan [CW AHU]</t>
  </si>
  <si>
    <t>DOL
[PUMP]</t>
  </si>
  <si>
    <t>Fire Ess. [CW AHU]</t>
  </si>
  <si>
    <t>Precision Cooling</t>
  </si>
  <si>
    <t>Chilled Water AHU</t>
  </si>
  <si>
    <t>Chilled Water FCU</t>
  </si>
  <si>
    <t>Air Cooled Chiller</t>
  </si>
  <si>
    <t>Pump</t>
  </si>
  <si>
    <t>EDH</t>
  </si>
  <si>
    <t>Small</t>
  </si>
  <si>
    <t>Medium</t>
  </si>
  <si>
    <t>Large</t>
  </si>
  <si>
    <t>VSD Small (2k2)</t>
  </si>
  <si>
    <t>VSD Medium (5k5)</t>
  </si>
  <si>
    <t>VSD Large (11k)</t>
  </si>
  <si>
    <t>Isolator (part of VSD)</t>
  </si>
  <si>
    <t>WES NEVER PRICED THESE, IT WAS A FLAT RATE</t>
  </si>
  <si>
    <t>FCU</t>
  </si>
  <si>
    <t>AHU</t>
  </si>
  <si>
    <t>FCU-0</t>
  </si>
  <si>
    <t>AHU-</t>
  </si>
  <si>
    <t>CWP-</t>
  </si>
  <si>
    <t>EDH-0</t>
  </si>
  <si>
    <t>CH-????????</t>
  </si>
  <si>
    <t>S</t>
  </si>
  <si>
    <t>M</t>
  </si>
  <si>
    <t>L</t>
  </si>
  <si>
    <t xml:space="preserve"> Chilled Water Fan Coil Unit (FCU)</t>
  </si>
  <si>
    <t xml:space="preserve"> Chilled Water Air Handler Unit (AHU)</t>
  </si>
  <si>
    <t xml:space="preserve"> Air Cooled Chiller Unit</t>
  </si>
  <si>
    <t xml:space="preserve"> Pump</t>
  </si>
  <si>
    <t xml:space="preserve"> Electric Duct Heater (EDH) Unit</t>
  </si>
  <si>
    <t>???????</t>
  </si>
  <si>
    <t>Text</t>
  </si>
  <si>
    <t>VRF Air Conditioning</t>
  </si>
  <si>
    <t>Chiller Air Conditioning</t>
  </si>
  <si>
    <t>Motorised Damper</t>
  </si>
  <si>
    <t>Smoke Damper</t>
  </si>
  <si>
    <t>Make Safe &amp; Disconnect</t>
  </si>
  <si>
    <t>Phase</t>
  </si>
  <si>
    <t>Single</t>
  </si>
  <si>
    <t>Three</t>
  </si>
  <si>
    <t>MD</t>
  </si>
  <si>
    <t>SD</t>
  </si>
  <si>
    <t>MSD</t>
  </si>
  <si>
    <t xml:space="preserve"> Motorised Damper</t>
  </si>
  <si>
    <t xml:space="preserve"> Smoke Damper</t>
  </si>
  <si>
    <t xml:space="preserve"> Make Safe &amp; Disconnect</t>
  </si>
  <si>
    <t>Chiller</t>
  </si>
  <si>
    <t>ERROR ERROR ERROR</t>
  </si>
  <si>
    <t>Contactors &amp; Overloads</t>
  </si>
  <si>
    <t>Car ParK</t>
  </si>
  <si>
    <t>JOB TOTAL</t>
  </si>
  <si>
    <t>REFRESH ME</t>
  </si>
  <si>
    <t>SCROLL DOWN FOR SUMMARY OF WORKS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</si>
</sst>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2" formatCode="_-&quot;$&quot;* #,##0_-;\-&quot;$&quot;* #,##0_-;_-&quot;$&quot;* &quot;-&quot;_-;_-@_-"/>
    <numFmt numFmtId="44" formatCode="_-&quot;$&quot;* #,##0.00_-;\-&quot;$&quot;* #,##0.00_-;_-&quot;$&quot;* &quot;-&quot;??_-;_-@_-"/>
    <numFmt numFmtId="43" formatCode="_-* #,##0.00_-;\-* #,##0.00_-;_-* &quot;-&quot;??_-;_-@_-"/>
    <numFmt numFmtId="164" formatCode="&quot;$&quot;#,##0.00"/>
    <numFmt numFmtId="165" formatCode="#,##0.00_ ;\-#,##0.00\ "/>
    <numFmt numFmtId="166" formatCode="#,##0.0_ ;\-#,##0.0\ "/>
    <numFmt numFmtId="167" formatCode="0.0"/>
    <numFmt numFmtId="168" formatCode="&quot;$&quot;####.00&quot;/hr&quot;"/>
    <numFmt numFmtId="169" formatCode="0.0%"/>
    <numFmt numFmtId="170" formatCode="####.0\ &quot;hrs&quot;"/>
    <numFmt numFmtId="171" formatCode="_-&quot;$&quot;* #,##0_-;\-&quot;$&quot;* #,##0_-;_-&quot;$&quot;* &quot;-&quot;??_-;_-@_-"/>
    <numFmt numFmtId="172" formatCode="####.00&quot; hr&quot;"/>
    <numFmt numFmtId="173" formatCode="_-* #,##0_-;\-* #,##0_-;_-* &quot;-&quot;??_-;_-@_-"/>
    <numFmt numFmtId="174" formatCode="0.0\ &quot;Hrs&quot;"/>
  </numFmts>
  <fonts count="42" x14ac:knownFonts="1">
    <font>
      <sz val="11"/>
      <color theme="1"/>
      <name val="Calibri"/>
      <family val="2"/>
      <scheme val="minor"/>
    </font>
    <font>
      <sz val="11"/>
      <color theme="1"/>
      <name val="Consolas"/>
      <family val="2"/>
    </font>
    <font>
      <sz val="11"/>
      <color theme="1"/>
      <name val="Consolas"/>
      <family val="2"/>
    </font>
    <font>
      <sz val="11"/>
      <color theme="1"/>
      <name val="Consolas"/>
      <family val="2"/>
    </font>
    <font>
      <sz val="11"/>
      <color rgb="FFFF0000"/>
      <name val="Calibri"/>
      <family val="2"/>
      <scheme val="minor"/>
    </font>
    <font>
      <b/>
      <sz val="11"/>
      <color theme="1"/>
      <name val="Calibri"/>
      <family val="2"/>
      <scheme val="minor"/>
    </font>
    <font>
      <b/>
      <sz val="16"/>
      <color theme="1"/>
      <name val="Calibri"/>
      <family val="2"/>
      <scheme val="minor"/>
    </font>
    <font>
      <b/>
      <sz val="14"/>
      <color theme="1"/>
      <name val="Calibri"/>
      <family val="2"/>
      <scheme val="minor"/>
    </font>
    <font>
      <b/>
      <sz val="12"/>
      <color theme="1"/>
      <name val="Calibri"/>
      <family val="2"/>
      <scheme val="minor"/>
    </font>
    <font>
      <sz val="10"/>
      <name val="Arial"/>
      <family val="2"/>
    </font>
    <font>
      <sz val="10"/>
      <color rgb="FF008000"/>
      <name val="Arial"/>
      <family val="2"/>
    </font>
    <font>
      <sz val="20"/>
      <color theme="1"/>
      <name val="Calibri"/>
      <family val="2"/>
      <scheme val="minor"/>
    </font>
    <font>
      <sz val="12"/>
      <color rgb="FFFF0000"/>
      <name val="Calibri"/>
      <family val="2"/>
      <scheme val="minor"/>
    </font>
    <font>
      <b/>
      <sz val="12"/>
      <color rgb="FFFF0000"/>
      <name val="Calibri"/>
      <family val="2"/>
      <scheme val="minor"/>
    </font>
    <font>
      <b/>
      <sz val="28"/>
      <color theme="1"/>
      <name val="Calibri"/>
      <family val="2"/>
      <scheme val="minor"/>
    </font>
    <font>
      <b/>
      <u/>
      <sz val="11"/>
      <color theme="1"/>
      <name val="Calibri"/>
      <family val="2"/>
      <scheme val="minor"/>
    </font>
    <font>
      <b/>
      <sz val="22"/>
      <color theme="1"/>
      <name val="Calibri"/>
      <family val="2"/>
      <scheme val="minor"/>
    </font>
    <font>
      <b/>
      <sz val="36"/>
      <color theme="1"/>
      <name val="Calibri"/>
      <family val="2"/>
      <scheme val="minor"/>
    </font>
    <font>
      <sz val="36"/>
      <color theme="1"/>
      <name val="Calibri"/>
      <family val="2"/>
      <scheme val="minor"/>
    </font>
    <font>
      <sz val="24"/>
      <color theme="1"/>
      <name val="Calibri"/>
      <family val="2"/>
      <scheme val="minor"/>
    </font>
    <font>
      <sz val="12"/>
      <color theme="1"/>
      <name val="Calibri"/>
      <family val="2"/>
      <scheme val="minor"/>
    </font>
    <font>
      <b/>
      <sz val="24"/>
      <color theme="1"/>
      <name val="Calibri"/>
      <family val="2"/>
      <scheme val="minor"/>
    </font>
    <font>
      <sz val="22"/>
      <color theme="1"/>
      <name val="Calibri"/>
      <family val="2"/>
      <scheme val="minor"/>
    </font>
    <font>
      <b/>
      <sz val="48"/>
      <color theme="1"/>
      <name val="Calibri"/>
      <family val="2"/>
      <scheme val="minor"/>
    </font>
    <font>
      <b/>
      <sz val="20"/>
      <color theme="1"/>
      <name val="Calibri"/>
      <family val="2"/>
      <scheme val="minor"/>
    </font>
    <font>
      <b/>
      <i/>
      <u/>
      <sz val="48"/>
      <color theme="1"/>
      <name val="Calibri"/>
      <family val="2"/>
      <scheme val="minor"/>
    </font>
    <font>
      <sz val="11"/>
      <color theme="1"/>
      <name val="Calibri"/>
      <family val="2"/>
      <scheme val="minor"/>
    </font>
    <font>
      <b/>
      <sz val="11"/>
      <color rgb="FFFA7D00"/>
      <name val="Consolas"/>
      <family val="2"/>
    </font>
    <font>
      <b/>
      <u val="singleAccounting"/>
      <sz val="11"/>
      <color rgb="FFFA7D00"/>
      <name val="Consolas"/>
      <family val="2"/>
    </font>
    <font>
      <sz val="11"/>
      <color theme="0"/>
      <name val="Consolas"/>
      <family val="2"/>
    </font>
    <font>
      <sz val="11"/>
      <color rgb="FF3F3F76"/>
      <name val="Consolas"/>
      <family val="2"/>
    </font>
    <font>
      <b/>
      <sz val="11"/>
      <color rgb="FF3F3F3F"/>
      <name val="Consolas"/>
      <family val="2"/>
    </font>
    <font>
      <b/>
      <sz val="16"/>
      <color rgb="FF3F3F3F"/>
      <name val="Consolas"/>
      <family val="2"/>
    </font>
    <font>
      <b/>
      <sz val="11"/>
      <color rgb="FF000000"/>
      <name val="Calibri"/>
      <family val="2"/>
      <charset val="1"/>
    </font>
    <font>
      <sz val="11"/>
      <color rgb="FF9C0006"/>
      <name val="Consolas"/>
      <family val="2"/>
    </font>
    <font>
      <i/>
      <sz val="11"/>
      <color rgb="FF7F7F7F"/>
      <name val="Consolas"/>
      <family val="2"/>
    </font>
    <font>
      <b/>
      <sz val="11"/>
      <color theme="1"/>
      <name val="Consolas"/>
      <family val="3"/>
    </font>
    <font>
      <sz val="11"/>
      <color theme="1"/>
      <name val="Consolas"/>
      <family val="3"/>
    </font>
    <font>
      <sz val="11"/>
      <color rgb="FF006100"/>
      <name val="Consolas"/>
      <family val="2"/>
    </font>
    <font>
      <sz val="11"/>
      <color theme="1"/>
      <name val="Tahoma"/>
      <family val="2"/>
    </font>
    <font>
      <b/>
      <sz val="11"/>
      <color theme="0"/>
      <name val="Consolas"/>
      <family val="2"/>
    </font>
    <font>
      <b/>
      <sz val="15"/>
      <color theme="3"/>
      <name val="Consolas"/>
      <family val="2"/>
    </font>
  </fonts>
  <fills count="44">
    <fill>
      <patternFill patternType="none"/>
    </fill>
    <fill>
      <patternFill patternType="gray125"/>
    </fill>
    <fill>
      <patternFill patternType="solid">
        <fgColor theme="1" tint="0.14999847407452621"/>
        <bgColor indexed="64"/>
      </patternFill>
    </fill>
    <fill>
      <patternFill patternType="solid">
        <fgColor theme="0" tint="-0.34998626667073579"/>
        <bgColor indexed="64"/>
      </patternFill>
    </fill>
    <fill>
      <patternFill patternType="solid">
        <fgColor rgb="FFFFFFFF"/>
        <bgColor indexed="64"/>
      </patternFill>
    </fill>
    <fill>
      <patternFill patternType="solid">
        <fgColor theme="1"/>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theme="1" tint="4.9989318521683403E-2"/>
        <bgColor indexed="64"/>
      </patternFill>
    </fill>
    <fill>
      <patternFill patternType="lightUp">
        <fgColor rgb="FFFFFF00"/>
        <bgColor theme="3" tint="0.59999389629810485"/>
      </patternFill>
    </fill>
    <fill>
      <patternFill patternType="solid">
        <fgColor rgb="FFFF0000"/>
        <bgColor indexed="64"/>
      </patternFill>
    </fill>
    <fill>
      <patternFill patternType="solid">
        <fgColor theme="0"/>
        <bgColor indexed="64"/>
      </patternFill>
    </fill>
    <fill>
      <patternFill patternType="lightUp">
        <fgColor rgb="FFFFFF00"/>
        <bgColor theme="1" tint="4.9989318521683403E-2"/>
      </patternFill>
    </fill>
    <fill>
      <patternFill patternType="solid">
        <fgColor theme="3" tint="0.39994506668294322"/>
        <bgColor indexed="64"/>
      </patternFill>
    </fill>
    <fill>
      <patternFill patternType="lightUp">
        <fgColor rgb="FFFFFF00"/>
        <bgColor rgb="FFFFFF00"/>
      </patternFill>
    </fill>
    <fill>
      <patternFill patternType="solid">
        <fgColor rgb="FF92D050"/>
        <bgColor indexed="64"/>
      </patternFill>
    </fill>
    <fill>
      <patternFill patternType="lightUp">
        <fgColor rgb="FFFFFF00"/>
        <bgColor rgb="FFFF0000"/>
      </patternFill>
    </fill>
    <fill>
      <patternFill patternType="solid">
        <fgColor theme="6" tint="0.39997558519241921"/>
        <bgColor indexed="64"/>
      </patternFill>
    </fill>
    <fill>
      <patternFill patternType="solid">
        <fgColor rgb="FF00B050"/>
        <bgColor indexed="64"/>
      </patternFill>
    </fill>
    <fill>
      <patternFill patternType="solid">
        <fgColor rgb="FF7030A0"/>
        <bgColor indexed="64"/>
      </patternFill>
    </fill>
    <fill>
      <patternFill patternType="solid">
        <fgColor theme="8" tint="0.39997558519241921"/>
        <bgColor indexed="64"/>
      </patternFill>
    </fill>
    <fill>
      <patternFill patternType="lightUp">
        <fgColor rgb="FFFFFF00"/>
        <bgColor rgb="FF7030A0"/>
      </patternFill>
    </fill>
    <fill>
      <patternFill patternType="solid">
        <fgColor theme="9"/>
        <bgColor indexed="64"/>
      </patternFill>
    </fill>
    <fill>
      <patternFill patternType="solid">
        <fgColor rgb="FFF2F2F2"/>
      </patternFill>
    </fill>
    <fill>
      <patternFill patternType="solid">
        <fgColor theme="8"/>
      </patternFill>
    </fill>
    <fill>
      <patternFill patternType="solid">
        <fgColor rgb="FFFFCC99"/>
      </patternFill>
    </fill>
    <fill>
      <patternFill patternType="solid">
        <fgColor rgb="FFEEEEEE"/>
        <bgColor rgb="FFF2F2F2"/>
      </patternFill>
    </fill>
    <fill>
      <patternFill patternType="solid">
        <fgColor rgb="FF92D050"/>
        <bgColor rgb="FF9BBB59"/>
      </patternFill>
    </fill>
    <fill>
      <patternFill patternType="solid">
        <fgColor rgb="FFFFF200"/>
        <bgColor rgb="FFFFFF00"/>
      </patternFill>
    </fill>
    <fill>
      <patternFill patternType="solid">
        <fgColor rgb="FF59C5C7"/>
        <bgColor rgb="FF4BACC6"/>
      </patternFill>
    </fill>
    <fill>
      <patternFill patternType="solid">
        <fgColor rgb="FFFFC7CE"/>
      </patternFill>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rgb="FFEEEEEE"/>
        <bgColor rgb="FFFFFFFF"/>
      </patternFill>
    </fill>
    <fill>
      <patternFill patternType="solid">
        <fgColor rgb="FFED1C24"/>
        <bgColor rgb="FFCE181E"/>
      </patternFill>
    </fill>
    <fill>
      <patternFill patternType="solid">
        <fgColor rgb="FFFFFFCC"/>
      </patternFill>
    </fill>
    <fill>
      <patternFill patternType="solid">
        <fgColor theme="9" tint="0.79998168889431442"/>
        <bgColor indexed="65"/>
      </patternFill>
    </fill>
    <fill>
      <patternFill patternType="solid">
        <fgColor rgb="FFC6EFCE"/>
      </patternFill>
    </fill>
    <fill>
      <patternFill patternType="solid">
        <fgColor theme="5" tint="0.39997558519241921"/>
        <bgColor indexed="65"/>
      </patternFill>
    </fill>
    <fill>
      <patternFill patternType="solid">
        <fgColor theme="0" tint="-4.9989318521683403E-2"/>
        <bgColor indexed="64"/>
      </patternFill>
    </fill>
    <fill>
      <patternFill patternType="solid">
        <fgColor rgb="FFA5A5A5"/>
      </patternFill>
    </fill>
  </fills>
  <borders count="59">
    <border>
      <left/>
      <right/>
      <top/>
      <bottom/>
      <diagonal/>
    </border>
    <border>
      <left style="thin">
        <color indexed="64"/>
      </left>
      <right style="thin">
        <color indexed="64"/>
      </right>
      <top style="thin">
        <color indexed="64"/>
      </top>
      <bottom style="thin">
        <color indexed="64"/>
      </bottom>
      <diagonal/>
    </border>
    <border>
      <left/>
      <right style="medium">
        <color rgb="FFCCCCCC"/>
      </right>
      <top/>
      <bottom style="dotted">
        <color rgb="FFCCCCCC"/>
      </bottom>
      <diagonal/>
    </border>
    <border>
      <left/>
      <right/>
      <top/>
      <bottom style="dotted">
        <color rgb="FFCCCCCC"/>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right/>
      <top style="medium">
        <color indexed="64"/>
      </top>
      <bottom style="medium">
        <color indexed="64"/>
      </bottom>
      <diagonal/>
    </border>
    <border>
      <left/>
      <right/>
      <top style="thin">
        <color indexed="64"/>
      </top>
      <bottom/>
      <diagonal/>
    </border>
    <border>
      <left/>
      <right/>
      <top style="thin">
        <color indexed="64"/>
      </top>
      <bottom style="medium">
        <color indexed="6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3F3F3F"/>
      </left>
      <right style="thin">
        <color rgb="FF3F3F3F"/>
      </right>
      <top style="thin">
        <color rgb="FF3F3F3F"/>
      </top>
      <bottom/>
      <diagonal/>
    </border>
    <border>
      <left/>
      <right style="thin">
        <color rgb="FF3F3F3F"/>
      </right>
      <top style="thin">
        <color rgb="FF3F3F3F"/>
      </top>
      <bottom style="thin">
        <color rgb="FF3F3F3F"/>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bottom/>
      <diagonal/>
    </border>
    <border>
      <left style="medium">
        <color indexed="64"/>
      </left>
      <right style="thin">
        <color rgb="FF7F7F7F"/>
      </right>
      <top style="medium">
        <color indexed="64"/>
      </top>
      <bottom/>
      <diagonal/>
    </border>
    <border>
      <left style="thin">
        <color rgb="FF7F7F7F"/>
      </left>
      <right style="medium">
        <color indexed="64"/>
      </right>
      <top style="medium">
        <color indexed="64"/>
      </top>
      <bottom/>
      <diagonal/>
    </border>
    <border>
      <left style="thin">
        <color rgb="FF7F7F7F"/>
      </left>
      <right style="thin">
        <color rgb="FF7F7F7F"/>
      </right>
      <top style="medium">
        <color indexed="64"/>
      </top>
      <bottom/>
      <diagonal/>
    </border>
    <border>
      <left style="thin">
        <color rgb="FF7F7F7F"/>
      </left>
      <right style="thin">
        <color rgb="FF7F7F7F"/>
      </right>
      <top/>
      <bottom style="thin">
        <color rgb="FF7F7F7F"/>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rgb="FF7F7F7F"/>
      </left>
      <right style="thin">
        <color rgb="FF7F7F7F"/>
      </right>
      <top style="thin">
        <color rgb="FF7F7F7F"/>
      </top>
      <bottom/>
      <diagonal/>
    </border>
    <border>
      <left style="thin">
        <color rgb="FFB2B2B2"/>
      </left>
      <right style="thin">
        <color rgb="FFB2B2B2"/>
      </right>
      <top style="thin">
        <color rgb="FFB2B2B2"/>
      </top>
      <bottom style="thin">
        <color rgb="FFB2B2B2"/>
      </bottom>
      <diagonal/>
    </border>
    <border>
      <left style="thin">
        <color rgb="FFB2B2B2"/>
      </left>
      <right/>
      <top style="thin">
        <color rgb="FFB2B2B2"/>
      </top>
      <bottom style="thin">
        <color rgb="FFB2B2B2"/>
      </bottom>
      <diagonal/>
    </border>
    <border>
      <left/>
      <right/>
      <top style="thin">
        <color rgb="FFB2B2B2"/>
      </top>
      <bottom style="thin">
        <color rgb="FFB2B2B2"/>
      </bottom>
      <diagonal/>
    </border>
    <border>
      <left/>
      <right style="thin">
        <color rgb="FFB2B2B2"/>
      </right>
      <top style="thin">
        <color rgb="FFB2B2B2"/>
      </top>
      <bottom style="thin">
        <color rgb="FFB2B2B2"/>
      </bottom>
      <diagonal/>
    </border>
    <border>
      <left style="thin">
        <color rgb="FFB2B2B2"/>
      </left>
      <right/>
      <top style="thin">
        <color rgb="FFB2B2B2"/>
      </top>
      <bottom/>
      <diagonal/>
    </border>
    <border>
      <left/>
      <right/>
      <top style="thin">
        <color rgb="FFB2B2B2"/>
      </top>
      <bottom/>
      <diagonal/>
    </border>
    <border>
      <left/>
      <right style="thin">
        <color rgb="FFB2B2B2"/>
      </right>
      <top style="thin">
        <color rgb="FFB2B2B2"/>
      </top>
      <bottom/>
      <diagonal/>
    </border>
    <border>
      <left style="thin">
        <color rgb="FFB2B2B2"/>
      </left>
      <right/>
      <top/>
      <bottom/>
      <diagonal/>
    </border>
    <border>
      <left/>
      <right style="thin">
        <color rgb="FFB2B2B2"/>
      </right>
      <top/>
      <bottom/>
      <diagonal/>
    </border>
    <border>
      <left style="medium">
        <color indexed="64"/>
      </left>
      <right style="medium">
        <color indexed="64"/>
      </right>
      <top style="medium">
        <color indexed="64"/>
      </top>
      <bottom style="medium">
        <color indexed="64"/>
      </bottom>
      <diagonal/>
    </border>
    <border>
      <left style="thin">
        <color rgb="FF3F3F3F"/>
      </left>
      <right/>
      <top style="thin">
        <color rgb="FF3F3F3F"/>
      </top>
      <bottom style="thin">
        <color rgb="FF3F3F3F"/>
      </bottom>
      <diagonal/>
    </border>
    <border>
      <left/>
      <right/>
      <top style="thin">
        <color rgb="FF3F3F3F"/>
      </top>
      <bottom style="thin">
        <color rgb="FF3F3F3F"/>
      </bottom>
      <diagonal/>
    </border>
    <border>
      <left style="medium">
        <color indexed="64"/>
      </left>
      <right style="thin">
        <color rgb="FF7F7F7F"/>
      </right>
      <top style="medium">
        <color indexed="64"/>
      </top>
      <bottom style="medium">
        <color indexed="64"/>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s>
  <cellStyleXfs count="20">
    <xf numFmtId="0" fontId="0" fillId="0" borderId="0"/>
    <xf numFmtId="42" fontId="26" fillId="0" borderId="0" applyFont="0" applyFill="0" applyBorder="0" applyAlignment="0" applyProtection="0"/>
    <xf numFmtId="0" fontId="27" fillId="25" borderId="21" applyNumberFormat="0" applyAlignment="0" applyProtection="0"/>
    <xf numFmtId="9" fontId="26" fillId="0" borderId="0" applyFont="0" applyFill="0" applyBorder="0" applyAlignment="0" applyProtection="0"/>
    <xf numFmtId="44" fontId="26" fillId="0" borderId="0" applyFont="0" applyFill="0" applyBorder="0" applyAlignment="0" applyProtection="0"/>
    <xf numFmtId="0" fontId="29" fillId="26" borderId="0" applyNumberFormat="0" applyBorder="0" applyAlignment="0" applyProtection="0"/>
    <xf numFmtId="0" fontId="30" fillId="27" borderId="21" applyNumberFormat="0" applyAlignment="0" applyProtection="0"/>
    <xf numFmtId="0" fontId="31" fillId="25" borderId="22" applyNumberFormat="0" applyAlignment="0" applyProtection="0"/>
    <xf numFmtId="43" fontId="26" fillId="0" borderId="0" applyFont="0" applyFill="0" applyBorder="0" applyAlignment="0" applyProtection="0"/>
    <xf numFmtId="0" fontId="34" fillId="32" borderId="0" applyNumberFormat="0" applyBorder="0" applyAlignment="0" applyProtection="0"/>
    <xf numFmtId="0" fontId="35" fillId="0" borderId="0" applyNumberFormat="0" applyFill="0" applyBorder="0" applyAlignment="0" applyProtection="0"/>
    <xf numFmtId="0" fontId="3" fillId="33" borderId="0" applyNumberFormat="0" applyBorder="0" applyAlignment="0" applyProtection="0"/>
    <xf numFmtId="0" fontId="3" fillId="34" borderId="0" applyNumberFormat="0" applyBorder="0" applyAlignment="0" applyProtection="0"/>
    <xf numFmtId="0" fontId="3" fillId="35" borderId="0" applyNumberFormat="0" applyBorder="0" applyAlignment="0" applyProtection="0"/>
    <xf numFmtId="0" fontId="26" fillId="38" borderId="44" applyNumberFormat="0" applyFont="0" applyAlignment="0" applyProtection="0"/>
    <xf numFmtId="0" fontId="2" fillId="39" borderId="0" applyNumberFormat="0" applyBorder="0" applyAlignment="0" applyProtection="0"/>
    <xf numFmtId="0" fontId="38" fillId="40" borderId="0" applyNumberFormat="0" applyBorder="0" applyAlignment="0" applyProtection="0"/>
    <xf numFmtId="0" fontId="1" fillId="41" borderId="0" applyNumberFormat="0" applyBorder="0" applyAlignment="0" applyProtection="0"/>
    <xf numFmtId="0" fontId="40" fillId="43" borderId="57" applyNumberFormat="0" applyAlignment="0" applyProtection="0"/>
    <xf numFmtId="0" fontId="41" fillId="0" borderId="58" applyNumberFormat="0" applyFill="0" applyAlignment="0" applyProtection="0"/>
  </cellStyleXfs>
  <cellXfs count="518">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9" fillId="4" borderId="2" xfId="0" applyFont="1" applyFill="1" applyBorder="1" applyAlignment="1">
      <alignment vertical="center" wrapText="1"/>
    </xf>
    <xf numFmtId="0" fontId="10" fillId="4" borderId="2" xfId="0" applyFont="1" applyFill="1" applyBorder="1" applyAlignment="1">
      <alignment vertical="center" wrapText="1"/>
    </xf>
    <xf numFmtId="0" fontId="9" fillId="4" borderId="3" xfId="0" applyFont="1" applyFill="1" applyBorder="1" applyAlignment="1">
      <alignment vertical="center" wrapText="1"/>
    </xf>
    <xf numFmtId="0" fontId="10" fillId="4" borderId="3" xfId="0" applyFont="1" applyFill="1" applyBorder="1" applyAlignment="1">
      <alignment vertical="center" wrapText="1"/>
    </xf>
    <xf numFmtId="0" fontId="0" fillId="5" borderId="0" xfId="0" applyFill="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44" fontId="0" fillId="7" borderId="1" xfId="0" applyNumberFormat="1" applyFill="1" applyBorder="1"/>
    <xf numFmtId="0" fontId="0" fillId="7" borderId="1" xfId="0" applyFill="1" applyBorder="1"/>
    <xf numFmtId="0" fontId="0" fillId="7" borderId="0" xfId="0" applyFill="1"/>
    <xf numFmtId="0" fontId="0" fillId="6" borderId="0" xfId="0" applyFill="1" applyBorder="1"/>
    <xf numFmtId="44" fontId="0" fillId="6" borderId="0" xfId="0" applyNumberFormat="1" applyFill="1" applyBorder="1"/>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0" fillId="10" borderId="0" xfId="0" applyFill="1"/>
    <xf numFmtId="44" fontId="0" fillId="10" borderId="1" xfId="0" applyNumberFormat="1" applyFill="1" applyBorder="1"/>
    <xf numFmtId="0" fontId="7" fillId="6" borderId="1" xfId="0" applyFont="1" applyFill="1" applyBorder="1" applyAlignment="1">
      <alignment wrapText="1"/>
    </xf>
    <xf numFmtId="0" fontId="0" fillId="11" borderId="1" xfId="0" applyFill="1" applyBorder="1"/>
    <xf numFmtId="0" fontId="11" fillId="7" borderId="0" xfId="0" applyFont="1" applyFill="1" applyAlignment="1">
      <alignment wrapText="1"/>
    </xf>
    <xf numFmtId="0" fontId="11" fillId="7" borderId="0" xfId="0" applyFont="1" applyFill="1" applyAlignment="1">
      <alignment vertical="top" wrapText="1"/>
    </xf>
    <xf numFmtId="44" fontId="0" fillId="8" borderId="0" xfId="0" applyNumberFormat="1" applyFill="1" applyBorder="1"/>
    <xf numFmtId="0" fontId="0" fillId="0" borderId="0" xfId="0"/>
    <xf numFmtId="0" fontId="5" fillId="0" borderId="0" xfId="0" applyFont="1"/>
    <xf numFmtId="0" fontId="8" fillId="0" borderId="0" xfId="0" applyFont="1"/>
    <xf numFmtId="0" fontId="6" fillId="0" borderId="0" xfId="0" applyFont="1"/>
    <xf numFmtId="164" fontId="0" fillId="0" borderId="0" xfId="0" applyNumberFormat="1"/>
    <xf numFmtId="0" fontId="8" fillId="0" borderId="1" xfId="0" applyFont="1" applyBorder="1"/>
    <xf numFmtId="0" fontId="0" fillId="0" borderId="1" xfId="0" applyBorder="1"/>
    <xf numFmtId="0" fontId="0" fillId="9" borderId="0" xfId="0" applyFill="1"/>
    <xf numFmtId="0" fontId="5" fillId="9" borderId="0" xfId="0" applyFont="1" applyFill="1"/>
    <xf numFmtId="164" fontId="5" fillId="9" borderId="0" xfId="0" applyNumberFormat="1" applyFont="1" applyFill="1"/>
    <xf numFmtId="164" fontId="0" fillId="0" borderId="1" xfId="0" applyNumberFormat="1" applyBorder="1"/>
    <xf numFmtId="0" fontId="0" fillId="0" borderId="1" xfId="0" applyFont="1" applyBorder="1"/>
    <xf numFmtId="164" fontId="0" fillId="0" borderId="1" xfId="0" applyNumberFormat="1" applyFont="1" applyBorder="1"/>
    <xf numFmtId="0" fontId="12" fillId="9" borderId="0" xfId="0" applyFont="1" applyFill="1"/>
    <xf numFmtId="0" fontId="13" fillId="9" borderId="0" xfId="0" applyFont="1" applyFill="1"/>
    <xf numFmtId="164" fontId="13" fillId="9" borderId="0" xfId="0" applyNumberFormat="1" applyFont="1" applyFill="1"/>
    <xf numFmtId="0" fontId="0" fillId="0" borderId="0" xfId="0" applyFill="1"/>
    <xf numFmtId="0" fontId="0" fillId="0" borderId="1" xfId="0" applyFill="1" applyBorder="1"/>
    <xf numFmtId="4" fontId="0" fillId="0" borderId="1" xfId="0" applyNumberFormat="1" applyFont="1" applyBorder="1"/>
    <xf numFmtId="10" fontId="0" fillId="0" borderId="0" xfId="0" applyNumberFormat="1"/>
    <xf numFmtId="0" fontId="0" fillId="0" borderId="1" xfId="0" applyFont="1" applyFill="1" applyBorder="1"/>
    <xf numFmtId="164" fontId="0" fillId="0" borderId="1" xfId="0" applyNumberFormat="1" applyFont="1" applyFill="1" applyBorder="1"/>
    <xf numFmtId="4" fontId="0" fillId="0" borderId="1" xfId="0" applyNumberFormat="1" applyFont="1" applyFill="1" applyBorder="1"/>
    <xf numFmtId="0" fontId="0" fillId="13" borderId="0" xfId="0" applyFill="1"/>
    <xf numFmtId="0" fontId="0" fillId="13" borderId="0" xfId="0" applyFill="1" applyBorder="1"/>
    <xf numFmtId="44" fontId="0" fillId="13" borderId="0" xfId="0" applyNumberFormat="1" applyFill="1" applyBorder="1"/>
    <xf numFmtId="0" fontId="8" fillId="10" borderId="0" xfId="0" applyFont="1" applyFill="1" applyAlignment="1">
      <alignment wrapText="1"/>
    </xf>
    <xf numFmtId="0" fontId="0" fillId="14" borderId="1" xfId="0" applyFill="1" applyBorder="1"/>
    <xf numFmtId="44" fontId="0" fillId="10" borderId="0" xfId="0" applyNumberFormat="1" applyFill="1" applyBorder="1"/>
    <xf numFmtId="0" fontId="0" fillId="16" borderId="1" xfId="0" applyFill="1" applyBorder="1"/>
    <xf numFmtId="0" fontId="0" fillId="17" borderId="0" xfId="0" applyFill="1"/>
    <xf numFmtId="0" fontId="0" fillId="15" borderId="1" xfId="0" applyNumberFormat="1" applyFill="1" applyBorder="1"/>
    <xf numFmtId="44" fontId="0" fillId="13" borderId="1" xfId="0" applyNumberFormat="1" applyFill="1" applyBorder="1"/>
    <xf numFmtId="44" fontId="0" fillId="12" borderId="1" xfId="0" applyNumberFormat="1" applyFill="1" applyBorder="1"/>
    <xf numFmtId="0" fontId="0" fillId="12" borderId="1" xfId="0"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0" fontId="0" fillId="6" borderId="1" xfId="0" applyFont="1" applyFill="1" applyBorder="1"/>
    <xf numFmtId="0" fontId="4" fillId="6" borderId="1" xfId="0" applyFont="1" applyFill="1" applyBorder="1"/>
    <xf numFmtId="0" fontId="0" fillId="18" borderId="1" xfId="0"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44" fontId="0" fillId="17" borderId="1"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0" fillId="19" borderId="0" xfId="0" applyFill="1" applyBorder="1"/>
    <xf numFmtId="0" fontId="15" fillId="19" borderId="0" xfId="0" applyFont="1" applyFill="1" applyBorder="1"/>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167" fontId="0" fillId="6" borderId="1" xfId="0" applyNumberFormat="1" applyFill="1" applyBorder="1"/>
    <xf numFmtId="0" fontId="0" fillId="12" borderId="1" xfId="0" applyFont="1" applyFill="1" applyBorder="1"/>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164" fontId="0" fillId="17" borderId="1" xfId="0" applyNumberFormat="1" applyFont="1" applyFill="1" applyBorder="1"/>
    <xf numFmtId="44" fontId="0" fillId="20" borderId="4" xfId="0" applyNumberFormat="1" applyFill="1" applyBorder="1"/>
    <xf numFmtId="0" fontId="8" fillId="3" borderId="0" xfId="0" applyFont="1" applyFill="1" applyBorder="1" applyAlignment="1">
      <alignment horizontal="center" wrapText="1"/>
    </xf>
    <xf numFmtId="44" fontId="0" fillId="19" borderId="0" xfId="0" applyNumberFormat="1" applyFill="1" applyBorder="1"/>
    <xf numFmtId="44" fontId="0" fillId="19" borderId="0" xfId="0" applyNumberFormat="1" applyFill="1" applyBorder="1" applyAlignment="1">
      <alignment horizontal="right"/>
    </xf>
    <xf numFmtId="166" fontId="0" fillId="19" borderId="0" xfId="0" applyNumberFormat="1" applyFill="1" applyBorder="1"/>
    <xf numFmtId="165" fontId="0" fillId="19" borderId="0" xfId="0" applyNumberFormat="1" applyFill="1" applyBorder="1"/>
    <xf numFmtId="44" fontId="0" fillId="19" borderId="0" xfId="0" applyNumberFormat="1" applyFill="1" applyBorder="1" applyAlignment="1">
      <alignment horizontal="center"/>
    </xf>
    <xf numFmtId="0" fontId="8" fillId="19" borderId="0" xfId="0" applyFont="1" applyFill="1" applyBorder="1" applyAlignment="1">
      <alignment wrapText="1"/>
    </xf>
    <xf numFmtId="0" fontId="0" fillId="6" borderId="1" xfId="0" applyFill="1" applyBorder="1"/>
    <xf numFmtId="44" fontId="0" fillId="6" borderId="1" xfId="0" applyNumberFormat="1" applyFill="1" applyBorder="1"/>
    <xf numFmtId="0" fontId="0" fillId="6" borderId="1" xfId="0" applyFont="1" applyFill="1" applyBorder="1"/>
    <xf numFmtId="0" fontId="0" fillId="6" borderId="1" xfId="0" applyFill="1" applyBorder="1"/>
    <xf numFmtId="44" fontId="0" fillId="6" borderId="1" xfId="0" applyNumberFormat="1" applyFill="1" applyBorder="1"/>
    <xf numFmtId="44" fontId="0" fillId="12" borderId="1" xfId="0" applyNumberFormat="1" applyFill="1" applyBorder="1"/>
    <xf numFmtId="0" fontId="0" fillId="0" borderId="0" xfId="0"/>
    <xf numFmtId="0" fontId="0" fillId="2" borderId="0" xfId="0" applyFill="1"/>
    <xf numFmtId="0" fontId="8" fillId="3" borderId="0" xfId="0" applyFont="1" applyFill="1" applyAlignment="1">
      <alignment wrapText="1"/>
    </xf>
    <xf numFmtId="0" fontId="0" fillId="0" borderId="1" xfId="0" applyBorder="1"/>
    <xf numFmtId="0" fontId="8" fillId="5" borderId="0" xfId="0" applyFont="1" applyFill="1" applyAlignment="1">
      <alignment wrapText="1"/>
    </xf>
    <xf numFmtId="0" fontId="0" fillId="5" borderId="1" xfId="0" applyFill="1" applyBorder="1"/>
    <xf numFmtId="44" fontId="0" fillId="5" borderId="1" xfId="0" applyNumberFormat="1" applyFill="1" applyBorder="1"/>
    <xf numFmtId="0" fontId="0" fillId="6" borderId="1" xfId="0" applyFill="1" applyBorder="1"/>
    <xf numFmtId="44" fontId="0" fillId="6" borderId="1" xfId="0" applyNumberFormat="1" applyFill="1" applyBorder="1"/>
    <xf numFmtId="0" fontId="0" fillId="7" borderId="1" xfId="0" applyFill="1" applyBorder="1"/>
    <xf numFmtId="0" fontId="0" fillId="7" borderId="0" xfId="0" applyFill="1"/>
    <xf numFmtId="0" fontId="0" fillId="7" borderId="0" xfId="0" applyFill="1" applyAlignment="1">
      <alignment wrapText="1"/>
    </xf>
    <xf numFmtId="0" fontId="0" fillId="3" borderId="1" xfId="0" applyFill="1" applyBorder="1"/>
    <xf numFmtId="44" fontId="0" fillId="3" borderId="1" xfId="0" applyNumberFormat="1" applyFill="1" applyBorder="1"/>
    <xf numFmtId="0" fontId="0" fillId="8" borderId="0" xfId="0" applyFill="1"/>
    <xf numFmtId="0" fontId="0" fillId="8" borderId="0" xfId="0" applyFill="1" applyBorder="1"/>
    <xf numFmtId="0" fontId="0" fillId="8" borderId="1" xfId="0" applyFill="1" applyBorder="1"/>
    <xf numFmtId="44" fontId="0" fillId="8" borderId="1" xfId="0" applyNumberFormat="1" applyFill="1" applyBorder="1"/>
    <xf numFmtId="0" fontId="7" fillId="6" borderId="1" xfId="0" applyFont="1" applyFill="1" applyBorder="1" applyAlignment="1">
      <alignment wrapText="1"/>
    </xf>
    <xf numFmtId="0" fontId="0" fillId="11" borderId="1" xfId="0" applyFill="1" applyBorder="1"/>
    <xf numFmtId="164" fontId="0" fillId="0" borderId="1" xfId="0" applyNumberFormat="1" applyBorder="1"/>
    <xf numFmtId="0" fontId="0" fillId="0" borderId="1" xfId="0" applyFont="1" applyBorder="1"/>
    <xf numFmtId="164" fontId="0" fillId="0" borderId="1" xfId="0" applyNumberFormat="1" applyFont="1" applyBorder="1"/>
    <xf numFmtId="4" fontId="0" fillId="0" borderId="1" xfId="0" applyNumberFormat="1" applyFont="1" applyBorder="1"/>
    <xf numFmtId="0" fontId="0" fillId="12" borderId="0" xfId="0" applyFill="1"/>
    <xf numFmtId="0" fontId="0" fillId="13" borderId="0" xfId="0" applyFill="1"/>
    <xf numFmtId="0" fontId="8" fillId="10" borderId="0" xfId="0" applyFont="1" applyFill="1" applyAlignment="1">
      <alignment wrapText="1"/>
    </xf>
    <xf numFmtId="0" fontId="0" fillId="14" borderId="1" xfId="0" applyFill="1" applyBorder="1"/>
    <xf numFmtId="0" fontId="0" fillId="16" borderId="1" xfId="0" applyFill="1" applyBorder="1"/>
    <xf numFmtId="0" fontId="0" fillId="15" borderId="1" xfId="0" applyNumberFormat="1" applyFill="1" applyBorder="1"/>
    <xf numFmtId="44" fontId="0" fillId="12" borderId="1" xfId="0" applyNumberFormat="1" applyFill="1" applyBorder="1"/>
    <xf numFmtId="4" fontId="0" fillId="12" borderId="1" xfId="0" applyNumberFormat="1" applyFont="1" applyFill="1" applyBorder="1"/>
    <xf numFmtId="0" fontId="8" fillId="7" borderId="0" xfId="0" applyFont="1" applyFill="1" applyAlignment="1">
      <alignment wrapText="1"/>
    </xf>
    <xf numFmtId="166" fontId="0" fillId="3" borderId="1" xfId="0" applyNumberFormat="1" applyFill="1" applyBorder="1"/>
    <xf numFmtId="165" fontId="0" fillId="3" borderId="1" xfId="0" applyNumberFormat="1" applyFill="1" applyBorder="1"/>
    <xf numFmtId="44" fontId="0" fillId="3" borderId="0" xfId="0" applyNumberFormat="1" applyFill="1" applyBorder="1"/>
    <xf numFmtId="44" fontId="0" fillId="3" borderId="0" xfId="0" applyNumberFormat="1" applyFill="1"/>
    <xf numFmtId="164" fontId="0" fillId="12" borderId="1" xfId="0" applyNumberFormat="1" applyFont="1" applyFill="1" applyBorder="1"/>
    <xf numFmtId="0" fontId="0" fillId="6" borderId="1" xfId="0" applyFont="1" applyFill="1" applyBorder="1"/>
    <xf numFmtId="0" fontId="4" fillId="6" borderId="1" xfId="0" applyFont="1" applyFill="1" applyBorder="1"/>
    <xf numFmtId="0" fontId="0" fillId="8" borderId="4" xfId="0" applyFill="1" applyBorder="1"/>
    <xf numFmtId="44" fontId="0" fillId="8" borderId="4" xfId="0" applyNumberFormat="1" applyFill="1" applyBorder="1"/>
    <xf numFmtId="44" fontId="0" fillId="3" borderId="4" xfId="0" applyNumberFormat="1" applyFill="1" applyBorder="1"/>
    <xf numFmtId="0" fontId="0" fillId="3" borderId="4" xfId="0" applyFill="1" applyBorder="1"/>
    <xf numFmtId="166" fontId="0" fillId="3" borderId="4" xfId="0" applyNumberFormat="1" applyFill="1" applyBorder="1"/>
    <xf numFmtId="165" fontId="0" fillId="3" borderId="4" xfId="0" applyNumberFormat="1" applyFill="1" applyBorder="1"/>
    <xf numFmtId="0" fontId="0" fillId="19" borderId="1" xfId="0" applyFill="1" applyBorder="1"/>
    <xf numFmtId="44" fontId="0" fillId="19" borderId="1" xfId="0" applyNumberFormat="1" applyFill="1" applyBorder="1"/>
    <xf numFmtId="166" fontId="0" fillId="19" borderId="1" xfId="0" applyNumberFormat="1" applyFill="1" applyBorder="1"/>
    <xf numFmtId="165" fontId="0" fillId="19" borderId="1" xfId="0" applyNumberFormat="1" applyFill="1" applyBorder="1"/>
    <xf numFmtId="0" fontId="8" fillId="19" borderId="1" xfId="0" applyFont="1" applyFill="1" applyBorder="1" applyAlignment="1">
      <alignment wrapText="1"/>
    </xf>
    <xf numFmtId="0" fontId="7" fillId="6" borderId="5" xfId="0" applyFont="1" applyFill="1" applyBorder="1" applyAlignment="1">
      <alignment wrapText="1"/>
    </xf>
    <xf numFmtId="0" fontId="15" fillId="19" borderId="1" xfId="0" applyFont="1" applyFill="1" applyBorder="1"/>
    <xf numFmtId="0" fontId="0" fillId="21" borderId="0" xfId="0" applyFill="1"/>
    <xf numFmtId="0" fontId="8" fillId="21" borderId="0" xfId="0" applyFont="1" applyFill="1" applyAlignment="1">
      <alignment wrapText="1"/>
    </xf>
    <xf numFmtId="0" fontId="0" fillId="6" borderId="1" xfId="0" applyFill="1" applyBorder="1" applyAlignment="1">
      <alignment horizontal="center"/>
    </xf>
    <xf numFmtId="0" fontId="8" fillId="3" borderId="1" xfId="0" applyFont="1" applyFill="1" applyBorder="1" applyAlignment="1">
      <alignment wrapText="1"/>
    </xf>
    <xf numFmtId="44" fontId="0" fillId="20" borderId="1" xfId="0" applyNumberFormat="1" applyFill="1" applyBorder="1"/>
    <xf numFmtId="44" fontId="0" fillId="21" borderId="1" xfId="0" applyNumberFormat="1" applyFill="1" applyBorder="1"/>
    <xf numFmtId="0" fontId="0" fillId="21" borderId="1" xfId="0" applyFill="1" applyBorder="1" applyAlignment="1">
      <alignment horizontal="center"/>
    </xf>
    <xf numFmtId="0" fontId="0" fillId="23" borderId="1" xfId="0" applyFill="1" applyBorder="1"/>
    <xf numFmtId="0" fontId="0" fillId="21" borderId="1" xfId="0" applyFill="1" applyBorder="1"/>
    <xf numFmtId="0" fontId="0" fillId="21" borderId="1" xfId="0" applyNumberFormat="1" applyFill="1" applyBorder="1"/>
    <xf numFmtId="166" fontId="0" fillId="21" borderId="1" xfId="0" applyNumberFormat="1" applyFill="1" applyBorder="1"/>
    <xf numFmtId="165" fontId="0" fillId="21" borderId="1" xfId="0" applyNumberFormat="1" applyFill="1" applyBorder="1"/>
    <xf numFmtId="44" fontId="0" fillId="21" borderId="0" xfId="0" applyNumberFormat="1" applyFill="1" applyBorder="1"/>
    <xf numFmtId="0" fontId="0" fillId="21" borderId="1" xfId="0" applyFont="1" applyFill="1" applyBorder="1"/>
    <xf numFmtId="0" fontId="8" fillId="21" borderId="1" xfId="0" applyFont="1" applyFill="1" applyBorder="1" applyAlignment="1">
      <alignment wrapText="1"/>
    </xf>
    <xf numFmtId="164" fontId="14" fillId="0" borderId="6" xfId="0" applyNumberFormat="1" applyFont="1" applyBorder="1"/>
    <xf numFmtId="44" fontId="0" fillId="13" borderId="4" xfId="0" applyNumberFormat="1" applyFill="1" applyBorder="1"/>
    <xf numFmtId="0" fontId="8" fillId="13" borderId="0" xfId="0" applyFont="1" applyFill="1" applyAlignment="1">
      <alignment wrapText="1"/>
    </xf>
    <xf numFmtId="0" fontId="0" fillId="19" borderId="6" xfId="0" applyFill="1" applyBorder="1"/>
    <xf numFmtId="0" fontId="0" fillId="6" borderId="6" xfId="0" applyFill="1" applyBorder="1"/>
    <xf numFmtId="0" fontId="0" fillId="8" borderId="6" xfId="0" applyFill="1" applyBorder="1"/>
    <xf numFmtId="44" fontId="0" fillId="19" borderId="8" xfId="0" applyNumberFormat="1" applyFill="1" applyBorder="1"/>
    <xf numFmtId="0" fontId="0" fillId="6" borderId="8" xfId="0" applyFill="1" applyBorder="1"/>
    <xf numFmtId="0" fontId="0" fillId="8" borderId="8" xfId="0" applyFill="1" applyBorder="1"/>
    <xf numFmtId="44" fontId="0" fillId="19" borderId="4" xfId="0" applyNumberFormat="1" applyFill="1" applyBorder="1"/>
    <xf numFmtId="44" fontId="0" fillId="21" borderId="4" xfId="0" applyNumberFormat="1" applyFill="1" applyBorder="1"/>
    <xf numFmtId="0" fontId="0" fillId="6" borderId="4" xfId="0" applyFill="1" applyBorder="1"/>
    <xf numFmtId="44" fontId="0" fillId="13" borderId="5" xfId="0" applyNumberFormat="1" applyFill="1" applyBorder="1"/>
    <xf numFmtId="44" fontId="18" fillId="19" borderId="14" xfId="0" applyNumberFormat="1" applyFont="1" applyFill="1" applyBorder="1"/>
    <xf numFmtId="44" fontId="18" fillId="19" borderId="12" xfId="0" applyNumberFormat="1" applyFont="1" applyFill="1" applyBorder="1"/>
    <xf numFmtId="0" fontId="0" fillId="6" borderId="10" xfId="0" applyFill="1" applyBorder="1"/>
    <xf numFmtId="0" fontId="0" fillId="6" borderId="16" xfId="0" applyFill="1" applyBorder="1"/>
    <xf numFmtId="0" fontId="0" fillId="8" borderId="12" xfId="0" applyFill="1" applyBorder="1"/>
    <xf numFmtId="0" fontId="19" fillId="17" borderId="0" xfId="0" applyFont="1" applyFill="1"/>
    <xf numFmtId="0" fontId="20" fillId="13" borderId="0" xfId="0" applyFont="1" applyFill="1"/>
    <xf numFmtId="44" fontId="20" fillId="13" borderId="11" xfId="0" applyNumberFormat="1" applyFont="1" applyFill="1" applyBorder="1"/>
    <xf numFmtId="44" fontId="20" fillId="13" borderId="13" xfId="0" applyNumberFormat="1" applyFont="1" applyFill="1" applyBorder="1"/>
    <xf numFmtId="0" fontId="20" fillId="13" borderId="9" xfId="0" applyFont="1" applyFill="1" applyBorder="1"/>
    <xf numFmtId="0" fontId="20" fillId="13" borderId="15" xfId="0" applyFont="1" applyFill="1" applyBorder="1"/>
    <xf numFmtId="0" fontId="20" fillId="13" borderId="11" xfId="0" applyFont="1" applyFill="1" applyBorder="1"/>
    <xf numFmtId="0" fontId="20" fillId="13" borderId="1" xfId="0" applyFont="1" applyFill="1" applyBorder="1"/>
    <xf numFmtId="0" fontId="19" fillId="0" borderId="0" xfId="0" applyFont="1"/>
    <xf numFmtId="0" fontId="21" fillId="0" borderId="1" xfId="0" applyFont="1" applyBorder="1"/>
    <xf numFmtId="164" fontId="21" fillId="0" borderId="1" xfId="0" applyNumberFormat="1" applyFont="1" applyBorder="1"/>
    <xf numFmtId="0" fontId="21" fillId="3" borderId="0" xfId="0" applyFont="1" applyFill="1" applyAlignment="1">
      <alignment wrapText="1"/>
    </xf>
    <xf numFmtId="0" fontId="19" fillId="8" borderId="0" xfId="0" applyFont="1" applyFill="1"/>
    <xf numFmtId="0" fontId="19" fillId="0" borderId="0" xfId="0" applyFont="1" applyAlignment="1">
      <alignment wrapText="1"/>
    </xf>
    <xf numFmtId="0" fontId="19" fillId="21" borderId="0" xfId="0" applyFont="1" applyFill="1"/>
    <xf numFmtId="0" fontId="19" fillId="12" borderId="0" xfId="0" applyFont="1" applyFill="1"/>
    <xf numFmtId="0" fontId="19" fillId="2" borderId="0" xfId="0" applyFont="1" applyFill="1"/>
    <xf numFmtId="0" fontId="19" fillId="0" borderId="1" xfId="0" applyFont="1" applyBorder="1" applyAlignment="1">
      <alignment wrapText="1"/>
    </xf>
    <xf numFmtId="0" fontId="21" fillId="3" borderId="1" xfId="0" applyFont="1" applyFill="1" applyBorder="1" applyAlignment="1">
      <alignment wrapText="1"/>
    </xf>
    <xf numFmtId="0" fontId="19" fillId="0" borderId="1" xfId="0" applyFont="1" applyBorder="1"/>
    <xf numFmtId="0" fontId="19" fillId="8" borderId="1" xfId="0" applyFont="1" applyFill="1" applyBorder="1"/>
    <xf numFmtId="0" fontId="22" fillId="0" borderId="1" xfId="0" applyFont="1" applyBorder="1"/>
    <xf numFmtId="0" fontId="16" fillId="3" borderId="1" xfId="0" applyFont="1" applyFill="1" applyBorder="1" applyAlignment="1">
      <alignment wrapText="1"/>
    </xf>
    <xf numFmtId="0" fontId="22" fillId="8" borderId="1" xfId="0" applyFont="1" applyFill="1" applyBorder="1"/>
    <xf numFmtId="0" fontId="22" fillId="0" borderId="0" xfId="0" applyFont="1"/>
    <xf numFmtId="0" fontId="16" fillId="0" borderId="1" xfId="0" applyFont="1" applyBorder="1"/>
    <xf numFmtId="10" fontId="16" fillId="0" borderId="1" xfId="0" applyNumberFormat="1" applyFont="1" applyBorder="1"/>
    <xf numFmtId="0" fontId="16" fillId="3" borderId="0" xfId="0" applyFont="1" applyFill="1" applyAlignment="1">
      <alignment wrapText="1"/>
    </xf>
    <xf numFmtId="0" fontId="22" fillId="8" borderId="0" xfId="0" applyFont="1" applyFill="1"/>
    <xf numFmtId="164" fontId="14" fillId="0" borderId="0" xfId="0" applyNumberFormat="1" applyFont="1"/>
    <xf numFmtId="44" fontId="21" fillId="13" borderId="1" xfId="0" applyNumberFormat="1" applyFont="1" applyFill="1" applyBorder="1"/>
    <xf numFmtId="0" fontId="0" fillId="0" borderId="1" xfId="0" applyBorder="1" applyAlignment="1">
      <alignment wrapText="1"/>
    </xf>
    <xf numFmtId="164" fontId="0" fillId="0" borderId="1" xfId="0" applyNumberFormat="1" applyBorder="1" applyAlignment="1">
      <alignment wrapText="1"/>
    </xf>
    <xf numFmtId="0" fontId="0" fillId="17" borderId="1" xfId="0" applyFill="1" applyBorder="1" applyAlignment="1">
      <alignment wrapText="1"/>
    </xf>
    <xf numFmtId="0" fontId="19" fillId="13" borderId="1" xfId="0" applyFont="1" applyFill="1" applyBorder="1"/>
    <xf numFmtId="0" fontId="19" fillId="13" borderId="1" xfId="0" applyFont="1" applyFill="1" applyBorder="1" applyAlignment="1">
      <alignment wrapText="1"/>
    </xf>
    <xf numFmtId="44" fontId="19" fillId="13" borderId="1" xfId="0" applyNumberFormat="1" applyFont="1" applyFill="1" applyBorder="1"/>
    <xf numFmtId="164" fontId="14" fillId="13" borderId="1" xfId="0" applyNumberFormat="1" applyFont="1" applyFill="1" applyBorder="1"/>
    <xf numFmtId="0" fontId="19" fillId="0" borderId="8" xfId="0" applyFont="1" applyBorder="1" applyAlignment="1">
      <alignment wrapText="1"/>
    </xf>
    <xf numFmtId="0" fontId="0" fillId="0" borderId="5" xfId="0" applyBorder="1"/>
    <xf numFmtId="0" fontId="16" fillId="3" borderId="5" xfId="0" applyFont="1" applyFill="1" applyBorder="1" applyAlignment="1">
      <alignment wrapText="1"/>
    </xf>
    <xf numFmtId="0" fontId="19" fillId="7" borderId="1" xfId="0" applyFont="1" applyFill="1" applyBorder="1" applyAlignment="1">
      <alignment wrapText="1"/>
    </xf>
    <xf numFmtId="0" fontId="22" fillId="0" borderId="17" xfId="0" applyFont="1" applyBorder="1"/>
    <xf numFmtId="0" fontId="22" fillId="0" borderId="6" xfId="0" applyFont="1" applyBorder="1"/>
    <xf numFmtId="0" fontId="22" fillId="17" borderId="7" xfId="0" applyFont="1" applyFill="1" applyBorder="1"/>
    <xf numFmtId="0" fontId="19" fillId="0" borderId="6" xfId="0" applyFont="1" applyBorder="1" applyAlignment="1">
      <alignment wrapText="1"/>
    </xf>
    <xf numFmtId="44" fontId="22" fillId="13" borderId="17" xfId="0" applyNumberFormat="1" applyFont="1" applyFill="1" applyBorder="1"/>
    <xf numFmtId="44" fontId="0" fillId="19" borderId="6" xfId="0" applyNumberFormat="1" applyFill="1" applyBorder="1"/>
    <xf numFmtId="44" fontId="22" fillId="13" borderId="18" xfId="0" applyNumberFormat="1" applyFont="1" applyFill="1" applyBorder="1"/>
    <xf numFmtId="44" fontId="22" fillId="13" borderId="19" xfId="0" applyNumberFormat="1" applyFont="1" applyFill="1" applyBorder="1"/>
    <xf numFmtId="44" fontId="0" fillId="21" borderId="6" xfId="0" applyNumberFormat="1" applyFill="1" applyBorder="1"/>
    <xf numFmtId="44" fontId="22" fillId="13" borderId="20" xfId="0" applyNumberFormat="1" applyFont="1" applyFill="1" applyBorder="1"/>
    <xf numFmtId="0" fontId="0" fillId="0" borderId="5" xfId="0" applyBorder="1" applyAlignment="1">
      <alignment wrapText="1"/>
    </xf>
    <xf numFmtId="0" fontId="8" fillId="3" borderId="5" xfId="0" applyFont="1" applyFill="1" applyBorder="1" applyAlignment="1">
      <alignment wrapText="1"/>
    </xf>
    <xf numFmtId="0" fontId="19" fillId="17" borderId="1" xfId="0" applyFont="1" applyFill="1" applyBorder="1"/>
    <xf numFmtId="0" fontId="0" fillId="17" borderId="1" xfId="0" applyFill="1" applyBorder="1"/>
    <xf numFmtId="164" fontId="5" fillId="0" borderId="1" xfId="0" applyNumberFormat="1" applyFont="1" applyBorder="1"/>
    <xf numFmtId="0" fontId="0" fillId="13" borderId="1" xfId="0" applyFill="1" applyBorder="1"/>
    <xf numFmtId="0" fontId="19" fillId="0" borderId="1" xfId="0" applyFont="1" applyBorder="1" applyAlignment="1">
      <alignment horizontal="center" vertical="center"/>
    </xf>
    <xf numFmtId="0" fontId="19" fillId="17" borderId="1" xfId="0" applyFont="1" applyFill="1" applyBorder="1" applyAlignment="1">
      <alignment horizontal="center" vertical="center"/>
    </xf>
    <xf numFmtId="0" fontId="19" fillId="0" borderId="1" xfId="0" applyFont="1" applyBorder="1" applyAlignment="1">
      <alignment horizontal="center" vertical="center" wrapText="1"/>
    </xf>
    <xf numFmtId="0" fontId="17" fillId="22" borderId="1" xfId="0" applyFont="1" applyFill="1" applyBorder="1" applyAlignment="1">
      <alignment horizontal="center" wrapText="1"/>
    </xf>
    <xf numFmtId="0" fontId="24" fillId="0" borderId="1" xfId="0" applyFont="1" applyBorder="1" applyAlignment="1">
      <alignment horizontal="center" vertical="center"/>
    </xf>
    <xf numFmtId="0" fontId="24" fillId="0" borderId="0" xfId="0" applyFont="1" applyAlignment="1">
      <alignment horizontal="center" vertical="center"/>
    </xf>
    <xf numFmtId="0" fontId="24" fillId="8" borderId="0" xfId="0" applyFont="1" applyFill="1" applyAlignment="1">
      <alignment horizontal="center" vertical="center"/>
    </xf>
    <xf numFmtId="0" fontId="0" fillId="24" borderId="0" xfId="0" applyFill="1"/>
    <xf numFmtId="0" fontId="19" fillId="24" borderId="0" xfId="0" applyFont="1" applyFill="1"/>
    <xf numFmtId="0" fontId="8" fillId="24" borderId="0" xfId="0" applyFont="1" applyFill="1" applyAlignment="1">
      <alignment wrapText="1"/>
    </xf>
    <xf numFmtId="0" fontId="11" fillId="24" borderId="0" xfId="0" applyFont="1" applyFill="1"/>
    <xf numFmtId="0" fontId="17" fillId="22" borderId="1" xfId="0" applyFont="1" applyFill="1" applyBorder="1" applyAlignment="1">
      <alignment horizontal="center" vertical="center" wrapText="1"/>
    </xf>
    <xf numFmtId="0" fontId="17" fillId="13" borderId="1" xfId="0" applyFont="1" applyFill="1" applyBorder="1" applyAlignment="1">
      <alignment horizontal="center" vertical="center"/>
    </xf>
    <xf numFmtId="0" fontId="17" fillId="24" borderId="0" xfId="0" applyFont="1" applyFill="1" applyAlignment="1">
      <alignment horizontal="center" vertical="center"/>
    </xf>
    <xf numFmtId="0" fontId="17" fillId="22" borderId="1" xfId="0" quotePrefix="1" applyFont="1" applyFill="1" applyBorder="1" applyAlignment="1">
      <alignment horizontal="center" vertical="center" wrapText="1"/>
    </xf>
    <xf numFmtId="0" fontId="17" fillId="13" borderId="1" xfId="0" quotePrefix="1" applyFont="1" applyFill="1" applyBorder="1" applyAlignment="1">
      <alignment horizontal="center" vertical="center"/>
    </xf>
    <xf numFmtId="0" fontId="17" fillId="17" borderId="1" xfId="0" quotePrefix="1" applyFont="1" applyFill="1" applyBorder="1" applyAlignment="1">
      <alignment horizontal="center" vertical="center"/>
    </xf>
    <xf numFmtId="22" fontId="25" fillId="17" borderId="1" xfId="0" applyNumberFormat="1" applyFont="1" applyFill="1" applyBorder="1" applyAlignment="1">
      <alignment horizontal="center" vertical="center"/>
    </xf>
    <xf numFmtId="42" fontId="0" fillId="0" borderId="1" xfId="1" applyFont="1" applyBorder="1"/>
    <xf numFmtId="42" fontId="0" fillId="0" borderId="0" xfId="1" applyFont="1"/>
    <xf numFmtId="42" fontId="17" fillId="22" borderId="1" xfId="1" applyFont="1" applyFill="1" applyBorder="1" applyAlignment="1">
      <alignment horizontal="center" wrapText="1"/>
    </xf>
    <xf numFmtId="42" fontId="8" fillId="3" borderId="0" xfId="1" applyFont="1" applyFill="1" applyAlignment="1">
      <alignment wrapText="1"/>
    </xf>
    <xf numFmtId="42" fontId="0" fillId="8" borderId="0" xfId="1" applyFont="1" applyFill="1"/>
    <xf numFmtId="42" fontId="19" fillId="13" borderId="1" xfId="1" applyFont="1" applyFill="1" applyBorder="1"/>
    <xf numFmtId="0" fontId="0" fillId="0" borderId="0" xfId="0" applyAlignment="1">
      <alignment wrapText="1"/>
    </xf>
    <xf numFmtId="0" fontId="0" fillId="8" borderId="0" xfId="0" applyFill="1" applyAlignment="1">
      <alignment wrapText="1"/>
    </xf>
    <xf numFmtId="44" fontId="19" fillId="13" borderId="1" xfId="0" applyNumberFormat="1" applyFont="1" applyFill="1" applyBorder="1" applyAlignment="1">
      <alignment wrapText="1"/>
    </xf>
    <xf numFmtId="0" fontId="16" fillId="3" borderId="1" xfId="0" applyFont="1" applyFill="1" applyBorder="1" applyAlignment="1">
      <alignment horizontal="center" vertical="center" wrapText="1"/>
    </xf>
    <xf numFmtId="0" fontId="27" fillId="25" borderId="21" xfId="2"/>
    <xf numFmtId="10" fontId="27" fillId="25" borderId="21" xfId="2" applyNumberFormat="1"/>
    <xf numFmtId="0" fontId="27" fillId="25" borderId="21" xfId="2" applyAlignment="1">
      <alignment wrapText="1"/>
    </xf>
    <xf numFmtId="0" fontId="27" fillId="25" borderId="21" xfId="2" applyAlignment="1">
      <alignment horizontal="center" wrapText="1"/>
    </xf>
    <xf numFmtId="44" fontId="27" fillId="25" borderId="21" xfId="2" applyNumberFormat="1"/>
    <xf numFmtId="42" fontId="27" fillId="25" borderId="21" xfId="2" applyNumberFormat="1"/>
    <xf numFmtId="42" fontId="0" fillId="0" borderId="0" xfId="0" applyNumberFormat="1"/>
    <xf numFmtId="0" fontId="17" fillId="3" borderId="1" xfId="0" applyFont="1" applyFill="1" applyBorder="1" applyAlignment="1">
      <alignment horizontal="center" vertical="center" wrapText="1"/>
    </xf>
    <xf numFmtId="0" fontId="17" fillId="0" borderId="1" xfId="0" applyFont="1" applyBorder="1" applyAlignment="1">
      <alignment horizontal="center" vertical="center"/>
    </xf>
    <xf numFmtId="9" fontId="0" fillId="0" borderId="0" xfId="3" applyFont="1"/>
    <xf numFmtId="44" fontId="0" fillId="0" borderId="0" xfId="0" applyNumberFormat="1"/>
    <xf numFmtId="0" fontId="0" fillId="0" borderId="0" xfId="0" applyAlignment="1">
      <alignment horizontal="center" vertical="center"/>
    </xf>
    <xf numFmtId="0" fontId="0" fillId="0" borderId="0" xfId="0" applyFill="1" applyAlignment="1">
      <alignment horizontal="center" vertical="center"/>
    </xf>
    <xf numFmtId="0" fontId="5" fillId="0" borderId="0" xfId="0" applyFont="1" applyAlignment="1">
      <alignment horizontal="center" vertical="center"/>
    </xf>
    <xf numFmtId="44" fontId="0" fillId="0" borderId="0" xfId="4" applyFont="1" applyAlignment="1">
      <alignment horizontal="center" vertical="center"/>
    </xf>
    <xf numFmtId="44" fontId="0" fillId="0" borderId="0" xfId="4" applyFont="1" applyAlignment="1">
      <alignment horizontal="center" vertical="center" wrapText="1"/>
    </xf>
    <xf numFmtId="44" fontId="0" fillId="0" borderId="0" xfId="4" applyFont="1" applyFill="1" applyAlignment="1">
      <alignment horizontal="center" vertical="center"/>
    </xf>
    <xf numFmtId="0" fontId="29" fillId="26" borderId="21" xfId="5" applyBorder="1"/>
    <xf numFmtId="0" fontId="27" fillId="25" borderId="21" xfId="2" applyAlignment="1">
      <alignment horizontal="right"/>
    </xf>
    <xf numFmtId="0" fontId="27" fillId="25" borderId="21" xfId="2" applyAlignment="1">
      <alignment horizontal="center"/>
    </xf>
    <xf numFmtId="0" fontId="32" fillId="25" borderId="22" xfId="7" applyFont="1"/>
    <xf numFmtId="0" fontId="30" fillId="27" borderId="21" xfId="6"/>
    <xf numFmtId="44" fontId="31" fillId="25" borderId="22" xfId="4" applyFont="1" applyFill="1" applyBorder="1"/>
    <xf numFmtId="0" fontId="31" fillId="25" borderId="22" xfId="7" applyAlignment="1">
      <alignment horizontal="right"/>
    </xf>
    <xf numFmtId="0" fontId="32" fillId="25" borderId="22" xfId="7" applyFont="1" applyAlignment="1">
      <alignment horizontal="right"/>
    </xf>
    <xf numFmtId="10" fontId="0" fillId="0" borderId="1" xfId="0" applyNumberFormat="1" applyFont="1" applyBorder="1"/>
    <xf numFmtId="0" fontId="0" fillId="28" borderId="0" xfId="0" applyFont="1" applyFill="1"/>
    <xf numFmtId="0" fontId="0" fillId="29" borderId="0" xfId="0" applyFont="1" applyFill="1"/>
    <xf numFmtId="0" fontId="0" fillId="30" borderId="0" xfId="0" applyFont="1" applyFill="1"/>
    <xf numFmtId="0" fontId="0" fillId="31" borderId="0" xfId="0" applyFont="1" applyFill="1"/>
    <xf numFmtId="0" fontId="33" fillId="0" borderId="0" xfId="0" applyFont="1"/>
    <xf numFmtId="0" fontId="0" fillId="0" borderId="23" xfId="0" applyFont="1" applyBorder="1" applyAlignment="1"/>
    <xf numFmtId="0" fontId="0" fillId="0" borderId="0" xfId="0" applyBorder="1"/>
    <xf numFmtId="0" fontId="0" fillId="0" borderId="24" xfId="0" applyBorder="1"/>
    <xf numFmtId="0" fontId="0" fillId="0" borderId="25" xfId="0" applyFont="1" applyBorder="1" applyAlignment="1"/>
    <xf numFmtId="0" fontId="0" fillId="0" borderId="26" xfId="0" applyBorder="1"/>
    <xf numFmtId="0" fontId="0" fillId="0" borderId="27" xfId="0" applyBorder="1"/>
    <xf numFmtId="0" fontId="5" fillId="0" borderId="28" xfId="0" applyFont="1" applyBorder="1"/>
    <xf numFmtId="0" fontId="5" fillId="0" borderId="18" xfId="0" applyFont="1" applyBorder="1"/>
    <xf numFmtId="0" fontId="5" fillId="0" borderId="29" xfId="0" applyFont="1" applyBorder="1"/>
    <xf numFmtId="0" fontId="0" fillId="36" borderId="0" xfId="0" applyFont="1" applyFill="1"/>
    <xf numFmtId="0" fontId="0" fillId="0" borderId="0" xfId="0" applyFont="1"/>
    <xf numFmtId="0" fontId="35" fillId="0" borderId="0" xfId="10"/>
    <xf numFmtId="0" fontId="35" fillId="0" borderId="0" xfId="10" applyFill="1" applyBorder="1"/>
    <xf numFmtId="0" fontId="34" fillId="32" borderId="0" xfId="9"/>
    <xf numFmtId="0" fontId="0" fillId="37" borderId="0" xfId="0" applyFont="1" applyFill="1"/>
    <xf numFmtId="43" fontId="0" fillId="0" borderId="0" xfId="8" applyFont="1"/>
    <xf numFmtId="0" fontId="3" fillId="33" borderId="0" xfId="11" applyAlignment="1">
      <alignment horizontal="right"/>
    </xf>
    <xf numFmtId="44" fontId="3" fillId="33" borderId="0" xfId="11" applyNumberFormat="1"/>
    <xf numFmtId="0" fontId="3" fillId="33" borderId="0" xfId="11"/>
    <xf numFmtId="170" fontId="3" fillId="33" borderId="0" xfId="11" applyNumberFormat="1"/>
    <xf numFmtId="44" fontId="3" fillId="34" borderId="0" xfId="12" applyNumberFormat="1"/>
    <xf numFmtId="0" fontId="3" fillId="35" borderId="0" xfId="13"/>
    <xf numFmtId="0" fontId="32" fillId="25" borderId="30" xfId="7" applyFont="1" applyBorder="1" applyAlignment="1">
      <alignment horizontal="right"/>
    </xf>
    <xf numFmtId="170" fontId="27" fillId="25" borderId="21" xfId="2" applyNumberFormat="1"/>
    <xf numFmtId="0" fontId="32" fillId="25" borderId="31" xfId="7" applyFont="1" applyBorder="1" applyAlignment="1">
      <alignment horizontal="right"/>
    </xf>
    <xf numFmtId="0" fontId="34" fillId="32" borderId="32" xfId="9" applyBorder="1" applyAlignment="1">
      <alignment horizontal="center" vertical="center"/>
    </xf>
    <xf numFmtId="0" fontId="34" fillId="32" borderId="33" xfId="9" applyBorder="1" applyAlignment="1">
      <alignment horizontal="center" vertical="center"/>
    </xf>
    <xf numFmtId="0" fontId="34" fillId="32" borderId="34" xfId="9" applyBorder="1" applyAlignment="1">
      <alignment horizontal="center" vertical="center"/>
    </xf>
    <xf numFmtId="43" fontId="31" fillId="25" borderId="22" xfId="8" applyFont="1" applyFill="1" applyBorder="1"/>
    <xf numFmtId="43" fontId="3" fillId="34" borderId="0" xfId="8" applyFont="1" applyFill="1"/>
    <xf numFmtId="44" fontId="31" fillId="25" borderId="22" xfId="7" applyNumberFormat="1" applyAlignment="1">
      <alignment horizontal="right"/>
    </xf>
    <xf numFmtId="42" fontId="32" fillId="25" borderId="22" xfId="7" applyNumberFormat="1" applyFont="1" applyAlignment="1">
      <alignment horizontal="right"/>
    </xf>
    <xf numFmtId="43" fontId="32" fillId="25" borderId="22" xfId="8" applyFont="1" applyFill="1" applyBorder="1" applyAlignment="1">
      <alignment horizontal="right"/>
    </xf>
    <xf numFmtId="0" fontId="32" fillId="25" borderId="30" xfId="7" applyFont="1" applyBorder="1" applyAlignment="1">
      <alignment horizontal="center" vertical="center"/>
    </xf>
    <xf numFmtId="43" fontId="32" fillId="25" borderId="22" xfId="7" applyNumberFormat="1" applyFont="1" applyAlignment="1">
      <alignment horizontal="center" vertical="center"/>
    </xf>
    <xf numFmtId="44" fontId="32" fillId="25" borderId="30" xfId="7" applyNumberFormat="1" applyFont="1" applyBorder="1" applyAlignment="1">
      <alignment horizontal="center" vertical="center"/>
    </xf>
    <xf numFmtId="0" fontId="0" fillId="6" borderId="0" xfId="0" applyFill="1"/>
    <xf numFmtId="0" fontId="27" fillId="25" borderId="35" xfId="2" applyBorder="1"/>
    <xf numFmtId="0" fontId="0" fillId="0" borderId="23" xfId="0" applyBorder="1"/>
    <xf numFmtId="0" fontId="0" fillId="0" borderId="25" xfId="0" applyBorder="1"/>
    <xf numFmtId="0" fontId="27" fillId="25" borderId="36" xfId="2" applyBorder="1"/>
    <xf numFmtId="0" fontId="27" fillId="25" borderId="37" xfId="2" applyBorder="1"/>
    <xf numFmtId="170" fontId="0" fillId="0" borderId="0" xfId="0" applyNumberFormat="1" applyBorder="1"/>
    <xf numFmtId="168" fontId="0" fillId="0" borderId="0" xfId="0" applyNumberFormat="1" applyBorder="1"/>
    <xf numFmtId="169" fontId="0" fillId="0" borderId="24" xfId="3" applyNumberFormat="1" applyFont="1" applyBorder="1"/>
    <xf numFmtId="0" fontId="0" fillId="0" borderId="23" xfId="0" applyFill="1" applyBorder="1"/>
    <xf numFmtId="0" fontId="0" fillId="0" borderId="25" xfId="0" applyFill="1" applyBorder="1"/>
    <xf numFmtId="170" fontId="0" fillId="0" borderId="26" xfId="0" applyNumberFormat="1" applyBorder="1"/>
    <xf numFmtId="168" fontId="0" fillId="0" borderId="26" xfId="0" applyNumberFormat="1" applyBorder="1"/>
    <xf numFmtId="169" fontId="0" fillId="0" borderId="27" xfId="3" applyNumberFormat="1" applyFont="1" applyBorder="1"/>
    <xf numFmtId="164" fontId="0" fillId="0" borderId="24" xfId="0" applyNumberFormat="1" applyBorder="1"/>
    <xf numFmtId="0" fontId="3" fillId="33" borderId="24" xfId="11" applyBorder="1"/>
    <xf numFmtId="0" fontId="3" fillId="33" borderId="27" xfId="11" applyBorder="1"/>
    <xf numFmtId="0" fontId="3" fillId="35" borderId="24" xfId="13" applyBorder="1"/>
    <xf numFmtId="0" fontId="3" fillId="35" borderId="27" xfId="13" applyBorder="1"/>
    <xf numFmtId="0" fontId="3" fillId="34" borderId="24" xfId="12" applyBorder="1"/>
    <xf numFmtId="0" fontId="3" fillId="34" borderId="27" xfId="12" applyBorder="1"/>
    <xf numFmtId="0" fontId="27" fillId="25" borderId="38" xfId="2" applyBorder="1"/>
    <xf numFmtId="164" fontId="27" fillId="25" borderId="39" xfId="1" applyNumberFormat="1" applyFont="1" applyFill="1" applyBorder="1"/>
    <xf numFmtId="0" fontId="0" fillId="0" borderId="40" xfId="0" applyBorder="1"/>
    <xf numFmtId="170" fontId="0" fillId="0" borderId="41" xfId="0" applyNumberFormat="1" applyBorder="1"/>
    <xf numFmtId="168" fontId="0" fillId="0" borderId="41" xfId="0" applyNumberFormat="1" applyBorder="1"/>
    <xf numFmtId="169" fontId="0" fillId="0" borderId="42" xfId="3" applyNumberFormat="1" applyFont="1" applyBorder="1"/>
    <xf numFmtId="0" fontId="3" fillId="33" borderId="42" xfId="11" applyBorder="1"/>
    <xf numFmtId="0" fontId="3" fillId="34" borderId="42" xfId="12" applyBorder="1"/>
    <xf numFmtId="0" fontId="3" fillId="35" borderId="42" xfId="13" applyBorder="1"/>
    <xf numFmtId="164" fontId="0" fillId="0" borderId="42" xfId="0" applyNumberFormat="1" applyBorder="1"/>
    <xf numFmtId="164" fontId="0" fillId="0" borderId="27" xfId="0" applyNumberFormat="1" applyBorder="1"/>
    <xf numFmtId="0" fontId="27" fillId="25" borderId="43" xfId="2" applyBorder="1"/>
    <xf numFmtId="42" fontId="27" fillId="25" borderId="43" xfId="1" applyFont="1" applyFill="1" applyBorder="1"/>
    <xf numFmtId="42" fontId="0" fillId="0" borderId="42" xfId="1" applyFont="1" applyBorder="1"/>
    <xf numFmtId="42" fontId="0" fillId="0" borderId="24" xfId="1" applyFont="1" applyBorder="1"/>
    <xf numFmtId="42" fontId="0" fillId="0" borderId="27" xfId="1" applyFont="1" applyBorder="1"/>
    <xf numFmtId="42" fontId="27" fillId="25" borderId="35" xfId="1" applyFont="1" applyFill="1" applyBorder="1"/>
    <xf numFmtId="44" fontId="0" fillId="0" borderId="42" xfId="0" applyNumberFormat="1" applyBorder="1"/>
    <xf numFmtId="44" fontId="0" fillId="0" borderId="27" xfId="0" applyNumberFormat="1" applyBorder="1"/>
    <xf numFmtId="0" fontId="0" fillId="0" borderId="40" xfId="0" applyFill="1" applyBorder="1"/>
    <xf numFmtId="43" fontId="0" fillId="0" borderId="42" xfId="0" applyNumberFormat="1" applyBorder="1"/>
    <xf numFmtId="42" fontId="27" fillId="25" borderId="43" xfId="2" applyNumberFormat="1" applyBorder="1"/>
    <xf numFmtId="42" fontId="0" fillId="0" borderId="42" xfId="0" applyNumberFormat="1" applyBorder="1"/>
    <xf numFmtId="42" fontId="0" fillId="0" borderId="24" xfId="0" applyNumberFormat="1" applyBorder="1"/>
    <xf numFmtId="42" fontId="0" fillId="0" borderId="27" xfId="0" applyNumberFormat="1" applyBorder="1"/>
    <xf numFmtId="42" fontId="28" fillId="25" borderId="43" xfId="1" applyFont="1" applyFill="1" applyBorder="1"/>
    <xf numFmtId="44" fontId="0" fillId="0" borderId="42" xfId="4" applyFont="1" applyBorder="1"/>
    <xf numFmtId="44" fontId="0" fillId="0" borderId="24" xfId="0" applyNumberFormat="1" applyBorder="1"/>
    <xf numFmtId="9" fontId="0" fillId="0" borderId="24" xfId="3" applyFont="1" applyBorder="1"/>
    <xf numFmtId="9" fontId="0" fillId="0" borderId="27" xfId="3" applyFont="1" applyBorder="1"/>
    <xf numFmtId="9" fontId="3" fillId="33" borderId="40" xfId="3" applyFont="1" applyFill="1" applyBorder="1"/>
    <xf numFmtId="9" fontId="3" fillId="33" borderId="23" xfId="3" applyFont="1" applyFill="1" applyBorder="1"/>
    <xf numFmtId="9" fontId="3" fillId="33" borderId="25" xfId="3" applyFont="1" applyFill="1" applyBorder="1"/>
    <xf numFmtId="9" fontId="3" fillId="34" borderId="40" xfId="3" applyFont="1" applyFill="1" applyBorder="1"/>
    <xf numFmtId="9" fontId="3" fillId="34" borderId="23" xfId="3" applyFont="1" applyFill="1" applyBorder="1"/>
    <xf numFmtId="9" fontId="3" fillId="34" borderId="25" xfId="3" applyFont="1" applyFill="1" applyBorder="1"/>
    <xf numFmtId="9" fontId="3" fillId="35" borderId="40" xfId="3" applyFont="1" applyFill="1" applyBorder="1"/>
    <xf numFmtId="9" fontId="3" fillId="35" borderId="23" xfId="3" applyFont="1" applyFill="1" applyBorder="1"/>
    <xf numFmtId="9" fontId="3" fillId="35" borderId="25" xfId="3" applyFont="1" applyFill="1" applyBorder="1"/>
    <xf numFmtId="44" fontId="16" fillId="3" borderId="1" xfId="4" applyFont="1" applyFill="1" applyBorder="1" applyAlignment="1">
      <alignment horizontal="center" vertical="center" wrapText="1"/>
    </xf>
    <xf numFmtId="44" fontId="8" fillId="7" borderId="0" xfId="0" applyNumberFormat="1" applyFont="1" applyFill="1" applyAlignment="1">
      <alignment wrapText="1"/>
    </xf>
    <xf numFmtId="0" fontId="0" fillId="0" borderId="0" xfId="0" applyAlignment="1"/>
    <xf numFmtId="0" fontId="5" fillId="0" borderId="0" xfId="0" applyFont="1" applyAlignment="1">
      <alignment horizontal="center" vertical="top"/>
    </xf>
    <xf numFmtId="44" fontId="5" fillId="0" borderId="0" xfId="4" applyFont="1" applyAlignment="1">
      <alignment horizontal="center" vertical="top"/>
    </xf>
    <xf numFmtId="0" fontId="5" fillId="0" borderId="0" xfId="0" applyFont="1" applyAlignment="1">
      <alignment horizontal="center" vertical="top" wrapText="1"/>
    </xf>
    <xf numFmtId="0" fontId="27" fillId="25" borderId="21" xfId="2" applyAlignment="1">
      <alignment horizontal="center" vertical="center" wrapText="1"/>
    </xf>
    <xf numFmtId="0" fontId="27" fillId="25" borderId="21" xfId="2" applyAlignment="1">
      <alignment horizontal="center" vertical="center"/>
    </xf>
    <xf numFmtId="0" fontId="5" fillId="0" borderId="32" xfId="0" applyFont="1" applyBorder="1" applyAlignment="1">
      <alignment horizontal="center" vertical="top" wrapText="1"/>
    </xf>
    <xf numFmtId="0" fontId="0" fillId="0" borderId="0" xfId="0" applyAlignment="1">
      <alignment horizontal="center"/>
    </xf>
    <xf numFmtId="44" fontId="0" fillId="0" borderId="0" xfId="4" applyFont="1"/>
    <xf numFmtId="0" fontId="0" fillId="0" borderId="33" xfId="0" applyBorder="1"/>
    <xf numFmtId="0" fontId="36" fillId="0" borderId="0" xfId="0" applyFont="1" applyAlignment="1">
      <alignment horizontal="center" vertical="top"/>
    </xf>
    <xf numFmtId="44" fontId="36" fillId="0" borderId="0" xfId="4" applyFont="1" applyAlignment="1">
      <alignment horizontal="center" vertical="top"/>
    </xf>
    <xf numFmtId="0" fontId="36" fillId="0" borderId="0" xfId="0" applyFont="1" applyAlignment="1">
      <alignment horizontal="center" vertical="top" wrapText="1"/>
    </xf>
    <xf numFmtId="0" fontId="5" fillId="0" borderId="32" xfId="0" applyFont="1" applyBorder="1" applyAlignment="1">
      <alignment horizontal="center" vertical="center"/>
    </xf>
    <xf numFmtId="0" fontId="37" fillId="0" borderId="0" xfId="0" applyFont="1" applyAlignment="1">
      <alignment horizontal="center"/>
    </xf>
    <xf numFmtId="0" fontId="37" fillId="0" borderId="0" xfId="0" applyFont="1"/>
    <xf numFmtId="44" fontId="37" fillId="0" borderId="0" xfId="4" applyFont="1"/>
    <xf numFmtId="0" fontId="37" fillId="0" borderId="33" xfId="0" applyFont="1" applyBorder="1"/>
    <xf numFmtId="0" fontId="36" fillId="0" borderId="0" xfId="0" applyFont="1" applyAlignment="1">
      <alignment horizontal="center" vertical="center"/>
    </xf>
    <xf numFmtId="0" fontId="36" fillId="0" borderId="40" xfId="0" applyFont="1" applyBorder="1" applyAlignment="1">
      <alignment horizontal="center" vertical="top" wrapText="1"/>
    </xf>
    <xf numFmtId="0" fontId="36" fillId="0" borderId="42" xfId="0" applyFont="1" applyBorder="1" applyAlignment="1">
      <alignment horizontal="center" vertical="top" wrapText="1"/>
    </xf>
    <xf numFmtId="0" fontId="36" fillId="0" borderId="40" xfId="0" applyFont="1" applyBorder="1" applyAlignment="1">
      <alignment horizontal="center" vertical="top"/>
    </xf>
    <xf numFmtId="0" fontId="36" fillId="0" borderId="42" xfId="0" applyFont="1" applyBorder="1" applyAlignment="1">
      <alignment horizontal="center" vertical="top"/>
    </xf>
    <xf numFmtId="0" fontId="36" fillId="0" borderId="32" xfId="0" applyFont="1" applyBorder="1" applyAlignment="1">
      <alignment horizontal="center" vertical="top" wrapText="1"/>
    </xf>
    <xf numFmtId="0" fontId="36" fillId="0" borderId="41" xfId="0" applyFont="1" applyBorder="1" applyAlignment="1">
      <alignment horizontal="center" vertical="top" wrapText="1"/>
    </xf>
    <xf numFmtId="0" fontId="37" fillId="0" borderId="23" xfId="0" applyFont="1" applyBorder="1"/>
    <xf numFmtId="0" fontId="37" fillId="0" borderId="24" xfId="0" applyFont="1" applyBorder="1"/>
    <xf numFmtId="0" fontId="0" fillId="0" borderId="0" xfId="0" applyFont="1" applyBorder="1"/>
    <xf numFmtId="0" fontId="0" fillId="0" borderId="0" xfId="0" applyFont="1" applyFill="1" applyBorder="1"/>
    <xf numFmtId="44" fontId="5" fillId="0" borderId="0" xfId="4" applyFont="1"/>
    <xf numFmtId="0" fontId="2" fillId="39" borderId="0" xfId="15"/>
    <xf numFmtId="43" fontId="0" fillId="0" borderId="0" xfId="0" applyNumberFormat="1"/>
    <xf numFmtId="170" fontId="27" fillId="25" borderId="38" xfId="2" applyNumberFormat="1" applyBorder="1"/>
    <xf numFmtId="0" fontId="0" fillId="0" borderId="0" xfId="0" applyFill="1" applyBorder="1"/>
    <xf numFmtId="0" fontId="27" fillId="25" borderId="40" xfId="2" applyBorder="1"/>
    <xf numFmtId="44" fontId="0" fillId="0" borderId="40" xfId="0" applyNumberFormat="1" applyBorder="1"/>
    <xf numFmtId="44" fontId="0" fillId="0" borderId="23" xfId="0" applyNumberFormat="1" applyBorder="1"/>
    <xf numFmtId="0" fontId="27" fillId="25" borderId="37" xfId="2" applyBorder="1" applyAlignment="1">
      <alignment horizontal="right"/>
    </xf>
    <xf numFmtId="0" fontId="38" fillId="40" borderId="0" xfId="16"/>
    <xf numFmtId="0" fontId="0" fillId="0" borderId="34" xfId="0" applyBorder="1"/>
    <xf numFmtId="0" fontId="0" fillId="0" borderId="53" xfId="0" applyBorder="1"/>
    <xf numFmtId="44" fontId="27" fillId="25" borderId="43" xfId="2" applyNumberFormat="1" applyBorder="1" applyAlignment="1">
      <alignment horizontal="right"/>
    </xf>
    <xf numFmtId="170" fontId="5" fillId="0" borderId="41" xfId="0" applyNumberFormat="1" applyFont="1" applyBorder="1"/>
    <xf numFmtId="0" fontId="27" fillId="25" borderId="42" xfId="2" applyBorder="1" applyAlignment="1">
      <alignment horizontal="right"/>
    </xf>
    <xf numFmtId="0" fontId="0" fillId="0" borderId="33" xfId="0" applyFill="1" applyBorder="1"/>
    <xf numFmtId="0" fontId="1" fillId="41" borderId="0" xfId="17" applyAlignment="1">
      <alignment horizontal="center"/>
    </xf>
    <xf numFmtId="0" fontId="1" fillId="35" borderId="0" xfId="13" applyFont="1"/>
    <xf numFmtId="171" fontId="5" fillId="0" borderId="40" xfId="0" applyNumberFormat="1" applyFont="1" applyBorder="1"/>
    <xf numFmtId="171" fontId="5" fillId="0" borderId="42" xfId="0" applyNumberFormat="1" applyFont="1" applyBorder="1"/>
    <xf numFmtId="171" fontId="0" fillId="0" borderId="24" xfId="0" applyNumberFormat="1" applyBorder="1"/>
    <xf numFmtId="171" fontId="0" fillId="0" borderId="25" xfId="0" applyNumberFormat="1" applyBorder="1"/>
    <xf numFmtId="9" fontId="38" fillId="40" borderId="0" xfId="3" applyFont="1" applyFill="1"/>
    <xf numFmtId="171" fontId="0" fillId="0" borderId="27" xfId="4" applyNumberFormat="1" applyFont="1" applyBorder="1"/>
    <xf numFmtId="0" fontId="0" fillId="0" borderId="28" xfId="0" applyBorder="1"/>
    <xf numFmtId="42" fontId="0" fillId="0" borderId="29" xfId="0" applyNumberFormat="1" applyBorder="1"/>
    <xf numFmtId="0" fontId="0" fillId="0" borderId="28" xfId="0" applyFill="1" applyBorder="1"/>
    <xf numFmtId="0" fontId="0" fillId="0" borderId="18" xfId="0" applyBorder="1"/>
    <xf numFmtId="0" fontId="0" fillId="0" borderId="29" xfId="0" applyBorder="1"/>
    <xf numFmtId="172" fontId="27" fillId="25" borderId="39" xfId="2" applyNumberFormat="1" applyBorder="1"/>
    <xf numFmtId="0" fontId="38" fillId="40" borderId="53" xfId="16" applyBorder="1" applyAlignment="1">
      <alignment horizontal="center" vertical="center"/>
    </xf>
    <xf numFmtId="173" fontId="0" fillId="0" borderId="0" xfId="8" applyNumberFormat="1" applyFont="1"/>
    <xf numFmtId="0" fontId="27" fillId="25" borderId="56" xfId="2" applyBorder="1"/>
    <xf numFmtId="0" fontId="39" fillId="0" borderId="29" xfId="0" applyFont="1" applyBorder="1"/>
    <xf numFmtId="9" fontId="39" fillId="0" borderId="34" xfId="3" applyFont="1" applyBorder="1" applyAlignment="1">
      <alignment horizontal="center" vertical="center"/>
    </xf>
    <xf numFmtId="0" fontId="39" fillId="0" borderId="53" xfId="0" applyFont="1" applyBorder="1" applyAlignment="1">
      <alignment horizontal="center" vertical="center"/>
    </xf>
    <xf numFmtId="0" fontId="39" fillId="0" borderId="34" xfId="0" applyFont="1" applyBorder="1" applyAlignment="1">
      <alignment horizontal="center" vertical="center"/>
    </xf>
    <xf numFmtId="0" fontId="5" fillId="42" borderId="0" xfId="0" applyFont="1" applyFill="1"/>
    <xf numFmtId="0" fontId="0" fillId="0" borderId="0" xfId="0" quotePrefix="1"/>
    <xf numFmtId="171" fontId="0" fillId="0" borderId="23" xfId="0" applyNumberFormat="1" applyBorder="1" applyAlignment="1">
      <alignment wrapText="1"/>
    </xf>
    <xf numFmtId="174" fontId="0" fillId="0" borderId="0" xfId="0" applyNumberFormat="1"/>
    <xf numFmtId="174" fontId="27" fillId="25" borderId="21" xfId="2" applyNumberFormat="1"/>
    <xf numFmtId="1" fontId="0" fillId="0" borderId="0" xfId="0" applyNumberFormat="1"/>
    <xf numFmtId="1" fontId="27" fillId="25" borderId="21" xfId="2" applyNumberFormat="1"/>
    <xf numFmtId="0" fontId="40" fillId="43" borderId="57" xfId="18"/>
    <xf numFmtId="1" fontId="40" fillId="43" borderId="57" xfId="18" applyNumberFormat="1"/>
    <xf numFmtId="167" fontId="40" fillId="43" borderId="57" xfId="18" applyNumberFormat="1"/>
    <xf numFmtId="0" fontId="38" fillId="40" borderId="21" xfId="16" applyBorder="1" applyAlignment="1">
      <alignment horizontal="center" vertical="center"/>
    </xf>
    <xf numFmtId="0" fontId="0" fillId="38" borderId="45" xfId="14" applyFont="1" applyBorder="1" applyAlignment="1">
      <alignment horizontal="center"/>
    </xf>
    <xf numFmtId="0" fontId="0" fillId="38" borderId="46" xfId="14" applyFont="1" applyBorder="1" applyAlignment="1">
      <alignment horizontal="center"/>
    </xf>
    <xf numFmtId="0" fontId="0" fillId="38" borderId="47" xfId="14" applyFont="1" applyBorder="1" applyAlignment="1">
      <alignment horizontal="center"/>
    </xf>
    <xf numFmtId="0" fontId="0" fillId="38" borderId="48" xfId="14" applyFont="1" applyBorder="1" applyAlignment="1">
      <alignment horizontal="left" vertical="top" wrapText="1"/>
    </xf>
    <xf numFmtId="0" fontId="0" fillId="38" borderId="49" xfId="14" applyFont="1" applyBorder="1" applyAlignment="1">
      <alignment horizontal="left" vertical="top" wrapText="1"/>
    </xf>
    <xf numFmtId="0" fontId="0" fillId="38" borderId="50" xfId="14" applyFont="1" applyBorder="1" applyAlignment="1">
      <alignment horizontal="left" vertical="top" wrapText="1"/>
    </xf>
    <xf numFmtId="0" fontId="0" fillId="38" borderId="51" xfId="14" applyFont="1" applyBorder="1" applyAlignment="1">
      <alignment horizontal="left" vertical="top" wrapText="1"/>
    </xf>
    <xf numFmtId="0" fontId="0" fillId="38" borderId="0" xfId="14" applyFont="1" applyBorder="1" applyAlignment="1">
      <alignment horizontal="left" vertical="top" wrapText="1"/>
    </xf>
    <xf numFmtId="0" fontId="0" fillId="38" borderId="52" xfId="14" applyFont="1" applyBorder="1" applyAlignment="1">
      <alignment horizontal="left" vertical="top" wrapText="1"/>
    </xf>
    <xf numFmtId="44" fontId="0" fillId="19" borderId="1" xfId="0" applyNumberFormat="1" applyFill="1" applyBorder="1" applyAlignment="1">
      <alignment horizontal="center"/>
    </xf>
    <xf numFmtId="0" fontId="8" fillId="3" borderId="1" xfId="0" applyFont="1" applyFill="1" applyBorder="1" applyAlignment="1">
      <alignment horizontal="center" wrapText="1"/>
    </xf>
    <xf numFmtId="44" fontId="0" fillId="19" borderId="1" xfId="0" applyNumberFormat="1" applyFill="1" applyBorder="1" applyAlignment="1">
      <alignment horizontal="right"/>
    </xf>
    <xf numFmtId="0" fontId="8" fillId="3" borderId="5" xfId="0" applyFont="1" applyFill="1" applyBorder="1" applyAlignment="1">
      <alignment horizontal="center" wrapText="1"/>
    </xf>
    <xf numFmtId="44" fontId="0" fillId="21" borderId="1" xfId="0" applyNumberFormat="1" applyFill="1" applyBorder="1" applyAlignment="1">
      <alignment horizontal="right"/>
    </xf>
    <xf numFmtId="44" fontId="0" fillId="21" borderId="1" xfId="0" applyNumberFormat="1" applyFill="1" applyBorder="1" applyAlignment="1">
      <alignment horizontal="center"/>
    </xf>
    <xf numFmtId="0" fontId="17" fillId="0" borderId="1" xfId="0" applyFont="1" applyBorder="1" applyAlignment="1">
      <alignment horizontal="center"/>
    </xf>
    <xf numFmtId="0" fontId="16" fillId="0" borderId="1" xfId="0" applyFont="1" applyBorder="1" applyAlignment="1">
      <alignment horizontal="center"/>
    </xf>
    <xf numFmtId="14" fontId="23" fillId="0" borderId="1" xfId="0" applyNumberFormat="1" applyFont="1" applyBorder="1" applyAlignment="1">
      <alignment horizontal="center"/>
    </xf>
    <xf numFmtId="0" fontId="23" fillId="0" borderId="1" xfId="0" applyFont="1" applyBorder="1" applyAlignment="1">
      <alignment horizontal="center" vertical="center"/>
    </xf>
    <xf numFmtId="0" fontId="19" fillId="0" borderId="0" xfId="0" applyFont="1" applyAlignment="1">
      <alignment horizontal="center"/>
    </xf>
    <xf numFmtId="0" fontId="17" fillId="0" borderId="1" xfId="0" applyFont="1" applyBorder="1" applyAlignment="1">
      <alignment horizontal="center" vertical="center"/>
    </xf>
    <xf numFmtId="0" fontId="23" fillId="0" borderId="1" xfId="0" applyFont="1" applyBorder="1" applyAlignment="1">
      <alignment horizontal="center"/>
    </xf>
    <xf numFmtId="0" fontId="32" fillId="25" borderId="54" xfId="7" applyFont="1" applyBorder="1" applyAlignment="1">
      <alignment horizontal="center"/>
    </xf>
    <xf numFmtId="0" fontId="32" fillId="25" borderId="55" xfId="7" applyFont="1" applyBorder="1" applyAlignment="1">
      <alignment horizontal="center"/>
    </xf>
    <xf numFmtId="0" fontId="32" fillId="25" borderId="31" xfId="7" applyFont="1" applyBorder="1" applyAlignment="1">
      <alignment horizontal="center"/>
    </xf>
    <xf numFmtId="0" fontId="41" fillId="0" borderId="58" xfId="19" applyAlignment="1">
      <alignment horizontal="center"/>
    </xf>
  </cellXfs>
  <cellStyles count="20">
    <cellStyle name="20% - Accent1" xfId="11" builtinId="30"/>
    <cellStyle name="20% - Accent2" xfId="12" builtinId="34"/>
    <cellStyle name="20% - Accent3" xfId="13" builtinId="38"/>
    <cellStyle name="20% - Accent6" xfId="15" builtinId="50"/>
    <cellStyle name="60% - Accent2" xfId="17" builtinId="36"/>
    <cellStyle name="Accent5" xfId="5" builtinId="45"/>
    <cellStyle name="Bad" xfId="9" builtinId="27"/>
    <cellStyle name="Calculation" xfId="2" builtinId="22"/>
    <cellStyle name="Check Cell" xfId="18" builtinId="23"/>
    <cellStyle name="Comma" xfId="8" builtinId="3"/>
    <cellStyle name="Currency" xfId="4" builtinId="4"/>
    <cellStyle name="Currency [0]" xfId="1" builtinId="7"/>
    <cellStyle name="Explanatory Text" xfId="10" builtinId="53"/>
    <cellStyle name="Good" xfId="16" builtinId="26"/>
    <cellStyle name="Heading 1" xfId="19" builtinId="16"/>
    <cellStyle name="Input" xfId="6" builtinId="20"/>
    <cellStyle name="Normal" xfId="0" builtinId="0"/>
    <cellStyle name="Note" xfId="14" builtinId="10"/>
    <cellStyle name="Output" xfId="7" builtinId="21"/>
    <cellStyle name="Percent" xfId="3" builtinId="5"/>
  </cellStyles>
  <dxfs count="508">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font>
        <b val="0"/>
        <i val="0"/>
        <strike val="0"/>
        <outline val="0"/>
        <shadow val="0"/>
        <u val="none"/>
        <color rgb="FFFFFFFF"/>
        <name val="Consolas"/>
      </font>
      <numFmt numFmtId="0" formatCode="General"/>
      <fill>
        <patternFill>
          <bgColor rgb="FF4BACC6"/>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5"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ont>
        <b/>
        <i/>
        <color theme="5" tint="-0.499984740745262"/>
      </font>
      <fill>
        <patternFill>
          <bgColor theme="5" tint="0.79998168889431442"/>
        </patternFill>
      </fill>
    </dxf>
    <dxf>
      <font>
        <b/>
        <i val="0"/>
        <color theme="7" tint="-0.499984740745262"/>
      </font>
      <fill>
        <patternFill>
          <bgColor theme="7" tint="0.79998168889431442"/>
        </patternFill>
      </fill>
    </dxf>
    <dxf>
      <font>
        <b val="0"/>
        <i/>
        <color theme="9" tint="-0.499984740745262"/>
      </font>
      <fill>
        <patternFill>
          <bgColor theme="9" tint="0.79998168889431442"/>
        </patternFill>
      </fill>
    </dxf>
    <dxf>
      <font>
        <b/>
        <i/>
        <color theme="6" tint="-0.499984740745262"/>
      </font>
      <fill>
        <patternFill>
          <bgColor theme="6" tint="0.79998168889431442"/>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border>
        <left style="hair">
          <color auto="1"/>
        </left>
        <right style="hair">
          <color auto="1"/>
        </right>
        <top style="hair">
          <color auto="1"/>
        </top>
        <bottom style="hair">
          <color auto="1"/>
        </bottom>
        <vertical/>
        <horizontal/>
      </border>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6" tint="0.59996337778862885"/>
        </patternFill>
      </fill>
    </dxf>
    <dxf>
      <fill>
        <patternFill>
          <bgColor rgb="FFFF0000"/>
        </patternFill>
      </fill>
    </dxf>
    <dxf>
      <fill>
        <patternFill>
          <bgColor theme="9" tint="0.79998168889431442"/>
        </patternFill>
      </fill>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
      <border>
        <left style="hair">
          <color auto="1"/>
        </left>
        <right style="hair">
          <color auto="1"/>
        </right>
        <top style="hair">
          <color auto="1"/>
        </top>
        <bottom style="hair">
          <color auto="1"/>
        </bottom>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externalLink" Target="externalLinks/externalLink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2.xml"/><Relationship Id="rId27"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Summary</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205-4DCE-9E4C-387949A82CF0}"/>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205-4DCE-9E4C-387949A82CF0}"/>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205-4DCE-9E4C-387949A82CF0}"/>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205-4DCE-9E4C-387949A82CF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Summary'!$A$8:$A$11</c:f>
              <c:strCache>
                <c:ptCount val="4"/>
                <c:pt idx="0">
                  <c:v>Labour</c:v>
                </c:pt>
                <c:pt idx="1">
                  <c:v>Materials</c:v>
                </c:pt>
                <c:pt idx="2">
                  <c:v>Admin/Overhead</c:v>
                </c:pt>
                <c:pt idx="3">
                  <c:v>Additional</c:v>
                </c:pt>
              </c:strCache>
            </c:strRef>
          </c:cat>
          <c:val>
            <c:numRef>
              <c:f>'Job Summary'!$B$8:$B$11</c:f>
              <c:numCache>
                <c:formatCode>_("$"* #,##0_);_("$"* \(#,##0\);_("$"* "-"_);_(@_)</c:formatCode>
                <c:ptCount val="4"/>
                <c:pt idx="0">
                  <c:v>0</c:v>
                </c:pt>
                <c:pt idx="1">
                  <c:v>0</c:v>
                </c:pt>
                <c:pt idx="2">
                  <c:v>0</c:v>
                </c:pt>
                <c:pt idx="3">
                  <c:v>0</c:v>
                </c:pt>
              </c:numCache>
            </c:numRef>
          </c:val>
          <c:extLst>
            <c:ext xmlns:c16="http://schemas.microsoft.com/office/drawing/2014/chart" uri="{C3380CC4-5D6E-409C-BE32-E72D297353CC}">
              <c16:uniqueId val="{00000008-7205-4DCE-9E4C-387949A82CF0}"/>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Labour Summary</a:t>
            </a:r>
          </a:p>
        </c:rich>
      </c:tx>
      <c:layout>
        <c:manualLayout>
          <c:xMode val="edge"/>
          <c:yMode val="edge"/>
          <c:x val="0.73101332635428407"/>
          <c:y val="4.5528443626286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9ED-485D-AC06-DB4ADA88710F}"/>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9ED-485D-AC06-DB4ADA88710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9ED-485D-AC06-DB4ADA88710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9ED-485D-AC06-DB4ADA88710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9B97-4F0F-9753-F383F2A4C299}"/>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A4C6-4AED-8CB8-EE42B41D7320}"/>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A4C6-4AED-8CB8-EE42B41D7320}"/>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Summary'!$D$7:$D$13</c:f>
              <c:strCache>
                <c:ptCount val="7"/>
                <c:pt idx="0">
                  <c:v>Install Labour (Hrs)</c:v>
                </c:pt>
                <c:pt idx="1">
                  <c:v>Project Management (Hrs)</c:v>
                </c:pt>
                <c:pt idx="2">
                  <c:v>Site Supervision (Hrs)</c:v>
                </c:pt>
                <c:pt idx="3">
                  <c:v>Drafting (Hrs)</c:v>
                </c:pt>
                <c:pt idx="4">
                  <c:v>Programming (Car Park)</c:v>
                </c:pt>
                <c:pt idx="5">
                  <c:v>Commissioning</c:v>
                </c:pt>
                <c:pt idx="6">
                  <c:v>Other</c:v>
                </c:pt>
              </c:strCache>
            </c:strRef>
          </c:cat>
          <c:val>
            <c:numRef>
              <c:f>'Job Summary'!$O$7:$O$13</c:f>
              <c:numCache>
                <c:formatCode>"$"#,##0.00</c:formatCode>
                <c:ptCount val="7"/>
                <c:pt idx="0">
                  <c:v>0</c:v>
                </c:pt>
                <c:pt idx="1">
                  <c:v>0</c:v>
                </c:pt>
                <c:pt idx="2">
                  <c:v>0</c:v>
                </c:pt>
                <c:pt idx="3">
                  <c:v>0</c:v>
                </c:pt>
                <c:pt idx="4">
                  <c:v>0</c:v>
                </c:pt>
                <c:pt idx="5">
                  <c:v>0</c:v>
                </c:pt>
                <c:pt idx="6">
                  <c:v>0</c:v>
                </c:pt>
              </c:numCache>
            </c:numRef>
          </c:val>
          <c:extLst>
            <c:ext xmlns:c16="http://schemas.microsoft.com/office/drawing/2014/chart" uri="{C3380CC4-5D6E-409C-BE32-E72D297353CC}">
              <c16:uniqueId val="{00000008-B9ED-485D-AC06-DB4ADA88710F}"/>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AU"/>
              <a:t>Price Breakdown</a:t>
            </a:r>
          </a:p>
        </c:rich>
      </c:tx>
      <c:layout>
        <c:manualLayout>
          <c:xMode val="edge"/>
          <c:yMode val="edge"/>
          <c:x val="0.75706251108773048"/>
          <c:y val="2.27642218131433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D1F-4FC0-8F0E-795BF6AFA85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D1F-4FC0-8F0E-795BF6AFA85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9D1F-4FC0-8F0E-795BF6AFA85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9D1F-4FC0-8F0E-795BF6AFA85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E14-4003-91EC-FDCD6C2A54B4}"/>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8E14-4003-91EC-FDCD6C2A54B4}"/>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'Job Summary'!$R$17:$R$22</c:f>
              <c:strCache>
                <c:ptCount val="6"/>
                <c:pt idx="0">
                  <c:v>Switchboards</c:v>
                </c:pt>
                <c:pt idx="1">
                  <c:v>Fans</c:v>
                </c:pt>
                <c:pt idx="2">
                  <c:v>VRF</c:v>
                </c:pt>
                <c:pt idx="3">
                  <c:v>Chiller</c:v>
                </c:pt>
                <c:pt idx="4">
                  <c:v>Other</c:v>
                </c:pt>
                <c:pt idx="5">
                  <c:v>Carpark &amp; Pump Room</c:v>
                </c:pt>
              </c:strCache>
            </c:strRef>
          </c:cat>
          <c:val>
            <c:numRef>
              <c:f>'Job Summary'!$S$17:$S$22</c:f>
              <c:numCache>
                <c:formatCode>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8-9D1F-4FC0-8F0E-795BF6AFA853}"/>
            </c:ext>
          </c:extLst>
        </c:ser>
        <c:dLbls>
          <c:showLegendKey val="0"/>
          <c:showVal val="0"/>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488687</xdr:colOff>
      <xdr:row>26</xdr:row>
      <xdr:rowOff>70563</xdr:rowOff>
    </xdr:from>
    <xdr:to>
      <xdr:col>7</xdr:col>
      <xdr:colOff>81643</xdr:colOff>
      <xdr:row>44</xdr:row>
      <xdr:rowOff>81060</xdr:rowOff>
    </xdr:to>
    <xdr:graphicFrame macro="">
      <xdr:nvGraphicFramePr>
        <xdr:cNvPr id="3" name="Chart 2">
          <a:extLst>
            <a:ext uri="{FF2B5EF4-FFF2-40B4-BE49-F238E27FC236}">
              <a16:creationId xmlns:a16="http://schemas.microsoft.com/office/drawing/2014/main" id="{4815EBDE-03F3-42CA-A2C0-959626C0AA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293526</xdr:colOff>
      <xdr:row>26</xdr:row>
      <xdr:rowOff>82420</xdr:rowOff>
    </xdr:from>
    <xdr:to>
      <xdr:col>13</xdr:col>
      <xdr:colOff>839536</xdr:colOff>
      <xdr:row>44</xdr:row>
      <xdr:rowOff>92917</xdr:rowOff>
    </xdr:to>
    <xdr:graphicFrame macro="">
      <xdr:nvGraphicFramePr>
        <xdr:cNvPr id="5" name="Chart 4">
          <a:extLst>
            <a:ext uri="{FF2B5EF4-FFF2-40B4-BE49-F238E27FC236}">
              <a16:creationId xmlns:a16="http://schemas.microsoft.com/office/drawing/2014/main" id="{3ACB0798-31AE-4B4F-AC86-E95319EE76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160788</xdr:colOff>
      <xdr:row>26</xdr:row>
      <xdr:rowOff>47625</xdr:rowOff>
    </xdr:from>
    <xdr:to>
      <xdr:col>20</xdr:col>
      <xdr:colOff>40821</xdr:colOff>
      <xdr:row>44</xdr:row>
      <xdr:rowOff>58670</xdr:rowOff>
    </xdr:to>
    <xdr:graphicFrame macro="">
      <xdr:nvGraphicFramePr>
        <xdr:cNvPr id="4" name="Chart 3">
          <a:extLst>
            <a:ext uri="{FF2B5EF4-FFF2-40B4-BE49-F238E27FC236}">
              <a16:creationId xmlns:a16="http://schemas.microsoft.com/office/drawing/2014/main" id="{86F85853-B523-45FC-84E7-26C19AB6C0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2%20-%20XXX%20-%20%20Mech%20Elec%20-%20Rev%20A_2.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V2%20-%20XXX%20-%20%20Mech%20Elec%20-%20Rev%20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Google%20Drive/3.%20Clients/2.%20Tenders/18-0180%20-%20Car%20Park%20Calibration%20-%20Greenslopes/Section%200%20-%20Tender%20Documentation/Tender%20Markup/IGOC%20-%20Greenslopes%20-%20%20Mech%20Elec%20-%20Rev%20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row r="1">
          <cell r="C1">
            <v>0</v>
          </cell>
          <cell r="D1" t="str">
            <v>Zero</v>
          </cell>
        </row>
        <row r="2">
          <cell r="C2">
            <v>1</v>
          </cell>
          <cell r="D2" t="str">
            <v>one</v>
          </cell>
        </row>
        <row r="3">
          <cell r="C3">
            <v>2</v>
          </cell>
          <cell r="D3" t="str">
            <v>two</v>
          </cell>
        </row>
        <row r="4">
          <cell r="C4">
            <v>3</v>
          </cell>
          <cell r="D4" t="str">
            <v>three</v>
          </cell>
        </row>
        <row r="5">
          <cell r="C5">
            <v>4</v>
          </cell>
          <cell r="D5" t="str">
            <v>four</v>
          </cell>
        </row>
        <row r="6">
          <cell r="C6">
            <v>5</v>
          </cell>
          <cell r="D6" t="str">
            <v>five</v>
          </cell>
        </row>
        <row r="7">
          <cell r="C7">
            <v>6</v>
          </cell>
          <cell r="D7" t="str">
            <v>six</v>
          </cell>
        </row>
        <row r="8">
          <cell r="C8">
            <v>7</v>
          </cell>
          <cell r="D8" t="str">
            <v>seven</v>
          </cell>
        </row>
        <row r="9">
          <cell r="C9">
            <v>8</v>
          </cell>
          <cell r="D9" t="str">
            <v>eight</v>
          </cell>
        </row>
        <row r="10">
          <cell r="C10">
            <v>9</v>
          </cell>
          <cell r="D10" t="str">
            <v>nine</v>
          </cell>
        </row>
        <row r="11">
          <cell r="C11">
            <v>10</v>
          </cell>
          <cell r="D11" t="str">
            <v>ten</v>
          </cell>
        </row>
        <row r="12">
          <cell r="C12">
            <v>11</v>
          </cell>
          <cell r="D12" t="str">
            <v>eleven</v>
          </cell>
        </row>
        <row r="13">
          <cell r="C13">
            <v>12</v>
          </cell>
          <cell r="D13" t="str">
            <v>twelve</v>
          </cell>
        </row>
        <row r="14">
          <cell r="C14">
            <v>13</v>
          </cell>
          <cell r="D14" t="str">
            <v>thirteen</v>
          </cell>
        </row>
        <row r="15">
          <cell r="C15">
            <v>14</v>
          </cell>
          <cell r="D15" t="str">
            <v>fourteen</v>
          </cell>
        </row>
        <row r="16">
          <cell r="C16">
            <v>15</v>
          </cell>
          <cell r="D16" t="str">
            <v>fifteen</v>
          </cell>
        </row>
        <row r="17">
          <cell r="C17">
            <v>16</v>
          </cell>
          <cell r="D17" t="str">
            <v>sixteen</v>
          </cell>
        </row>
        <row r="18">
          <cell r="C18">
            <v>17</v>
          </cell>
          <cell r="D18" t="str">
            <v>seventeen</v>
          </cell>
        </row>
        <row r="19">
          <cell r="C19">
            <v>18</v>
          </cell>
          <cell r="D19" t="str">
            <v>eighteen</v>
          </cell>
        </row>
        <row r="20">
          <cell r="C20">
            <v>19</v>
          </cell>
          <cell r="D20" t="str">
            <v>nineteen</v>
          </cell>
        </row>
        <row r="21">
          <cell r="C21">
            <v>20</v>
          </cell>
          <cell r="D21" t="str">
            <v>twenty</v>
          </cell>
        </row>
        <row r="22">
          <cell r="C22">
            <v>21</v>
          </cell>
          <cell r="D22" t="str">
            <v>twenty-one</v>
          </cell>
        </row>
        <row r="23">
          <cell r="C23">
            <v>22</v>
          </cell>
          <cell r="D23" t="str">
            <v>twenty-two</v>
          </cell>
        </row>
        <row r="24">
          <cell r="C24">
            <v>23</v>
          </cell>
          <cell r="D24" t="str">
            <v>twenty-three</v>
          </cell>
        </row>
        <row r="25">
          <cell r="C25">
            <v>24</v>
          </cell>
          <cell r="D25" t="str">
            <v>twenty-four</v>
          </cell>
        </row>
        <row r="26">
          <cell r="C26">
            <v>25</v>
          </cell>
          <cell r="D26" t="str">
            <v>twenty-five</v>
          </cell>
        </row>
        <row r="27">
          <cell r="C27">
            <v>26</v>
          </cell>
          <cell r="D27" t="str">
            <v>twenty-six</v>
          </cell>
        </row>
        <row r="28">
          <cell r="C28">
            <v>27</v>
          </cell>
          <cell r="D28" t="str">
            <v>twenty-seven</v>
          </cell>
        </row>
        <row r="29">
          <cell r="C29">
            <v>28</v>
          </cell>
          <cell r="D29" t="str">
            <v>twenty-eight</v>
          </cell>
        </row>
        <row r="30">
          <cell r="C30">
            <v>29</v>
          </cell>
          <cell r="D30" t="str">
            <v>twenty-nine</v>
          </cell>
        </row>
        <row r="31">
          <cell r="C31">
            <v>30</v>
          </cell>
          <cell r="D31" t="str">
            <v>thirty</v>
          </cell>
        </row>
        <row r="32">
          <cell r="C32">
            <v>31</v>
          </cell>
          <cell r="D32" t="str">
            <v>thirty-one</v>
          </cell>
        </row>
        <row r="33">
          <cell r="C33">
            <v>32</v>
          </cell>
          <cell r="D33" t="str">
            <v>thirty-two</v>
          </cell>
        </row>
        <row r="34">
          <cell r="C34">
            <v>33</v>
          </cell>
          <cell r="D34" t="str">
            <v>thirty-three</v>
          </cell>
        </row>
        <row r="35">
          <cell r="C35">
            <v>34</v>
          </cell>
          <cell r="D35" t="str">
            <v>thirty-four</v>
          </cell>
        </row>
        <row r="36">
          <cell r="C36">
            <v>35</v>
          </cell>
          <cell r="D36" t="str">
            <v>thirty-five</v>
          </cell>
        </row>
        <row r="37">
          <cell r="C37">
            <v>36</v>
          </cell>
          <cell r="D37" t="str">
            <v>thirty-six</v>
          </cell>
        </row>
        <row r="38">
          <cell r="C38">
            <v>37</v>
          </cell>
          <cell r="D38" t="str">
            <v>thirty-seven</v>
          </cell>
        </row>
        <row r="39">
          <cell r="C39">
            <v>38</v>
          </cell>
          <cell r="D39" t="str">
            <v>thirty-eight</v>
          </cell>
        </row>
        <row r="40">
          <cell r="C40">
            <v>39</v>
          </cell>
          <cell r="D40" t="str">
            <v>thirty-nine</v>
          </cell>
        </row>
        <row r="41">
          <cell r="C41">
            <v>40</v>
          </cell>
          <cell r="D41" t="str">
            <v>forty</v>
          </cell>
        </row>
        <row r="42">
          <cell r="C42">
            <v>41</v>
          </cell>
          <cell r="D42" t="str">
            <v>forty-one</v>
          </cell>
        </row>
        <row r="43">
          <cell r="C43">
            <v>42</v>
          </cell>
          <cell r="D43" t="str">
            <v>forty-two</v>
          </cell>
        </row>
        <row r="44">
          <cell r="C44">
            <v>43</v>
          </cell>
          <cell r="D44" t="str">
            <v>forty-three</v>
          </cell>
        </row>
        <row r="45">
          <cell r="C45">
            <v>44</v>
          </cell>
          <cell r="D45" t="str">
            <v>forty-four</v>
          </cell>
        </row>
        <row r="46">
          <cell r="C46">
            <v>45</v>
          </cell>
          <cell r="D46" t="str">
            <v>forty-five</v>
          </cell>
        </row>
        <row r="47">
          <cell r="C47">
            <v>46</v>
          </cell>
          <cell r="D47" t="str">
            <v>forty-six</v>
          </cell>
        </row>
        <row r="48">
          <cell r="C48">
            <v>47</v>
          </cell>
          <cell r="D48" t="str">
            <v>forty-seven</v>
          </cell>
        </row>
        <row r="49">
          <cell r="C49">
            <v>48</v>
          </cell>
          <cell r="D49" t="str">
            <v>forty-eight</v>
          </cell>
        </row>
        <row r="50">
          <cell r="C50">
            <v>49</v>
          </cell>
          <cell r="D50" t="str">
            <v>forty-nine</v>
          </cell>
        </row>
        <row r="51">
          <cell r="C51">
            <v>50</v>
          </cell>
          <cell r="D51" t="str">
            <v>fifty</v>
          </cell>
        </row>
        <row r="52">
          <cell r="C52">
            <v>51</v>
          </cell>
          <cell r="D52" t="str">
            <v>fifty-one</v>
          </cell>
        </row>
        <row r="53">
          <cell r="C53">
            <v>52</v>
          </cell>
          <cell r="D53" t="str">
            <v>fifty-two</v>
          </cell>
        </row>
        <row r="54">
          <cell r="C54">
            <v>53</v>
          </cell>
          <cell r="D54" t="str">
            <v>fifty-three</v>
          </cell>
        </row>
        <row r="55">
          <cell r="C55">
            <v>54</v>
          </cell>
          <cell r="D55" t="str">
            <v>fifty-four</v>
          </cell>
        </row>
        <row r="56">
          <cell r="C56">
            <v>55</v>
          </cell>
          <cell r="D56" t="str">
            <v>fifty-five</v>
          </cell>
        </row>
        <row r="57">
          <cell r="C57">
            <v>56</v>
          </cell>
          <cell r="D57" t="str">
            <v>fifty-six</v>
          </cell>
        </row>
        <row r="58">
          <cell r="C58">
            <v>57</v>
          </cell>
          <cell r="D58" t="str">
            <v>fifty-seven</v>
          </cell>
        </row>
        <row r="59">
          <cell r="C59">
            <v>58</v>
          </cell>
          <cell r="D59" t="str">
            <v>fifty-eight</v>
          </cell>
        </row>
        <row r="60">
          <cell r="C60">
            <v>59</v>
          </cell>
          <cell r="D60" t="str">
            <v>fifty-nine</v>
          </cell>
        </row>
        <row r="61">
          <cell r="C61">
            <v>60</v>
          </cell>
          <cell r="D61" t="str">
            <v>sixty</v>
          </cell>
        </row>
        <row r="62">
          <cell r="C62">
            <v>61</v>
          </cell>
          <cell r="D62" t="str">
            <v>sixty-one</v>
          </cell>
        </row>
        <row r="63">
          <cell r="C63">
            <v>62</v>
          </cell>
          <cell r="D63" t="str">
            <v>sixty-two</v>
          </cell>
        </row>
        <row r="64">
          <cell r="C64">
            <v>63</v>
          </cell>
          <cell r="D64" t="str">
            <v>sixty-three</v>
          </cell>
        </row>
        <row r="65">
          <cell r="C65">
            <v>64</v>
          </cell>
          <cell r="D65" t="str">
            <v>sixty-four</v>
          </cell>
        </row>
        <row r="66">
          <cell r="C66">
            <v>65</v>
          </cell>
          <cell r="D66" t="str">
            <v>sixty-five</v>
          </cell>
        </row>
        <row r="67">
          <cell r="C67">
            <v>66</v>
          </cell>
          <cell r="D67" t="str">
            <v>sixty-six</v>
          </cell>
        </row>
        <row r="68">
          <cell r="C68">
            <v>67</v>
          </cell>
          <cell r="D68" t="str">
            <v>sixty-seven</v>
          </cell>
        </row>
        <row r="69">
          <cell r="C69">
            <v>68</v>
          </cell>
          <cell r="D69" t="str">
            <v>sixty-eight</v>
          </cell>
        </row>
        <row r="70">
          <cell r="C70">
            <v>69</v>
          </cell>
          <cell r="D70" t="str">
            <v>sixty-nine</v>
          </cell>
        </row>
        <row r="71">
          <cell r="C71">
            <v>70</v>
          </cell>
          <cell r="D71" t="str">
            <v>seventy</v>
          </cell>
        </row>
        <row r="72">
          <cell r="C72">
            <v>71</v>
          </cell>
          <cell r="D72" t="str">
            <v>seventy-one</v>
          </cell>
        </row>
        <row r="73">
          <cell r="C73">
            <v>72</v>
          </cell>
          <cell r="D73" t="str">
            <v>seventy-two</v>
          </cell>
        </row>
        <row r="74">
          <cell r="C74">
            <v>73</v>
          </cell>
          <cell r="D74" t="str">
            <v>seventy-three</v>
          </cell>
        </row>
        <row r="75">
          <cell r="C75">
            <v>74</v>
          </cell>
          <cell r="D75" t="str">
            <v>seventy-four</v>
          </cell>
        </row>
        <row r="76">
          <cell r="C76">
            <v>75</v>
          </cell>
          <cell r="D76" t="str">
            <v>seventy-five</v>
          </cell>
        </row>
        <row r="77">
          <cell r="C77">
            <v>76</v>
          </cell>
          <cell r="D77" t="str">
            <v>seventy-six</v>
          </cell>
        </row>
        <row r="78">
          <cell r="C78">
            <v>77</v>
          </cell>
          <cell r="D78" t="str">
            <v>seventy-seven</v>
          </cell>
        </row>
        <row r="79">
          <cell r="C79">
            <v>78</v>
          </cell>
          <cell r="D79" t="str">
            <v>seventy-eight</v>
          </cell>
        </row>
        <row r="80">
          <cell r="C80">
            <v>79</v>
          </cell>
          <cell r="D80" t="str">
            <v>seventy-nine</v>
          </cell>
        </row>
        <row r="81">
          <cell r="C81">
            <v>80</v>
          </cell>
          <cell r="D81" t="str">
            <v>eighty</v>
          </cell>
        </row>
        <row r="82">
          <cell r="C82">
            <v>81</v>
          </cell>
          <cell r="D82" t="str">
            <v>eighty-one</v>
          </cell>
        </row>
        <row r="83">
          <cell r="C83">
            <v>82</v>
          </cell>
          <cell r="D83" t="str">
            <v>eighty-two</v>
          </cell>
        </row>
        <row r="84">
          <cell r="C84">
            <v>83</v>
          </cell>
          <cell r="D84" t="str">
            <v>eighty-three</v>
          </cell>
        </row>
        <row r="85">
          <cell r="C85">
            <v>84</v>
          </cell>
          <cell r="D85" t="str">
            <v>eighty-four</v>
          </cell>
        </row>
        <row r="86">
          <cell r="C86">
            <v>85</v>
          </cell>
          <cell r="D86" t="str">
            <v>eighty-five</v>
          </cell>
        </row>
        <row r="87">
          <cell r="C87">
            <v>86</v>
          </cell>
          <cell r="D87" t="str">
            <v>eighty-six</v>
          </cell>
        </row>
        <row r="88">
          <cell r="C88">
            <v>87</v>
          </cell>
          <cell r="D88" t="str">
            <v>eighty-seven</v>
          </cell>
        </row>
        <row r="89">
          <cell r="C89">
            <v>88</v>
          </cell>
          <cell r="D89" t="str">
            <v>eighty-eight</v>
          </cell>
        </row>
        <row r="90">
          <cell r="C90">
            <v>89</v>
          </cell>
          <cell r="D90" t="str">
            <v>eighty-nine</v>
          </cell>
        </row>
        <row r="91">
          <cell r="C91">
            <v>90</v>
          </cell>
          <cell r="D91" t="str">
            <v>ninety</v>
          </cell>
        </row>
        <row r="92">
          <cell r="C92">
            <v>91</v>
          </cell>
          <cell r="D92" t="str">
            <v>ninety-one</v>
          </cell>
        </row>
        <row r="93">
          <cell r="C93">
            <v>92</v>
          </cell>
          <cell r="D93" t="str">
            <v>ninety-two</v>
          </cell>
        </row>
        <row r="94">
          <cell r="C94">
            <v>93</v>
          </cell>
          <cell r="D94" t="str">
            <v>ninety-three</v>
          </cell>
        </row>
        <row r="95">
          <cell r="C95">
            <v>94</v>
          </cell>
          <cell r="D95" t="str">
            <v>ninety-four</v>
          </cell>
        </row>
        <row r="96">
          <cell r="C96">
            <v>95</v>
          </cell>
          <cell r="D96" t="str">
            <v>ninety-five</v>
          </cell>
        </row>
        <row r="97">
          <cell r="C97">
            <v>96</v>
          </cell>
          <cell r="D97" t="str">
            <v>ninety-six</v>
          </cell>
        </row>
        <row r="98">
          <cell r="C98">
            <v>97</v>
          </cell>
          <cell r="D98" t="str">
            <v>ninety-seven</v>
          </cell>
        </row>
        <row r="99">
          <cell r="C99">
            <v>98</v>
          </cell>
          <cell r="D99" t="str">
            <v>ninety-eight</v>
          </cell>
        </row>
        <row r="100">
          <cell r="C100">
            <v>99</v>
          </cell>
          <cell r="D100" t="str">
            <v>ninety-nine</v>
          </cell>
        </row>
        <row r="101">
          <cell r="C101">
            <v>100</v>
          </cell>
          <cell r="D101" t="str">
            <v>one hundred</v>
          </cell>
        </row>
      </sheetData>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Takeoffs"/>
      <sheetName val="Sheet2"/>
      <sheetName val="Sheet3"/>
      <sheetName val="Unit Types"/>
      <sheetName val="Backend"/>
      <sheetName val="@MSSB"/>
      <sheetName val="_MSSB"/>
      <sheetName val="@Fan"/>
      <sheetName val="_Fan"/>
      <sheetName val="@VRF"/>
      <sheetName val="_VRF"/>
      <sheetName val="Part List"/>
      <sheetName val="IGOC_Par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Job Summary"/>
      <sheetName val="Sheet1"/>
      <sheetName val="Sheet4"/>
      <sheetName val="Takeoffs"/>
      <sheetName val="Sheet2"/>
      <sheetName val="Sheet3"/>
      <sheetName val="CO Calibration"/>
      <sheetName val="MJS Controls"/>
    </sheetNames>
    <sheetDataSet>
      <sheetData sheetId="0"/>
      <sheetData sheetId="1"/>
      <sheetData sheetId="2"/>
      <sheetData sheetId="3"/>
      <sheetData sheetId="4">
        <row r="2">
          <cell r="D2">
            <v>0</v>
          </cell>
          <cell r="E2" t="str">
            <v>Zero</v>
          </cell>
        </row>
        <row r="3">
          <cell r="D3">
            <v>1</v>
          </cell>
          <cell r="E3" t="str">
            <v>one</v>
          </cell>
        </row>
        <row r="4">
          <cell r="D4">
            <v>2</v>
          </cell>
          <cell r="E4" t="str">
            <v>two</v>
          </cell>
        </row>
        <row r="5">
          <cell r="D5">
            <v>3</v>
          </cell>
          <cell r="E5" t="str">
            <v>three</v>
          </cell>
        </row>
        <row r="6">
          <cell r="D6">
            <v>4</v>
          </cell>
          <cell r="E6" t="str">
            <v>four</v>
          </cell>
        </row>
        <row r="7">
          <cell r="D7">
            <v>5</v>
          </cell>
          <cell r="E7" t="str">
            <v>five</v>
          </cell>
        </row>
        <row r="8">
          <cell r="D8">
            <v>6</v>
          </cell>
          <cell r="E8" t="str">
            <v>six</v>
          </cell>
        </row>
        <row r="9">
          <cell r="D9">
            <v>7</v>
          </cell>
          <cell r="E9" t="str">
            <v>seven</v>
          </cell>
        </row>
        <row r="10">
          <cell r="D10">
            <v>8</v>
          </cell>
          <cell r="E10" t="str">
            <v>eight</v>
          </cell>
        </row>
        <row r="11">
          <cell r="D11">
            <v>9</v>
          </cell>
          <cell r="E11" t="str">
            <v>nine</v>
          </cell>
        </row>
        <row r="12">
          <cell r="D12">
            <v>10</v>
          </cell>
          <cell r="E12" t="str">
            <v>ten</v>
          </cell>
        </row>
        <row r="13">
          <cell r="D13">
            <v>11</v>
          </cell>
          <cell r="E13" t="str">
            <v>eleven</v>
          </cell>
        </row>
        <row r="14">
          <cell r="D14">
            <v>12</v>
          </cell>
          <cell r="E14" t="str">
            <v>twelve</v>
          </cell>
        </row>
        <row r="15">
          <cell r="D15">
            <v>13</v>
          </cell>
          <cell r="E15" t="str">
            <v>thirteen</v>
          </cell>
        </row>
        <row r="16">
          <cell r="D16">
            <v>14</v>
          </cell>
          <cell r="E16" t="str">
            <v>fourteen</v>
          </cell>
        </row>
        <row r="17">
          <cell r="D17">
            <v>15</v>
          </cell>
          <cell r="E17" t="str">
            <v>fifteen</v>
          </cell>
        </row>
        <row r="18">
          <cell r="D18">
            <v>16</v>
          </cell>
          <cell r="E18" t="str">
            <v>sixteen</v>
          </cell>
        </row>
        <row r="19">
          <cell r="D19">
            <v>17</v>
          </cell>
          <cell r="E19" t="str">
            <v>seventeen</v>
          </cell>
        </row>
        <row r="20">
          <cell r="D20">
            <v>18</v>
          </cell>
          <cell r="E20" t="str">
            <v>eighteen</v>
          </cell>
        </row>
        <row r="21">
          <cell r="D21">
            <v>19</v>
          </cell>
          <cell r="E21" t="str">
            <v>nineteen</v>
          </cell>
        </row>
        <row r="22">
          <cell r="D22">
            <v>20</v>
          </cell>
          <cell r="E22" t="str">
            <v>twenty</v>
          </cell>
        </row>
        <row r="23">
          <cell r="D23">
            <v>21</v>
          </cell>
          <cell r="E23" t="str">
            <v>twenty-one</v>
          </cell>
        </row>
        <row r="24">
          <cell r="D24">
            <v>22</v>
          </cell>
          <cell r="E24" t="str">
            <v>twenty-two</v>
          </cell>
        </row>
        <row r="25">
          <cell r="D25">
            <v>23</v>
          </cell>
          <cell r="E25" t="str">
            <v>twenty-three</v>
          </cell>
        </row>
        <row r="26">
          <cell r="D26">
            <v>24</v>
          </cell>
          <cell r="E26" t="str">
            <v>twenty-four</v>
          </cell>
        </row>
        <row r="27">
          <cell r="D27">
            <v>25</v>
          </cell>
          <cell r="E27" t="str">
            <v>twenty-five</v>
          </cell>
        </row>
        <row r="28">
          <cell r="D28">
            <v>26</v>
          </cell>
          <cell r="E28" t="str">
            <v>twenty-six</v>
          </cell>
        </row>
        <row r="29">
          <cell r="D29">
            <v>27</v>
          </cell>
          <cell r="E29" t="str">
            <v>twenty-seven</v>
          </cell>
        </row>
        <row r="30">
          <cell r="D30">
            <v>28</v>
          </cell>
          <cell r="E30" t="str">
            <v>twenty-eight</v>
          </cell>
        </row>
        <row r="31">
          <cell r="D31">
            <v>29</v>
          </cell>
          <cell r="E31" t="str">
            <v>twenty-nine</v>
          </cell>
        </row>
        <row r="32">
          <cell r="D32">
            <v>30</v>
          </cell>
          <cell r="E32" t="str">
            <v>thirty</v>
          </cell>
        </row>
        <row r="33">
          <cell r="D33">
            <v>31</v>
          </cell>
          <cell r="E33" t="str">
            <v>thirty-one</v>
          </cell>
        </row>
        <row r="34">
          <cell r="D34">
            <v>32</v>
          </cell>
          <cell r="E34" t="str">
            <v>thirty-two</v>
          </cell>
        </row>
        <row r="35">
          <cell r="D35">
            <v>33</v>
          </cell>
          <cell r="E35" t="str">
            <v>thirty-three</v>
          </cell>
        </row>
        <row r="36">
          <cell r="D36">
            <v>34</v>
          </cell>
          <cell r="E36" t="str">
            <v>thirty-four</v>
          </cell>
        </row>
        <row r="37">
          <cell r="D37">
            <v>35</v>
          </cell>
          <cell r="E37" t="str">
            <v>thirty-five</v>
          </cell>
        </row>
        <row r="38">
          <cell r="D38">
            <v>36</v>
          </cell>
          <cell r="E38" t="str">
            <v>thirty-six</v>
          </cell>
        </row>
        <row r="39">
          <cell r="D39">
            <v>37</v>
          </cell>
          <cell r="E39" t="str">
            <v>thirty-seven</v>
          </cell>
        </row>
        <row r="40">
          <cell r="D40">
            <v>38</v>
          </cell>
          <cell r="E40" t="str">
            <v>thirty-eight</v>
          </cell>
        </row>
        <row r="41">
          <cell r="D41">
            <v>39</v>
          </cell>
          <cell r="E41" t="str">
            <v>thirty-nine</v>
          </cell>
        </row>
        <row r="42">
          <cell r="D42">
            <v>40</v>
          </cell>
          <cell r="E42" t="str">
            <v>forty</v>
          </cell>
        </row>
        <row r="43">
          <cell r="D43">
            <v>41</v>
          </cell>
          <cell r="E43" t="str">
            <v>forty-one</v>
          </cell>
        </row>
        <row r="44">
          <cell r="D44">
            <v>42</v>
          </cell>
          <cell r="E44" t="str">
            <v>forty-two</v>
          </cell>
        </row>
        <row r="45">
          <cell r="D45">
            <v>43</v>
          </cell>
          <cell r="E45" t="str">
            <v>forty-three</v>
          </cell>
        </row>
        <row r="46">
          <cell r="D46">
            <v>44</v>
          </cell>
          <cell r="E46" t="str">
            <v>forty-four</v>
          </cell>
        </row>
        <row r="47">
          <cell r="D47">
            <v>45</v>
          </cell>
          <cell r="E47" t="str">
            <v>forty-five</v>
          </cell>
        </row>
        <row r="48">
          <cell r="D48">
            <v>46</v>
          </cell>
          <cell r="E48" t="str">
            <v>forty-six</v>
          </cell>
        </row>
        <row r="49">
          <cell r="D49">
            <v>47</v>
          </cell>
          <cell r="E49" t="str">
            <v>forty-seven</v>
          </cell>
        </row>
        <row r="50">
          <cell r="D50">
            <v>48</v>
          </cell>
          <cell r="E50" t="str">
            <v>forty-eight</v>
          </cell>
        </row>
        <row r="51">
          <cell r="D51">
            <v>49</v>
          </cell>
          <cell r="E51" t="str">
            <v>forty-nine</v>
          </cell>
        </row>
        <row r="52">
          <cell r="D52">
            <v>50</v>
          </cell>
          <cell r="E52" t="str">
            <v>fifty</v>
          </cell>
        </row>
        <row r="53">
          <cell r="D53">
            <v>51</v>
          </cell>
          <cell r="E53" t="str">
            <v>fifty-one</v>
          </cell>
        </row>
        <row r="54">
          <cell r="D54">
            <v>52</v>
          </cell>
          <cell r="E54" t="str">
            <v>fifty-two</v>
          </cell>
        </row>
        <row r="55">
          <cell r="D55">
            <v>53</v>
          </cell>
          <cell r="E55" t="str">
            <v>fifty-three</v>
          </cell>
        </row>
        <row r="56">
          <cell r="D56">
            <v>54</v>
          </cell>
          <cell r="E56" t="str">
            <v>fifty-four</v>
          </cell>
        </row>
        <row r="57">
          <cell r="D57">
            <v>55</v>
          </cell>
          <cell r="E57" t="str">
            <v>fifty-five</v>
          </cell>
        </row>
        <row r="58">
          <cell r="D58">
            <v>56</v>
          </cell>
          <cell r="E58" t="str">
            <v>fifty-six</v>
          </cell>
        </row>
        <row r="59">
          <cell r="D59">
            <v>57</v>
          </cell>
          <cell r="E59" t="str">
            <v>fifty-seven</v>
          </cell>
        </row>
        <row r="60">
          <cell r="D60">
            <v>58</v>
          </cell>
          <cell r="E60" t="str">
            <v>fifty-eight</v>
          </cell>
        </row>
        <row r="61">
          <cell r="D61">
            <v>59</v>
          </cell>
          <cell r="E61" t="str">
            <v>fifty-nine</v>
          </cell>
        </row>
        <row r="62">
          <cell r="D62">
            <v>60</v>
          </cell>
          <cell r="E62" t="str">
            <v>sixty</v>
          </cell>
        </row>
        <row r="63">
          <cell r="D63">
            <v>61</v>
          </cell>
          <cell r="E63" t="str">
            <v>sixty-one</v>
          </cell>
        </row>
        <row r="64">
          <cell r="D64">
            <v>62</v>
          </cell>
          <cell r="E64" t="str">
            <v>sixty-two</v>
          </cell>
        </row>
        <row r="65">
          <cell r="D65">
            <v>63</v>
          </cell>
          <cell r="E65" t="str">
            <v>sixty-three</v>
          </cell>
        </row>
        <row r="66">
          <cell r="D66">
            <v>64</v>
          </cell>
          <cell r="E66" t="str">
            <v>sixty-four</v>
          </cell>
        </row>
        <row r="67">
          <cell r="D67">
            <v>65</v>
          </cell>
          <cell r="E67" t="str">
            <v>sixty-five</v>
          </cell>
        </row>
        <row r="68">
          <cell r="D68">
            <v>66</v>
          </cell>
          <cell r="E68" t="str">
            <v>sixty-six</v>
          </cell>
        </row>
        <row r="69">
          <cell r="D69">
            <v>67</v>
          </cell>
          <cell r="E69" t="str">
            <v>sixty-seven</v>
          </cell>
        </row>
        <row r="70">
          <cell r="D70">
            <v>68</v>
          </cell>
          <cell r="E70" t="str">
            <v>sixty-eight</v>
          </cell>
        </row>
        <row r="71">
          <cell r="D71">
            <v>69</v>
          </cell>
          <cell r="E71" t="str">
            <v>sixty-nine</v>
          </cell>
        </row>
        <row r="72">
          <cell r="D72">
            <v>70</v>
          </cell>
          <cell r="E72" t="str">
            <v>seventy</v>
          </cell>
        </row>
        <row r="73">
          <cell r="D73">
            <v>71</v>
          </cell>
          <cell r="E73" t="str">
            <v>seventy-one</v>
          </cell>
        </row>
        <row r="74">
          <cell r="D74">
            <v>72</v>
          </cell>
          <cell r="E74" t="str">
            <v>seventy-two</v>
          </cell>
        </row>
        <row r="75">
          <cell r="D75">
            <v>73</v>
          </cell>
          <cell r="E75" t="str">
            <v>seventy-three</v>
          </cell>
        </row>
        <row r="76">
          <cell r="D76">
            <v>74</v>
          </cell>
          <cell r="E76" t="str">
            <v>seventy-four</v>
          </cell>
        </row>
        <row r="77">
          <cell r="D77">
            <v>75</v>
          </cell>
          <cell r="E77" t="str">
            <v>seventy-five</v>
          </cell>
        </row>
        <row r="78">
          <cell r="D78">
            <v>76</v>
          </cell>
          <cell r="E78" t="str">
            <v>seventy-six</v>
          </cell>
        </row>
        <row r="79">
          <cell r="D79">
            <v>77</v>
          </cell>
          <cell r="E79" t="str">
            <v>seventy-seven</v>
          </cell>
        </row>
        <row r="80">
          <cell r="D80">
            <v>78</v>
          </cell>
          <cell r="E80" t="str">
            <v>seventy-eight</v>
          </cell>
        </row>
        <row r="81">
          <cell r="D81">
            <v>79</v>
          </cell>
          <cell r="E81" t="str">
            <v>seventy-nine</v>
          </cell>
        </row>
        <row r="82">
          <cell r="D82">
            <v>80</v>
          </cell>
          <cell r="E82" t="str">
            <v>eighty</v>
          </cell>
        </row>
        <row r="83">
          <cell r="D83">
            <v>81</v>
          </cell>
          <cell r="E83" t="str">
            <v>eighty-one</v>
          </cell>
        </row>
        <row r="84">
          <cell r="D84">
            <v>82</v>
          </cell>
          <cell r="E84" t="str">
            <v>eighty-two</v>
          </cell>
        </row>
        <row r="85">
          <cell r="D85">
            <v>83</v>
          </cell>
          <cell r="E85" t="str">
            <v>eighty-three</v>
          </cell>
        </row>
        <row r="86">
          <cell r="D86">
            <v>84</v>
          </cell>
          <cell r="E86" t="str">
            <v>eighty-four</v>
          </cell>
        </row>
        <row r="87">
          <cell r="D87">
            <v>85</v>
          </cell>
          <cell r="E87" t="str">
            <v>eighty-five</v>
          </cell>
        </row>
        <row r="88">
          <cell r="D88">
            <v>86</v>
          </cell>
          <cell r="E88" t="str">
            <v>eighty-six</v>
          </cell>
        </row>
        <row r="89">
          <cell r="D89">
            <v>87</v>
          </cell>
          <cell r="E89" t="str">
            <v>eighty-seven</v>
          </cell>
        </row>
        <row r="90">
          <cell r="D90">
            <v>88</v>
          </cell>
          <cell r="E90" t="str">
            <v>eighty-eight</v>
          </cell>
        </row>
        <row r="91">
          <cell r="D91">
            <v>89</v>
          </cell>
          <cell r="E91" t="str">
            <v>eighty-nine</v>
          </cell>
        </row>
        <row r="92">
          <cell r="D92">
            <v>90</v>
          </cell>
          <cell r="E92" t="str">
            <v>ninety</v>
          </cell>
        </row>
        <row r="93">
          <cell r="D93">
            <v>91</v>
          </cell>
          <cell r="E93" t="str">
            <v>ninety-one</v>
          </cell>
        </row>
        <row r="94">
          <cell r="D94">
            <v>92</v>
          </cell>
          <cell r="E94" t="str">
            <v>ninety-two</v>
          </cell>
        </row>
        <row r="95">
          <cell r="D95">
            <v>93</v>
          </cell>
          <cell r="E95" t="str">
            <v>ninety-three</v>
          </cell>
        </row>
        <row r="96">
          <cell r="D96">
            <v>94</v>
          </cell>
          <cell r="E96" t="str">
            <v>ninety-four</v>
          </cell>
        </row>
        <row r="97">
          <cell r="D97">
            <v>95</v>
          </cell>
          <cell r="E97" t="str">
            <v>ninety-five</v>
          </cell>
        </row>
        <row r="98">
          <cell r="D98">
            <v>96</v>
          </cell>
          <cell r="E98" t="str">
            <v>ninety-six</v>
          </cell>
        </row>
        <row r="99">
          <cell r="D99">
            <v>97</v>
          </cell>
          <cell r="E99" t="str">
            <v>ninety-seven</v>
          </cell>
        </row>
        <row r="100">
          <cell r="D100">
            <v>98</v>
          </cell>
          <cell r="E100" t="str">
            <v>ninety-eight</v>
          </cell>
        </row>
        <row r="101">
          <cell r="D101">
            <v>99</v>
          </cell>
          <cell r="E101" t="str">
            <v>ninety-nine</v>
          </cell>
        </row>
        <row r="102">
          <cell r="D102">
            <v>100</v>
          </cell>
          <cell r="E102" t="str">
            <v>one hundred</v>
          </cell>
        </row>
        <row r="103">
          <cell r="D103">
            <v>101</v>
          </cell>
        </row>
        <row r="104">
          <cell r="D104">
            <v>102</v>
          </cell>
        </row>
        <row r="105">
          <cell r="D105">
            <v>103</v>
          </cell>
        </row>
        <row r="106">
          <cell r="D106">
            <v>104</v>
          </cell>
        </row>
        <row r="107">
          <cell r="D107">
            <v>105</v>
          </cell>
        </row>
        <row r="108">
          <cell r="D108">
            <v>106</v>
          </cell>
        </row>
        <row r="109">
          <cell r="D109">
            <v>107</v>
          </cell>
        </row>
        <row r="110">
          <cell r="D110">
            <v>108</v>
          </cell>
        </row>
        <row r="111">
          <cell r="D111">
            <v>109</v>
          </cell>
        </row>
        <row r="112">
          <cell r="D112">
            <v>110</v>
          </cell>
        </row>
        <row r="113">
          <cell r="D113">
            <v>111</v>
          </cell>
        </row>
        <row r="114">
          <cell r="D114">
            <v>112</v>
          </cell>
        </row>
        <row r="115">
          <cell r="D115">
            <v>113</v>
          </cell>
        </row>
        <row r="116">
          <cell r="D116">
            <v>114</v>
          </cell>
        </row>
        <row r="117">
          <cell r="D117">
            <v>115</v>
          </cell>
        </row>
        <row r="118">
          <cell r="D118">
            <v>116</v>
          </cell>
        </row>
        <row r="119">
          <cell r="D119">
            <v>117</v>
          </cell>
        </row>
        <row r="120">
          <cell r="D120">
            <v>118</v>
          </cell>
        </row>
        <row r="121">
          <cell r="D121">
            <v>119</v>
          </cell>
        </row>
        <row r="122">
          <cell r="D122">
            <v>120</v>
          </cell>
        </row>
        <row r="123">
          <cell r="D123">
            <v>121</v>
          </cell>
        </row>
        <row r="124">
          <cell r="D124">
            <v>122</v>
          </cell>
        </row>
        <row r="125">
          <cell r="D125">
            <v>123</v>
          </cell>
        </row>
        <row r="126">
          <cell r="D126">
            <v>124</v>
          </cell>
        </row>
        <row r="127">
          <cell r="D127">
            <v>125</v>
          </cell>
        </row>
        <row r="128">
          <cell r="D128">
            <v>126</v>
          </cell>
        </row>
        <row r="129">
          <cell r="D129">
            <v>127</v>
          </cell>
        </row>
        <row r="130">
          <cell r="D130">
            <v>128</v>
          </cell>
        </row>
        <row r="131">
          <cell r="D131">
            <v>129</v>
          </cell>
        </row>
        <row r="132">
          <cell r="D132">
            <v>130</v>
          </cell>
          <cell r="E132" t="str">
            <v>one hundred and thirty</v>
          </cell>
        </row>
        <row r="133">
          <cell r="D133">
            <v>131</v>
          </cell>
        </row>
        <row r="134">
          <cell r="D134">
            <v>132</v>
          </cell>
        </row>
        <row r="135">
          <cell r="D135">
            <v>133</v>
          </cell>
        </row>
        <row r="136">
          <cell r="D136">
            <v>134</v>
          </cell>
        </row>
        <row r="137">
          <cell r="D137">
            <v>135</v>
          </cell>
        </row>
        <row r="138">
          <cell r="D138">
            <v>136</v>
          </cell>
          <cell r="E138" t="str">
            <v>one hundred and thirty six</v>
          </cell>
        </row>
        <row r="139">
          <cell r="D139">
            <v>137</v>
          </cell>
        </row>
        <row r="140">
          <cell r="D140">
            <v>138</v>
          </cell>
        </row>
        <row r="141">
          <cell r="D141">
            <v>139</v>
          </cell>
        </row>
        <row r="142">
          <cell r="D142">
            <v>140</v>
          </cell>
        </row>
        <row r="143">
          <cell r="D143">
            <v>141</v>
          </cell>
        </row>
        <row r="144">
          <cell r="D144">
            <v>142</v>
          </cell>
        </row>
        <row r="145">
          <cell r="D145">
            <v>143</v>
          </cell>
        </row>
        <row r="146">
          <cell r="D146">
            <v>144</v>
          </cell>
        </row>
        <row r="147">
          <cell r="D147">
            <v>145</v>
          </cell>
        </row>
        <row r="148">
          <cell r="D148">
            <v>146</v>
          </cell>
        </row>
        <row r="149">
          <cell r="D149">
            <v>147</v>
          </cell>
        </row>
        <row r="150">
          <cell r="D150">
            <v>148</v>
          </cell>
        </row>
        <row r="151">
          <cell r="D151">
            <v>149</v>
          </cell>
        </row>
        <row r="152">
          <cell r="D152">
            <v>150</v>
          </cell>
        </row>
        <row r="153">
          <cell r="D153">
            <v>151</v>
          </cell>
        </row>
      </sheetData>
      <sheetData sheetId="5"/>
      <sheetData sheetId="6"/>
      <sheetData sheetId="7">
        <row r="18">
          <cell r="D18">
            <v>110</v>
          </cell>
        </row>
        <row r="19">
          <cell r="D19">
            <v>110</v>
          </cell>
        </row>
        <row r="20">
          <cell r="D20">
            <v>55</v>
          </cell>
        </row>
        <row r="21">
          <cell r="D21">
            <v>55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1:Z164"/>
  <sheetViews>
    <sheetView tabSelected="1" topLeftCell="A19" zoomScale="80" zoomScaleNormal="80" workbookViewId="0">
      <selection activeCell="F168" sqref="F168"/>
    </sheetView>
  </sheetViews>
  <sheetFormatPr defaultColWidth="9.3046875" defaultRowHeight="14.6" x14ac:dyDescent="0.4"/>
  <cols>
    <col min="1" max="1" width="25.3828125" style="114" bestFit="1" customWidth="1"/>
    <col min="2" max="3" width="13.69140625" style="114" customWidth="1"/>
    <col min="4" max="4" width="22.69140625" style="114" bestFit="1" customWidth="1"/>
    <col min="5" max="5" width="16.3828125" style="114" customWidth="1"/>
    <col min="6" max="6" width="12.61328125" style="114" customWidth="1"/>
    <col min="7" max="7" width="15.15234375" style="114" customWidth="1"/>
    <col min="8" max="8" width="10.3828125" style="114" customWidth="1"/>
    <col min="9" max="9" width="12.3828125" style="114" customWidth="1"/>
    <col min="10" max="13" width="10.3828125" style="114" customWidth="1"/>
    <col min="14" max="14" width="14.15234375" style="114" customWidth="1"/>
    <col min="15" max="15" width="12.3828125" style="114" customWidth="1"/>
    <col min="16" max="17" width="9.3046875" style="114"/>
    <col min="18" max="18" width="21.61328125" style="114" customWidth="1"/>
    <col min="19" max="21" width="9.3046875" style="114"/>
    <col min="22" max="26" width="9.3046875" style="114" hidden="1" customWidth="1"/>
    <col min="27" max="33" width="9.3046875" style="114" customWidth="1"/>
    <col min="34" max="16384" width="9.3046875" style="114"/>
  </cols>
  <sheetData>
    <row r="1" spans="1:24" ht="17.600000000000001" thickBot="1" x14ac:dyDescent="0.75">
      <c r="A1" s="385" t="s">
        <v>721</v>
      </c>
      <c r="B1" s="399">
        <f>B13*(1+B4+B5)</f>
        <v>0</v>
      </c>
      <c r="C1" s="475">
        <f>B1</f>
        <v>0</v>
      </c>
      <c r="D1" s="304" t="s">
        <v>782</v>
      </c>
      <c r="F1" s="481" t="s">
        <v>1285</v>
      </c>
      <c r="G1" s="476" t="s">
        <v>1257</v>
      </c>
      <c r="H1" s="477" t="str">
        <f>X1</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c r="I1" s="481" t="s">
        <v>1285</v>
      </c>
      <c r="N1" s="415"/>
      <c r="O1" s="415"/>
      <c r="Q1" s="492" t="s">
        <v>930</v>
      </c>
      <c r="R1" s="493"/>
      <c r="S1" s="493"/>
      <c r="T1" s="493"/>
      <c r="U1" s="494"/>
      <c r="W1" s="114" t="s">
        <v>1257</v>
      </c>
      <c r="X1" s="114" t="str">
        <f>_xlfn.CONCAT(
IF(NOT(X3=""),_xlfn.CONCAT(W3,"
",X3,"
"),""),
IF(NOT(X4=""),_xlfn.CONCAT(W4,"
",X4,"
"),""),
IF(NOT(X5=""),_xlfn.CONCAT(W5,"
",X5,"
"),""),
IF(NOT(X6=""),_xlfn.CONCAT(W6,"
",X6,"
"),""),
IF(NOT(X7=""),_xlfn.CONCAT(W7,"
",X7,"
"),""),
IF(NOT(X8=""),_xlfn.CONCAT(W8,"
",X8,"
"),"")
)</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
</v>
      </c>
    </row>
    <row r="2" spans="1:24" ht="15" customHeight="1" x14ac:dyDescent="0.4">
      <c r="A2" s="376" t="s">
        <v>739</v>
      </c>
      <c r="B2" s="400">
        <f>B13*B5</f>
        <v>0</v>
      </c>
      <c r="D2" s="304" t="s">
        <v>784</v>
      </c>
      <c r="F2" s="481" t="s">
        <v>1285</v>
      </c>
      <c r="G2" s="481" t="s">
        <v>1285</v>
      </c>
      <c r="H2" s="481" t="s">
        <v>1285</v>
      </c>
      <c r="I2" s="481" t="s">
        <v>1285</v>
      </c>
      <c r="N2" s="415"/>
      <c r="O2" s="415"/>
      <c r="Q2" s="495"/>
      <c r="R2" s="496"/>
      <c r="S2" s="496"/>
      <c r="T2" s="496"/>
      <c r="U2" s="497"/>
    </row>
    <row r="3" spans="1:24" x14ac:dyDescent="0.4">
      <c r="A3" s="355" t="s">
        <v>738</v>
      </c>
      <c r="B3" s="401">
        <f>B13*B4</f>
        <v>0</v>
      </c>
      <c r="G3" s="415"/>
      <c r="H3" s="415"/>
      <c r="I3" s="415"/>
      <c r="J3" s="415"/>
      <c r="K3" s="415"/>
      <c r="N3" s="415"/>
      <c r="O3" s="415"/>
      <c r="Q3" s="498"/>
      <c r="R3" s="499"/>
      <c r="S3" s="499"/>
      <c r="T3" s="499"/>
      <c r="U3" s="500"/>
      <c r="W3" s="114" t="s">
        <v>678</v>
      </c>
      <c r="X3" s="114" t="str">
        <f>_xlfn.CONCAT('@MSSB'!Q:Q)</f>
        <v/>
      </c>
    </row>
    <row r="4" spans="1:24" ht="19.75" thickBot="1" x14ac:dyDescent="0.55000000000000004">
      <c r="A4" s="355" t="s">
        <v>722</v>
      </c>
      <c r="B4" s="402">
        <v>0.25</v>
      </c>
      <c r="D4" s="517" t="s">
        <v>1349</v>
      </c>
      <c r="E4" s="517"/>
      <c r="F4" s="517"/>
      <c r="G4" s="517"/>
      <c r="H4" s="517"/>
      <c r="I4" s="517"/>
      <c r="Q4" s="498"/>
      <c r="R4" s="499"/>
      <c r="S4" s="499"/>
      <c r="T4" s="499"/>
      <c r="U4" s="500"/>
      <c r="W4" s="114" t="s">
        <v>493</v>
      </c>
      <c r="X4" s="114" t="str">
        <f>_xlfn.CONCAT('@Fan'!Y:Y)</f>
        <v/>
      </c>
    </row>
    <row r="5" spans="1:24" ht="15.45" thickTop="1" thickBot="1" x14ac:dyDescent="0.45">
      <c r="A5" s="356" t="s">
        <v>723</v>
      </c>
      <c r="B5" s="403">
        <v>0.03</v>
      </c>
      <c r="Q5" s="498"/>
      <c r="R5" s="499"/>
      <c r="S5" s="499"/>
      <c r="T5" s="499"/>
      <c r="U5" s="500"/>
      <c r="W5" s="114" t="s">
        <v>1329</v>
      </c>
      <c r="X5" s="114" t="str">
        <f>_xlfn.CONCAT('@VRF'!S:S)</f>
        <v/>
      </c>
    </row>
    <row r="6" spans="1:24" ht="15" thickBot="1" x14ac:dyDescent="0.45">
      <c r="B6" s="295"/>
      <c r="D6" s="357" t="s">
        <v>725</v>
      </c>
      <c r="E6" s="447">
        <f>SUM(E7:E13)</f>
        <v>0</v>
      </c>
      <c r="F6" s="374" t="s">
        <v>726</v>
      </c>
      <c r="G6" s="358" t="s">
        <v>783</v>
      </c>
      <c r="H6" s="357" t="s">
        <v>914</v>
      </c>
      <c r="I6" s="358" t="s">
        <v>915</v>
      </c>
      <c r="J6" s="357" t="s">
        <v>916</v>
      </c>
      <c r="K6" s="358" t="s">
        <v>917</v>
      </c>
      <c r="L6" s="357" t="s">
        <v>918</v>
      </c>
      <c r="M6" s="358" t="s">
        <v>716</v>
      </c>
      <c r="N6" s="357" t="s">
        <v>919</v>
      </c>
      <c r="O6" s="358" t="s">
        <v>920</v>
      </c>
      <c r="Q6" s="498"/>
      <c r="R6" s="499"/>
      <c r="S6" s="499"/>
      <c r="T6" s="499"/>
      <c r="U6" s="500"/>
      <c r="W6" s="114" t="s">
        <v>1330</v>
      </c>
      <c r="X6" s="114" t="str">
        <f>_xlfn.CONCAT('@Chiller'!V:V)</f>
        <v/>
      </c>
    </row>
    <row r="7" spans="1:24" ht="15" thickBot="1" x14ac:dyDescent="0.45">
      <c r="A7" s="385" t="s">
        <v>724</v>
      </c>
      <c r="B7" s="395">
        <f>SUM(B8:B11)</f>
        <v>0</v>
      </c>
      <c r="D7" s="376" t="s">
        <v>727</v>
      </c>
      <c r="E7" s="377">
        <f>F17+'@Car Park'!I7</f>
        <v>0</v>
      </c>
      <c r="F7" s="378">
        <v>80</v>
      </c>
      <c r="G7" s="379" t="e">
        <f>E7/E6</f>
        <v>#DIV/0!</v>
      </c>
      <c r="H7" s="404"/>
      <c r="I7" s="380">
        <f>E7*H7</f>
        <v>0</v>
      </c>
      <c r="J7" s="407"/>
      <c r="K7" s="381">
        <f>J7*E7</f>
        <v>0</v>
      </c>
      <c r="L7" s="410"/>
      <c r="M7" s="382">
        <f>L7*E7</f>
        <v>0</v>
      </c>
      <c r="N7" s="377">
        <f>E7+I7+K7+M7</f>
        <v>0</v>
      </c>
      <c r="O7" s="383">
        <f>N7*F7</f>
        <v>0</v>
      </c>
      <c r="Q7" s="498"/>
      <c r="R7" s="499"/>
      <c r="S7" s="499"/>
      <c r="T7" s="499"/>
      <c r="U7" s="500"/>
      <c r="W7" s="114" t="s">
        <v>680</v>
      </c>
      <c r="X7" s="114" t="str">
        <f>_xlfn.CONCAT('@Other'!N:N)</f>
        <v/>
      </c>
    </row>
    <row r="8" spans="1:24" x14ac:dyDescent="0.4">
      <c r="A8" s="376" t="s">
        <v>716</v>
      </c>
      <c r="B8" s="396">
        <f>SUM(B14:B17)</f>
        <v>0</v>
      </c>
      <c r="D8" s="355" t="s">
        <v>728</v>
      </c>
      <c r="E8" s="359">
        <f>$E$7*G8</f>
        <v>0</v>
      </c>
      <c r="F8" s="360">
        <v>100</v>
      </c>
      <c r="G8" s="361">
        <v>0.04</v>
      </c>
      <c r="H8" s="405"/>
      <c r="I8" s="368">
        <f t="shared" ref="I8:I13" si="0">E8*H8</f>
        <v>0</v>
      </c>
      <c r="J8" s="408"/>
      <c r="K8" s="372">
        <f t="shared" ref="K8:K13" si="1">J8*E8</f>
        <v>0</v>
      </c>
      <c r="L8" s="411"/>
      <c r="M8" s="370">
        <f t="shared" ref="M8:M13" si="2">L8*E8</f>
        <v>0</v>
      </c>
      <c r="N8" s="359">
        <f t="shared" ref="N8:N13" si="3">E8+I8+K8+M8</f>
        <v>0</v>
      </c>
      <c r="O8" s="367">
        <f t="shared" ref="O8:O13" si="4">N8*F8</f>
        <v>0</v>
      </c>
      <c r="Q8" s="498"/>
      <c r="R8" s="499"/>
      <c r="S8" s="499"/>
      <c r="T8" s="499"/>
      <c r="U8" s="500"/>
      <c r="W8" s="114" t="str">
        <f>IF('@Car Park'!AE1,"Carpark &amp; Pump Room","")</f>
        <v/>
      </c>
      <c r="X8" s="114" t="str">
        <f>_xlfn.CONCAT('@Car Park'!AQ:AQ)</f>
        <v xml:space="preserve">
Cabling &amp; Miscellaneous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9" spans="1:24" x14ac:dyDescent="0.4">
      <c r="A9" s="355" t="s">
        <v>717</v>
      </c>
      <c r="B9" s="397">
        <f>SUM(B19:B23)+B25</f>
        <v>0</v>
      </c>
      <c r="D9" s="355" t="s">
        <v>730</v>
      </c>
      <c r="E9" s="359">
        <f>$E$7*G9</f>
        <v>0</v>
      </c>
      <c r="F9" s="360">
        <v>85</v>
      </c>
      <c r="G9" s="361">
        <v>0.12</v>
      </c>
      <c r="H9" s="405"/>
      <c r="I9" s="368">
        <f t="shared" si="0"/>
        <v>0</v>
      </c>
      <c r="J9" s="408"/>
      <c r="K9" s="372">
        <f t="shared" si="1"/>
        <v>0</v>
      </c>
      <c r="L9" s="411"/>
      <c r="M9" s="370">
        <f t="shared" si="2"/>
        <v>0</v>
      </c>
      <c r="N9" s="359">
        <f t="shared" si="3"/>
        <v>0</v>
      </c>
      <c r="O9" s="367">
        <f t="shared" si="4"/>
        <v>0</v>
      </c>
      <c r="Q9" s="498"/>
      <c r="R9" s="499"/>
      <c r="S9" s="499"/>
      <c r="T9" s="499"/>
      <c r="U9" s="500"/>
    </row>
    <row r="10" spans="1:24" x14ac:dyDescent="0.4">
      <c r="A10" s="355" t="s">
        <v>729</v>
      </c>
      <c r="B10" s="397">
        <f>SUM(B35)</f>
        <v>0</v>
      </c>
      <c r="D10" s="355" t="s">
        <v>732</v>
      </c>
      <c r="E10" s="359">
        <f>$E$7*G10</f>
        <v>0</v>
      </c>
      <c r="F10" s="360">
        <v>80</v>
      </c>
      <c r="G10" s="361">
        <v>0.12</v>
      </c>
      <c r="H10" s="405"/>
      <c r="I10" s="368">
        <f t="shared" si="0"/>
        <v>0</v>
      </c>
      <c r="J10" s="408"/>
      <c r="K10" s="372">
        <f t="shared" si="1"/>
        <v>0</v>
      </c>
      <c r="L10" s="411"/>
      <c r="M10" s="370">
        <f t="shared" si="2"/>
        <v>0</v>
      </c>
      <c r="N10" s="359">
        <f t="shared" si="3"/>
        <v>0</v>
      </c>
      <c r="O10" s="367">
        <f t="shared" si="4"/>
        <v>0</v>
      </c>
      <c r="Q10" s="498"/>
      <c r="R10" s="499"/>
      <c r="S10" s="499"/>
      <c r="T10" s="499"/>
      <c r="U10" s="500"/>
    </row>
    <row r="11" spans="1:24" ht="15" thickBot="1" x14ac:dyDescent="0.45">
      <c r="A11" s="356" t="s">
        <v>731</v>
      </c>
      <c r="B11" s="398">
        <v>0</v>
      </c>
      <c r="D11" s="355" t="s">
        <v>905</v>
      </c>
      <c r="E11" s="359">
        <f>'@Car Park'!C27</f>
        <v>0</v>
      </c>
      <c r="F11" s="360">
        <f>'@Car Park'!D27</f>
        <v>110</v>
      </c>
      <c r="G11" s="361" t="e">
        <f>E11/E6</f>
        <v>#DIV/0!</v>
      </c>
      <c r="H11" s="405"/>
      <c r="I11" s="368">
        <f t="shared" si="0"/>
        <v>0</v>
      </c>
      <c r="J11" s="408"/>
      <c r="K11" s="372">
        <f t="shared" si="1"/>
        <v>0</v>
      </c>
      <c r="L11" s="411"/>
      <c r="M11" s="370">
        <f t="shared" si="2"/>
        <v>0</v>
      </c>
      <c r="N11" s="359">
        <f t="shared" si="3"/>
        <v>0</v>
      </c>
      <c r="O11" s="367">
        <f t="shared" si="4"/>
        <v>0</v>
      </c>
      <c r="Q11" s="498"/>
      <c r="R11" s="499"/>
      <c r="S11" s="499"/>
      <c r="T11" s="499"/>
      <c r="U11" s="500"/>
    </row>
    <row r="12" spans="1:24" x14ac:dyDescent="0.4">
      <c r="D12" s="355" t="s">
        <v>898</v>
      </c>
      <c r="E12" s="359">
        <v>0</v>
      </c>
      <c r="F12" s="360">
        <v>0</v>
      </c>
      <c r="G12" s="361" t="e">
        <f>E12/E6</f>
        <v>#DIV/0!</v>
      </c>
      <c r="H12" s="405"/>
      <c r="I12" s="368">
        <f t="shared" si="0"/>
        <v>0</v>
      </c>
      <c r="J12" s="408"/>
      <c r="K12" s="372">
        <f t="shared" si="1"/>
        <v>0</v>
      </c>
      <c r="L12" s="411"/>
      <c r="M12" s="370">
        <f t="shared" si="2"/>
        <v>0</v>
      </c>
      <c r="N12" s="359">
        <f t="shared" si="3"/>
        <v>0</v>
      </c>
      <c r="O12" s="367">
        <f t="shared" si="4"/>
        <v>0</v>
      </c>
      <c r="Q12" s="498"/>
      <c r="R12" s="499"/>
      <c r="S12" s="499"/>
      <c r="T12" s="499"/>
      <c r="U12" s="500"/>
    </row>
    <row r="13" spans="1:24" ht="15" thickBot="1" x14ac:dyDescent="0.45">
      <c r="A13" s="385" t="s">
        <v>733</v>
      </c>
      <c r="B13" s="386">
        <f>SUM(B14:B25)</f>
        <v>0</v>
      </c>
      <c r="D13" s="356" t="s">
        <v>680</v>
      </c>
      <c r="E13" s="364">
        <v>0</v>
      </c>
      <c r="F13" s="365">
        <v>0</v>
      </c>
      <c r="G13" s="366" t="e">
        <f>E13/E6</f>
        <v>#DIV/0!</v>
      </c>
      <c r="H13" s="406"/>
      <c r="I13" s="369">
        <f t="shared" si="0"/>
        <v>0</v>
      </c>
      <c r="J13" s="409"/>
      <c r="K13" s="373">
        <f t="shared" si="1"/>
        <v>0</v>
      </c>
      <c r="L13" s="412"/>
      <c r="M13" s="371">
        <f t="shared" si="2"/>
        <v>0</v>
      </c>
      <c r="N13" s="364">
        <f t="shared" si="3"/>
        <v>0</v>
      </c>
      <c r="O13" s="384">
        <f t="shared" si="4"/>
        <v>0</v>
      </c>
      <c r="Q13" s="498"/>
      <c r="R13" s="499"/>
      <c r="S13" s="499"/>
      <c r="T13" s="499"/>
      <c r="U13" s="500"/>
    </row>
    <row r="14" spans="1:24" x14ac:dyDescent="0.4">
      <c r="A14" s="376" t="s">
        <v>734</v>
      </c>
      <c r="B14" s="396">
        <f>E7*F7+B32+E11*F11</f>
        <v>0</v>
      </c>
      <c r="N14" s="473">
        <f>SUM(N7:N13)</f>
        <v>0</v>
      </c>
      <c r="O14" s="375">
        <f>SUM(O7:O13)</f>
        <v>0</v>
      </c>
      <c r="Q14" s="498"/>
      <c r="R14" s="499"/>
      <c r="S14" s="499"/>
      <c r="T14" s="499"/>
      <c r="U14" s="500"/>
    </row>
    <row r="15" spans="1:24" ht="15" thickBot="1" x14ac:dyDescent="0.45">
      <c r="A15" s="355" t="s">
        <v>735</v>
      </c>
      <c r="B15" s="397">
        <f>E8*F8</f>
        <v>0</v>
      </c>
    </row>
    <row r="16" spans="1:24" ht="15" thickBot="1" x14ac:dyDescent="0.45">
      <c r="A16" s="355" t="s">
        <v>736</v>
      </c>
      <c r="B16" s="397">
        <f>E9*F9</f>
        <v>0</v>
      </c>
      <c r="D16" s="474" t="s">
        <v>1245</v>
      </c>
      <c r="E16" s="458" t="s">
        <v>1242</v>
      </c>
      <c r="F16" s="452" t="s">
        <v>934</v>
      </c>
      <c r="G16" s="452" t="s">
        <v>353</v>
      </c>
      <c r="I16" s="453"/>
      <c r="J16" s="453"/>
      <c r="K16" s="453"/>
      <c r="L16" s="453"/>
      <c r="M16" s="453"/>
      <c r="N16" s="453"/>
      <c r="R16" s="286" t="s">
        <v>1286</v>
      </c>
      <c r="S16" s="286"/>
    </row>
    <row r="17" spans="1:19" ht="15" thickBot="1" x14ac:dyDescent="0.45">
      <c r="A17" s="356" t="s">
        <v>737</v>
      </c>
      <c r="B17" s="398">
        <f>E10*F10</f>
        <v>0</v>
      </c>
      <c r="D17" s="449" t="s">
        <v>894</v>
      </c>
      <c r="E17" s="456">
        <f>SUM(E18:E22)</f>
        <v>0</v>
      </c>
      <c r="F17" s="456">
        <f t="shared" ref="F17:G17" si="5">SUM(F18:F22)</f>
        <v>0</v>
      </c>
      <c r="G17" s="456">
        <f t="shared" si="5"/>
        <v>0</v>
      </c>
      <c r="I17" s="453"/>
      <c r="J17" s="455"/>
      <c r="K17" s="324" t="str">
        <f>E16</f>
        <v>Material</v>
      </c>
      <c r="L17" s="324" t="str">
        <f>F16</f>
        <v>Hours</v>
      </c>
      <c r="M17" s="325" t="str">
        <f>G16</f>
        <v>Cost</v>
      </c>
      <c r="N17" s="453"/>
      <c r="R17" s="479" t="s">
        <v>1287</v>
      </c>
      <c r="S17" s="478" t="e">
        <f>G18/(G17+B27)</f>
        <v>#DIV/0!</v>
      </c>
    </row>
    <row r="18" spans="1:19" ht="15" thickBot="1" x14ac:dyDescent="0.45">
      <c r="D18" s="459" t="s">
        <v>678</v>
      </c>
      <c r="E18" s="450">
        <f>SUM('@MSSB'!C2:C500)</f>
        <v>0</v>
      </c>
      <c r="F18" s="377">
        <f>SUM('@MSSB'!D2:D500)</f>
        <v>0</v>
      </c>
      <c r="G18" s="383">
        <f t="shared" ref="G18:G19" si="6">F18*80+E18</f>
        <v>0</v>
      </c>
      <c r="I18" s="453"/>
      <c r="J18" s="424" t="s">
        <v>1246</v>
      </c>
      <c r="K18" s="462">
        <f>K20-K19</f>
        <v>-1939</v>
      </c>
      <c r="L18" s="457">
        <f t="shared" ref="L18:M18" si="7">L20-L19</f>
        <v>-24.3</v>
      </c>
      <c r="M18" s="463">
        <f t="shared" si="7"/>
        <v>-5006</v>
      </c>
      <c r="N18" s="466">
        <f>M18/M19</f>
        <v>-1</v>
      </c>
      <c r="R18" s="480" t="s">
        <v>493</v>
      </c>
      <c r="S18" s="478" t="e">
        <f>G19/(G17+B27)</f>
        <v>#DIV/0!</v>
      </c>
    </row>
    <row r="19" spans="1:19" ht="15" thickBot="1" x14ac:dyDescent="0.45">
      <c r="A19" s="376" t="str">
        <f t="shared" ref="A19:B23" si="8">D18</f>
        <v>MSSB</v>
      </c>
      <c r="B19" s="396">
        <f t="shared" si="8"/>
        <v>0</v>
      </c>
      <c r="D19" s="459" t="s">
        <v>1243</v>
      </c>
      <c r="E19" s="451">
        <f>SUM('@Fan'!C2:C500)</f>
        <v>0</v>
      </c>
      <c r="F19" s="359">
        <f>SUM('@Fan'!D2:D500)</f>
        <v>0</v>
      </c>
      <c r="G19" s="367">
        <f t="shared" si="6"/>
        <v>0</v>
      </c>
      <c r="I19" s="453"/>
      <c r="J19" s="424" t="s">
        <v>1247</v>
      </c>
      <c r="K19" s="483">
        <v>1939</v>
      </c>
      <c r="L19" s="359">
        <v>24.3</v>
      </c>
      <c r="M19" s="464">
        <v>5006</v>
      </c>
      <c r="N19" s="453"/>
      <c r="R19" s="480" t="s">
        <v>1244</v>
      </c>
      <c r="S19" s="478" t="e">
        <f>G20/(G17+B27)</f>
        <v>#DIV/0!</v>
      </c>
    </row>
    <row r="20" spans="1:19" ht="15" thickBot="1" x14ac:dyDescent="0.45">
      <c r="A20" s="355" t="str">
        <f t="shared" si="8"/>
        <v>Fan</v>
      </c>
      <c r="B20" s="397">
        <f t="shared" si="8"/>
        <v>0</v>
      </c>
      <c r="D20" s="459" t="s">
        <v>1244</v>
      </c>
      <c r="E20" s="451">
        <f>SUM('@VRF'!C2:C500)</f>
        <v>0</v>
      </c>
      <c r="F20" s="359">
        <f>SUM('@VRF'!D2:D500)</f>
        <v>0</v>
      </c>
      <c r="G20" s="367">
        <f>F20*80+E20</f>
        <v>0</v>
      </c>
      <c r="I20" s="453"/>
      <c r="J20" s="454" t="s">
        <v>1248</v>
      </c>
      <c r="K20" s="465">
        <f>B9</f>
        <v>0</v>
      </c>
      <c r="L20" s="364">
        <f>E6</f>
        <v>0</v>
      </c>
      <c r="M20" s="467">
        <f>B1</f>
        <v>0</v>
      </c>
      <c r="N20" s="453"/>
      <c r="R20" s="480" t="str">
        <f>D21</f>
        <v>Chiller</v>
      </c>
      <c r="S20" s="478" t="e">
        <f>G21/(G17+B27)</f>
        <v>#DIV/0!</v>
      </c>
    </row>
    <row r="21" spans="1:19" ht="15" thickBot="1" x14ac:dyDescent="0.45">
      <c r="A21" s="355" t="str">
        <f t="shared" si="8"/>
        <v>VRF</v>
      </c>
      <c r="B21" s="397">
        <f t="shared" si="8"/>
        <v>0</v>
      </c>
      <c r="D21" s="459" t="s">
        <v>1343</v>
      </c>
      <c r="E21" s="451">
        <f>SUM('@Chiller'!C:C)</f>
        <v>0</v>
      </c>
      <c r="F21" s="359">
        <f>SUM('@Chiller'!D:D)</f>
        <v>0</v>
      </c>
      <c r="G21" s="367">
        <f t="shared" ref="G21:G22" si="9">F21*80+E21</f>
        <v>0</v>
      </c>
      <c r="I21" s="453"/>
      <c r="J21" s="453"/>
      <c r="K21" s="453"/>
      <c r="L21" s="453"/>
      <c r="M21" s="453"/>
      <c r="N21" s="453"/>
      <c r="R21" s="480" t="str">
        <f>D22</f>
        <v>Other</v>
      </c>
      <c r="S21" s="478" t="e">
        <f>G22/(G17+B27)</f>
        <v>#DIV/0!</v>
      </c>
    </row>
    <row r="22" spans="1:19" ht="15" thickBot="1" x14ac:dyDescent="0.45">
      <c r="A22" s="355" t="str">
        <f t="shared" si="8"/>
        <v>Chiller</v>
      </c>
      <c r="B22" s="397">
        <f t="shared" si="8"/>
        <v>0</v>
      </c>
      <c r="D22" s="459" t="s">
        <v>680</v>
      </c>
      <c r="E22" s="451">
        <f>SUM('@Other'!C:C)</f>
        <v>0</v>
      </c>
      <c r="F22" s="359">
        <f>SUM('@Other'!D:D)</f>
        <v>0</v>
      </c>
      <c r="G22" s="367">
        <f t="shared" si="9"/>
        <v>0</v>
      </c>
      <c r="R22" s="480" t="s">
        <v>1277</v>
      </c>
      <c r="S22" s="478" t="e">
        <f>B27/(G17+B27)</f>
        <v>#DIV/0!</v>
      </c>
    </row>
    <row r="23" spans="1:19" ht="15" thickBot="1" x14ac:dyDescent="0.45">
      <c r="A23" s="356" t="str">
        <f t="shared" si="8"/>
        <v>Other</v>
      </c>
      <c r="B23" s="398">
        <f t="shared" si="8"/>
        <v>0</v>
      </c>
      <c r="D23" s="470" t="s">
        <v>892</v>
      </c>
      <c r="E23" s="471"/>
      <c r="F23" s="364">
        <f>E7-F17</f>
        <v>0</v>
      </c>
      <c r="G23" s="472"/>
    </row>
    <row r="24" spans="1:19" ht="15" thickBot="1" x14ac:dyDescent="0.45"/>
    <row r="25" spans="1:19" ht="15" thickBot="1" x14ac:dyDescent="0.45">
      <c r="A25" s="468" t="s">
        <v>903</v>
      </c>
      <c r="B25" s="469">
        <f>B29+B33</f>
        <v>0</v>
      </c>
    </row>
    <row r="27" spans="1:19" ht="15" thickBot="1" x14ac:dyDescent="0.45">
      <c r="A27" s="385" t="s">
        <v>921</v>
      </c>
      <c r="B27" s="386">
        <f>SUM(B28:B29)</f>
        <v>0</v>
      </c>
      <c r="C27" s="292"/>
    </row>
    <row r="28" spans="1:19" x14ac:dyDescent="0.4">
      <c r="A28" s="393" t="s">
        <v>912</v>
      </c>
      <c r="B28" s="394">
        <f>'@Car Park'!I7*F7+E11*F11</f>
        <v>0</v>
      </c>
    </row>
    <row r="29" spans="1:19" ht="15" thickBot="1" x14ac:dyDescent="0.45">
      <c r="A29" s="356" t="s">
        <v>911</v>
      </c>
      <c r="B29" s="392">
        <f>'@Car Park'!E3</f>
        <v>0</v>
      </c>
    </row>
    <row r="31" spans="1:19" ht="15" thickBot="1" x14ac:dyDescent="0.45">
      <c r="A31" s="354" t="s">
        <v>804</v>
      </c>
      <c r="B31" s="390">
        <f>SUM(B32:B33)</f>
        <v>0</v>
      </c>
    </row>
    <row r="32" spans="1:19" x14ac:dyDescent="0.4">
      <c r="A32" s="376" t="s">
        <v>902</v>
      </c>
      <c r="B32" s="391">
        <f>'@Car Park'!E82</f>
        <v>0</v>
      </c>
    </row>
    <row r="33" spans="1:4" ht="15" thickBot="1" x14ac:dyDescent="0.45">
      <c r="A33" s="356" t="s">
        <v>906</v>
      </c>
      <c r="B33" s="392">
        <f>'@Car Park'!I12</f>
        <v>0</v>
      </c>
    </row>
    <row r="35" spans="1:4" ht="15" thickBot="1" x14ac:dyDescent="0.45">
      <c r="A35" s="354" t="s">
        <v>922</v>
      </c>
      <c r="B35" s="390">
        <f>SUM(B36:B40)</f>
        <v>0</v>
      </c>
    </row>
    <row r="36" spans="1:4" x14ac:dyDescent="0.4">
      <c r="A36" s="376" t="s">
        <v>923</v>
      </c>
      <c r="B36" s="387">
        <v>0</v>
      </c>
    </row>
    <row r="37" spans="1:4" x14ac:dyDescent="0.4">
      <c r="A37" s="362" t="s">
        <v>924</v>
      </c>
      <c r="B37" s="388">
        <v>0</v>
      </c>
    </row>
    <row r="38" spans="1:4" x14ac:dyDescent="0.4">
      <c r="A38" s="362" t="s">
        <v>925</v>
      </c>
      <c r="B38" s="388">
        <v>0</v>
      </c>
    </row>
    <row r="39" spans="1:4" x14ac:dyDescent="0.4">
      <c r="A39" s="362" t="s">
        <v>812</v>
      </c>
      <c r="B39" s="388">
        <v>0</v>
      </c>
    </row>
    <row r="40" spans="1:4" ht="15" thickBot="1" x14ac:dyDescent="0.45">
      <c r="A40" s="363" t="s">
        <v>926</v>
      </c>
      <c r="B40" s="389">
        <v>0</v>
      </c>
    </row>
    <row r="47" spans="1:4" ht="15" thickBot="1" x14ac:dyDescent="0.45">
      <c r="A47" s="491" t="s">
        <v>1348</v>
      </c>
      <c r="B47" s="286" t="str">
        <f>'@MSSB'!D1</f>
        <v>Hours</v>
      </c>
      <c r="C47" s="487" t="str">
        <f>'@MSSB'!E1</f>
        <v>Qty</v>
      </c>
      <c r="D47" s="286" t="s">
        <v>932</v>
      </c>
    </row>
    <row r="48" spans="1:4" ht="15.45" thickTop="1" thickBot="1" x14ac:dyDescent="0.45">
      <c r="A48" s="488" t="s">
        <v>1347</v>
      </c>
      <c r="B48" s="490">
        <f>B49+B71+B93+B116+B138+B160</f>
        <v>0</v>
      </c>
      <c r="C48" s="489"/>
      <c r="D48" s="488"/>
    </row>
    <row r="49" spans="1:4" ht="15" hidden="1" thickTop="1" x14ac:dyDescent="0.4">
      <c r="A49" s="286" t="str">
        <f>IF(C49&gt;0, "", "INVALID")</f>
        <v>INVALID</v>
      </c>
      <c r="B49" s="485">
        <f>SUM(B50:B70)</f>
        <v>0</v>
      </c>
      <c r="C49" s="487">
        <f>SUM(C50:C70)</f>
        <v>0</v>
      </c>
      <c r="D49" s="286" t="s">
        <v>678</v>
      </c>
    </row>
    <row r="50" spans="1:4" ht="15" hidden="1" thickTop="1" x14ac:dyDescent="0.4">
      <c r="A50" s="286" t="str">
        <f t="shared" ref="A50:A113" si="10">IF(C50&gt;0, "", "INVALID")</f>
        <v>INVALID</v>
      </c>
      <c r="B50" s="484">
        <f>'@MSSB'!D2</f>
        <v>0</v>
      </c>
      <c r="C50" s="486">
        <f>'@MSSB'!E2</f>
        <v>0</v>
      </c>
      <c r="D50" s="114" t="str">
        <f>'@MSSB'!Z2</f>
        <v>0 Pole MSSB</v>
      </c>
    </row>
    <row r="51" spans="1:4" ht="15" hidden="1" thickTop="1" x14ac:dyDescent="0.4">
      <c r="A51" s="286" t="str">
        <f t="shared" si="10"/>
        <v>INVALID</v>
      </c>
      <c r="B51" s="484">
        <f>'@MSSB'!D3</f>
        <v>0</v>
      </c>
      <c r="C51" s="486">
        <f>'@MSSB'!E3</f>
        <v>0</v>
      </c>
      <c r="D51" s="114" t="str">
        <f>'@MSSB'!Z3</f>
        <v>0 Pole MSSB</v>
      </c>
    </row>
    <row r="52" spans="1:4" ht="15" hidden="1" thickTop="1" x14ac:dyDescent="0.4">
      <c r="A52" s="286" t="str">
        <f t="shared" si="10"/>
        <v>INVALID</v>
      </c>
      <c r="B52" s="484">
        <f>'@MSSB'!D4</f>
        <v>0</v>
      </c>
      <c r="C52" s="486">
        <f>'@MSSB'!E4</f>
        <v>0</v>
      </c>
      <c r="D52" s="114" t="str">
        <f>'@MSSB'!Z4</f>
        <v>0 Pole MSSB</v>
      </c>
    </row>
    <row r="53" spans="1:4" ht="15" hidden="1" thickTop="1" x14ac:dyDescent="0.4">
      <c r="A53" s="286" t="str">
        <f t="shared" si="10"/>
        <v>INVALID</v>
      </c>
      <c r="B53" s="484">
        <f>'@MSSB'!D5</f>
        <v>0</v>
      </c>
      <c r="C53" s="486">
        <f>'@MSSB'!E5</f>
        <v>0</v>
      </c>
      <c r="D53" s="114" t="str">
        <f>'@MSSB'!Z5</f>
        <v>0 Pole MSSB</v>
      </c>
    </row>
    <row r="54" spans="1:4" ht="15" hidden="1" thickTop="1" x14ac:dyDescent="0.4">
      <c r="A54" s="286" t="str">
        <f t="shared" si="10"/>
        <v>INVALID</v>
      </c>
      <c r="B54" s="484">
        <f>'@MSSB'!D6</f>
        <v>0</v>
      </c>
      <c r="C54" s="486">
        <f>'@MSSB'!E6</f>
        <v>0</v>
      </c>
      <c r="D54" s="114" t="str">
        <f>'@MSSB'!Z6</f>
        <v>0 Pole MSSB</v>
      </c>
    </row>
    <row r="55" spans="1:4" ht="15" hidden="1" thickTop="1" x14ac:dyDescent="0.4">
      <c r="A55" s="286" t="str">
        <f t="shared" si="10"/>
        <v>INVALID</v>
      </c>
      <c r="B55" s="484">
        <f>'@MSSB'!D7</f>
        <v>0</v>
      </c>
      <c r="C55" s="486">
        <f>'@MSSB'!E7</f>
        <v>0</v>
      </c>
      <c r="D55" s="114" t="str">
        <f>'@MSSB'!Z7</f>
        <v>0 Pole MSSB</v>
      </c>
    </row>
    <row r="56" spans="1:4" ht="15" hidden="1" thickTop="1" x14ac:dyDescent="0.4">
      <c r="A56" s="286" t="str">
        <f t="shared" si="10"/>
        <v>INVALID</v>
      </c>
      <c r="B56" s="484">
        <f>'@MSSB'!D8</f>
        <v>0</v>
      </c>
      <c r="C56" s="486">
        <f>'@MSSB'!E8</f>
        <v>0</v>
      </c>
      <c r="D56" s="114" t="str">
        <f>'@MSSB'!Z8</f>
        <v>0 Pole MSSB</v>
      </c>
    </row>
    <row r="57" spans="1:4" ht="15" hidden="1" thickTop="1" x14ac:dyDescent="0.4">
      <c r="A57" s="286" t="str">
        <f t="shared" si="10"/>
        <v>INVALID</v>
      </c>
      <c r="B57" s="484">
        <f>'@MSSB'!D9</f>
        <v>0</v>
      </c>
      <c r="C57" s="486">
        <f>'@MSSB'!E9</f>
        <v>0</v>
      </c>
      <c r="D57" s="114" t="str">
        <f>'@MSSB'!Z9</f>
        <v>0 Pole MSSB</v>
      </c>
    </row>
    <row r="58" spans="1:4" ht="15" hidden="1" thickTop="1" x14ac:dyDescent="0.4">
      <c r="A58" s="286" t="str">
        <f t="shared" si="10"/>
        <v>INVALID</v>
      </c>
      <c r="B58" s="484">
        <f>'@MSSB'!D10</f>
        <v>0</v>
      </c>
      <c r="C58" s="486">
        <f>'@MSSB'!E10</f>
        <v>0</v>
      </c>
      <c r="D58" s="114" t="str">
        <f>'@MSSB'!Z10</f>
        <v>0 Pole MSSB</v>
      </c>
    </row>
    <row r="59" spans="1:4" ht="15" hidden="1" thickTop="1" x14ac:dyDescent="0.4">
      <c r="A59" s="286" t="str">
        <f t="shared" si="10"/>
        <v>INVALID</v>
      </c>
      <c r="B59" s="484">
        <f>'@MSSB'!D11</f>
        <v>0</v>
      </c>
      <c r="C59" s="486">
        <f>'@MSSB'!E11</f>
        <v>0</v>
      </c>
      <c r="D59" s="114" t="str">
        <f>'@MSSB'!Z11</f>
        <v>0 Pole MSSB</v>
      </c>
    </row>
    <row r="60" spans="1:4" ht="15" hidden="1" thickTop="1" x14ac:dyDescent="0.4">
      <c r="A60" s="286" t="str">
        <f t="shared" si="10"/>
        <v>INVALID</v>
      </c>
      <c r="B60" s="484">
        <f>'@MSSB'!D12</f>
        <v>0</v>
      </c>
      <c r="C60" s="486">
        <f>'@MSSB'!E12</f>
        <v>0</v>
      </c>
      <c r="D60" s="114" t="str">
        <f>'@MSSB'!Z12</f>
        <v>0 Pole MSSB</v>
      </c>
    </row>
    <row r="61" spans="1:4" ht="15" hidden="1" thickTop="1" x14ac:dyDescent="0.4">
      <c r="A61" s="286" t="str">
        <f t="shared" si="10"/>
        <v>INVALID</v>
      </c>
      <c r="B61" s="484">
        <f>'@MSSB'!D13</f>
        <v>0</v>
      </c>
      <c r="C61" s="486">
        <f>'@MSSB'!E13</f>
        <v>0</v>
      </c>
      <c r="D61" s="114" t="str">
        <f>'@MSSB'!Z13</f>
        <v>0 Pole MSSB</v>
      </c>
    </row>
    <row r="62" spans="1:4" ht="15" hidden="1" thickTop="1" x14ac:dyDescent="0.4">
      <c r="A62" s="286" t="str">
        <f t="shared" si="10"/>
        <v>INVALID</v>
      </c>
      <c r="B62" s="484">
        <f>'@MSSB'!D14</f>
        <v>0</v>
      </c>
      <c r="C62" s="486">
        <f>'@MSSB'!E14</f>
        <v>0</v>
      </c>
      <c r="D62" s="114" t="str">
        <f>'@MSSB'!Z14</f>
        <v>0 Pole MSSB</v>
      </c>
    </row>
    <row r="63" spans="1:4" ht="15" hidden="1" thickTop="1" x14ac:dyDescent="0.4">
      <c r="A63" s="286" t="str">
        <f t="shared" si="10"/>
        <v>INVALID</v>
      </c>
      <c r="B63" s="484">
        <f>'@MSSB'!D15</f>
        <v>0</v>
      </c>
      <c r="C63" s="486">
        <f>'@MSSB'!E15</f>
        <v>0</v>
      </c>
      <c r="D63" s="114" t="str">
        <f>'@MSSB'!Z15</f>
        <v>0 Pole MSSB</v>
      </c>
    </row>
    <row r="64" spans="1:4" ht="15" hidden="1" thickTop="1" x14ac:dyDescent="0.4">
      <c r="A64" s="286" t="str">
        <f t="shared" si="10"/>
        <v>INVALID</v>
      </c>
      <c r="B64" s="484">
        <f>'@MSSB'!D16</f>
        <v>0</v>
      </c>
      <c r="C64" s="486">
        <f>'@MSSB'!E16</f>
        <v>0</v>
      </c>
      <c r="D64" s="114" t="str">
        <f>'@MSSB'!Z16</f>
        <v>0 Pole MSSB</v>
      </c>
    </row>
    <row r="65" spans="1:4" ht="15" hidden="1" thickTop="1" x14ac:dyDescent="0.4">
      <c r="A65" s="286" t="str">
        <f t="shared" si="10"/>
        <v>INVALID</v>
      </c>
      <c r="B65" s="484">
        <f>'@MSSB'!D17</f>
        <v>0</v>
      </c>
      <c r="C65" s="486">
        <f>'@MSSB'!E17</f>
        <v>0</v>
      </c>
      <c r="D65" s="114" t="str">
        <f>'@MSSB'!Z17</f>
        <v>0 Pole MSSB</v>
      </c>
    </row>
    <row r="66" spans="1:4" ht="15" hidden="1" thickTop="1" x14ac:dyDescent="0.4">
      <c r="A66" s="286" t="str">
        <f t="shared" si="10"/>
        <v>INVALID</v>
      </c>
      <c r="B66" s="484">
        <f>'@MSSB'!D18</f>
        <v>0</v>
      </c>
      <c r="C66" s="486">
        <f>'@MSSB'!E18</f>
        <v>0</v>
      </c>
      <c r="D66" s="114" t="str">
        <f>'@MSSB'!Z18</f>
        <v>0 Pole MSSB</v>
      </c>
    </row>
    <row r="67" spans="1:4" ht="15" hidden="1" thickTop="1" x14ac:dyDescent="0.4">
      <c r="A67" s="286" t="str">
        <f t="shared" si="10"/>
        <v>INVALID</v>
      </c>
      <c r="B67" s="484">
        <f>'@MSSB'!D19</f>
        <v>0</v>
      </c>
      <c r="C67" s="486">
        <f>'@MSSB'!E19</f>
        <v>0</v>
      </c>
      <c r="D67" s="114" t="str">
        <f>'@MSSB'!Z19</f>
        <v>0 Pole MSSB</v>
      </c>
    </row>
    <row r="68" spans="1:4" ht="15" hidden="1" thickTop="1" x14ac:dyDescent="0.4">
      <c r="A68" s="286" t="str">
        <f t="shared" si="10"/>
        <v>INVALID</v>
      </c>
      <c r="B68" s="484">
        <f>'@MSSB'!D20</f>
        <v>0</v>
      </c>
      <c r="C68" s="486">
        <f>'@MSSB'!E20</f>
        <v>0</v>
      </c>
      <c r="D68" s="114" t="str">
        <f>'@MSSB'!Z20</f>
        <v>0 Pole MSSB</v>
      </c>
    </row>
    <row r="69" spans="1:4" ht="15" hidden="1" thickTop="1" x14ac:dyDescent="0.4">
      <c r="A69" s="286" t="str">
        <f t="shared" si="10"/>
        <v>INVALID</v>
      </c>
      <c r="B69" s="484">
        <f>'@MSSB'!D21</f>
        <v>0</v>
      </c>
      <c r="C69" s="486">
        <f>'@MSSB'!E21</f>
        <v>0</v>
      </c>
      <c r="D69" s="114" t="str">
        <f>'@MSSB'!Z21</f>
        <v>0 Pole MSSB</v>
      </c>
    </row>
    <row r="70" spans="1:4" ht="15" hidden="1" thickTop="1" x14ac:dyDescent="0.4">
      <c r="A70" s="286" t="str">
        <f t="shared" si="10"/>
        <v>INVALID</v>
      </c>
      <c r="B70" s="484">
        <f>'@MSSB'!D22</f>
        <v>0</v>
      </c>
      <c r="C70" s="486">
        <f>'@MSSB'!E22</f>
        <v>0</v>
      </c>
      <c r="D70" s="114" t="str">
        <f>'@MSSB'!Z22</f>
        <v>0 Pole MSSB</v>
      </c>
    </row>
    <row r="71" spans="1:4" ht="15" hidden="1" thickTop="1" x14ac:dyDescent="0.4">
      <c r="A71" s="286" t="str">
        <f t="shared" si="10"/>
        <v>INVALID</v>
      </c>
      <c r="B71" s="485">
        <f>SUM(B72:B92)</f>
        <v>0</v>
      </c>
      <c r="C71" s="487">
        <f>SUM(C72:C92)</f>
        <v>0</v>
      </c>
      <c r="D71" s="286" t="s">
        <v>493</v>
      </c>
    </row>
    <row r="72" spans="1:4" hidden="1" x14ac:dyDescent="0.4">
      <c r="A72" s="286" t="str">
        <f t="shared" si="10"/>
        <v>INVALID</v>
      </c>
      <c r="B72" s="484">
        <f>'@Fan'!D2</f>
        <v>0</v>
      </c>
      <c r="C72" s="114">
        <f>'@Fan'!E2</f>
        <v>0</v>
      </c>
      <c r="D72" s="114" t="str">
        <f>'@Fan'!AL2</f>
        <v xml:space="preserve">fan with: , </v>
      </c>
    </row>
    <row r="73" spans="1:4" hidden="1" x14ac:dyDescent="0.4">
      <c r="A73" s="286" t="str">
        <f t="shared" si="10"/>
        <v>INVALID</v>
      </c>
      <c r="B73" s="484">
        <f>'@Fan'!D3</f>
        <v>0</v>
      </c>
      <c r="C73" s="114">
        <f>'@Fan'!E3</f>
        <v>0</v>
      </c>
      <c r="D73" s="114" t="str">
        <f>'@Fan'!AL3</f>
        <v xml:space="preserve">fan with: , </v>
      </c>
    </row>
    <row r="74" spans="1:4" hidden="1" x14ac:dyDescent="0.4">
      <c r="A74" s="286" t="str">
        <f t="shared" si="10"/>
        <v>INVALID</v>
      </c>
      <c r="B74" s="484">
        <f>'@Fan'!D4</f>
        <v>0</v>
      </c>
      <c r="C74" s="114">
        <f>'@Fan'!E4</f>
        <v>0</v>
      </c>
      <c r="D74" s="114" t="str">
        <f>'@Fan'!AL4</f>
        <v xml:space="preserve">fan with: , </v>
      </c>
    </row>
    <row r="75" spans="1:4" hidden="1" x14ac:dyDescent="0.4">
      <c r="A75" s="286" t="str">
        <f t="shared" si="10"/>
        <v>INVALID</v>
      </c>
      <c r="B75" s="484">
        <f>'@Fan'!D5</f>
        <v>0</v>
      </c>
      <c r="C75" s="114">
        <f>'@Fan'!E5</f>
        <v>0</v>
      </c>
      <c r="D75" s="114" t="str">
        <f>'@Fan'!AL5</f>
        <v xml:space="preserve">fan with: , </v>
      </c>
    </row>
    <row r="76" spans="1:4" hidden="1" x14ac:dyDescent="0.4">
      <c r="A76" s="286" t="str">
        <f t="shared" si="10"/>
        <v>INVALID</v>
      </c>
      <c r="B76" s="484">
        <f>'@Fan'!D6</f>
        <v>0</v>
      </c>
      <c r="C76" s="114">
        <f>'@Fan'!E6</f>
        <v>0</v>
      </c>
      <c r="D76" s="114" t="str">
        <f>'@Fan'!AL6</f>
        <v xml:space="preserve">fan with: , </v>
      </c>
    </row>
    <row r="77" spans="1:4" hidden="1" x14ac:dyDescent="0.4">
      <c r="A77" s="286" t="str">
        <f t="shared" si="10"/>
        <v>INVALID</v>
      </c>
      <c r="B77" s="484">
        <f>'@Fan'!D7</f>
        <v>0</v>
      </c>
      <c r="C77" s="114">
        <f>'@Fan'!E7</f>
        <v>0</v>
      </c>
      <c r="D77" s="114" t="str">
        <f>'@Fan'!AL7</f>
        <v xml:space="preserve">fan with: , </v>
      </c>
    </row>
    <row r="78" spans="1:4" hidden="1" x14ac:dyDescent="0.4">
      <c r="A78" s="286" t="str">
        <f t="shared" si="10"/>
        <v>INVALID</v>
      </c>
      <c r="B78" s="484">
        <f>'@Fan'!D8</f>
        <v>0</v>
      </c>
      <c r="C78" s="114">
        <f>'@Fan'!E8</f>
        <v>0</v>
      </c>
      <c r="D78" s="114" t="str">
        <f>'@Fan'!AL8</f>
        <v xml:space="preserve">fan with: , </v>
      </c>
    </row>
    <row r="79" spans="1:4" hidden="1" x14ac:dyDescent="0.4">
      <c r="A79" s="286" t="str">
        <f t="shared" si="10"/>
        <v>INVALID</v>
      </c>
      <c r="B79" s="484">
        <f>'@Fan'!D9</f>
        <v>0</v>
      </c>
      <c r="C79" s="114">
        <f>'@Fan'!E9</f>
        <v>0</v>
      </c>
      <c r="D79" s="114" t="str">
        <f>'@Fan'!AL9</f>
        <v xml:space="preserve">fan with: , </v>
      </c>
    </row>
    <row r="80" spans="1:4" hidden="1" x14ac:dyDescent="0.4">
      <c r="A80" s="286" t="str">
        <f t="shared" si="10"/>
        <v>INVALID</v>
      </c>
      <c r="B80" s="484">
        <f>'@Fan'!D10</f>
        <v>0</v>
      </c>
      <c r="C80" s="114">
        <f>'@Fan'!E10</f>
        <v>0</v>
      </c>
      <c r="D80" s="114" t="str">
        <f>'@Fan'!AL10</f>
        <v xml:space="preserve">fan with: , </v>
      </c>
    </row>
    <row r="81" spans="1:4" hidden="1" x14ac:dyDescent="0.4">
      <c r="A81" s="286" t="str">
        <f t="shared" si="10"/>
        <v>INVALID</v>
      </c>
      <c r="B81" s="484">
        <f>'@Fan'!D11</f>
        <v>0</v>
      </c>
      <c r="C81" s="114">
        <f>'@Fan'!E11</f>
        <v>0</v>
      </c>
      <c r="D81" s="114" t="str">
        <f>'@Fan'!AL11</f>
        <v xml:space="preserve">fan with: , </v>
      </c>
    </row>
    <row r="82" spans="1:4" hidden="1" x14ac:dyDescent="0.4">
      <c r="A82" s="286" t="str">
        <f t="shared" si="10"/>
        <v>INVALID</v>
      </c>
      <c r="B82" s="484">
        <f>'@Fan'!D12</f>
        <v>0</v>
      </c>
      <c r="C82" s="114">
        <f>'@Fan'!E12</f>
        <v>0</v>
      </c>
      <c r="D82" s="114" t="str">
        <f>'@Fan'!AL12</f>
        <v xml:space="preserve">fan with: , </v>
      </c>
    </row>
    <row r="83" spans="1:4" hidden="1" x14ac:dyDescent="0.4">
      <c r="A83" s="286" t="str">
        <f t="shared" si="10"/>
        <v>INVALID</v>
      </c>
      <c r="B83" s="484">
        <f>'@Fan'!D13</f>
        <v>0</v>
      </c>
      <c r="C83" s="114">
        <f>'@Fan'!E13</f>
        <v>0</v>
      </c>
      <c r="D83" s="114" t="str">
        <f>'@Fan'!AL13</f>
        <v xml:space="preserve">fan with: , </v>
      </c>
    </row>
    <row r="84" spans="1:4" hidden="1" x14ac:dyDescent="0.4">
      <c r="A84" s="286" t="str">
        <f t="shared" si="10"/>
        <v>INVALID</v>
      </c>
      <c r="B84" s="484">
        <f>'@Fan'!D14</f>
        <v>0</v>
      </c>
      <c r="C84" s="114">
        <f>'@Fan'!E14</f>
        <v>0</v>
      </c>
      <c r="D84" s="114" t="str">
        <f>'@Fan'!AL14</f>
        <v xml:space="preserve">fan with: , </v>
      </c>
    </row>
    <row r="85" spans="1:4" hidden="1" x14ac:dyDescent="0.4">
      <c r="A85" s="286" t="str">
        <f t="shared" si="10"/>
        <v>INVALID</v>
      </c>
      <c r="B85" s="484">
        <f>'@Fan'!D15</f>
        <v>0</v>
      </c>
      <c r="C85" s="114">
        <f>'@Fan'!E15</f>
        <v>0</v>
      </c>
      <c r="D85" s="114" t="str">
        <f>'@Fan'!AL15</f>
        <v xml:space="preserve">fan with: , </v>
      </c>
    </row>
    <row r="86" spans="1:4" hidden="1" x14ac:dyDescent="0.4">
      <c r="A86" s="286" t="str">
        <f t="shared" si="10"/>
        <v>INVALID</v>
      </c>
      <c r="B86" s="484">
        <f>'@Fan'!D16</f>
        <v>0</v>
      </c>
      <c r="C86" s="114">
        <f>'@Fan'!E16</f>
        <v>0</v>
      </c>
      <c r="D86" s="114" t="str">
        <f>'@Fan'!AL16</f>
        <v xml:space="preserve">fan with: , </v>
      </c>
    </row>
    <row r="87" spans="1:4" hidden="1" x14ac:dyDescent="0.4">
      <c r="A87" s="286" t="str">
        <f t="shared" si="10"/>
        <v>INVALID</v>
      </c>
      <c r="B87" s="484">
        <f>'@Fan'!D17</f>
        <v>0</v>
      </c>
      <c r="C87" s="114">
        <f>'@Fan'!E17</f>
        <v>0</v>
      </c>
      <c r="D87" s="114" t="str">
        <f>'@Fan'!AL17</f>
        <v xml:space="preserve">fan with: , </v>
      </c>
    </row>
    <row r="88" spans="1:4" hidden="1" x14ac:dyDescent="0.4">
      <c r="A88" s="286" t="str">
        <f t="shared" si="10"/>
        <v>INVALID</v>
      </c>
      <c r="B88" s="484">
        <f>'@Fan'!D18</f>
        <v>0</v>
      </c>
      <c r="C88" s="114">
        <f>'@Fan'!E18</f>
        <v>0</v>
      </c>
      <c r="D88" s="114" t="str">
        <f>'@Fan'!AL18</f>
        <v xml:space="preserve">fan with: , </v>
      </c>
    </row>
    <row r="89" spans="1:4" hidden="1" x14ac:dyDescent="0.4">
      <c r="A89" s="286" t="str">
        <f t="shared" si="10"/>
        <v>INVALID</v>
      </c>
      <c r="B89" s="484">
        <f>'@Fan'!D19</f>
        <v>0</v>
      </c>
      <c r="C89" s="114">
        <f>'@Fan'!E19</f>
        <v>0</v>
      </c>
      <c r="D89" s="114" t="str">
        <f>'@Fan'!AL19</f>
        <v xml:space="preserve">fan with: , </v>
      </c>
    </row>
    <row r="90" spans="1:4" hidden="1" x14ac:dyDescent="0.4">
      <c r="A90" s="286" t="str">
        <f t="shared" si="10"/>
        <v>INVALID</v>
      </c>
      <c r="B90" s="484">
        <f>'@Fan'!D20</f>
        <v>0</v>
      </c>
      <c r="C90" s="114">
        <f>'@Fan'!E20</f>
        <v>0</v>
      </c>
      <c r="D90" s="114" t="str">
        <f>'@Fan'!AL20</f>
        <v xml:space="preserve">fan with: , </v>
      </c>
    </row>
    <row r="91" spans="1:4" hidden="1" x14ac:dyDescent="0.4">
      <c r="A91" s="286" t="str">
        <f t="shared" si="10"/>
        <v>INVALID</v>
      </c>
      <c r="B91" s="484">
        <f>'@Fan'!D21</f>
        <v>0</v>
      </c>
      <c r="C91" s="114">
        <f>'@Fan'!E21</f>
        <v>0</v>
      </c>
      <c r="D91" s="114" t="str">
        <f>'@Fan'!AL21</f>
        <v xml:space="preserve">fan with: , </v>
      </c>
    </row>
    <row r="92" spans="1:4" hidden="1" x14ac:dyDescent="0.4">
      <c r="A92" s="286" t="str">
        <f t="shared" si="10"/>
        <v>INVALID</v>
      </c>
      <c r="B92" s="484">
        <f>'@Fan'!D22</f>
        <v>0</v>
      </c>
      <c r="C92" s="114">
        <f>'@Fan'!E22</f>
        <v>0</v>
      </c>
      <c r="D92" s="114" t="str">
        <f>'@Fan'!AL22</f>
        <v xml:space="preserve">fan with: , </v>
      </c>
    </row>
    <row r="93" spans="1:4" hidden="1" x14ac:dyDescent="0.4">
      <c r="A93" s="286" t="str">
        <f t="shared" si="10"/>
        <v>INVALID</v>
      </c>
      <c r="B93" s="485">
        <f>SUM(B94:B115)</f>
        <v>0</v>
      </c>
      <c r="C93" s="487">
        <f>SUM(C94:C115)</f>
        <v>0</v>
      </c>
      <c r="D93" s="286" t="s">
        <v>1244</v>
      </c>
    </row>
    <row r="94" spans="1:4" hidden="1" x14ac:dyDescent="0.4">
      <c r="A94" s="286" t="str">
        <f t="shared" si="10"/>
        <v>INVALID</v>
      </c>
      <c r="B94" s="484">
        <f>'@VRF'!D2</f>
        <v>0</v>
      </c>
      <c r="C94" s="114">
        <f>'@VRF'!E2</f>
        <v>0</v>
      </c>
      <c r="D94" s="114" t="str">
        <f>'@VRF'!AZ2</f>
        <v xml:space="preserve"> </v>
      </c>
    </row>
    <row r="95" spans="1:4" hidden="1" x14ac:dyDescent="0.4">
      <c r="A95" s="286" t="str">
        <f t="shared" si="10"/>
        <v>INVALID</v>
      </c>
      <c r="B95" s="484">
        <f>'@VRF'!D3</f>
        <v>0</v>
      </c>
      <c r="C95" s="114">
        <f>'@VRF'!E3</f>
        <v>0</v>
      </c>
      <c r="D95" s="114" t="str">
        <f>'@VRF'!AZ3</f>
        <v xml:space="preserve"> </v>
      </c>
    </row>
    <row r="96" spans="1:4" hidden="1" x14ac:dyDescent="0.4">
      <c r="A96" s="286" t="str">
        <f t="shared" si="10"/>
        <v>INVALID</v>
      </c>
      <c r="B96" s="484">
        <f>'@VRF'!D4</f>
        <v>0</v>
      </c>
      <c r="C96" s="114">
        <f>'@VRF'!E4</f>
        <v>0</v>
      </c>
      <c r="D96" s="114" t="str">
        <f>'@VRF'!AZ4</f>
        <v xml:space="preserve"> </v>
      </c>
    </row>
    <row r="97" spans="1:4" hidden="1" x14ac:dyDescent="0.4">
      <c r="A97" s="286" t="str">
        <f t="shared" si="10"/>
        <v>INVALID</v>
      </c>
      <c r="B97" s="484">
        <f>'@VRF'!D5</f>
        <v>0</v>
      </c>
      <c r="C97" s="114">
        <f>'@VRF'!E5</f>
        <v>0</v>
      </c>
      <c r="D97" s="114" t="str">
        <f>'@VRF'!AZ5</f>
        <v xml:space="preserve"> </v>
      </c>
    </row>
    <row r="98" spans="1:4" hidden="1" x14ac:dyDescent="0.4">
      <c r="A98" s="286" t="str">
        <f t="shared" si="10"/>
        <v>INVALID</v>
      </c>
      <c r="B98" s="484">
        <f>'@VRF'!D6</f>
        <v>0</v>
      </c>
      <c r="C98" s="114">
        <f>'@VRF'!E6</f>
        <v>0</v>
      </c>
      <c r="D98" s="114" t="str">
        <f>'@VRF'!AZ6</f>
        <v xml:space="preserve"> </v>
      </c>
    </row>
    <row r="99" spans="1:4" hidden="1" x14ac:dyDescent="0.4">
      <c r="A99" s="286" t="str">
        <f t="shared" si="10"/>
        <v>INVALID</v>
      </c>
      <c r="B99" s="484">
        <f>'@VRF'!D7</f>
        <v>0</v>
      </c>
      <c r="C99" s="114">
        <f>'@VRF'!E7</f>
        <v>0</v>
      </c>
      <c r="D99" s="114" t="str">
        <f>'@VRF'!AZ7</f>
        <v xml:space="preserve"> </v>
      </c>
    </row>
    <row r="100" spans="1:4" hidden="1" x14ac:dyDescent="0.4">
      <c r="A100" s="286" t="str">
        <f t="shared" si="10"/>
        <v>INVALID</v>
      </c>
      <c r="B100" s="484">
        <f>'@VRF'!D8</f>
        <v>0</v>
      </c>
      <c r="C100" s="114">
        <f>'@VRF'!E8</f>
        <v>0</v>
      </c>
      <c r="D100" s="114" t="str">
        <f>'@VRF'!AZ8</f>
        <v xml:space="preserve"> </v>
      </c>
    </row>
    <row r="101" spans="1:4" hidden="1" x14ac:dyDescent="0.4">
      <c r="A101" s="286" t="str">
        <f t="shared" si="10"/>
        <v>INVALID</v>
      </c>
      <c r="B101" s="484">
        <f>'@VRF'!D9</f>
        <v>0</v>
      </c>
      <c r="C101" s="114">
        <f>'@VRF'!E9</f>
        <v>0</v>
      </c>
      <c r="D101" s="114" t="str">
        <f>'@VRF'!AZ9</f>
        <v xml:space="preserve"> </v>
      </c>
    </row>
    <row r="102" spans="1:4" hidden="1" x14ac:dyDescent="0.4">
      <c r="A102" s="286" t="str">
        <f t="shared" si="10"/>
        <v>INVALID</v>
      </c>
      <c r="B102" s="484">
        <f>'@VRF'!D10</f>
        <v>0</v>
      </c>
      <c r="C102" s="114">
        <f>'@VRF'!E10</f>
        <v>0</v>
      </c>
      <c r="D102" s="114" t="str">
        <f>'@VRF'!AZ10</f>
        <v xml:space="preserve"> </v>
      </c>
    </row>
    <row r="103" spans="1:4" hidden="1" x14ac:dyDescent="0.4">
      <c r="A103" s="286" t="str">
        <f t="shared" si="10"/>
        <v>INVALID</v>
      </c>
      <c r="B103" s="484">
        <f>'@VRF'!D11</f>
        <v>0</v>
      </c>
      <c r="C103" s="114">
        <f>'@VRF'!E11</f>
        <v>0</v>
      </c>
      <c r="D103" s="114" t="str">
        <f>'@VRF'!AZ11</f>
        <v xml:space="preserve"> </v>
      </c>
    </row>
    <row r="104" spans="1:4" hidden="1" x14ac:dyDescent="0.4">
      <c r="A104" s="286" t="str">
        <f t="shared" si="10"/>
        <v>INVALID</v>
      </c>
      <c r="B104" s="484">
        <f>'@VRF'!D12</f>
        <v>0</v>
      </c>
      <c r="C104" s="114">
        <f>'@VRF'!E12</f>
        <v>0</v>
      </c>
      <c r="D104" s="114" t="str">
        <f>'@VRF'!AZ12</f>
        <v xml:space="preserve"> </v>
      </c>
    </row>
    <row r="105" spans="1:4" hidden="1" x14ac:dyDescent="0.4">
      <c r="A105" s="286" t="str">
        <f t="shared" si="10"/>
        <v>INVALID</v>
      </c>
      <c r="B105" s="484">
        <f>'@VRF'!D13</f>
        <v>0</v>
      </c>
      <c r="C105" s="114">
        <f>'@VRF'!E13</f>
        <v>0</v>
      </c>
      <c r="D105" s="114" t="str">
        <f>'@VRF'!AZ13</f>
        <v xml:space="preserve"> </v>
      </c>
    </row>
    <row r="106" spans="1:4" hidden="1" x14ac:dyDescent="0.4">
      <c r="A106" s="286" t="str">
        <f t="shared" si="10"/>
        <v>INVALID</v>
      </c>
      <c r="B106" s="484">
        <f>'@VRF'!D14</f>
        <v>0</v>
      </c>
      <c r="C106" s="114">
        <f>'@VRF'!E14</f>
        <v>0</v>
      </c>
      <c r="D106" s="114" t="str">
        <f>'@VRF'!AZ14</f>
        <v xml:space="preserve"> </v>
      </c>
    </row>
    <row r="107" spans="1:4" hidden="1" x14ac:dyDescent="0.4">
      <c r="A107" s="286" t="str">
        <f t="shared" si="10"/>
        <v>INVALID</v>
      </c>
      <c r="B107" s="484">
        <f>'@VRF'!D15</f>
        <v>0</v>
      </c>
      <c r="C107" s="114">
        <f>'@VRF'!E15</f>
        <v>0</v>
      </c>
      <c r="D107" s="114" t="str">
        <f>'@VRF'!AZ15</f>
        <v xml:space="preserve"> </v>
      </c>
    </row>
    <row r="108" spans="1:4" hidden="1" x14ac:dyDescent="0.4">
      <c r="A108" s="286" t="str">
        <f t="shared" si="10"/>
        <v>INVALID</v>
      </c>
      <c r="B108" s="484">
        <f>'@VRF'!D16</f>
        <v>0</v>
      </c>
      <c r="C108" s="114">
        <f>'@VRF'!E16</f>
        <v>0</v>
      </c>
      <c r="D108" s="114" t="str">
        <f>'@VRF'!AZ16</f>
        <v xml:space="preserve"> </v>
      </c>
    </row>
    <row r="109" spans="1:4" hidden="1" x14ac:dyDescent="0.4">
      <c r="A109" s="286" t="str">
        <f t="shared" si="10"/>
        <v>INVALID</v>
      </c>
      <c r="B109" s="484">
        <f>'@VRF'!D17</f>
        <v>0</v>
      </c>
      <c r="C109" s="114">
        <f>'@VRF'!E17</f>
        <v>0</v>
      </c>
      <c r="D109" s="114" t="str">
        <f>'@VRF'!AZ17</f>
        <v xml:space="preserve"> </v>
      </c>
    </row>
    <row r="110" spans="1:4" hidden="1" x14ac:dyDescent="0.4">
      <c r="A110" s="286" t="str">
        <f t="shared" si="10"/>
        <v>INVALID</v>
      </c>
      <c r="B110" s="484">
        <f>'@VRF'!D18</f>
        <v>0</v>
      </c>
      <c r="C110" s="114">
        <f>'@VRF'!E18</f>
        <v>0</v>
      </c>
      <c r="D110" s="114" t="str">
        <f>'@VRF'!AZ18</f>
        <v xml:space="preserve"> </v>
      </c>
    </row>
    <row r="111" spans="1:4" hidden="1" x14ac:dyDescent="0.4">
      <c r="A111" s="286" t="str">
        <f t="shared" si="10"/>
        <v>INVALID</v>
      </c>
      <c r="B111" s="484">
        <f>'@VRF'!D19</f>
        <v>0</v>
      </c>
      <c r="C111" s="114">
        <f>'@VRF'!E19</f>
        <v>0</v>
      </c>
      <c r="D111" s="114" t="str">
        <f>'@VRF'!AZ19</f>
        <v xml:space="preserve"> </v>
      </c>
    </row>
    <row r="112" spans="1:4" hidden="1" x14ac:dyDescent="0.4">
      <c r="A112" s="286" t="str">
        <f t="shared" si="10"/>
        <v>INVALID</v>
      </c>
      <c r="B112" s="484">
        <f>'@VRF'!D20</f>
        <v>0</v>
      </c>
      <c r="C112" s="114">
        <f>'@VRF'!E20</f>
        <v>0</v>
      </c>
      <c r="D112" s="114" t="str">
        <f>'@VRF'!AZ20</f>
        <v xml:space="preserve"> </v>
      </c>
    </row>
    <row r="113" spans="1:4" hidden="1" x14ac:dyDescent="0.4">
      <c r="A113" s="286" t="str">
        <f t="shared" si="10"/>
        <v>INVALID</v>
      </c>
      <c r="B113" s="484">
        <f>'@VRF'!D21</f>
        <v>0</v>
      </c>
      <c r="C113" s="114">
        <f>'@VRF'!E21</f>
        <v>0</v>
      </c>
      <c r="D113" s="114" t="str">
        <f>'@VRF'!AZ21</f>
        <v xml:space="preserve"> </v>
      </c>
    </row>
    <row r="114" spans="1:4" hidden="1" x14ac:dyDescent="0.4">
      <c r="A114" s="286" t="str">
        <f t="shared" ref="A114:A163" si="11">IF(C114&gt;0, "", "INVALID")</f>
        <v>INVALID</v>
      </c>
      <c r="B114" s="484">
        <f>'@VRF'!D22</f>
        <v>0</v>
      </c>
      <c r="C114" s="114">
        <f>'@VRF'!E22</f>
        <v>0</v>
      </c>
      <c r="D114" s="114" t="str">
        <f>'@VRF'!AZ22</f>
        <v xml:space="preserve"> </v>
      </c>
    </row>
    <row r="115" spans="1:4" hidden="1" x14ac:dyDescent="0.4">
      <c r="A115" s="286" t="str">
        <f t="shared" si="11"/>
        <v>INVALID</v>
      </c>
      <c r="B115" s="484">
        <f>'@VRF'!D23</f>
        <v>0</v>
      </c>
      <c r="C115" s="114">
        <f>'@VRF'!E23</f>
        <v>0</v>
      </c>
      <c r="D115" s="114" t="str">
        <f>'@VRF'!AZ23</f>
        <v/>
      </c>
    </row>
    <row r="116" spans="1:4" hidden="1" x14ac:dyDescent="0.4">
      <c r="A116" s="286" t="str">
        <f t="shared" si="11"/>
        <v>INVALID</v>
      </c>
      <c r="B116" s="485">
        <f>SUM(B117:B137)</f>
        <v>0</v>
      </c>
      <c r="C116" s="487">
        <f>SUM(C117:C137)</f>
        <v>0</v>
      </c>
      <c r="D116" s="286" t="s">
        <v>1343</v>
      </c>
    </row>
    <row r="117" spans="1:4" hidden="1" x14ac:dyDescent="0.4">
      <c r="A117" s="286" t="str">
        <f t="shared" si="11"/>
        <v>INVALID</v>
      </c>
      <c r="B117" s="484">
        <f>'@Chiller'!D2</f>
        <v>0</v>
      </c>
      <c r="C117" s="114">
        <f>'@Chiller'!E2</f>
        <v>0</v>
      </c>
      <c r="D117" s="114" t="e">
        <f>'@Chiller'!AS2</f>
        <v>#N/A</v>
      </c>
    </row>
    <row r="118" spans="1:4" hidden="1" x14ac:dyDescent="0.4">
      <c r="A118" s="286" t="str">
        <f t="shared" si="11"/>
        <v>INVALID</v>
      </c>
      <c r="B118" s="484">
        <f>'@Chiller'!D3</f>
        <v>0</v>
      </c>
      <c r="C118" s="114">
        <f>'@Chiller'!E3</f>
        <v>0</v>
      </c>
      <c r="D118" s="114" t="e">
        <f>'@Chiller'!AS3</f>
        <v>#N/A</v>
      </c>
    </row>
    <row r="119" spans="1:4" hidden="1" x14ac:dyDescent="0.4">
      <c r="A119" s="286" t="str">
        <f t="shared" si="11"/>
        <v>INVALID</v>
      </c>
      <c r="B119" s="484">
        <f>'@Chiller'!D4</f>
        <v>0</v>
      </c>
      <c r="C119" s="114">
        <f>'@Chiller'!E4</f>
        <v>0</v>
      </c>
      <c r="D119" s="114" t="e">
        <f>'@Chiller'!AS4</f>
        <v>#N/A</v>
      </c>
    </row>
    <row r="120" spans="1:4" hidden="1" x14ac:dyDescent="0.4">
      <c r="A120" s="286" t="str">
        <f t="shared" si="11"/>
        <v>INVALID</v>
      </c>
      <c r="B120" s="484">
        <f>'@Chiller'!D5</f>
        <v>0</v>
      </c>
      <c r="C120" s="114">
        <f>'@Chiller'!E5</f>
        <v>0</v>
      </c>
      <c r="D120" s="114" t="e">
        <f>'@Chiller'!AS5</f>
        <v>#N/A</v>
      </c>
    </row>
    <row r="121" spans="1:4" hidden="1" x14ac:dyDescent="0.4">
      <c r="A121" s="286" t="str">
        <f t="shared" si="11"/>
        <v>INVALID</v>
      </c>
      <c r="B121" s="484">
        <f>'@Chiller'!D6</f>
        <v>0</v>
      </c>
      <c r="C121" s="114">
        <f>'@Chiller'!E6</f>
        <v>0</v>
      </c>
      <c r="D121" s="114" t="e">
        <f>'@Chiller'!AS6</f>
        <v>#N/A</v>
      </c>
    </row>
    <row r="122" spans="1:4" hidden="1" x14ac:dyDescent="0.4">
      <c r="A122" s="286" t="str">
        <f t="shared" si="11"/>
        <v>INVALID</v>
      </c>
      <c r="B122" s="484">
        <f>'@Chiller'!D7</f>
        <v>0</v>
      </c>
      <c r="C122" s="114">
        <f>'@Chiller'!E7</f>
        <v>0</v>
      </c>
      <c r="D122" s="114" t="e">
        <f>'@Chiller'!AS7</f>
        <v>#N/A</v>
      </c>
    </row>
    <row r="123" spans="1:4" hidden="1" x14ac:dyDescent="0.4">
      <c r="A123" s="286" t="str">
        <f t="shared" si="11"/>
        <v>INVALID</v>
      </c>
      <c r="B123" s="484">
        <f>'@Chiller'!D8</f>
        <v>0</v>
      </c>
      <c r="C123" s="114">
        <f>'@Chiller'!E8</f>
        <v>0</v>
      </c>
      <c r="D123" s="114" t="e">
        <f>'@Chiller'!AS8</f>
        <v>#N/A</v>
      </c>
    </row>
    <row r="124" spans="1:4" hidden="1" x14ac:dyDescent="0.4">
      <c r="A124" s="286" t="str">
        <f t="shared" si="11"/>
        <v>INVALID</v>
      </c>
      <c r="B124" s="484">
        <f>'@Chiller'!D9</f>
        <v>0</v>
      </c>
      <c r="C124" s="114">
        <f>'@Chiller'!E9</f>
        <v>0</v>
      </c>
      <c r="D124" s="114" t="e">
        <f>'@Chiller'!AS9</f>
        <v>#N/A</v>
      </c>
    </row>
    <row r="125" spans="1:4" hidden="1" x14ac:dyDescent="0.4">
      <c r="A125" s="286" t="str">
        <f t="shared" si="11"/>
        <v>INVALID</v>
      </c>
      <c r="B125" s="484">
        <f>'@Chiller'!D10</f>
        <v>0</v>
      </c>
      <c r="C125" s="114">
        <f>'@Chiller'!E10</f>
        <v>0</v>
      </c>
      <c r="D125" s="114" t="e">
        <f>'@Chiller'!AS10</f>
        <v>#N/A</v>
      </c>
    </row>
    <row r="126" spans="1:4" hidden="1" x14ac:dyDescent="0.4">
      <c r="A126" s="286" t="str">
        <f t="shared" si="11"/>
        <v>INVALID</v>
      </c>
      <c r="B126" s="484">
        <f>'@Chiller'!D11</f>
        <v>0</v>
      </c>
      <c r="C126" s="114">
        <f>'@Chiller'!E11</f>
        <v>0</v>
      </c>
      <c r="D126" s="114" t="e">
        <f>'@Chiller'!AS11</f>
        <v>#N/A</v>
      </c>
    </row>
    <row r="127" spans="1:4" hidden="1" x14ac:dyDescent="0.4">
      <c r="A127" s="286" t="str">
        <f t="shared" si="11"/>
        <v>INVALID</v>
      </c>
      <c r="B127" s="484">
        <f>'@Chiller'!D12</f>
        <v>0</v>
      </c>
      <c r="C127" s="114">
        <f>'@Chiller'!E12</f>
        <v>0</v>
      </c>
      <c r="D127" s="114" t="e">
        <f>'@Chiller'!AS12</f>
        <v>#N/A</v>
      </c>
    </row>
    <row r="128" spans="1:4" hidden="1" x14ac:dyDescent="0.4">
      <c r="A128" s="286" t="str">
        <f t="shared" si="11"/>
        <v>INVALID</v>
      </c>
      <c r="B128" s="484">
        <f>'@Chiller'!D13</f>
        <v>0</v>
      </c>
      <c r="C128" s="114">
        <f>'@Chiller'!E13</f>
        <v>0</v>
      </c>
      <c r="D128" s="114" t="e">
        <f>'@Chiller'!AS13</f>
        <v>#N/A</v>
      </c>
    </row>
    <row r="129" spans="1:4" hidden="1" x14ac:dyDescent="0.4">
      <c r="A129" s="286" t="str">
        <f t="shared" si="11"/>
        <v>INVALID</v>
      </c>
      <c r="B129" s="484">
        <f>'@Chiller'!D14</f>
        <v>0</v>
      </c>
      <c r="C129" s="114">
        <f>'@Chiller'!E14</f>
        <v>0</v>
      </c>
      <c r="D129" s="114" t="e">
        <f>'@Chiller'!AS14</f>
        <v>#N/A</v>
      </c>
    </row>
    <row r="130" spans="1:4" hidden="1" x14ac:dyDescent="0.4">
      <c r="A130" s="286" t="str">
        <f t="shared" si="11"/>
        <v>INVALID</v>
      </c>
      <c r="B130" s="484">
        <f>'@Chiller'!D15</f>
        <v>0</v>
      </c>
      <c r="C130" s="114">
        <f>'@Chiller'!E15</f>
        <v>0</v>
      </c>
      <c r="D130" s="114" t="e">
        <f>'@Chiller'!AS15</f>
        <v>#N/A</v>
      </c>
    </row>
    <row r="131" spans="1:4" hidden="1" x14ac:dyDescent="0.4">
      <c r="A131" s="286" t="str">
        <f t="shared" si="11"/>
        <v>INVALID</v>
      </c>
      <c r="B131" s="484">
        <f>'@Chiller'!D16</f>
        <v>0</v>
      </c>
      <c r="C131" s="114">
        <f>'@Chiller'!E16</f>
        <v>0</v>
      </c>
      <c r="D131" s="114" t="e">
        <f>'@Chiller'!AS16</f>
        <v>#N/A</v>
      </c>
    </row>
    <row r="132" spans="1:4" hidden="1" x14ac:dyDescent="0.4">
      <c r="A132" s="286" t="str">
        <f t="shared" si="11"/>
        <v>INVALID</v>
      </c>
      <c r="B132" s="484">
        <f>'@Chiller'!D17</f>
        <v>0</v>
      </c>
      <c r="C132" s="114">
        <f>'@Chiller'!E17</f>
        <v>0</v>
      </c>
      <c r="D132" s="114" t="e">
        <f>'@Chiller'!AS17</f>
        <v>#N/A</v>
      </c>
    </row>
    <row r="133" spans="1:4" hidden="1" x14ac:dyDescent="0.4">
      <c r="A133" s="286" t="str">
        <f t="shared" si="11"/>
        <v>INVALID</v>
      </c>
      <c r="B133" s="484">
        <f>'@Chiller'!D18</f>
        <v>0</v>
      </c>
      <c r="C133" s="114">
        <f>'@Chiller'!E18</f>
        <v>0</v>
      </c>
      <c r="D133" s="114" t="e">
        <f>'@Chiller'!AS18</f>
        <v>#N/A</v>
      </c>
    </row>
    <row r="134" spans="1:4" hidden="1" x14ac:dyDescent="0.4">
      <c r="A134" s="286" t="str">
        <f t="shared" si="11"/>
        <v>INVALID</v>
      </c>
      <c r="B134" s="484">
        <f>'@Chiller'!D19</f>
        <v>0</v>
      </c>
      <c r="C134" s="114">
        <f>'@Chiller'!E19</f>
        <v>0</v>
      </c>
      <c r="D134" s="114" t="e">
        <f>'@Chiller'!AS19</f>
        <v>#N/A</v>
      </c>
    </row>
    <row r="135" spans="1:4" hidden="1" x14ac:dyDescent="0.4">
      <c r="A135" s="286" t="str">
        <f t="shared" si="11"/>
        <v>INVALID</v>
      </c>
      <c r="B135" s="484">
        <f>'@Chiller'!D20</f>
        <v>0</v>
      </c>
      <c r="C135" s="114">
        <f>'@Chiller'!E20</f>
        <v>0</v>
      </c>
      <c r="D135" s="114" t="e">
        <f>'@Chiller'!AS20</f>
        <v>#N/A</v>
      </c>
    </row>
    <row r="136" spans="1:4" hidden="1" x14ac:dyDescent="0.4">
      <c r="A136" s="286" t="str">
        <f t="shared" si="11"/>
        <v>INVALID</v>
      </c>
      <c r="B136" s="484">
        <f>'@Chiller'!D21</f>
        <v>0</v>
      </c>
      <c r="C136" s="114">
        <f>'@Chiller'!E21</f>
        <v>0</v>
      </c>
      <c r="D136" s="114" t="e">
        <f>'@Chiller'!AS21</f>
        <v>#N/A</v>
      </c>
    </row>
    <row r="137" spans="1:4" hidden="1" x14ac:dyDescent="0.4">
      <c r="A137" s="286" t="str">
        <f t="shared" si="11"/>
        <v>INVALID</v>
      </c>
      <c r="B137" s="484">
        <f>'@Chiller'!D22</f>
        <v>0</v>
      </c>
      <c r="C137" s="114">
        <f>'@Chiller'!E22</f>
        <v>0</v>
      </c>
      <c r="D137" s="114" t="e">
        <f>'@Chiller'!AS22</f>
        <v>#N/A</v>
      </c>
    </row>
    <row r="138" spans="1:4" hidden="1" x14ac:dyDescent="0.4">
      <c r="A138" s="286" t="str">
        <f t="shared" si="11"/>
        <v>INVALID</v>
      </c>
      <c r="B138" s="485">
        <f>SUM(B139:B159)</f>
        <v>0</v>
      </c>
      <c r="C138" s="487">
        <f>SUM(C139:C159)</f>
        <v>0</v>
      </c>
      <c r="D138" s="286" t="s">
        <v>680</v>
      </c>
    </row>
    <row r="139" spans="1:4" hidden="1" x14ac:dyDescent="0.4">
      <c r="A139" s="286" t="str">
        <f t="shared" si="11"/>
        <v>INVALID</v>
      </c>
      <c r="B139" s="484">
        <f>'@Other'!D2</f>
        <v>0</v>
      </c>
      <c r="C139" s="114">
        <f>'@Other'!E2</f>
        <v>0</v>
      </c>
      <c r="D139" s="114" t="str">
        <f>'@Other'!AE2</f>
        <v xml:space="preserve">FALSE with: </v>
      </c>
    </row>
    <row r="140" spans="1:4" hidden="1" x14ac:dyDescent="0.4">
      <c r="A140" s="286" t="str">
        <f t="shared" si="11"/>
        <v>INVALID</v>
      </c>
      <c r="B140" s="484">
        <f>'@Other'!D3</f>
        <v>0</v>
      </c>
      <c r="C140" s="114">
        <f>'@Other'!E3</f>
        <v>0</v>
      </c>
      <c r="D140" s="114" t="str">
        <f>'@Other'!AE3</f>
        <v xml:space="preserve">FALSE with: </v>
      </c>
    </row>
    <row r="141" spans="1:4" hidden="1" x14ac:dyDescent="0.4">
      <c r="A141" s="286" t="str">
        <f t="shared" si="11"/>
        <v>INVALID</v>
      </c>
      <c r="B141" s="484">
        <f>'@Other'!D4</f>
        <v>0</v>
      </c>
      <c r="C141" s="114">
        <f>'@Other'!E4</f>
        <v>0</v>
      </c>
      <c r="D141" s="114" t="str">
        <f>'@Other'!AE4</f>
        <v xml:space="preserve">FALSE with: </v>
      </c>
    </row>
    <row r="142" spans="1:4" hidden="1" x14ac:dyDescent="0.4">
      <c r="A142" s="286" t="str">
        <f t="shared" si="11"/>
        <v>INVALID</v>
      </c>
      <c r="B142" s="484">
        <f>'@Other'!D5</f>
        <v>0</v>
      </c>
      <c r="C142" s="114">
        <f>'@Other'!E5</f>
        <v>0</v>
      </c>
      <c r="D142" s="114" t="str">
        <f>'@Other'!AE5</f>
        <v xml:space="preserve">FALSE with: </v>
      </c>
    </row>
    <row r="143" spans="1:4" hidden="1" x14ac:dyDescent="0.4">
      <c r="A143" s="286" t="str">
        <f t="shared" si="11"/>
        <v>INVALID</v>
      </c>
      <c r="B143" s="484">
        <f>'@Other'!D6</f>
        <v>0</v>
      </c>
      <c r="C143" s="114">
        <f>'@Other'!E6</f>
        <v>0</v>
      </c>
      <c r="D143" s="114" t="str">
        <f>'@Other'!AE6</f>
        <v xml:space="preserve">FALSE with: </v>
      </c>
    </row>
    <row r="144" spans="1:4" hidden="1" x14ac:dyDescent="0.4">
      <c r="A144" s="286" t="str">
        <f t="shared" si="11"/>
        <v>INVALID</v>
      </c>
      <c r="B144" s="484">
        <f>'@Other'!D7</f>
        <v>0</v>
      </c>
      <c r="C144" s="114">
        <f>'@Other'!E7</f>
        <v>0</v>
      </c>
      <c r="D144" s="114" t="str">
        <f>'@Other'!AE7</f>
        <v xml:space="preserve">FALSE with: </v>
      </c>
    </row>
    <row r="145" spans="1:4" hidden="1" x14ac:dyDescent="0.4">
      <c r="A145" s="286" t="str">
        <f t="shared" si="11"/>
        <v>INVALID</v>
      </c>
      <c r="B145" s="484">
        <f>'@Other'!D8</f>
        <v>0</v>
      </c>
      <c r="C145" s="114">
        <f>'@Other'!E8</f>
        <v>0</v>
      </c>
      <c r="D145" s="114" t="str">
        <f>'@Other'!AE8</f>
        <v xml:space="preserve">FALSE with: </v>
      </c>
    </row>
    <row r="146" spans="1:4" hidden="1" x14ac:dyDescent="0.4">
      <c r="A146" s="286" t="str">
        <f t="shared" si="11"/>
        <v>INVALID</v>
      </c>
      <c r="B146" s="484">
        <f>'@Other'!D9</f>
        <v>0</v>
      </c>
      <c r="C146" s="114">
        <f>'@Other'!E9</f>
        <v>0</v>
      </c>
      <c r="D146" s="114" t="str">
        <f>'@Other'!AE9</f>
        <v xml:space="preserve">FALSE with: </v>
      </c>
    </row>
    <row r="147" spans="1:4" hidden="1" x14ac:dyDescent="0.4">
      <c r="A147" s="286" t="str">
        <f t="shared" si="11"/>
        <v>INVALID</v>
      </c>
      <c r="B147" s="484">
        <f>'@Other'!D10</f>
        <v>0</v>
      </c>
      <c r="C147" s="114">
        <f>'@Other'!E10</f>
        <v>0</v>
      </c>
      <c r="D147" s="114" t="str">
        <f>'@Other'!AE10</f>
        <v xml:space="preserve">FALSE with: </v>
      </c>
    </row>
    <row r="148" spans="1:4" hidden="1" x14ac:dyDescent="0.4">
      <c r="A148" s="286" t="str">
        <f t="shared" si="11"/>
        <v>INVALID</v>
      </c>
      <c r="B148" s="484">
        <f>'@Other'!D11</f>
        <v>0</v>
      </c>
      <c r="C148" s="114">
        <f>'@Other'!E11</f>
        <v>0</v>
      </c>
      <c r="D148" s="114" t="str">
        <f>'@Other'!AE11</f>
        <v xml:space="preserve">FALSE with: </v>
      </c>
    </row>
    <row r="149" spans="1:4" hidden="1" x14ac:dyDescent="0.4">
      <c r="A149" s="286" t="str">
        <f t="shared" si="11"/>
        <v>INVALID</v>
      </c>
      <c r="B149" s="484">
        <f>'@Other'!D12</f>
        <v>0</v>
      </c>
      <c r="C149" s="114">
        <f>'@Other'!E12</f>
        <v>0</v>
      </c>
      <c r="D149" s="114" t="str">
        <f>'@Other'!AE12</f>
        <v xml:space="preserve">FALSE with: </v>
      </c>
    </row>
    <row r="150" spans="1:4" hidden="1" x14ac:dyDescent="0.4">
      <c r="A150" s="286" t="str">
        <f t="shared" si="11"/>
        <v>INVALID</v>
      </c>
      <c r="B150" s="484">
        <f>'@Other'!D13</f>
        <v>0</v>
      </c>
      <c r="C150" s="114">
        <f>'@Other'!E13</f>
        <v>0</v>
      </c>
      <c r="D150" s="114" t="str">
        <f>'@Other'!AE13</f>
        <v xml:space="preserve">FALSE with: </v>
      </c>
    </row>
    <row r="151" spans="1:4" hidden="1" x14ac:dyDescent="0.4">
      <c r="A151" s="286" t="str">
        <f t="shared" si="11"/>
        <v>INVALID</v>
      </c>
      <c r="B151" s="484">
        <f>'@Other'!D14</f>
        <v>0</v>
      </c>
      <c r="C151" s="114">
        <f>'@Other'!E14</f>
        <v>0</v>
      </c>
      <c r="D151" s="114" t="str">
        <f>'@Other'!AE14</f>
        <v xml:space="preserve">FALSE with: </v>
      </c>
    </row>
    <row r="152" spans="1:4" hidden="1" x14ac:dyDescent="0.4">
      <c r="A152" s="286" t="str">
        <f t="shared" si="11"/>
        <v>INVALID</v>
      </c>
      <c r="B152" s="484">
        <f>'@Other'!D15</f>
        <v>0</v>
      </c>
      <c r="C152" s="114">
        <f>'@Other'!E15</f>
        <v>0</v>
      </c>
      <c r="D152" s="114" t="str">
        <f>'@Other'!AE15</f>
        <v xml:space="preserve">FALSE with: </v>
      </c>
    </row>
    <row r="153" spans="1:4" hidden="1" x14ac:dyDescent="0.4">
      <c r="A153" s="286" t="str">
        <f t="shared" si="11"/>
        <v>INVALID</v>
      </c>
      <c r="B153" s="484">
        <f>'@Other'!D16</f>
        <v>0</v>
      </c>
      <c r="C153" s="114">
        <f>'@Other'!E16</f>
        <v>0</v>
      </c>
      <c r="D153" s="114" t="str">
        <f>'@Other'!AE16</f>
        <v xml:space="preserve">FALSE with: </v>
      </c>
    </row>
    <row r="154" spans="1:4" hidden="1" x14ac:dyDescent="0.4">
      <c r="A154" s="286" t="str">
        <f t="shared" si="11"/>
        <v>INVALID</v>
      </c>
      <c r="B154" s="484">
        <f>'@Other'!D17</f>
        <v>0</v>
      </c>
      <c r="C154" s="114">
        <f>'@Other'!E17</f>
        <v>0</v>
      </c>
      <c r="D154" s="114" t="str">
        <f>'@Other'!AE17</f>
        <v xml:space="preserve">FALSE with: </v>
      </c>
    </row>
    <row r="155" spans="1:4" hidden="1" x14ac:dyDescent="0.4">
      <c r="A155" s="286" t="str">
        <f t="shared" si="11"/>
        <v>INVALID</v>
      </c>
      <c r="B155" s="484">
        <f>'@Other'!D18</f>
        <v>0</v>
      </c>
      <c r="C155" s="114">
        <f>'@Other'!E18</f>
        <v>0</v>
      </c>
      <c r="D155" s="114" t="str">
        <f>'@Other'!AE18</f>
        <v xml:space="preserve">FALSE with: </v>
      </c>
    </row>
    <row r="156" spans="1:4" hidden="1" x14ac:dyDescent="0.4">
      <c r="A156" s="286" t="str">
        <f t="shared" si="11"/>
        <v>INVALID</v>
      </c>
      <c r="B156" s="484">
        <f>'@Other'!D19</f>
        <v>0</v>
      </c>
      <c r="C156" s="114">
        <f>'@Other'!E19</f>
        <v>0</v>
      </c>
      <c r="D156" s="114" t="str">
        <f>'@Other'!AE19</f>
        <v xml:space="preserve">FALSE with: </v>
      </c>
    </row>
    <row r="157" spans="1:4" hidden="1" x14ac:dyDescent="0.4">
      <c r="A157" s="286" t="str">
        <f t="shared" si="11"/>
        <v>INVALID</v>
      </c>
      <c r="B157" s="484">
        <f>'@Other'!D20</f>
        <v>0</v>
      </c>
      <c r="C157" s="114">
        <f>'@Other'!E20</f>
        <v>0</v>
      </c>
      <c r="D157" s="114" t="str">
        <f>'@Other'!AE20</f>
        <v xml:space="preserve">FALSE with: </v>
      </c>
    </row>
    <row r="158" spans="1:4" hidden="1" x14ac:dyDescent="0.4">
      <c r="A158" s="286" t="str">
        <f t="shared" si="11"/>
        <v>INVALID</v>
      </c>
      <c r="B158" s="484">
        <f>'@Other'!D21</f>
        <v>0</v>
      </c>
      <c r="C158" s="114">
        <f>'@Other'!E21</f>
        <v>0</v>
      </c>
      <c r="D158" s="114" t="str">
        <f>'@Other'!AE21</f>
        <v xml:space="preserve">FALSE with: </v>
      </c>
    </row>
    <row r="159" spans="1:4" hidden="1" x14ac:dyDescent="0.4">
      <c r="A159" s="286" t="str">
        <f t="shared" si="11"/>
        <v>INVALID</v>
      </c>
      <c r="B159" s="484">
        <f>'@Other'!D22</f>
        <v>0</v>
      </c>
      <c r="C159" s="114">
        <f>'@Other'!E22</f>
        <v>0</v>
      </c>
      <c r="D159" s="114" t="str">
        <f>'@Other'!AE22</f>
        <v xml:space="preserve">FALSE with: </v>
      </c>
    </row>
    <row r="160" spans="1:4" hidden="1" x14ac:dyDescent="0.4">
      <c r="A160" s="286" t="str">
        <f t="shared" si="11"/>
        <v>INVALID</v>
      </c>
      <c r="B160" s="485">
        <f>SUM(B161:B163)</f>
        <v>0</v>
      </c>
      <c r="C160" s="487">
        <f>SUM(C161:C163)</f>
        <v>0</v>
      </c>
      <c r="D160" s="286" t="s">
        <v>1346</v>
      </c>
    </row>
    <row r="161" spans="1:4" hidden="1" x14ac:dyDescent="0.4">
      <c r="A161" s="286" t="str">
        <f t="shared" si="11"/>
        <v>INVALID</v>
      </c>
      <c r="B161" s="484">
        <f>'@Car Park'!C30</f>
        <v>0</v>
      </c>
      <c r="C161">
        <f>'@Car Park'!C1</f>
        <v>0</v>
      </c>
      <c r="D161" s="114" t="str">
        <f>'@Car Park'!B1</f>
        <v>CO Sensors</v>
      </c>
    </row>
    <row r="162" spans="1:4" hidden="1" x14ac:dyDescent="0.4">
      <c r="A162" s="286" t="str">
        <f t="shared" si="11"/>
        <v>INVALID</v>
      </c>
      <c r="B162" s="484">
        <f>'@Car Park'!C26-'@Car Park'!C30</f>
        <v>0</v>
      </c>
      <c r="C162" s="114">
        <f>'@Car Park'!C2</f>
        <v>0</v>
      </c>
      <c r="D162" s="114" t="str">
        <f>'@Car Park'!B2</f>
        <v>Carpark Fans</v>
      </c>
    </row>
    <row r="163" spans="1:4" hidden="1" x14ac:dyDescent="0.4">
      <c r="A163" s="286" t="str">
        <f t="shared" si="11"/>
        <v>INVALID</v>
      </c>
      <c r="B163" s="484">
        <f>'@Car Park'!C63</f>
        <v>0</v>
      </c>
      <c r="C163" s="114">
        <f>'@Car Park'!C4</f>
        <v>0</v>
      </c>
      <c r="D163" s="114" t="str">
        <f>'@Car Park'!B4</f>
        <v>Pump Fans</v>
      </c>
    </row>
    <row r="164" spans="1:4" ht="15" thickTop="1" x14ac:dyDescent="0.4"/>
  </sheetData>
  <autoFilter ref="A47:D163" xr:uid="{065AB3B1-2324-42B1-904B-5A76B116C723}">
    <filterColumn colId="0">
      <filters blank="1">
        <filter val="JOB TOTAL"/>
      </filters>
    </filterColumn>
  </autoFilter>
  <mergeCells count="3">
    <mergeCell ref="Q1:U1"/>
    <mergeCell ref="Q2:U14"/>
    <mergeCell ref="D4:I4"/>
  </mergeCells>
  <conditionalFormatting sqref="D6:O6">
    <cfRule type="expression" dxfId="507" priority="8">
      <formula>IF(ROW() = ROW(), TRUE, FALSE)</formula>
    </cfRule>
  </conditionalFormatting>
  <conditionalFormatting sqref="E16:G16">
    <cfRule type="expression" dxfId="506" priority="3">
      <formula>IF(ROW() = ROW(), TRUE, FALSE)</formula>
    </cfRule>
  </conditionalFormatting>
  <conditionalFormatting sqref="D17">
    <cfRule type="expression" dxfId="505" priority="2">
      <formula>IF(ROW() = ROW(), TRUE, FALSE)</formula>
    </cfRule>
  </conditionalFormatting>
  <conditionalFormatting sqref="G1:H1">
    <cfRule type="expression" dxfId="504" priority="1">
      <formula>IF(ROW() = ROW(), TRUE, FALSE)</formula>
    </cfRule>
  </conditionalFormatting>
  <pageMargins left="0.25" right="0.25" top="0.75" bottom="0.75" header="0.3" footer="0.3"/>
  <pageSetup paperSize="9" scale="56"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BBA750-E3F7-4189-BC9A-A7FBD092F44A}">
  <dimension ref="A1:AE38"/>
  <sheetViews>
    <sheetView topLeftCell="D2"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26" s="418" customFormat="1" ht="43.75" x14ac:dyDescent="0.4">
      <c r="A1" s="418" t="s">
        <v>676</v>
      </c>
      <c r="B1" s="418" t="s">
        <v>983</v>
      </c>
      <c r="C1" s="418" t="s">
        <v>984</v>
      </c>
      <c r="D1" s="418" t="s">
        <v>985</v>
      </c>
      <c r="E1" s="418" t="s">
        <v>669</v>
      </c>
      <c r="F1" s="418" t="s">
        <v>986</v>
      </c>
      <c r="G1" s="418" t="s">
        <v>987</v>
      </c>
      <c r="H1" s="418" t="s">
        <v>988</v>
      </c>
      <c r="I1" s="418" t="s">
        <v>989</v>
      </c>
      <c r="J1" s="418" t="s">
        <v>990</v>
      </c>
      <c r="K1" s="418" t="s">
        <v>1241</v>
      </c>
      <c r="L1" s="418" t="s">
        <v>1288</v>
      </c>
      <c r="M1" s="418" t="s">
        <v>1004</v>
      </c>
      <c r="N1" s="418" t="s">
        <v>995</v>
      </c>
      <c r="O1" s="418" t="s">
        <v>996</v>
      </c>
      <c r="P1" s="418" t="s">
        <v>997</v>
      </c>
    </row>
    <row r="2" spans="1:26" x14ac:dyDescent="0.4">
      <c r="A2" s="114" t="s">
        <v>991</v>
      </c>
      <c r="B2" s="114" t="s">
        <v>886</v>
      </c>
      <c r="C2" s="114" t="s">
        <v>886</v>
      </c>
      <c r="D2" s="114" t="s">
        <v>985</v>
      </c>
      <c r="E2" s="114" t="s">
        <v>886</v>
      </c>
      <c r="F2" s="114" t="s">
        <v>886</v>
      </c>
      <c r="G2" s="114" t="s">
        <v>886</v>
      </c>
      <c r="H2" s="114" t="s">
        <v>886</v>
      </c>
      <c r="I2" s="114" t="s">
        <v>886</v>
      </c>
      <c r="J2" s="114" t="s">
        <v>886</v>
      </c>
      <c r="K2" s="114" t="s">
        <v>886</v>
      </c>
      <c r="L2" s="114" t="s">
        <v>887</v>
      </c>
      <c r="M2" s="114" t="s">
        <v>886</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998</v>
      </c>
      <c r="R2" s="114" t="s">
        <v>253</v>
      </c>
      <c r="S2" s="114" t="s">
        <v>999</v>
      </c>
      <c r="T2" s="114" t="s">
        <v>268</v>
      </c>
      <c r="U2" s="114" t="s">
        <v>1000</v>
      </c>
      <c r="V2" s="114" t="s">
        <v>1001</v>
      </c>
    </row>
    <row r="3" spans="1:26" x14ac:dyDescent="0.4">
      <c r="A3" s="114" t="s">
        <v>678</v>
      </c>
      <c r="B3" s="114" t="s">
        <v>887</v>
      </c>
      <c r="C3" s="114" t="s">
        <v>887</v>
      </c>
      <c r="D3" s="114" t="s">
        <v>993</v>
      </c>
      <c r="E3" s="114" t="s">
        <v>887</v>
      </c>
      <c r="F3" s="114" t="s">
        <v>887</v>
      </c>
      <c r="G3" s="114" t="s">
        <v>887</v>
      </c>
      <c r="H3" s="114" t="s">
        <v>887</v>
      </c>
      <c r="I3" s="114" t="s">
        <v>887</v>
      </c>
      <c r="J3" s="114" t="s">
        <v>887</v>
      </c>
      <c r="K3" s="114" t="s">
        <v>887</v>
      </c>
      <c r="L3" s="114" t="s">
        <v>1249</v>
      </c>
      <c r="M3" s="114" t="s">
        <v>887</v>
      </c>
      <c r="R3" s="114">
        <v>1</v>
      </c>
      <c r="S3" s="114">
        <v>1</v>
      </c>
      <c r="T3" s="114" t="s">
        <v>1002</v>
      </c>
      <c r="U3" s="114">
        <v>1</v>
      </c>
      <c r="V3" s="114">
        <v>1</v>
      </c>
    </row>
    <row r="4" spans="1:26" x14ac:dyDescent="0.4">
      <c r="D4" s="114" t="s">
        <v>992</v>
      </c>
      <c r="L4" s="114" t="s">
        <v>1289</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1003</v>
      </c>
      <c r="R4" s="114" t="s">
        <v>253</v>
      </c>
      <c r="S4" s="114" t="s">
        <v>999</v>
      </c>
      <c r="T4" s="114" t="s">
        <v>268</v>
      </c>
      <c r="U4" s="114" t="s">
        <v>304</v>
      </c>
      <c r="V4" s="114" t="s">
        <v>1345</v>
      </c>
      <c r="W4" s="114" t="s">
        <v>1004</v>
      </c>
      <c r="X4" s="114" t="s">
        <v>1005</v>
      </c>
      <c r="Y4" s="114" t="s">
        <v>1001</v>
      </c>
    </row>
    <row r="5" spans="1:26" x14ac:dyDescent="0.4">
      <c r="D5" s="114" t="s">
        <v>994</v>
      </c>
      <c r="R5" s="114">
        <v>1</v>
      </c>
      <c r="S5" s="114">
        <v>1</v>
      </c>
      <c r="T5" s="114" t="s">
        <v>1002</v>
      </c>
      <c r="U5" s="114">
        <v>1</v>
      </c>
      <c r="V5" s="114">
        <v>1</v>
      </c>
      <c r="W5" s="114">
        <v>1</v>
      </c>
      <c r="X5" s="114">
        <v>1</v>
      </c>
      <c r="Y5" s="114">
        <v>1</v>
      </c>
      <c r="Z5" s="114">
        <v>1</v>
      </c>
    </row>
    <row r="6" spans="1:26" x14ac:dyDescent="0.4">
      <c r="D6" s="114" t="s">
        <v>887</v>
      </c>
      <c r="N6" s="114" t="s">
        <v>983</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4.25</v>
      </c>
      <c r="P6" s="114">
        <f>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0.5</v>
      </c>
      <c r="Q6" s="114" t="s">
        <v>1006</v>
      </c>
      <c r="R6" s="114" t="s">
        <v>268</v>
      </c>
    </row>
    <row r="7" spans="1:26" x14ac:dyDescent="0.4">
      <c r="R7" s="114">
        <v>5</v>
      </c>
    </row>
    <row r="8" spans="1:26" x14ac:dyDescent="0.4">
      <c r="N8" s="114" t="s">
        <v>984</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0.85</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0.1</v>
      </c>
      <c r="Q8" s="114" t="s">
        <v>1007</v>
      </c>
      <c r="R8" s="114" t="s">
        <v>268</v>
      </c>
    </row>
    <row r="9" spans="1:26" x14ac:dyDescent="0.4">
      <c r="R9" s="114">
        <v>1</v>
      </c>
    </row>
    <row r="10" spans="1:26" x14ac:dyDescent="0.4">
      <c r="N10" s="114" t="s">
        <v>985</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24.48</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0.1</v>
      </c>
      <c r="Q10" s="114" t="s">
        <v>1008</v>
      </c>
      <c r="R10" s="114" t="s">
        <v>418</v>
      </c>
      <c r="S10" s="114" t="s">
        <v>326</v>
      </c>
    </row>
    <row r="11" spans="1:26" x14ac:dyDescent="0.4">
      <c r="R11" s="114">
        <v>1</v>
      </c>
      <c r="S11" s="114">
        <v>1</v>
      </c>
    </row>
    <row r="12" spans="1:26" x14ac:dyDescent="0.4">
      <c r="N12" s="114" t="s">
        <v>993</v>
      </c>
      <c r="O12" s="114">
        <f>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47.879999999999995</v>
      </c>
      <c r="P12" s="114">
        <f>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0.1</v>
      </c>
      <c r="Q12" s="114" t="s">
        <v>1009</v>
      </c>
      <c r="R12" s="114" t="s">
        <v>832</v>
      </c>
      <c r="S12" s="114" t="s">
        <v>697</v>
      </c>
      <c r="T12" s="114" t="s">
        <v>418</v>
      </c>
    </row>
    <row r="13" spans="1:26" x14ac:dyDescent="0.4">
      <c r="R13" s="114">
        <v>1</v>
      </c>
      <c r="S13" s="114">
        <v>1</v>
      </c>
      <c r="T13" s="114">
        <v>1</v>
      </c>
    </row>
    <row r="14" spans="1:26" x14ac:dyDescent="0.4">
      <c r="A14" s="33" t="s">
        <v>975</v>
      </c>
      <c r="N14" s="114" t="s">
        <v>992</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24.48</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0.1</v>
      </c>
      <c r="Q14" s="114" t="s">
        <v>1010</v>
      </c>
      <c r="R14" s="114" t="s">
        <v>418</v>
      </c>
      <c r="S14" s="114" t="s">
        <v>326</v>
      </c>
    </row>
    <row r="15" spans="1:26" x14ac:dyDescent="0.4">
      <c r="A15" s="114" t="s">
        <v>965</v>
      </c>
      <c r="B15" s="114" t="s">
        <v>977</v>
      </c>
      <c r="R15" s="114">
        <v>1</v>
      </c>
      <c r="S15" s="114">
        <v>1</v>
      </c>
    </row>
    <row r="16" spans="1:26" x14ac:dyDescent="0.4">
      <c r="A16" s="114" t="s">
        <v>978</v>
      </c>
      <c r="B16" s="114" t="s">
        <v>979</v>
      </c>
      <c r="N16" s="114" t="s">
        <v>994</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24.48</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0.1</v>
      </c>
      <c r="Q16" s="114" t="s">
        <v>1011</v>
      </c>
      <c r="R16" s="114" t="s">
        <v>418</v>
      </c>
      <c r="S16" s="114" t="s">
        <v>326</v>
      </c>
    </row>
    <row r="17" spans="14:29" x14ac:dyDescent="0.4">
      <c r="R17" s="114">
        <v>1</v>
      </c>
      <c r="S17" s="114">
        <v>1</v>
      </c>
    </row>
    <row r="18" spans="14:29" x14ac:dyDescent="0.4">
      <c r="N18" s="114" t="s">
        <v>669</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84.48</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0.1</v>
      </c>
      <c r="Q18" s="114" t="s">
        <v>1012</v>
      </c>
      <c r="R18" s="114" t="s">
        <v>669</v>
      </c>
      <c r="S18" s="114" t="s">
        <v>418</v>
      </c>
      <c r="T18" s="114" t="s">
        <v>326</v>
      </c>
    </row>
    <row r="19" spans="14:29" x14ac:dyDescent="0.4">
      <c r="R19" s="114">
        <v>1</v>
      </c>
      <c r="S19" s="114">
        <v>1</v>
      </c>
      <c r="T19" s="114">
        <v>1</v>
      </c>
    </row>
    <row r="20" spans="14:29" x14ac:dyDescent="0.4">
      <c r="N20" s="114" t="s">
        <v>986</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331.67999999999995</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0.1</v>
      </c>
      <c r="Q20" s="114" t="s">
        <v>1013</v>
      </c>
      <c r="R20" s="114" t="s">
        <v>986</v>
      </c>
      <c r="S20" s="114" t="s">
        <v>418</v>
      </c>
      <c r="T20" s="114" t="s">
        <v>326</v>
      </c>
    </row>
    <row r="21" spans="14:29" x14ac:dyDescent="0.4">
      <c r="R21" s="114">
        <v>1</v>
      </c>
      <c r="S21" s="114">
        <v>1</v>
      </c>
      <c r="T21" s="114">
        <v>1</v>
      </c>
    </row>
    <row r="22" spans="14:29" x14ac:dyDescent="0.4">
      <c r="N22" s="114" t="s">
        <v>987</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60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1</v>
      </c>
      <c r="Q22" s="114" t="s">
        <v>1014</v>
      </c>
      <c r="R22" s="114" t="s">
        <v>987</v>
      </c>
    </row>
    <row r="23" spans="14:29" x14ac:dyDescent="0.4">
      <c r="R23" s="114">
        <v>1</v>
      </c>
    </row>
    <row r="24" spans="14:29" x14ac:dyDescent="0.4">
      <c r="N24" s="114" t="s">
        <v>988</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80</v>
      </c>
      <c r="P24" s="114">
        <f>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
+IFERROR(AB25*VLOOKUP(AB24,'Part List'!A:G,5,FALSE),0)
+IFERROR(AC25*VLOOKUP(AC24,'Part List'!A:G,5,FALSE),0)</f>
        <v>2</v>
      </c>
      <c r="Q24" s="114" t="s">
        <v>1015</v>
      </c>
      <c r="R24" s="114" t="s">
        <v>588</v>
      </c>
    </row>
    <row r="25" spans="14:29" x14ac:dyDescent="0.4">
      <c r="R25" s="114">
        <v>1</v>
      </c>
    </row>
    <row r="26" spans="14:29" x14ac:dyDescent="0.4">
      <c r="N26" s="114" t="s">
        <v>989</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57.95</v>
      </c>
      <c r="P26" s="114">
        <f>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
+IFERROR(AB27*VLOOKUP(AB26,'Part List'!A:G,5,FALSE),0)
+IFERROR(AC27*VLOOKUP(AC26,'Part List'!A:G,5,FALSE),0)</f>
        <v>1</v>
      </c>
      <c r="Q26" s="114" t="s">
        <v>1016</v>
      </c>
      <c r="R26" s="114" t="s">
        <v>304</v>
      </c>
    </row>
    <row r="27" spans="14:29" x14ac:dyDescent="0.4">
      <c r="R27" s="114">
        <v>1</v>
      </c>
    </row>
    <row r="28" spans="14:29" x14ac:dyDescent="0.4">
      <c r="N28" s="114" t="s">
        <v>990</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44.519999999999996</v>
      </c>
      <c r="P28" s="114">
        <f>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
+IFERROR(AB29*VLOOKUP(AB28,'Part List'!A:G,5,FALSE),0)
+IFERROR(AC29*VLOOKUP(AC28,'Part List'!A:G,5,FALSE),0)</f>
        <v>2</v>
      </c>
      <c r="Q28" s="114" t="s">
        <v>1017</v>
      </c>
      <c r="R28" s="114" t="s">
        <v>269</v>
      </c>
      <c r="S28" s="114" t="s">
        <v>832</v>
      </c>
    </row>
    <row r="29" spans="14:29" x14ac:dyDescent="0.4">
      <c r="R29" s="114">
        <v>20</v>
      </c>
      <c r="S29" s="114">
        <v>1</v>
      </c>
    </row>
    <row r="30" spans="14:29" x14ac:dyDescent="0.4">
      <c r="N30" s="114" t="s">
        <v>887</v>
      </c>
      <c r="O30" s="114">
        <v>0</v>
      </c>
      <c r="P30" s="114">
        <v>0</v>
      </c>
      <c r="Q30" s="114" t="s">
        <v>1018</v>
      </c>
    </row>
    <row r="31" spans="14:29" x14ac:dyDescent="0.4">
      <c r="R31" s="114">
        <f>IFERROR(R33*VLOOKUP(R32,'Part List'!$A:$G,3,FALSE),0)</f>
        <v>0</v>
      </c>
      <c r="S31" s="114">
        <f>IFERROR(S33*VLOOKUP(S32,'Part List'!$A:$G,3,FALSE),0)</f>
        <v>0</v>
      </c>
      <c r="T31" s="114">
        <f>IFERROR(T33*VLOOKUP(T32,'Part List'!$A:$G,3,FALSE),0)</f>
        <v>0</v>
      </c>
      <c r="U31" s="114">
        <f>IFERROR(U33*VLOOKUP(U32,'Part List'!$A:$G,3,FALSE),0)</f>
        <v>971.52</v>
      </c>
      <c r="V31" s="114">
        <f>IFERROR(V33*VLOOKUP(V32,'Part List'!$A:$G,3,FALSE),0)</f>
        <v>43.44</v>
      </c>
      <c r="W31" s="114">
        <f>IFERROR(W33*VLOOKUP(W32,'Part List'!$A:$G,3,FALSE),0)</f>
        <v>91.05</v>
      </c>
      <c r="X31" s="114">
        <f>IFERROR(X33*VLOOKUP(X32,'Part List'!$A:$G,3,FALSE),0)</f>
        <v>24.2</v>
      </c>
      <c r="Y31" s="114">
        <f>IFERROR(Y33*VLOOKUP(Y32,'Part List'!$A:$G,3,FALSE),0)</f>
        <v>32</v>
      </c>
      <c r="Z31" s="114">
        <f>IFERROR(Z33*VLOOKUP(Z32,'Part List'!$A:$G,3,FALSE),0)</f>
        <v>23.4</v>
      </c>
      <c r="AA31" s="114">
        <f>IFERROR(AA33*VLOOKUP(AA32,'Part List'!$A:$G,3,FALSE),0)</f>
        <v>57.95</v>
      </c>
      <c r="AB31" s="114">
        <f>IFERROR(AB33*VLOOKUP(AB32,'Part List'!$A:$G,3,FALSE),0)</f>
        <v>360</v>
      </c>
      <c r="AC31" s="114">
        <f>IFERROR(AC33*VLOOKUP(AC32,'Part List'!$A:$G,3,FALSE),0)</f>
        <v>0</v>
      </c>
    </row>
    <row r="32" spans="14:29" x14ac:dyDescent="0.4">
      <c r="N32" s="114" t="s">
        <v>1249</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1603.5600000000002</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1250</v>
      </c>
      <c r="R32" s="114" t="s">
        <v>268</v>
      </c>
      <c r="S32" s="114" t="s">
        <v>268</v>
      </c>
      <c r="T32" s="114" t="s">
        <v>418</v>
      </c>
      <c r="U32" s="114" t="s">
        <v>1251</v>
      </c>
      <c r="V32" s="114" t="s">
        <v>1041</v>
      </c>
      <c r="W32" s="114" t="s">
        <v>1345</v>
      </c>
      <c r="X32" s="117" t="s">
        <v>326</v>
      </c>
      <c r="Y32" s="114" t="s">
        <v>1004</v>
      </c>
      <c r="Z32" s="135" t="s">
        <v>832</v>
      </c>
      <c r="AA32" s="114" t="s">
        <v>304</v>
      </c>
      <c r="AB32" s="114" t="s">
        <v>1005</v>
      </c>
    </row>
    <row r="33" spans="14:31" x14ac:dyDescent="0.4">
      <c r="R33" s="114" t="s">
        <v>1002</v>
      </c>
      <c r="S33" s="114" t="s">
        <v>1002</v>
      </c>
      <c r="T33" s="114" t="s">
        <v>1002</v>
      </c>
      <c r="U33" s="114">
        <v>1</v>
      </c>
      <c r="V33" s="114">
        <v>1</v>
      </c>
      <c r="W33" s="117">
        <v>1</v>
      </c>
      <c r="X33" s="448">
        <v>1</v>
      </c>
      <c r="Y33" s="448">
        <v>2</v>
      </c>
      <c r="Z33" s="448">
        <v>1</v>
      </c>
      <c r="AA33" s="448">
        <v>1</v>
      </c>
      <c r="AB33" s="448">
        <v>1</v>
      </c>
    </row>
    <row r="34" spans="14:31" x14ac:dyDescent="0.4">
      <c r="N34" s="114" t="s">
        <v>1004</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55.4</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v>
      </c>
      <c r="R34" s="114" t="s">
        <v>269</v>
      </c>
      <c r="S34" s="114" t="s">
        <v>832</v>
      </c>
      <c r="T34" s="114" t="s">
        <v>1004</v>
      </c>
    </row>
    <row r="35" spans="14:31" x14ac:dyDescent="0.4">
      <c r="R35" s="114" t="s">
        <v>1002</v>
      </c>
      <c r="S35" s="114">
        <v>1</v>
      </c>
      <c r="T35" s="114">
        <v>2</v>
      </c>
    </row>
    <row r="36" spans="14:31" x14ac:dyDescent="0.4">
      <c r="N36" s="114" t="s">
        <v>1289</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1736.0800000000002</v>
      </c>
      <c r="P36" s="114">
        <f>3+IFERROR(R37*VLOOKUP(R36,'Part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6</v>
      </c>
      <c r="Q36" s="114" t="s">
        <v>1290</v>
      </c>
      <c r="R36" s="114" t="s">
        <v>1041</v>
      </c>
      <c r="S36" s="114" t="s">
        <v>1040</v>
      </c>
      <c r="T36" s="114" t="s">
        <v>1251</v>
      </c>
      <c r="U36" s="114" t="s">
        <v>1000</v>
      </c>
      <c r="V36" s="114" t="s">
        <v>1291</v>
      </c>
      <c r="W36" s="114" t="s">
        <v>1292</v>
      </c>
      <c r="X36" s="114" t="s">
        <v>1004</v>
      </c>
      <c r="Y36" s="114" t="s">
        <v>1024</v>
      </c>
      <c r="Z36" s="114" t="s">
        <v>1293</v>
      </c>
      <c r="AA36" s="117" t="s">
        <v>326</v>
      </c>
      <c r="AB36" s="448" t="s">
        <v>322</v>
      </c>
      <c r="AC36" s="114" t="s">
        <v>1254</v>
      </c>
      <c r="AD36" s="114" t="s">
        <v>267</v>
      </c>
      <c r="AE36" s="448" t="s">
        <v>269</v>
      </c>
    </row>
    <row r="37" spans="14:31" x14ac:dyDescent="0.4">
      <c r="R37" s="114">
        <v>1</v>
      </c>
      <c r="S37" s="114">
        <v>1</v>
      </c>
      <c r="T37" s="114">
        <v>1</v>
      </c>
      <c r="U37" s="114">
        <v>1</v>
      </c>
      <c r="V37" s="114">
        <v>1</v>
      </c>
      <c r="W37" s="114">
        <v>1</v>
      </c>
      <c r="X37" s="114">
        <v>1</v>
      </c>
      <c r="Y37" s="114">
        <v>1</v>
      </c>
      <c r="Z37" s="114">
        <v>1</v>
      </c>
      <c r="AA37" s="114">
        <v>1</v>
      </c>
      <c r="AB37" s="114">
        <v>1</v>
      </c>
      <c r="AC37" s="114">
        <v>1</v>
      </c>
      <c r="AD37" s="114" t="s">
        <v>1002</v>
      </c>
      <c r="AE37" s="114" t="s">
        <v>1002</v>
      </c>
    </row>
    <row r="38" spans="14:31" x14ac:dyDescent="0.4">
      <c r="R38" s="114">
        <f>IFERROR(R37*VLOOKUP(R36,'Part List'!$A:$G,3,FALSE),0)</f>
        <v>43.44</v>
      </c>
      <c r="S38" s="114">
        <f>IFERROR(S37*VLOOKUP(S36,'Part List'!$A:$G,3,FALSE),0)</f>
        <v>46.46</v>
      </c>
      <c r="T38" s="114">
        <f>IFERROR(T37*VLOOKUP(T36,'Part List'!$A:$G,3,FALSE),0)</f>
        <v>971.52</v>
      </c>
      <c r="U38" s="114">
        <f>IFERROR(U37*VLOOKUP(U36,'Part List'!$A:$G,3,FALSE),0)</f>
        <v>60</v>
      </c>
      <c r="V38" s="114">
        <f>IFERROR(V37*VLOOKUP(V36,'Part List'!$A:$G,3,FALSE),0)</f>
        <v>47</v>
      </c>
      <c r="W38" s="114">
        <f>IFERROR(W37*VLOOKUP(W36,'Part List'!$A:$G,3,FALSE),0)</f>
        <v>420</v>
      </c>
      <c r="X38" s="114">
        <f>IFERROR(X37*VLOOKUP(X36,'Part List'!$A:$G,3,FALSE),0)</f>
        <v>16</v>
      </c>
      <c r="Y38" s="114">
        <f>IFERROR(Y37*VLOOKUP(Y36,'Part List'!$A:$G,3,FALSE),0)</f>
        <v>11.46</v>
      </c>
      <c r="Z38" s="114">
        <f>IFERROR(Z37*VLOOKUP(Z36,'Part List'!$A:$G,3,FALSE),0)</f>
        <v>36</v>
      </c>
      <c r="AA38" s="114">
        <f>IFERROR(AA37*VLOOKUP(AA36,'Part List'!$A:$G,3,FALSE),0)</f>
        <v>24.2</v>
      </c>
      <c r="AB38" s="114">
        <f>IFERROR(AB37*VLOOKUP(AB36,'Part List'!$A:$G,3,FALSE),0)</f>
        <v>0</v>
      </c>
      <c r="AC38" s="114">
        <f>IFERROR(AC37*VLOOKUP(AC36,'Part List'!$A:$G,3,FALSE),0)</f>
        <v>60</v>
      </c>
      <c r="AD38" s="114">
        <f>IFERROR(AD37*VLOOKUP(AD36,'Part List'!$A:$G,3,FALSE),0)</f>
        <v>0</v>
      </c>
      <c r="AE38" s="114">
        <f>IFERROR(AE37*VLOOKUP(AE36,'Part List'!$A:$G,3,FALSE),0)</f>
        <v>0</v>
      </c>
    </row>
  </sheetData>
  <conditionalFormatting sqref="W33:AB33">
    <cfRule type="expression" dxfId="158" priority="4">
      <formula>IF(ROW() = ROW(), TRUE, FALSE)</formula>
    </cfRule>
  </conditionalFormatting>
  <conditionalFormatting sqref="X32">
    <cfRule type="expression" dxfId="157" priority="3">
      <formula>IF(ROW() = ROW(), TRUE, FALSE)</formula>
    </cfRule>
  </conditionalFormatting>
  <conditionalFormatting sqref="AA36:AB36">
    <cfRule type="expression" dxfId="156" priority="2">
      <formula>IF(ROW() = ROW(), TRUE, FALSE)</formula>
    </cfRule>
  </conditionalFormatting>
  <conditionalFormatting sqref="AE36">
    <cfRule type="expression" dxfId="15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3A021622-D918-4FAA-8D3E-657F57E39B94}">
          <x14:formula1>
            <xm:f>'Part List'!$A:$A</xm:f>
          </x14:formula1>
          <xm:sqref>Y4 R8 R6 R10:S10 R14:S14 R16:S16 R12:T12 R18:T18 R24 R22 R20:T20 H23:H25 F23:F25 R26</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974710-3A12-4FF7-8D90-46709D967A68}">
  <dimension ref="A1:BD25"/>
  <sheetViews>
    <sheetView workbookViewId="0">
      <selection activeCell="E2" sqref="E2"/>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9.4609375" style="114" customWidth="1"/>
    <col min="7" max="7" width="12.15234375" style="355" customWidth="1"/>
    <col min="8" max="8" width="12.15234375" style="319" customWidth="1"/>
    <col min="9" max="9" width="13.3046875" style="355" customWidth="1"/>
    <col min="10" max="10" width="13.3046875" style="319" customWidth="1"/>
    <col min="11" max="11" width="17.4609375" style="114" customWidth="1"/>
    <col min="12" max="13" width="14.765625" style="424" customWidth="1"/>
    <col min="14" max="14" width="14.765625" style="355" customWidth="1"/>
    <col min="15" max="17" width="14.765625" style="318" customWidth="1"/>
    <col min="18" max="18" width="14.765625" style="319" customWidth="1"/>
    <col min="19" max="38" width="12.23046875" style="114" hidden="1" customWidth="1"/>
    <col min="39" max="39" width="12.3828125" style="424" hidden="1" customWidth="1"/>
    <col min="40" max="40" width="18.765625" style="114" hidden="1" customWidth="1"/>
    <col min="41" max="41" width="17.3046875" style="114" hidden="1" customWidth="1"/>
    <col min="42" max="42" width="71.69140625" style="114" hidden="1" customWidth="1"/>
    <col min="43" max="43" width="9.23046875" style="114" hidden="1" customWidth="1"/>
    <col min="44" max="44" width="21.3046875" style="114" hidden="1" customWidth="1"/>
    <col min="45" max="45" width="9.4609375" style="114" hidden="1" customWidth="1"/>
    <col min="46" max="46" width="55.69140625" style="114" hidden="1" customWidth="1"/>
    <col min="47" max="47" width="13.69140625" style="114" hidden="1" customWidth="1"/>
    <col min="48" max="48" width="146.921875" style="114" hidden="1" customWidth="1"/>
    <col min="49" max="49" width="151.84375" style="114" hidden="1" customWidth="1"/>
    <col min="50" max="56" width="9.23046875" style="114" hidden="1" customWidth="1"/>
    <col min="57" max="57" width="0" style="114" hidden="1" customWidth="1"/>
    <col min="58" max="16384" width="9.23046875" style="114"/>
  </cols>
  <sheetData>
    <row r="1" spans="1:52" s="299" customFormat="1" ht="29.15" x14ac:dyDescent="0.4">
      <c r="A1" s="425" t="s">
        <v>931</v>
      </c>
      <c r="B1" s="425" t="s">
        <v>932</v>
      </c>
      <c r="C1" s="426" t="s">
        <v>933</v>
      </c>
      <c r="D1" s="425" t="s">
        <v>934</v>
      </c>
      <c r="E1" s="425" t="s">
        <v>844</v>
      </c>
      <c r="F1" s="425" t="s">
        <v>1019</v>
      </c>
      <c r="G1" s="434" t="s">
        <v>980</v>
      </c>
      <c r="H1" s="435" t="s">
        <v>981</v>
      </c>
      <c r="I1" s="436" t="s">
        <v>936</v>
      </c>
      <c r="J1" s="437" t="s">
        <v>937</v>
      </c>
      <c r="K1" s="427" t="s">
        <v>982</v>
      </c>
      <c r="L1" s="438" t="str">
        <f>_VRF!A1</f>
        <v>Power Supply</v>
      </c>
      <c r="M1" s="438" t="str">
        <f>_VRF!B1</f>
        <v>Type</v>
      </c>
      <c r="N1" s="434" t="str">
        <f>_VRF!C1</f>
        <v>Run &amp; Fault Lights</v>
      </c>
      <c r="O1" s="439" t="str">
        <f>_VRF!D1</f>
        <v>Timeclock</v>
      </c>
      <c r="P1" s="439" t="str">
        <f>_VRF!E1</f>
        <v>Status to Other Units</v>
      </c>
      <c r="Q1" s="439" t="str">
        <f>_VRF!F1</f>
        <v>Push Button</v>
      </c>
      <c r="R1" s="435" t="str">
        <f>_VRF!G1</f>
        <v>Run Status Light</v>
      </c>
      <c r="S1" s="114"/>
      <c r="T1" s="114"/>
      <c r="U1" s="114"/>
      <c r="V1" s="428" t="s">
        <v>1020</v>
      </c>
      <c r="W1" s="299" t="s">
        <v>676</v>
      </c>
      <c r="X1" s="299" t="s">
        <v>1021</v>
      </c>
      <c r="Y1" s="299" t="s">
        <v>1022</v>
      </c>
      <c r="Z1" s="299" t="s">
        <v>1023</v>
      </c>
      <c r="AA1" s="299" t="s">
        <v>1024</v>
      </c>
      <c r="AB1" s="299" t="s">
        <v>990</v>
      </c>
      <c r="AC1" s="299" t="s">
        <v>1025</v>
      </c>
      <c r="AD1" s="299" t="s">
        <v>676</v>
      </c>
      <c r="AE1" s="299" t="s">
        <v>1021</v>
      </c>
      <c r="AF1" s="299" t="s">
        <v>1022</v>
      </c>
      <c r="AG1" s="299" t="s">
        <v>1023</v>
      </c>
      <c r="AH1" s="299" t="s">
        <v>1024</v>
      </c>
      <c r="AI1" s="299" t="s">
        <v>990</v>
      </c>
      <c r="AM1" s="299" t="s">
        <v>1026</v>
      </c>
      <c r="AN1" s="299">
        <f>MAX('@Fan'!Z:Z)</f>
        <v>0</v>
      </c>
    </row>
    <row r="2" spans="1:52" x14ac:dyDescent="0.4">
      <c r="A2" s="429" t="str">
        <f>IF(COUNTBLANK(N2:R2)=0,"VALID","INVALID")</f>
        <v>INVALID</v>
      </c>
      <c r="B2" s="430" t="str">
        <f>_xlfn.CONCAT("VRF ",(ROW()-1))</f>
        <v>VRF 1</v>
      </c>
      <c r="C2" s="431">
        <f>IFERROR(E2*I2,0)</f>
        <v>0</v>
      </c>
      <c r="D2" s="430">
        <f>IFERROR(IF(ISBLANK(G2),J2*E2,G2*E2),0)</f>
        <v>0</v>
      </c>
      <c r="E2" s="430"/>
      <c r="F2" s="430">
        <f t="shared" ref="F2:F23" si="0">IF(COUNTBLANK(H2)=0,H2,IF(M2="Indoor",10,IF(L2="Local",5,20)))</f>
        <v>20</v>
      </c>
      <c r="G2" s="440"/>
      <c r="H2" s="441"/>
      <c r="I2" s="440" t="e">
        <f>F2*VLOOKUP("7030 2 pair TCAS7302P",'Part List'!$A:$G,3,FALSE)*AE2
+IF(M2="Controller",VLOOKUP(M2,_VRF!L:N,2,FALSE)
+VLOOKUP($N$1,_VRF!L:N,2,FALSE)*AE2
+VLOOKUP($O$1,_VRF!L:N,2,FALSE)*AF2
+VLOOKUP($P$1,_VRF!L:N,2,FALSE)*AG2
+VLOOKUP($Q$1,_VRF!L:N,2,FALSE)*AH2
+VLOOKUP($R$1,_VRF!L:N,2,FALSE)*AI2
+(VLOOKUP("Network cable",'Part List'!$A:$G,3,FALSE)+VLOOKUP("2.5mm Twin and Earth",'Part List'!$A:$G,3,FALSE))*F2,
IF(M2="PAC",VLOOKUP(M2,_VRF!L:N,2,FALSE)
+VLOOKUP($N$1,_VRF!L:N,2,FALSE)*AE2
+VLOOKUP($O$1,_VRF!L:N,2,FALSE)*AF2
+VLOOKUP($P$1,_VRF!L:N,2,FALSE)*AG2
+VLOOKUP($Q$1,_VRF!L:N,2,FALSE)*AH2
+VLOOKUP($R$1,_VRF!L:N,2,FALSE)*AI2
+VLOOKUP("6mm Cable 3 core and Earth",'Part List'!$A:$G,3,FALSE)*F2,
IF(M2="Branch Box",VLOOKUP(M2,_VRF!L:N,2,FALSE)
+VLOOKUP($N$1,_VRF!L:N,2,FALSE)*AE2
+VLOOKUP($O$1,_VRF!L:N,2,FALSE)*AF2
+VLOOKUP($P$1,_VRF!L:N,2,FALSE)*AG2
+VLOOKUP($Q$1,_VRF!L:N,2,FALSE)*AH2
+VLOOKUP($R$1,_VRF!L:N,2,FALSE)*AI2
+(VLOOKUP("2.5mm Twin and Earth",'Part List'!$A:$G,3,FALSE)+VLOOKUP("7030 2 pair TCAS7302P",'Part List'!$A:$G,3,FALSE))*F2,
+IF(NOT(M2="Split"),IF(OR(M2="Outdoor",M2="Indoor"),0,VLOOKUP(AD2,_VRF!L:N,2,FALSE)+VLOOKUP(M2,_VRF!L:N,2,FALSE))
+VLOOKUP($N$1,_VRF!L:N,2,FALSE)*AE2
+VLOOKUP($O$1,_VRF!L:N,2,FALSE)*AF2
+VLOOKUP($P$1,_VRF!L:N,2,FALSE)*AG2
+VLOOKUP($Q$1,_VRF!L:N,2,FALSE)*AH2
+VLOOKUP($R$1,_VRF!L:N,2,FALSE)*AI2
+VLOOKUP(IF(M2="Outdoor","4mm Cable 3 core and Earth","2.5mm Twin and Earth"),'Part List'!$A:$G,3,FALSE)*F2
+IF(M2="Indoor",VLOOKUP("7030 2 pair TCAS7302P",'Part List'!$A:$G,3,FALSE),0)*F2
+VLOOKUP(IF(M2="Outdoor",IF(L2="Local","Outdoor_Local","Outdoor_MSSB"),0),_VRF!L:N,2,FALSE)
+IF(M2="Indoor",VLOOKUP(M2,_VRF!L:N,2,FALSE),0),
VLOOKUP(M2,_VRF!L:N,2,FALSE)
+(VLOOKUP("7030 2 pair TCAS7302P",'Part List'!$A:$G,3,FALSE)+2*VLOOKUP("2.5mm Twin and Earth",'Part List'!$A:$G,3,FALSE))*F2
+VLOOKUP($N$1,_VRF!L:N,2,FALSE)*AE2
+VLOOKUP($O$1,_VRF!L:N,2,FALSE)*AF2
+VLOOKUP($P$1,_VRF!L:N,2,FALSE)*AG2
+VLOOKUP($Q$1,_VRF!L:N,2,FALSE)*AH2
+VLOOKUP($R$1,_VRF!L:N,2,FALSE)*AI2))))</f>
        <v>#N/A</v>
      </c>
      <c r="J2" s="441" t="e">
        <f>F2*VLOOKUP("7030 2 pair TCAS7302P",'Part List'!$A:$G,5,FALSE)*AE2+
+
IF(M2="Controller",VLOOKUP(M2,_VRF!L:N,3,FALSE)
+VLOOKUP($N$1,_VRF!L:N,3,FALSE)*AE2
+VLOOKUP($O$1,_VRF!L:N,3,FALSE)*AF2
+VLOOKUP($P$1,_VRF!L:N,3,FALSE)*AG2
+VLOOKUP($Q$1,_VRF!L:N,3,FALSE)*AH2
+VLOOKUP($R$1,_VRF!L:N,3,FALSE)*AI2
+(VLOOKUP("Network cable",'Part List'!$A:$G,5,FALSE)+VLOOKUP("2.5mm Twin and Earth",'Part List'!$A:$G,5,FALSE))*F2,
IF(M2="PAC",VLOOKUP(M2,_VRF!L:N,3,FALSE)
+VLOOKUP($N$1,_VRF!L:N,3,FALSE)*AE2
+VLOOKUP($O$1,_VRF!L:N,3,FALSE)*AF2
+VLOOKUP($P$1,_VRF!L:N,3,FALSE)*AG2
+VLOOKUP($Q$1,_VRF!L:N,3,FALSE)*AH2
+VLOOKUP($R$1,_VRF!L:N,3,FALSE)*AI2
+VLOOKUP("6mm Cable 3 core and Earth",'Part List'!$A:$G,5,FALSE)*F2,
IF(M2="Branch Box",VLOOKUP(M2,_VRF!L:N,3,FALSE)
+VLOOKUP($N$1,_VRF!L:N,3,FALSE)*AE2
+VLOOKUP($O$1,_VRF!L:N,3,FALSE)*AF2
+VLOOKUP($P$1,_VRF!L:N,3,FALSE)*AG2
+VLOOKUP($Q$1,_VRF!L:N,3,FALSE)*AH2
+VLOOKUP($R$1,_VRF!L:N,3,FALSE)*AI2
+(VLOOKUP("2.5mm Twin and Earth",'Part List'!$A:$G,5,FALSE)+VLOOKUP("7030 2 pair TCAS7302P",'Part List'!$A:$G,5,FALSE))*F2,
+IF(NOT(M2="Split"),IF(OR(M2="Outdoor",M2="Indoor"),0,VLOOKUP(AD2,_VRF!L:N,3,FALSE)+VLOOKUP(M2,_VRF!L:N,3,FALSE))
+VLOOKUP($N$1,_VRF!L:N,3,FALSE)*AE2
+VLOOKUP($O$1,_VRF!L:N,3,FALSE)*AF2
+VLOOKUP($P$1,_VRF!L:N,3,FALSE)*AG2
+VLOOKUP($Q$1,_VRF!L:N,3,FALSE)*AH2
+VLOOKUP($R$1,_VRF!L:N,3,FALSE)*AI2
+VLOOKUP(IF(M2="Outdoor","4mm Cable 3 core and Earth","2.5mm Twin and Earth"),'Part List'!$A:$G,5,FALSE)*F2
+IF(M2="Indoor",VLOOKUP("7030 2 pair TCAS7302P",'Part List'!$A:$G,5,FALSE),0)*F2
+VLOOKUP(IF(M2="Outdoor",IF(L2="Local","Outdoor_Local","Outdoor_MSSB"),0),_VRF!L:N,3,FALSE)
+IF(M2="Indoor",VLOOKUP(M2,_VRF!L:N,3,FALSE),0),
VLOOKUP(M2,_VRF!L:N,3,FALSE)
+(VLOOKUP("7030 2 pair TCAS7302P",'Part List'!$A:$G,5,FALSE)+2*VLOOKUP("2.5mm Twin and Earth",'Part List'!$A:$G,5,FALSE))*F2
+VLOOKUP($N$1,_VRF!L:N,3,FALSE)*AE2
+VLOOKUP($O$1,_VRF!L:N,3,FALSE)*AF2
+VLOOKUP($P$1,_VRF!L:N,3,FALSE)*AG2
+VLOOKUP($Q$1,_VRF!L:N,3,FALSE)*AH2
+VLOOKUP($R$1,_VRF!L:N,3,FALSE)*AI2))))</f>
        <v>#N/A</v>
      </c>
      <c r="K2" s="430" t="e">
        <f>_xlfn.CONCAT(VLOOKUP(M2,_VRF!$A$39:$C$44,3,FALSE), "-",
IF(N2="Yes", 1, 0)*X2, IF(O2="Yes", 1, 0)*Y2, IF(P2="Yes", 1, 0)*Z2, AA2*IF(Q2="Yes", 1, 0),IF(R2="Yes", 1, 0)*AB2,IF(W2 = 1, IF(L2="Local", "-L", "-M"),""))</f>
        <v>#N/A</v>
      </c>
      <c r="L2" s="432" t="s">
        <v>678</v>
      </c>
      <c r="M2" s="432"/>
      <c r="N2" s="440"/>
      <c r="O2" s="440"/>
      <c r="P2" s="440"/>
      <c r="Q2" s="440"/>
      <c r="R2" s="440"/>
      <c r="S2" s="114" t="str">
        <f>IF(A2 = "VALID", AM2, "")</f>
        <v/>
      </c>
      <c r="W2" s="114" t="e">
        <f>VLOOKUP($M2,_VRF!$A$26:$G$31, 2, FALSE)</f>
        <v>#N/A</v>
      </c>
      <c r="X2" s="114" t="e">
        <f>VLOOKUP($M2,_VRF!$A$26:$G$31, 3, FALSE)</f>
        <v>#N/A</v>
      </c>
      <c r="Y2" s="114" t="e">
        <f>VLOOKUP($M2,_VRF!$A$26:$G$31, 4, FALSE)</f>
        <v>#N/A</v>
      </c>
      <c r="Z2" s="114" t="e">
        <f>VLOOKUP($M2,_VRF!$A$26:$G$31, 5, FALSE)</f>
        <v>#N/A</v>
      </c>
      <c r="AA2" s="114" t="e">
        <f>VLOOKUP($M2,_VRF!$A$26:$G$31, 6, FALSE)</f>
        <v>#N/A</v>
      </c>
      <c r="AB2" s="114" t="e">
        <f>VLOOKUP($M2,_VRF!$A$26:$G$31, 7, FALSE)</f>
        <v>#N/A</v>
      </c>
      <c r="AD2" s="114" t="e">
        <f>IF(W2=1,L2, 0)</f>
        <v>#N/A</v>
      </c>
      <c r="AE2" s="114">
        <f>IF(N2="Yes",X2, 0)</f>
        <v>0</v>
      </c>
      <c r="AF2" s="114">
        <f t="shared" ref="AF2:AI17" si="1">IF(O2="Yes",Y2, 0)</f>
        <v>0</v>
      </c>
      <c r="AG2" s="114">
        <f t="shared" si="1"/>
        <v>0</v>
      </c>
      <c r="AH2" s="114">
        <f t="shared" si="1"/>
        <v>0</v>
      </c>
      <c r="AI2" s="114">
        <f t="shared" si="1"/>
        <v>0</v>
      </c>
      <c r="AM2" s="432" t="str">
        <f>IF(A2="VALID",_xlfn.CONCAT("
",AT2,"
",REPT(" ",8),AU2,"
",REPT(" ",8),AV2,"
",REPT(" ", 8),AW2, "
"),"")</f>
        <v/>
      </c>
      <c r="AN2" s="114">
        <f t="shared" ref="AN2:AN22" si="2" xml:space="preserve"> IF(AND(E2&gt;0,A2="VALID"),AN1+1,AN1)</f>
        <v>0</v>
      </c>
      <c r="AO2" s="114" t="str">
        <f>_xlfn.CONCAT(E2," (",VLOOKUP(E2,[1]Backend!C:D,2,FALSE),")")</f>
        <v xml:space="preserve"> (Zero)</v>
      </c>
      <c r="AP2" s="114" t="str">
        <f>_xlfn.CONCAT(AN2," - Electrical power supply and controls to ",AO2," ",VLOOKUP(M2,_VRF!$A$39:$G$48,2,FALSE))</f>
        <v xml:space="preserve">0 - Electrical power supply and controls to  (Zero) </v>
      </c>
      <c r="AQ2" s="114" t="str">
        <f>IF(SUM(AE2:AI2)&gt;0," with: "," ")</f>
        <v xml:space="preserve"> </v>
      </c>
      <c r="AR2" s="114" t="str">
        <f>_xlfn.CONCAT(
IF(M2 = "Yes",_xlfn.CONCAT($M$1, ", "),""),
IF(N2 = "Yes",_xlfn.CONCAT($N$1, ", "),""),
IF(O2 = "Yes",_xlfn.CONCAT($O$1, ", "),""),
IF(P2 = "Yes",_xlfn.CONCAT($P$1, ", "),""),
IF(Q2 = "Yes",_xlfn.CONCAT($Q$1, ", "),""),
IF(R2 = "Yes",_xlfn.CONCAT($R$1, ", "),""))</f>
        <v/>
      </c>
      <c r="AS2" s="114" t="e">
        <f>IF(AD2=0,"",_xlfn.CONCAT("from ",L2, " Power Supply"))</f>
        <v>#N/A</v>
      </c>
      <c r="AT2" s="114" t="e">
        <f>_xlfn.CONCAT(AP2,AQ2,AR2,AS2)</f>
        <v>#N/A</v>
      </c>
      <c r="AU2" s="114" t="str">
        <f>_xlfn.CONCAT(AN2,".1 - This includes supply and install of power and controls.")</f>
        <v>0.1 - This includes supply and install of power and controls.</v>
      </c>
      <c r="AV2" s="114" t="str">
        <f>_xlfn.CONCAT(AN2,".2 - Power for system includes: ",VLOOKUP(L2,_VRF!L:O,4,FALSE))</f>
        <v xml:space="preserve">0.2 - Power for system includes: CB and cabling to unit from MSSB, and local isolator, </v>
      </c>
      <c r="AW2" s="114" t="e">
        <f>IF(OR((AD2="Local"),SUM(AE2:AI2)&gt;0),_xlfn.CONCAT(AN2,".3 - Controls for system includes: ",_xlfn.CONCAT(AX2,IF(AD2="Local","controls enclosure.","")),""),"")</f>
        <v>#N/A</v>
      </c>
      <c r="AX2" s="114" t="str">
        <f>_xlfn.CONCAT(
IF(M2="Yes",VLOOKUP(M$1,_VRF!L:Z,4,FALSE),""),
IF(N2="Yes",VLOOKUP(N$1,_VRF!L:Z,4,FALSE),""),
IF(O2="Yes",VLOOKUP(O$1,_VRF!L:Z,4,FALSE),""),
IF(P2="Yes",VLOOKUP(P$1,_VRF!L:Z,4,FALSE),""),
IF(Q2="Yes",VLOOKUP(Q$1,_VRF!L:Z,4,FALSE),""),
IF(R2="Yes",VLOOKUP(R$1,_VRF!L:Z,4,FALSE),""))</f>
        <v/>
      </c>
      <c r="AZ2" s="114" t="str">
        <f>_xlfn.CONCAT(VLOOKUP(M2,_VRF!$A$39:$G$48,2,FALSE),AQ2,AR2,)</f>
        <v xml:space="preserve"> </v>
      </c>
    </row>
    <row r="3" spans="1:52" x14ac:dyDescent="0.4">
      <c r="A3" s="429" t="str">
        <f t="shared" ref="A3:A23" si="3">IF(COUNTBLANK(N3:R3)=0,"VALID","INVALID")</f>
        <v>INVALID</v>
      </c>
      <c r="B3" s="430" t="str">
        <f t="shared" ref="B3:B23" si="4">_xlfn.CONCAT("VRF ",(ROW()-1))</f>
        <v>VRF 2</v>
      </c>
      <c r="C3" s="431">
        <f t="shared" ref="C3:C23" si="5">IFERROR(E3*I3,0)</f>
        <v>0</v>
      </c>
      <c r="D3" s="430">
        <f t="shared" ref="D3:D23" si="6">IFERROR(IF(ISBLANK(G3),J3*E3,G3*E3),0)</f>
        <v>0</v>
      </c>
      <c r="E3" s="430"/>
      <c r="F3" s="430">
        <f t="shared" si="0"/>
        <v>5</v>
      </c>
      <c r="G3" s="440"/>
      <c r="H3" s="441"/>
      <c r="I3" s="440" t="e">
        <f>F3*VLOOKUP("7030 2 pair TCAS7302P",'Part List'!$A:$G,3,FALSE)*AE3
+IF(M3="Controller",VLOOKUP(M3,_VRF!L:N,2,FALSE)
+VLOOKUP($N$1,_VRF!L:N,2,FALSE)*AE3
+VLOOKUP($O$1,_VRF!L:N,2,FALSE)*AF3
+VLOOKUP($P$1,_VRF!L:N,2,FALSE)*AG3
+VLOOKUP($Q$1,_VRF!L:N,2,FALSE)*AH3
+VLOOKUP($R$1,_VRF!L:N,2,FALSE)*AI3
+(VLOOKUP("Network cable",'Part List'!$A:$G,3,FALSE)+VLOOKUP("2.5mm Twin and Earth",'Part List'!$A:$G,3,FALSE))*F3,
IF(M3="PAC",VLOOKUP(M3,_VRF!L:N,2,FALSE)
+VLOOKUP($N$1,_VRF!L:N,2,FALSE)*AE3
+VLOOKUP($O$1,_VRF!L:N,2,FALSE)*AF3
+VLOOKUP($P$1,_VRF!L:N,2,FALSE)*AG3
+VLOOKUP($Q$1,_VRF!L:N,2,FALSE)*AH3
+VLOOKUP($R$1,_VRF!L:N,2,FALSE)*AI3
+VLOOKUP("6mm Cable 3 core and Earth",'Part List'!$A:$G,3,FALSE)*F3,
IF(M3="Branch Box",VLOOKUP(M3,_VRF!L:N,2,FALSE)
+VLOOKUP($N$1,_VRF!L:N,2,FALSE)*AE3
+VLOOKUP($O$1,_VRF!L:N,2,FALSE)*AF3
+VLOOKUP($P$1,_VRF!L:N,2,FALSE)*AG3
+VLOOKUP($Q$1,_VRF!L:N,2,FALSE)*AH3
+VLOOKUP($R$1,_VRF!L:N,2,FALSE)*AI3
+(VLOOKUP("2.5mm Twin and Earth",'Part List'!$A:$G,3,FALSE)+VLOOKUP("7030 2 pair TCAS7302P",'Part List'!$A:$G,3,FALSE))*F3,
+IF(NOT(M3="Split"),IF(OR(M3="Outdoor",M3="Indoor"),0,VLOOKUP(AD3,_VRF!L:N,2,FALSE)+VLOOKUP(M3,_VRF!L:N,2,FALSE))
+VLOOKUP($N$1,_VRF!L:N,2,FALSE)*AE3
+VLOOKUP($O$1,_VRF!L:N,2,FALSE)*AF3
+VLOOKUP($P$1,_VRF!L:N,2,FALSE)*AG3
+VLOOKUP($Q$1,_VRF!L:N,2,FALSE)*AH3
+VLOOKUP($R$1,_VRF!L:N,2,FALSE)*AI3
+VLOOKUP(IF(M3="Outdoor","4mm Cable 3 core and Earth","2.5mm Twin and Earth"),'Part List'!$A:$G,3,FALSE)*F3
+IF(M3="Indoor",VLOOKUP("7030 2 pair TCAS7302P",'Part List'!$A:$G,3,FALSE),0)*F3
+VLOOKUP(IF(M3="Outdoor",IF(L3="Local","Outdoor_Local","Outdoor_MSSB"),0),_VRF!L:N,2,FALSE)
+IF(M3="Indoor",VLOOKUP(M3,_VRF!L:N,2,FALSE),0),
VLOOKUP(M3,_VRF!L:N,2,FALSE)
+(VLOOKUP("7030 2 pair TCAS7302P",'Part List'!$A:$G,3,FALSE)+2*VLOOKUP("2.5mm Twin and Earth",'Part List'!$A:$G,3,FALSE))*F3
+VLOOKUP($N$1,_VRF!L:N,2,FALSE)*AE3
+VLOOKUP($O$1,_VRF!L:N,2,FALSE)*AF3
+VLOOKUP($P$1,_VRF!L:N,2,FALSE)*AG3
+VLOOKUP($Q$1,_VRF!L:N,2,FALSE)*AH3
+VLOOKUP($R$1,_VRF!L:N,2,FALSE)*AI3))))</f>
        <v>#N/A</v>
      </c>
      <c r="J3" s="441" t="e">
        <f>F3*VLOOKUP("7030 2 pair TCAS7302P",'Part List'!$A:$G,5,FALSE)*AE3+
+
IF(M3="Controller",VLOOKUP(M3,_VRF!L:N,3,FALSE)
+VLOOKUP($N$1,_VRF!L:N,3,FALSE)*AE3
+VLOOKUP($O$1,_VRF!L:N,3,FALSE)*AF3
+VLOOKUP($P$1,_VRF!L:N,3,FALSE)*AG3
+VLOOKUP($Q$1,_VRF!L:N,3,FALSE)*AH3
+VLOOKUP($R$1,_VRF!L:N,3,FALSE)*AI3
+(VLOOKUP("Network cable",'Part List'!$A:$G,5,FALSE)+VLOOKUP("2.5mm Twin and Earth",'Part List'!$A:$G,5,FALSE))*F3,
IF(M3="PAC",VLOOKUP(M3,_VRF!L:N,3,FALSE)
+VLOOKUP($N$1,_VRF!L:N,3,FALSE)*AE3
+VLOOKUP($O$1,_VRF!L:N,3,FALSE)*AF3
+VLOOKUP($P$1,_VRF!L:N,3,FALSE)*AG3
+VLOOKUP($Q$1,_VRF!L:N,3,FALSE)*AH3
+VLOOKUP($R$1,_VRF!L:N,3,FALSE)*AI3
+VLOOKUP("6mm Cable 3 core and Earth",'Part List'!$A:$G,5,FALSE)*F3,
IF(M3="Branch Box",VLOOKUP(M3,_VRF!L:N,3,FALSE)
+VLOOKUP($N$1,_VRF!L:N,3,FALSE)*AE3
+VLOOKUP($O$1,_VRF!L:N,3,FALSE)*AF3
+VLOOKUP($P$1,_VRF!L:N,3,FALSE)*AG3
+VLOOKUP($Q$1,_VRF!L:N,3,FALSE)*AH3
+VLOOKUP($R$1,_VRF!L:N,3,FALSE)*AI3
+(VLOOKUP("2.5mm Twin and Earth",'Part List'!$A:$G,5,FALSE)+VLOOKUP("7030 2 pair TCAS7302P",'Part List'!$A:$G,5,FALSE))*F3,
+IF(NOT(M3="Split"),IF(OR(M3="Outdoor",M3="Indoor"),0,VLOOKUP(AD3,_VRF!L:N,3,FALSE)+VLOOKUP(M3,_VRF!L:N,3,FALSE))
+VLOOKUP($N$1,_VRF!L:N,3,FALSE)*AE3
+VLOOKUP($O$1,_VRF!L:N,3,FALSE)*AF3
+VLOOKUP($P$1,_VRF!L:N,3,FALSE)*AG3
+VLOOKUP($Q$1,_VRF!L:N,3,FALSE)*AH3
+VLOOKUP($R$1,_VRF!L:N,3,FALSE)*AI3
+VLOOKUP(IF(M3="Outdoor","4mm Cable 3 core and Earth","2.5mm Twin and Earth"),'Part List'!$A:$G,5,FALSE)*F3
+IF(M3="Indoor",VLOOKUP("7030 2 pair TCAS7302P",'Part List'!$A:$G,5,FALSE),0)*F3
+VLOOKUP(IF(M3="Outdoor",IF(L3="Local","Outdoor_Local","Outdoor_MSSB"),0),_VRF!L:N,3,FALSE)
+IF(M3="Indoor",VLOOKUP(M3,_VRF!L:N,3,FALSE),0),
VLOOKUP(M3,_VRF!L:N,3,FALSE)
+(VLOOKUP("7030 2 pair TCAS7302P",'Part List'!$A:$G,5,FALSE)+2*VLOOKUP("2.5mm Twin and Earth",'Part List'!$A:$G,5,FALSE))*F3
+VLOOKUP($N$1,_VRF!L:N,3,FALSE)*AE3
+VLOOKUP($O$1,_VRF!L:N,3,FALSE)*AF3
+VLOOKUP($P$1,_VRF!L:N,3,FALSE)*AG3
+VLOOKUP($Q$1,_VRF!L:N,3,FALSE)*AH3
+VLOOKUP($R$1,_VRF!L:N,3,FALSE)*AI3))))</f>
        <v>#N/A</v>
      </c>
      <c r="K3" s="430" t="e">
        <f>_xlfn.CONCAT(VLOOKUP(M3,_VRF!$A$39:$C$44,3,FALSE), "-",
IF(N3="Yes", 1, 0)*X3, IF(O3="Yes", 1, 0)*Y3, IF(P3="Yes", 1, 0)*Z3, AA3*IF(Q3="Yes", 1, 0),IF(R3="Yes", 1, 0)*AB3,IF(W3 = 1, IF(L3="Local", "-L", "-M"),""))</f>
        <v>#N/A</v>
      </c>
      <c r="L3" s="432" t="s">
        <v>991</v>
      </c>
      <c r="M3" s="432"/>
      <c r="N3" s="440"/>
      <c r="O3" s="440"/>
      <c r="P3" s="440"/>
      <c r="Q3" s="440"/>
      <c r="R3" s="440"/>
      <c r="S3" s="114" t="str">
        <f t="shared" ref="S3:S25" si="7">IF(A3 = "VALID", AM3, "")</f>
        <v/>
      </c>
      <c r="W3" s="114" t="e">
        <f>VLOOKUP($M3,_VRF!$A$26:$G$31, 2, FALSE)</f>
        <v>#N/A</v>
      </c>
      <c r="X3" s="114" t="e">
        <f>VLOOKUP($M3,_VRF!$A$26:$G$31, 3, FALSE)</f>
        <v>#N/A</v>
      </c>
      <c r="Y3" s="114" t="e">
        <f>VLOOKUP($M3,_VRF!$A$26:$G$31, 4, FALSE)</f>
        <v>#N/A</v>
      </c>
      <c r="Z3" s="114" t="e">
        <f>VLOOKUP($M3,_VRF!$A$26:$G$31, 5, FALSE)</f>
        <v>#N/A</v>
      </c>
      <c r="AA3" s="114" t="e">
        <f>VLOOKUP($M3,_VRF!$A$26:$G$31, 6, FALSE)</f>
        <v>#N/A</v>
      </c>
      <c r="AB3" s="114" t="e">
        <f>VLOOKUP($M3,_VRF!$A$26:$G$31, 7, FALSE)</f>
        <v>#N/A</v>
      </c>
      <c r="AD3" s="114" t="e">
        <f t="shared" ref="AD3:AD23" si="8">IF(W3=1,L3, 0)</f>
        <v>#N/A</v>
      </c>
      <c r="AE3" s="114">
        <f t="shared" ref="AE3:AI19" si="9">IF(N3="Yes",X3, 0)</f>
        <v>0</v>
      </c>
      <c r="AF3" s="114">
        <f t="shared" si="1"/>
        <v>0</v>
      </c>
      <c r="AG3" s="114">
        <f t="shared" si="1"/>
        <v>0</v>
      </c>
      <c r="AH3" s="114">
        <f t="shared" si="1"/>
        <v>0</v>
      </c>
      <c r="AI3" s="114">
        <f t="shared" si="1"/>
        <v>0</v>
      </c>
      <c r="AM3" s="432" t="str">
        <f t="shared" ref="AM3:AM23" si="10">IF(A3="VALID",_xlfn.CONCAT("
",AT3,"
",REPT(" ",8),AU3,"
",REPT(" ",8),AV3,"
",REPT(" ", 8),AW3, "
"),"")</f>
        <v/>
      </c>
      <c r="AN3" s="114">
        <f t="shared" si="2"/>
        <v>0</v>
      </c>
      <c r="AO3" s="114" t="str">
        <f>_xlfn.CONCAT(E3," (",VLOOKUP(E3,[1]Backend!C:D,2,FALSE),")")</f>
        <v xml:space="preserve"> (Zero)</v>
      </c>
      <c r="AP3" s="114" t="str">
        <f>_xlfn.CONCAT(AN3," - Electrical power supply and controls to ",AO3," ",VLOOKUP(M3,_VRF!$A$39:$G$48,2,FALSE))</f>
        <v xml:space="preserve">0 - Electrical power supply and controls to  (Zero) </v>
      </c>
      <c r="AQ3" s="114" t="str">
        <f t="shared" ref="AQ3:AQ22" si="11">IF(SUM(AE3:AI3)&gt;0," with: "," ")</f>
        <v xml:space="preserve"> </v>
      </c>
      <c r="AR3" s="114" t="str">
        <f t="shared" ref="AR3:AR22" si="12">_xlfn.CONCAT(
IF(M3 = "Yes",_xlfn.CONCAT($M$1, ", "),""),
IF(N3 = "Yes",_xlfn.CONCAT($N$1, ", "),""),
IF(O3 = "Yes",_xlfn.CONCAT($O$1, ", "),""),
IF(P3 = "Yes",_xlfn.CONCAT($P$1, ", "),""),
IF(Q3 = "Yes",_xlfn.CONCAT($Q$1, ", "),""),
IF(R3 = "Yes",_xlfn.CONCAT($R$1, ", "),""))</f>
        <v/>
      </c>
      <c r="AS3" s="114" t="e">
        <f t="shared" ref="AS3:AS22" si="13">IF(AD3=0,"",_xlfn.CONCAT("from ",L3, " Power Supply"))</f>
        <v>#N/A</v>
      </c>
      <c r="AT3" s="114" t="e">
        <f t="shared" ref="AT3:AT22" si="14">_xlfn.CONCAT(AP3,AQ3,AR3,AS3)</f>
        <v>#N/A</v>
      </c>
      <c r="AU3" s="114" t="str">
        <f t="shared" ref="AU3:AU22" si="15">_xlfn.CONCAT(AN3,".1 - This includes supply and install of power and controls.")</f>
        <v>0.1 - This includes supply and install of power and controls.</v>
      </c>
      <c r="AV3" s="114" t="str">
        <f>_xlfn.CONCAT(AN3,".2 - Power for system includes: ",VLOOKUP(L3,_VRF!L:O,4,FALSE))</f>
        <v xml:space="preserve">0.2 - Power for system includes: cabling to unit and control panel (from Builder's Electrician's isolator) and local isolator, </v>
      </c>
      <c r="AW3" s="114" t="e">
        <f t="shared" ref="AW3:AW23" si="16">IF(OR((AD3="Local"),SUM(AE3:AI3)&gt;0),_xlfn.CONCAT(AN3,".3 - Controls for system includes: ",_xlfn.CONCAT(AX3,IF(AD3="Local","controls enclosure.","")),""),"")</f>
        <v>#N/A</v>
      </c>
      <c r="AX3" s="114" t="str">
        <f>_xlfn.CONCAT(
IF(M3="Yes",VLOOKUP(M$1,_VRF!L:Z,4,FALSE),""),
IF(N3="Yes",VLOOKUP(N$1,_VRF!L:Z,4,FALSE),""),
IF(O3="Yes",VLOOKUP(O$1,_VRF!L:Z,4,FALSE),""),
IF(P3="Yes",VLOOKUP(P$1,_VRF!L:Z,4,FALSE),""),
IF(Q3="Yes",VLOOKUP(Q$1,_VRF!L:Z,4,FALSE),""),
IF(R3="Yes",VLOOKUP(R$1,_VRF!L:Z,4,FALSE),""))</f>
        <v/>
      </c>
      <c r="AZ3" s="114" t="str">
        <f>_xlfn.CONCAT(VLOOKUP(M3,_VRF!$A$39:$G$48,2,FALSE),AQ3,AR3,)</f>
        <v xml:space="preserve"> </v>
      </c>
    </row>
    <row r="4" spans="1:52" x14ac:dyDescent="0.4">
      <c r="A4" s="429" t="str">
        <f t="shared" si="3"/>
        <v>INVALID</v>
      </c>
      <c r="B4" s="430" t="str">
        <f t="shared" si="4"/>
        <v>VRF 3</v>
      </c>
      <c r="C4" s="431">
        <f t="shared" si="5"/>
        <v>0</v>
      </c>
      <c r="D4" s="430">
        <f t="shared" si="6"/>
        <v>0</v>
      </c>
      <c r="E4" s="430"/>
      <c r="F4" s="430">
        <f t="shared" si="0"/>
        <v>5</v>
      </c>
      <c r="G4" s="440"/>
      <c r="H4" s="441"/>
      <c r="I4" s="440" t="e">
        <f>F4*VLOOKUP("7030 2 pair TCAS7302P",'Part List'!$A:$G,3,FALSE)*AE4
+IF(M4="Controller",VLOOKUP(M4,_VRF!L:N,2,FALSE)
+VLOOKUP($N$1,_VRF!L:N,2,FALSE)*AE4
+VLOOKUP($O$1,_VRF!L:N,2,FALSE)*AF4
+VLOOKUP($P$1,_VRF!L:N,2,FALSE)*AG4
+VLOOKUP($Q$1,_VRF!L:N,2,FALSE)*AH4
+VLOOKUP($R$1,_VRF!L:N,2,FALSE)*AI4
+(VLOOKUP("Network cable",'Part List'!$A:$G,3,FALSE)+VLOOKUP("2.5mm Twin and Earth",'Part List'!$A:$G,3,FALSE))*F4,
IF(M4="PAC",VLOOKUP(M4,_VRF!L:N,2,FALSE)
+VLOOKUP($N$1,_VRF!L:N,2,FALSE)*AE4
+VLOOKUP($O$1,_VRF!L:N,2,FALSE)*AF4
+VLOOKUP($P$1,_VRF!L:N,2,FALSE)*AG4
+VLOOKUP($Q$1,_VRF!L:N,2,FALSE)*AH4
+VLOOKUP($R$1,_VRF!L:N,2,FALSE)*AI4
+VLOOKUP("6mm Cable 3 core and Earth",'Part List'!$A:$G,3,FALSE)*F4,
IF(M4="Branch Box",VLOOKUP(M4,_VRF!L:N,2,FALSE)
+VLOOKUP($N$1,_VRF!L:N,2,FALSE)*AE4
+VLOOKUP($O$1,_VRF!L:N,2,FALSE)*AF4
+VLOOKUP($P$1,_VRF!L:N,2,FALSE)*AG4
+VLOOKUP($Q$1,_VRF!L:N,2,FALSE)*AH4
+VLOOKUP($R$1,_VRF!L:N,2,FALSE)*AI4
+(VLOOKUP("2.5mm Twin and Earth",'Part List'!$A:$G,3,FALSE)+VLOOKUP("7030 2 pair TCAS7302P",'Part List'!$A:$G,3,FALSE))*F4,
+IF(NOT(M4="Split"),IF(OR(M4="Outdoor",M4="Indoor"),0,VLOOKUP(AD4,_VRF!L:N,2,FALSE)+VLOOKUP(M4,_VRF!L:N,2,FALSE))
+VLOOKUP($N$1,_VRF!L:N,2,FALSE)*AE4
+VLOOKUP($O$1,_VRF!L:N,2,FALSE)*AF4
+VLOOKUP($P$1,_VRF!L:N,2,FALSE)*AG4
+VLOOKUP($Q$1,_VRF!L:N,2,FALSE)*AH4
+VLOOKUP($R$1,_VRF!L:N,2,FALSE)*AI4
+VLOOKUP(IF(M4="Outdoor","4mm Cable 3 core and Earth","2.5mm Twin and Earth"),'Part List'!$A:$G,3,FALSE)*F4
+IF(M4="Indoor",VLOOKUP("7030 2 pair TCAS7302P",'Part List'!$A:$G,3,FALSE),0)*F4
+VLOOKUP(IF(M4="Outdoor",IF(L4="Local","Outdoor_Local","Outdoor_MSSB"),0),_VRF!L:N,2,FALSE)
+IF(M4="Indoor",VLOOKUP(M4,_VRF!L:N,2,FALSE),0),
VLOOKUP(M4,_VRF!L:N,2,FALSE)
+(VLOOKUP("7030 2 pair TCAS7302P",'Part List'!$A:$G,3,FALSE)+2*VLOOKUP("2.5mm Twin and Earth",'Part List'!$A:$G,3,FALSE))*F4
+VLOOKUP($N$1,_VRF!L:N,2,FALSE)*AE4
+VLOOKUP($O$1,_VRF!L:N,2,FALSE)*AF4
+VLOOKUP($P$1,_VRF!L:N,2,FALSE)*AG4
+VLOOKUP($Q$1,_VRF!L:N,2,FALSE)*AH4
+VLOOKUP($R$1,_VRF!L:N,2,FALSE)*AI4))))</f>
        <v>#N/A</v>
      </c>
      <c r="J4" s="441" t="e">
        <f>F4*VLOOKUP("7030 2 pair TCAS7302P",'Part List'!$A:$G,5,FALSE)*AE4+
+
IF(M4="Controller",VLOOKUP(M4,_VRF!L:N,3,FALSE)
+VLOOKUP($N$1,_VRF!L:N,3,FALSE)*AE4
+VLOOKUP($O$1,_VRF!L:N,3,FALSE)*AF4
+VLOOKUP($P$1,_VRF!L:N,3,FALSE)*AG4
+VLOOKUP($Q$1,_VRF!L:N,3,FALSE)*AH4
+VLOOKUP($R$1,_VRF!L:N,3,FALSE)*AI4
+(VLOOKUP("Network cable",'Part List'!$A:$G,5,FALSE)+VLOOKUP("2.5mm Twin and Earth",'Part List'!$A:$G,5,FALSE))*F4,
IF(M4="PAC",VLOOKUP(M4,_VRF!L:N,3,FALSE)
+VLOOKUP($N$1,_VRF!L:N,3,FALSE)*AE4
+VLOOKUP($O$1,_VRF!L:N,3,FALSE)*AF4
+VLOOKUP($P$1,_VRF!L:N,3,FALSE)*AG4
+VLOOKUP($Q$1,_VRF!L:N,3,FALSE)*AH4
+VLOOKUP($R$1,_VRF!L:N,3,FALSE)*AI4
+VLOOKUP("6mm Cable 3 core and Earth",'Part List'!$A:$G,5,FALSE)*F4,
IF(M4="Branch Box",VLOOKUP(M4,_VRF!L:N,3,FALSE)
+VLOOKUP($N$1,_VRF!L:N,3,FALSE)*AE4
+VLOOKUP($O$1,_VRF!L:N,3,FALSE)*AF4
+VLOOKUP($P$1,_VRF!L:N,3,FALSE)*AG4
+VLOOKUP($Q$1,_VRF!L:N,3,FALSE)*AH4
+VLOOKUP($R$1,_VRF!L:N,3,FALSE)*AI4
+(VLOOKUP("2.5mm Twin and Earth",'Part List'!$A:$G,5,FALSE)+VLOOKUP("7030 2 pair TCAS7302P",'Part List'!$A:$G,5,FALSE))*F4,
+IF(NOT(M4="Split"),IF(OR(M4="Outdoor",M4="Indoor"),0,VLOOKUP(AD4,_VRF!L:N,3,FALSE)+VLOOKUP(M4,_VRF!L:N,3,FALSE))
+VLOOKUP($N$1,_VRF!L:N,3,FALSE)*AE4
+VLOOKUP($O$1,_VRF!L:N,3,FALSE)*AF4
+VLOOKUP($P$1,_VRF!L:N,3,FALSE)*AG4
+VLOOKUP($Q$1,_VRF!L:N,3,FALSE)*AH4
+VLOOKUP($R$1,_VRF!L:N,3,FALSE)*AI4
+VLOOKUP(IF(M4="Outdoor","4mm Cable 3 core and Earth","2.5mm Twin and Earth"),'Part List'!$A:$G,5,FALSE)*F4
+IF(M4="Indoor",VLOOKUP("7030 2 pair TCAS7302P",'Part List'!$A:$G,5,FALSE),0)*F4
+VLOOKUP(IF(M4="Outdoor",IF(L4="Local","Outdoor_Local","Outdoor_MSSB"),0),_VRF!L:N,3,FALSE)
+IF(M4="Indoor",VLOOKUP(M4,_VRF!L:N,3,FALSE),0),
VLOOKUP(M4,_VRF!L:N,3,FALSE)
+(VLOOKUP("7030 2 pair TCAS7302P",'Part List'!$A:$G,5,FALSE)+2*VLOOKUP("2.5mm Twin and Earth",'Part List'!$A:$G,5,FALSE))*F4
+VLOOKUP($N$1,_VRF!L:N,3,FALSE)*AE4
+VLOOKUP($O$1,_VRF!L:N,3,FALSE)*AF4
+VLOOKUP($P$1,_VRF!L:N,3,FALSE)*AG4
+VLOOKUP($Q$1,_VRF!L:N,3,FALSE)*AH4
+VLOOKUP($R$1,_VRF!L:N,3,FALSE)*AI4))))</f>
        <v>#N/A</v>
      </c>
      <c r="K4" s="430" t="e">
        <f>_xlfn.CONCAT(VLOOKUP(M4,_VRF!$A$39:$C$44,3,FALSE), "-",
IF(N4="Yes", 1, 0)*X4, IF(O4="Yes", 1, 0)*Y4, IF(P4="Yes", 1, 0)*Z4, AA4*IF(Q4="Yes", 1, 0),IF(R4="Yes", 1, 0)*AB4,IF(W4 = 1, IF(L4="Local", "-L", "-M"),""))</f>
        <v>#N/A</v>
      </c>
      <c r="L4" s="432" t="s">
        <v>991</v>
      </c>
      <c r="M4" s="432"/>
      <c r="N4" s="440"/>
      <c r="O4" s="440"/>
      <c r="P4" s="440"/>
      <c r="Q4" s="440"/>
      <c r="R4" s="440"/>
      <c r="S4" s="114" t="str">
        <f t="shared" si="7"/>
        <v/>
      </c>
      <c r="W4" s="114" t="e">
        <f>VLOOKUP($M4,_VRF!$A$26:$G$31, 2, FALSE)</f>
        <v>#N/A</v>
      </c>
      <c r="X4" s="114" t="e">
        <f>VLOOKUP($M4,_VRF!$A$26:$G$31, 3, FALSE)</f>
        <v>#N/A</v>
      </c>
      <c r="Y4" s="114" t="e">
        <f>VLOOKUP($M4,_VRF!$A$26:$G$31, 4, FALSE)</f>
        <v>#N/A</v>
      </c>
      <c r="Z4" s="114" t="e">
        <f>VLOOKUP($M4,_VRF!$A$26:$G$31, 5, FALSE)</f>
        <v>#N/A</v>
      </c>
      <c r="AA4" s="114" t="e">
        <f>VLOOKUP($M4,_VRF!$A$26:$G$31, 6, FALSE)</f>
        <v>#N/A</v>
      </c>
      <c r="AB4" s="114" t="e">
        <f>VLOOKUP($M4,_VRF!$A$26:$G$31, 7, FALSE)</f>
        <v>#N/A</v>
      </c>
      <c r="AD4" s="114" t="e">
        <f t="shared" si="8"/>
        <v>#N/A</v>
      </c>
      <c r="AE4" s="114">
        <f t="shared" si="9"/>
        <v>0</v>
      </c>
      <c r="AF4" s="114">
        <f t="shared" si="1"/>
        <v>0</v>
      </c>
      <c r="AG4" s="114">
        <f t="shared" si="1"/>
        <v>0</v>
      </c>
      <c r="AH4" s="114">
        <f t="shared" si="1"/>
        <v>0</v>
      </c>
      <c r="AI4" s="114">
        <f t="shared" si="1"/>
        <v>0</v>
      </c>
      <c r="AM4" s="432" t="str">
        <f t="shared" si="10"/>
        <v/>
      </c>
      <c r="AN4" s="114">
        <f t="shared" si="2"/>
        <v>0</v>
      </c>
      <c r="AO4" s="114" t="str">
        <f>_xlfn.CONCAT(E4," (",VLOOKUP(E4,[1]Backend!C:D,2,FALSE),")")</f>
        <v xml:space="preserve"> (Zero)</v>
      </c>
      <c r="AP4" s="114" t="str">
        <f>_xlfn.CONCAT(AN4," - Electrical power supply and controls to ",AO4," ",VLOOKUP(M4,_VRF!$A$39:$G$48,2,FALSE))</f>
        <v xml:space="preserve">0 - Electrical power supply and controls to  (Zero) </v>
      </c>
      <c r="AQ4" s="114" t="str">
        <f t="shared" si="11"/>
        <v xml:space="preserve"> </v>
      </c>
      <c r="AR4" s="114" t="str">
        <f t="shared" si="12"/>
        <v/>
      </c>
      <c r="AS4" s="114" t="e">
        <f t="shared" si="13"/>
        <v>#N/A</v>
      </c>
      <c r="AT4" s="114" t="e">
        <f t="shared" si="14"/>
        <v>#N/A</v>
      </c>
      <c r="AU4" s="114" t="str">
        <f t="shared" si="15"/>
        <v>0.1 - This includes supply and install of power and controls.</v>
      </c>
      <c r="AV4" s="114" t="str">
        <f>_xlfn.CONCAT(AN4,".2 - Power for system includes: ",VLOOKUP(L4,_VRF!L:O,4,FALSE))</f>
        <v xml:space="preserve">0.2 - Power for system includes: cabling to unit and control panel (from Builder's Electrician's isolator) and local isolator, </v>
      </c>
      <c r="AW4" s="114" t="e">
        <f t="shared" si="16"/>
        <v>#N/A</v>
      </c>
      <c r="AX4" s="114" t="str">
        <f>_xlfn.CONCAT(
IF(M4="Yes",VLOOKUP(M$1,_VRF!L:Z,4,FALSE),""),
IF(N4="Yes",VLOOKUP(N$1,_VRF!L:Z,4,FALSE),""),
IF(O4="Yes",VLOOKUP(O$1,_VRF!L:Z,4,FALSE),""),
IF(P4="Yes",VLOOKUP(P$1,_VRF!L:Z,4,FALSE),""),
IF(Q4="Yes",VLOOKUP(Q$1,_VRF!L:Z,4,FALSE),""),
IF(R4="Yes",VLOOKUP(R$1,_VRF!L:Z,4,FALSE),""))</f>
        <v/>
      </c>
      <c r="AZ4" s="114" t="str">
        <f>_xlfn.CONCAT(VLOOKUP(M4,_VRF!$A$39:$G$48,2,FALSE),AQ4,AR4,)</f>
        <v xml:space="preserve"> </v>
      </c>
    </row>
    <row r="5" spans="1:52" x14ac:dyDescent="0.4">
      <c r="A5" s="429" t="str">
        <f t="shared" si="3"/>
        <v>INVALID</v>
      </c>
      <c r="B5" s="430" t="str">
        <f t="shared" si="4"/>
        <v>VRF 4</v>
      </c>
      <c r="C5" s="431">
        <f t="shared" si="5"/>
        <v>0</v>
      </c>
      <c r="D5" s="430">
        <f t="shared" si="6"/>
        <v>0</v>
      </c>
      <c r="E5" s="430"/>
      <c r="F5" s="430">
        <f t="shared" si="0"/>
        <v>5</v>
      </c>
      <c r="G5" s="440"/>
      <c r="H5" s="441"/>
      <c r="I5" s="440" t="e">
        <f>F5*VLOOKUP("7030 2 pair TCAS7302P",'Part List'!$A:$G,3,FALSE)*AE5
+IF(M5="Controller",VLOOKUP(M5,_VRF!L:N,2,FALSE)
+VLOOKUP($N$1,_VRF!L:N,2,FALSE)*AE5
+VLOOKUP($O$1,_VRF!L:N,2,FALSE)*AF5
+VLOOKUP($P$1,_VRF!L:N,2,FALSE)*AG5
+VLOOKUP($Q$1,_VRF!L:N,2,FALSE)*AH5
+VLOOKUP($R$1,_VRF!L:N,2,FALSE)*AI5
+(VLOOKUP("Network cable",'Part List'!$A:$G,3,FALSE)+VLOOKUP("2.5mm Twin and Earth",'Part List'!$A:$G,3,FALSE))*F5,
IF(M5="PAC",VLOOKUP(M5,_VRF!L:N,2,FALSE)
+VLOOKUP($N$1,_VRF!L:N,2,FALSE)*AE5
+VLOOKUP($O$1,_VRF!L:N,2,FALSE)*AF5
+VLOOKUP($P$1,_VRF!L:N,2,FALSE)*AG5
+VLOOKUP($Q$1,_VRF!L:N,2,FALSE)*AH5
+VLOOKUP($R$1,_VRF!L:N,2,FALSE)*AI5
+VLOOKUP("6mm Cable 3 core and Earth",'Part List'!$A:$G,3,FALSE)*F5,
IF(M5="Branch Box",VLOOKUP(M5,_VRF!L:N,2,FALSE)
+VLOOKUP($N$1,_VRF!L:N,2,FALSE)*AE5
+VLOOKUP($O$1,_VRF!L:N,2,FALSE)*AF5
+VLOOKUP($P$1,_VRF!L:N,2,FALSE)*AG5
+VLOOKUP($Q$1,_VRF!L:N,2,FALSE)*AH5
+VLOOKUP($R$1,_VRF!L:N,2,FALSE)*AI5
+(VLOOKUP("2.5mm Twin and Earth",'Part List'!$A:$G,3,FALSE)+VLOOKUP("7030 2 pair TCAS7302P",'Part List'!$A:$G,3,FALSE))*F5,
+IF(NOT(M5="Split"),IF(OR(M5="Outdoor",M5="Indoor"),0,VLOOKUP(AD5,_VRF!L:N,2,FALSE)+VLOOKUP(M5,_VRF!L:N,2,FALSE))
+VLOOKUP($N$1,_VRF!L:N,2,FALSE)*AE5
+VLOOKUP($O$1,_VRF!L:N,2,FALSE)*AF5
+VLOOKUP($P$1,_VRF!L:N,2,FALSE)*AG5
+VLOOKUP($Q$1,_VRF!L:N,2,FALSE)*AH5
+VLOOKUP($R$1,_VRF!L:N,2,FALSE)*AI5
+VLOOKUP(IF(M5="Outdoor","4mm Cable 3 core and Earth","2.5mm Twin and Earth"),'Part List'!$A:$G,3,FALSE)*F5
+IF(M5="Indoor",VLOOKUP("7030 2 pair TCAS7302P",'Part List'!$A:$G,3,FALSE),0)*F5
+VLOOKUP(IF(M5="Outdoor",IF(L5="Local","Outdoor_Local","Outdoor_MSSB"),0),_VRF!L:N,2,FALSE)
+IF(M5="Indoor",VLOOKUP(M5,_VRF!L:N,2,FALSE),0),
VLOOKUP(M5,_VRF!L:N,2,FALSE)
+(VLOOKUP("7030 2 pair TCAS7302P",'Part List'!$A:$G,3,FALSE)+2*VLOOKUP("2.5mm Twin and Earth",'Part List'!$A:$G,3,FALSE))*F5
+VLOOKUP($N$1,_VRF!L:N,2,FALSE)*AE5
+VLOOKUP($O$1,_VRF!L:N,2,FALSE)*AF5
+VLOOKUP($P$1,_VRF!L:N,2,FALSE)*AG5
+VLOOKUP($Q$1,_VRF!L:N,2,FALSE)*AH5
+VLOOKUP($R$1,_VRF!L:N,2,FALSE)*AI5))))</f>
        <v>#N/A</v>
      </c>
      <c r="J5" s="441" t="e">
        <f>F5*VLOOKUP("7030 2 pair TCAS7302P",'Part List'!$A:$G,5,FALSE)*AE5+
+
IF(M5="Controller",VLOOKUP(M5,_VRF!L:N,3,FALSE)
+VLOOKUP($N$1,_VRF!L:N,3,FALSE)*AE5
+VLOOKUP($O$1,_VRF!L:N,3,FALSE)*AF5
+VLOOKUP($P$1,_VRF!L:N,3,FALSE)*AG5
+VLOOKUP($Q$1,_VRF!L:N,3,FALSE)*AH5
+VLOOKUP($R$1,_VRF!L:N,3,FALSE)*AI5
+(VLOOKUP("Network cable",'Part List'!$A:$G,5,FALSE)+VLOOKUP("2.5mm Twin and Earth",'Part List'!$A:$G,5,FALSE))*F5,
IF(M5="PAC",VLOOKUP(M5,_VRF!L:N,3,FALSE)
+VLOOKUP($N$1,_VRF!L:N,3,FALSE)*AE5
+VLOOKUP($O$1,_VRF!L:N,3,FALSE)*AF5
+VLOOKUP($P$1,_VRF!L:N,3,FALSE)*AG5
+VLOOKUP($Q$1,_VRF!L:N,3,FALSE)*AH5
+VLOOKUP($R$1,_VRF!L:N,3,FALSE)*AI5
+VLOOKUP("6mm Cable 3 core and Earth",'Part List'!$A:$G,5,FALSE)*F5,
IF(M5="Branch Box",VLOOKUP(M5,_VRF!L:N,3,FALSE)
+VLOOKUP($N$1,_VRF!L:N,3,FALSE)*AE5
+VLOOKUP($O$1,_VRF!L:N,3,FALSE)*AF5
+VLOOKUP($P$1,_VRF!L:N,3,FALSE)*AG5
+VLOOKUP($Q$1,_VRF!L:N,3,FALSE)*AH5
+VLOOKUP($R$1,_VRF!L:N,3,FALSE)*AI5
+(VLOOKUP("2.5mm Twin and Earth",'Part List'!$A:$G,5,FALSE)+VLOOKUP("7030 2 pair TCAS7302P",'Part List'!$A:$G,5,FALSE))*F5,
+IF(NOT(M5="Split"),IF(OR(M5="Outdoor",M5="Indoor"),0,VLOOKUP(AD5,_VRF!L:N,3,FALSE)+VLOOKUP(M5,_VRF!L:N,3,FALSE))
+VLOOKUP($N$1,_VRF!L:N,3,FALSE)*AE5
+VLOOKUP($O$1,_VRF!L:N,3,FALSE)*AF5
+VLOOKUP($P$1,_VRF!L:N,3,FALSE)*AG5
+VLOOKUP($Q$1,_VRF!L:N,3,FALSE)*AH5
+VLOOKUP($R$1,_VRF!L:N,3,FALSE)*AI5
+VLOOKUP(IF(M5="Outdoor","4mm Cable 3 core and Earth","2.5mm Twin and Earth"),'Part List'!$A:$G,5,FALSE)*F5
+IF(M5="Indoor",VLOOKUP("7030 2 pair TCAS7302P",'Part List'!$A:$G,5,FALSE),0)*F5
+VLOOKUP(IF(M5="Outdoor",IF(L5="Local","Outdoor_Local","Outdoor_MSSB"),0),_VRF!L:N,3,FALSE)
+IF(M5="Indoor",VLOOKUP(M5,_VRF!L:N,3,FALSE),0),
VLOOKUP(M5,_VRF!L:N,3,FALSE)
+(VLOOKUP("7030 2 pair TCAS7302P",'Part List'!$A:$G,5,FALSE)+2*VLOOKUP("2.5mm Twin and Earth",'Part List'!$A:$G,5,FALSE))*F5
+VLOOKUP($N$1,_VRF!L:N,3,FALSE)*AE5
+VLOOKUP($O$1,_VRF!L:N,3,FALSE)*AF5
+VLOOKUP($P$1,_VRF!L:N,3,FALSE)*AG5
+VLOOKUP($Q$1,_VRF!L:N,3,FALSE)*AH5
+VLOOKUP($R$1,_VRF!L:N,3,FALSE)*AI5))))</f>
        <v>#N/A</v>
      </c>
      <c r="K5" s="430" t="e">
        <f>_xlfn.CONCAT(VLOOKUP(M5,_VRF!$A$39:$C$44,3,FALSE), "-",
IF(N5="Yes", 1, 0)*X5, IF(O5="Yes", 1, 0)*Y5, IF(P5="Yes", 1, 0)*Z5, AA5*IF(Q5="Yes", 1, 0),IF(R5="Yes", 1, 0)*AB5,IF(W5 = 1, IF(L5="Local", "-L", "-M"),""))</f>
        <v>#N/A</v>
      </c>
      <c r="L5" s="432" t="s">
        <v>991</v>
      </c>
      <c r="M5" s="432"/>
      <c r="N5" s="440"/>
      <c r="O5" s="440"/>
      <c r="P5" s="440"/>
      <c r="Q5" s="440"/>
      <c r="R5" s="440"/>
      <c r="S5" s="114" t="str">
        <f t="shared" si="7"/>
        <v/>
      </c>
      <c r="W5" s="114" t="e">
        <f>VLOOKUP($M5,_VRF!$A$26:$G$31, 2, FALSE)</f>
        <v>#N/A</v>
      </c>
      <c r="X5" s="114" t="e">
        <f>VLOOKUP($M5,_VRF!$A$26:$G$31, 3, FALSE)</f>
        <v>#N/A</v>
      </c>
      <c r="Y5" s="114" t="e">
        <f>VLOOKUP($M5,_VRF!$A$26:$G$31, 4, FALSE)</f>
        <v>#N/A</v>
      </c>
      <c r="Z5" s="114" t="e">
        <f>VLOOKUP($M5,_VRF!$A$26:$G$31, 5, FALSE)</f>
        <v>#N/A</v>
      </c>
      <c r="AA5" s="114" t="e">
        <f>VLOOKUP($M5,_VRF!$A$26:$G$31, 6, FALSE)</f>
        <v>#N/A</v>
      </c>
      <c r="AB5" s="114" t="e">
        <f>VLOOKUP($M5,_VRF!$A$26:$G$31, 7, FALSE)</f>
        <v>#N/A</v>
      </c>
      <c r="AD5" s="114" t="e">
        <f t="shared" si="8"/>
        <v>#N/A</v>
      </c>
      <c r="AE5" s="114">
        <f t="shared" si="9"/>
        <v>0</v>
      </c>
      <c r="AF5" s="114">
        <f t="shared" si="1"/>
        <v>0</v>
      </c>
      <c r="AG5" s="114">
        <f t="shared" si="1"/>
        <v>0</v>
      </c>
      <c r="AH5" s="114">
        <f t="shared" si="1"/>
        <v>0</v>
      </c>
      <c r="AI5" s="114">
        <f t="shared" si="1"/>
        <v>0</v>
      </c>
      <c r="AM5" s="432" t="str">
        <f t="shared" si="10"/>
        <v/>
      </c>
      <c r="AN5" s="114">
        <f t="shared" si="2"/>
        <v>0</v>
      </c>
      <c r="AO5" s="114" t="str">
        <f>_xlfn.CONCAT(E5," (",VLOOKUP(E5,[1]Backend!C:D,2,FALSE),")")</f>
        <v xml:space="preserve"> (Zero)</v>
      </c>
      <c r="AP5" s="114" t="str">
        <f>_xlfn.CONCAT(AN5," - Electrical power supply and controls to ",AO5," ",VLOOKUP(M5,_VRF!$A$39:$G$48,2,FALSE))</f>
        <v xml:space="preserve">0 - Electrical power supply and controls to  (Zero) </v>
      </c>
      <c r="AQ5" s="114" t="str">
        <f t="shared" si="11"/>
        <v xml:space="preserve"> </v>
      </c>
      <c r="AR5" s="114" t="str">
        <f t="shared" si="12"/>
        <v/>
      </c>
      <c r="AS5" s="114" t="e">
        <f t="shared" si="13"/>
        <v>#N/A</v>
      </c>
      <c r="AT5" s="114" t="e">
        <f t="shared" si="14"/>
        <v>#N/A</v>
      </c>
      <c r="AU5" s="114" t="str">
        <f t="shared" si="15"/>
        <v>0.1 - This includes supply and install of power and controls.</v>
      </c>
      <c r="AV5" s="114" t="str">
        <f>_xlfn.CONCAT(AN5,".2 - Power for system includes: ",VLOOKUP(L5,_VRF!L:O,4,FALSE))</f>
        <v xml:space="preserve">0.2 - Power for system includes: cabling to unit and control panel (from Builder's Electrician's isolator) and local isolator, </v>
      </c>
      <c r="AW5" s="114" t="e">
        <f t="shared" si="16"/>
        <v>#N/A</v>
      </c>
      <c r="AX5" s="114" t="str">
        <f>_xlfn.CONCAT(
IF(M5="Yes",VLOOKUP(M$1,_VRF!L:Z,4,FALSE),""),
IF(N5="Yes",VLOOKUP(N$1,_VRF!L:Z,4,FALSE),""),
IF(O5="Yes",VLOOKUP(O$1,_VRF!L:Z,4,FALSE),""),
IF(P5="Yes",VLOOKUP(P$1,_VRF!L:Z,4,FALSE),""),
IF(Q5="Yes",VLOOKUP(Q$1,_VRF!L:Z,4,FALSE),""),
IF(R5="Yes",VLOOKUP(R$1,_VRF!L:Z,4,FALSE),""))</f>
        <v/>
      </c>
      <c r="AZ5" s="114" t="str">
        <f>_xlfn.CONCAT(VLOOKUP(M5,_VRF!$A$39:$G$48,2,FALSE),AQ5,AR5,)</f>
        <v xml:space="preserve"> </v>
      </c>
    </row>
    <row r="6" spans="1:52" x14ac:dyDescent="0.4">
      <c r="A6" s="429" t="str">
        <f t="shared" si="3"/>
        <v>INVALID</v>
      </c>
      <c r="B6" s="430" t="str">
        <f t="shared" si="4"/>
        <v>VRF 5</v>
      </c>
      <c r="C6" s="431">
        <f t="shared" si="5"/>
        <v>0</v>
      </c>
      <c r="D6" s="430">
        <f t="shared" si="6"/>
        <v>0</v>
      </c>
      <c r="E6" s="430"/>
      <c r="F6" s="430">
        <f t="shared" si="0"/>
        <v>20</v>
      </c>
      <c r="G6" s="440"/>
      <c r="H6" s="441"/>
      <c r="I6" s="440" t="e">
        <f>F6*VLOOKUP("7030 2 pair TCAS7302P",'Part List'!$A:$G,3,FALSE)*AE6
+IF(M6="Controller",VLOOKUP(M6,_VRF!L:N,2,FALSE)
+VLOOKUP($N$1,_VRF!L:N,2,FALSE)*AE6
+VLOOKUP($O$1,_VRF!L:N,2,FALSE)*AF6
+VLOOKUP($P$1,_VRF!L:N,2,FALSE)*AG6
+VLOOKUP($Q$1,_VRF!L:N,2,FALSE)*AH6
+VLOOKUP($R$1,_VRF!L:N,2,FALSE)*AI6
+(VLOOKUP("Network cable",'Part List'!$A:$G,3,FALSE)+VLOOKUP("2.5mm Twin and Earth",'Part List'!$A:$G,3,FALSE))*F6,
IF(M6="PAC",VLOOKUP(M6,_VRF!L:N,2,FALSE)
+VLOOKUP($N$1,_VRF!L:N,2,FALSE)*AE6
+VLOOKUP($O$1,_VRF!L:N,2,FALSE)*AF6
+VLOOKUP($P$1,_VRF!L:N,2,FALSE)*AG6
+VLOOKUP($Q$1,_VRF!L:N,2,FALSE)*AH6
+VLOOKUP($R$1,_VRF!L:N,2,FALSE)*AI6
+VLOOKUP("6mm Cable 3 core and Earth",'Part List'!$A:$G,3,FALSE)*F6,
IF(M6="Branch Box",VLOOKUP(M6,_VRF!L:N,2,FALSE)
+VLOOKUP($N$1,_VRF!L:N,2,FALSE)*AE6
+VLOOKUP($O$1,_VRF!L:N,2,FALSE)*AF6
+VLOOKUP($P$1,_VRF!L:N,2,FALSE)*AG6
+VLOOKUP($Q$1,_VRF!L:N,2,FALSE)*AH6
+VLOOKUP($R$1,_VRF!L:N,2,FALSE)*AI6
+(VLOOKUP("2.5mm Twin and Earth",'Part List'!$A:$G,3,FALSE)+VLOOKUP("7030 2 pair TCAS7302P",'Part List'!$A:$G,3,FALSE))*F6,
+IF(NOT(M6="Split"),IF(OR(M6="Outdoor",M6="Indoor"),0,VLOOKUP(AD6,_VRF!L:N,2,FALSE)+VLOOKUP(M6,_VRF!L:N,2,FALSE))
+VLOOKUP($N$1,_VRF!L:N,2,FALSE)*AE6
+VLOOKUP($O$1,_VRF!L:N,2,FALSE)*AF6
+VLOOKUP($P$1,_VRF!L:N,2,FALSE)*AG6
+VLOOKUP($Q$1,_VRF!L:N,2,FALSE)*AH6
+VLOOKUP($R$1,_VRF!L:N,2,FALSE)*AI6
+VLOOKUP(IF(M6="Outdoor","4mm Cable 3 core and Earth","2.5mm Twin and Earth"),'Part List'!$A:$G,3,FALSE)*F6
+IF(M6="Indoor",VLOOKUP("7030 2 pair TCAS7302P",'Part List'!$A:$G,3,FALSE),0)*F6
+VLOOKUP(IF(M6="Outdoor",IF(L6="Local","Outdoor_Local","Outdoor_MSSB"),0),_VRF!L:N,2,FALSE)
+IF(M6="Indoor",VLOOKUP(M6,_VRF!L:N,2,FALSE),0),
VLOOKUP(M6,_VRF!L:N,2,FALSE)
+(VLOOKUP("7030 2 pair TCAS7302P",'Part List'!$A:$G,3,FALSE)+2*VLOOKUP("2.5mm Twin and Earth",'Part List'!$A:$G,3,FALSE))*F6
+VLOOKUP($N$1,_VRF!L:N,2,FALSE)*AE6
+VLOOKUP($O$1,_VRF!L:N,2,FALSE)*AF6
+VLOOKUP($P$1,_VRF!L:N,2,FALSE)*AG6
+VLOOKUP($Q$1,_VRF!L:N,2,FALSE)*AH6
+VLOOKUP($R$1,_VRF!L:N,2,FALSE)*AI6))))</f>
        <v>#N/A</v>
      </c>
      <c r="J6" s="441" t="e">
        <f>F6*VLOOKUP("7030 2 pair TCAS7302P",'Part List'!$A:$G,5,FALSE)*AE6+
+
IF(M6="Controller",VLOOKUP(M6,_VRF!L:N,3,FALSE)
+VLOOKUP($N$1,_VRF!L:N,3,FALSE)*AE6
+VLOOKUP($O$1,_VRF!L:N,3,FALSE)*AF6
+VLOOKUP($P$1,_VRF!L:N,3,FALSE)*AG6
+VLOOKUP($Q$1,_VRF!L:N,3,FALSE)*AH6
+VLOOKUP($R$1,_VRF!L:N,3,FALSE)*AI6
+(VLOOKUP("Network cable",'Part List'!$A:$G,5,FALSE)+VLOOKUP("2.5mm Twin and Earth",'Part List'!$A:$G,5,FALSE))*F6,
IF(M6="PAC",VLOOKUP(M6,_VRF!L:N,3,FALSE)
+VLOOKUP($N$1,_VRF!L:N,3,FALSE)*AE6
+VLOOKUP($O$1,_VRF!L:N,3,FALSE)*AF6
+VLOOKUP($P$1,_VRF!L:N,3,FALSE)*AG6
+VLOOKUP($Q$1,_VRF!L:N,3,FALSE)*AH6
+VLOOKUP($R$1,_VRF!L:N,3,FALSE)*AI6
+VLOOKUP("6mm Cable 3 core and Earth",'Part List'!$A:$G,5,FALSE)*F6,
IF(M6="Branch Box",VLOOKUP(M6,_VRF!L:N,3,FALSE)
+VLOOKUP($N$1,_VRF!L:N,3,FALSE)*AE6
+VLOOKUP($O$1,_VRF!L:N,3,FALSE)*AF6
+VLOOKUP($P$1,_VRF!L:N,3,FALSE)*AG6
+VLOOKUP($Q$1,_VRF!L:N,3,FALSE)*AH6
+VLOOKUP($R$1,_VRF!L:N,3,FALSE)*AI6
+(VLOOKUP("2.5mm Twin and Earth",'Part List'!$A:$G,5,FALSE)+VLOOKUP("7030 2 pair TCAS7302P",'Part List'!$A:$G,5,FALSE))*F6,
+IF(NOT(M6="Split"),IF(OR(M6="Outdoor",M6="Indoor"),0,VLOOKUP(AD6,_VRF!L:N,3,FALSE)+VLOOKUP(M6,_VRF!L:N,3,FALSE))
+VLOOKUP($N$1,_VRF!L:N,3,FALSE)*AE6
+VLOOKUP($O$1,_VRF!L:N,3,FALSE)*AF6
+VLOOKUP($P$1,_VRF!L:N,3,FALSE)*AG6
+VLOOKUP($Q$1,_VRF!L:N,3,FALSE)*AH6
+VLOOKUP($R$1,_VRF!L:N,3,FALSE)*AI6
+VLOOKUP(IF(M6="Outdoor","4mm Cable 3 core and Earth","2.5mm Twin and Earth"),'Part List'!$A:$G,5,FALSE)*F6
+IF(M6="Indoor",VLOOKUP("7030 2 pair TCAS7302P",'Part List'!$A:$G,5,FALSE),0)*F6
+VLOOKUP(IF(M6="Outdoor",IF(L6="Local","Outdoor_Local","Outdoor_MSSB"),0),_VRF!L:N,3,FALSE)
+IF(M6="Indoor",VLOOKUP(M6,_VRF!L:N,3,FALSE),0),
VLOOKUP(M6,_VRF!L:N,3,FALSE)
+(VLOOKUP("7030 2 pair TCAS7302P",'Part List'!$A:$G,5,FALSE)+2*VLOOKUP("2.5mm Twin and Earth",'Part List'!$A:$G,5,FALSE))*F6
+VLOOKUP($N$1,_VRF!L:N,3,FALSE)*AE6
+VLOOKUP($O$1,_VRF!L:N,3,FALSE)*AF6
+VLOOKUP($P$1,_VRF!L:N,3,FALSE)*AG6
+VLOOKUP($Q$1,_VRF!L:N,3,FALSE)*AH6
+VLOOKUP($R$1,_VRF!L:N,3,FALSE)*AI6))))</f>
        <v>#N/A</v>
      </c>
      <c r="K6" s="430" t="e">
        <f>_xlfn.CONCAT(VLOOKUP(M6,_VRF!$A$39:$C$44,3,FALSE), "-",
IF(N6="Yes", 1, 0)*X6, IF(O6="Yes", 1, 0)*Y6, IF(P6="Yes", 1, 0)*Z6, AA6*IF(Q6="Yes", 1, 0),IF(R6="Yes", 1, 0)*AB6,IF(W6 = 1, IF(L6="Local", "-L", "-M"),""))</f>
        <v>#N/A</v>
      </c>
      <c r="L6" s="432" t="s">
        <v>678</v>
      </c>
      <c r="M6" s="432"/>
      <c r="N6" s="440"/>
      <c r="O6" s="440"/>
      <c r="P6" s="440"/>
      <c r="Q6" s="440"/>
      <c r="R6" s="440"/>
      <c r="S6" s="114" t="str">
        <f t="shared" si="7"/>
        <v/>
      </c>
      <c r="W6" s="114" t="e">
        <f>VLOOKUP($M6,_VRF!$A$26:$G$31, 2, FALSE)</f>
        <v>#N/A</v>
      </c>
      <c r="X6" s="114" t="e">
        <f>VLOOKUP($M6,_VRF!$A$26:$G$31, 3, FALSE)</f>
        <v>#N/A</v>
      </c>
      <c r="Y6" s="114" t="e">
        <f>VLOOKUP($M6,_VRF!$A$26:$G$31, 4, FALSE)</f>
        <v>#N/A</v>
      </c>
      <c r="Z6" s="114" t="e">
        <f>VLOOKUP($M6,_VRF!$A$26:$G$31, 5, FALSE)</f>
        <v>#N/A</v>
      </c>
      <c r="AA6" s="114" t="e">
        <f>VLOOKUP($M6,_VRF!$A$26:$G$31, 6, FALSE)</f>
        <v>#N/A</v>
      </c>
      <c r="AB6" s="114" t="e">
        <f>VLOOKUP($M6,_VRF!$A$26:$G$31, 7, FALSE)</f>
        <v>#N/A</v>
      </c>
      <c r="AD6" s="114" t="e">
        <f t="shared" si="8"/>
        <v>#N/A</v>
      </c>
      <c r="AE6" s="114">
        <f t="shared" si="9"/>
        <v>0</v>
      </c>
      <c r="AF6" s="114">
        <f t="shared" si="1"/>
        <v>0</v>
      </c>
      <c r="AG6" s="114">
        <f t="shared" si="1"/>
        <v>0</v>
      </c>
      <c r="AH6" s="114">
        <f t="shared" si="1"/>
        <v>0</v>
      </c>
      <c r="AI6" s="114">
        <f t="shared" si="1"/>
        <v>0</v>
      </c>
      <c r="AM6" s="432" t="str">
        <f t="shared" si="10"/>
        <v/>
      </c>
      <c r="AN6" s="114">
        <f t="shared" si="2"/>
        <v>0</v>
      </c>
      <c r="AO6" s="114" t="str">
        <f>_xlfn.CONCAT(E6," (",VLOOKUP(E6,[1]Backend!C:D,2,FALSE),")")</f>
        <v xml:space="preserve"> (Zero)</v>
      </c>
      <c r="AP6" s="114" t="str">
        <f>_xlfn.CONCAT(AN6," - Electrical power supply and controls to ",AO6," ",VLOOKUP(M6,_VRF!$A$39:$G$48,2,FALSE))</f>
        <v xml:space="preserve">0 - Electrical power supply and controls to  (Zero) </v>
      </c>
      <c r="AQ6" s="114" t="str">
        <f t="shared" si="11"/>
        <v xml:space="preserve"> </v>
      </c>
      <c r="AR6" s="114" t="str">
        <f t="shared" si="12"/>
        <v/>
      </c>
      <c r="AS6" s="114" t="e">
        <f t="shared" si="13"/>
        <v>#N/A</v>
      </c>
      <c r="AT6" s="114" t="e">
        <f t="shared" si="14"/>
        <v>#N/A</v>
      </c>
      <c r="AU6" s="114" t="str">
        <f t="shared" si="15"/>
        <v>0.1 - This includes supply and install of power and controls.</v>
      </c>
      <c r="AV6" s="114" t="str">
        <f>_xlfn.CONCAT(AN6,".2 - Power for system includes: ",VLOOKUP(L6,_VRF!L:O,4,FALSE))</f>
        <v xml:space="preserve">0.2 - Power for system includes: CB and cabling to unit from MSSB, and local isolator, </v>
      </c>
      <c r="AW6" s="114" t="e">
        <f t="shared" si="16"/>
        <v>#N/A</v>
      </c>
      <c r="AX6" s="114" t="str">
        <f>_xlfn.CONCAT(
IF(M6="Yes",VLOOKUP(M$1,_VRF!L:Z,4,FALSE),""),
IF(N6="Yes",VLOOKUP(N$1,_VRF!L:Z,4,FALSE),""),
IF(O6="Yes",VLOOKUP(O$1,_VRF!L:Z,4,FALSE),""),
IF(P6="Yes",VLOOKUP(P$1,_VRF!L:Z,4,FALSE),""),
IF(Q6="Yes",VLOOKUP(Q$1,_VRF!L:Z,4,FALSE),""),
IF(R6="Yes",VLOOKUP(R$1,_VRF!L:Z,4,FALSE),""))</f>
        <v/>
      </c>
      <c r="AZ6" s="114" t="str">
        <f>_xlfn.CONCAT(VLOOKUP(M6,_VRF!$A$39:$G$48,2,FALSE),AQ6,AR6,)</f>
        <v xml:space="preserve"> </v>
      </c>
    </row>
    <row r="7" spans="1:52" x14ac:dyDescent="0.4">
      <c r="A7" s="429" t="str">
        <f t="shared" si="3"/>
        <v>INVALID</v>
      </c>
      <c r="B7" s="430" t="str">
        <f t="shared" si="4"/>
        <v>VRF 6</v>
      </c>
      <c r="C7" s="431">
        <f t="shared" si="5"/>
        <v>0</v>
      </c>
      <c r="D7" s="430">
        <f t="shared" si="6"/>
        <v>0</v>
      </c>
      <c r="E7" s="430"/>
      <c r="F7" s="430">
        <f t="shared" si="0"/>
        <v>20</v>
      </c>
      <c r="G7" s="440"/>
      <c r="H7" s="441"/>
      <c r="I7" s="440" t="e">
        <f>F7*VLOOKUP("7030 2 pair TCAS7302P",'Part List'!$A:$G,3,FALSE)*AE7
+IF(M7="Controller",VLOOKUP(M7,_VRF!L:N,2,FALSE)
+VLOOKUP($N$1,_VRF!L:N,2,FALSE)*AE7
+VLOOKUP($O$1,_VRF!L:N,2,FALSE)*AF7
+VLOOKUP($P$1,_VRF!L:N,2,FALSE)*AG7
+VLOOKUP($Q$1,_VRF!L:N,2,FALSE)*AH7
+VLOOKUP($R$1,_VRF!L:N,2,FALSE)*AI7
+(VLOOKUP("Network cable",'Part List'!$A:$G,3,FALSE)+VLOOKUP("2.5mm Twin and Earth",'Part List'!$A:$G,3,FALSE))*F7,
IF(M7="PAC",VLOOKUP(M7,_VRF!L:N,2,FALSE)
+VLOOKUP($N$1,_VRF!L:N,2,FALSE)*AE7
+VLOOKUP($O$1,_VRF!L:N,2,FALSE)*AF7
+VLOOKUP($P$1,_VRF!L:N,2,FALSE)*AG7
+VLOOKUP($Q$1,_VRF!L:N,2,FALSE)*AH7
+VLOOKUP($R$1,_VRF!L:N,2,FALSE)*AI7
+VLOOKUP("6mm Cable 3 core and Earth",'Part List'!$A:$G,3,FALSE)*F7,
IF(M7="Branch Box",VLOOKUP(M7,_VRF!L:N,2,FALSE)
+VLOOKUP($N$1,_VRF!L:N,2,FALSE)*AE7
+VLOOKUP($O$1,_VRF!L:N,2,FALSE)*AF7
+VLOOKUP($P$1,_VRF!L:N,2,FALSE)*AG7
+VLOOKUP($Q$1,_VRF!L:N,2,FALSE)*AH7
+VLOOKUP($R$1,_VRF!L:N,2,FALSE)*AI7
+(VLOOKUP("2.5mm Twin and Earth",'Part List'!$A:$G,3,FALSE)+VLOOKUP("7030 2 pair TCAS7302P",'Part List'!$A:$G,3,FALSE))*F7,
+IF(NOT(M7="Split"),IF(OR(M7="Outdoor",M7="Indoor"),0,VLOOKUP(AD7,_VRF!L:N,2,FALSE)+VLOOKUP(M7,_VRF!L:N,2,FALSE))
+VLOOKUP($N$1,_VRF!L:N,2,FALSE)*AE7
+VLOOKUP($O$1,_VRF!L:N,2,FALSE)*AF7
+VLOOKUP($P$1,_VRF!L:N,2,FALSE)*AG7
+VLOOKUP($Q$1,_VRF!L:N,2,FALSE)*AH7
+VLOOKUP($R$1,_VRF!L:N,2,FALSE)*AI7
+VLOOKUP(IF(M7="Outdoor","4mm Cable 3 core and Earth","2.5mm Twin and Earth"),'Part List'!$A:$G,3,FALSE)*F7
+IF(M7="Indoor",VLOOKUP("7030 2 pair TCAS7302P",'Part List'!$A:$G,3,FALSE),0)*F7
+VLOOKUP(IF(M7="Outdoor",IF(L7="Local","Outdoor_Local","Outdoor_MSSB"),0),_VRF!L:N,2,FALSE)
+IF(M7="Indoor",VLOOKUP(M7,_VRF!L:N,2,FALSE),0),
VLOOKUP(M7,_VRF!L:N,2,FALSE)
+(VLOOKUP("7030 2 pair TCAS7302P",'Part List'!$A:$G,3,FALSE)+2*VLOOKUP("2.5mm Twin and Earth",'Part List'!$A:$G,3,FALSE))*F7
+VLOOKUP($N$1,_VRF!L:N,2,FALSE)*AE7
+VLOOKUP($O$1,_VRF!L:N,2,FALSE)*AF7
+VLOOKUP($P$1,_VRF!L:N,2,FALSE)*AG7
+VLOOKUP($Q$1,_VRF!L:N,2,FALSE)*AH7
+VLOOKUP($R$1,_VRF!L:N,2,FALSE)*AI7))))</f>
        <v>#N/A</v>
      </c>
      <c r="J7" s="441" t="e">
        <f>F7*VLOOKUP("7030 2 pair TCAS7302P",'Part List'!$A:$G,5,FALSE)*AE7+
+
IF(M7="Controller",VLOOKUP(M7,_VRF!L:N,3,FALSE)
+VLOOKUP($N$1,_VRF!L:N,3,FALSE)*AE7
+VLOOKUP($O$1,_VRF!L:N,3,FALSE)*AF7
+VLOOKUP($P$1,_VRF!L:N,3,FALSE)*AG7
+VLOOKUP($Q$1,_VRF!L:N,3,FALSE)*AH7
+VLOOKUP($R$1,_VRF!L:N,3,FALSE)*AI7
+(VLOOKUP("Network cable",'Part List'!$A:$G,5,FALSE)+VLOOKUP("2.5mm Twin and Earth",'Part List'!$A:$G,5,FALSE))*F7,
IF(M7="PAC",VLOOKUP(M7,_VRF!L:N,3,FALSE)
+VLOOKUP($N$1,_VRF!L:N,3,FALSE)*AE7
+VLOOKUP($O$1,_VRF!L:N,3,FALSE)*AF7
+VLOOKUP($P$1,_VRF!L:N,3,FALSE)*AG7
+VLOOKUP($Q$1,_VRF!L:N,3,FALSE)*AH7
+VLOOKUP($R$1,_VRF!L:N,3,FALSE)*AI7
+VLOOKUP("6mm Cable 3 core and Earth",'Part List'!$A:$G,5,FALSE)*F7,
IF(M7="Branch Box",VLOOKUP(M7,_VRF!L:N,3,FALSE)
+VLOOKUP($N$1,_VRF!L:N,3,FALSE)*AE7
+VLOOKUP($O$1,_VRF!L:N,3,FALSE)*AF7
+VLOOKUP($P$1,_VRF!L:N,3,FALSE)*AG7
+VLOOKUP($Q$1,_VRF!L:N,3,FALSE)*AH7
+VLOOKUP($R$1,_VRF!L:N,3,FALSE)*AI7
+(VLOOKUP("2.5mm Twin and Earth",'Part List'!$A:$G,5,FALSE)+VLOOKUP("7030 2 pair TCAS7302P",'Part List'!$A:$G,5,FALSE))*F7,
+IF(NOT(M7="Split"),IF(OR(M7="Outdoor",M7="Indoor"),0,VLOOKUP(AD7,_VRF!L:N,3,FALSE)+VLOOKUP(M7,_VRF!L:N,3,FALSE))
+VLOOKUP($N$1,_VRF!L:N,3,FALSE)*AE7
+VLOOKUP($O$1,_VRF!L:N,3,FALSE)*AF7
+VLOOKUP($P$1,_VRF!L:N,3,FALSE)*AG7
+VLOOKUP($Q$1,_VRF!L:N,3,FALSE)*AH7
+VLOOKUP($R$1,_VRF!L:N,3,FALSE)*AI7
+VLOOKUP(IF(M7="Outdoor","4mm Cable 3 core and Earth","2.5mm Twin and Earth"),'Part List'!$A:$G,5,FALSE)*F7
+IF(M7="Indoor",VLOOKUP("7030 2 pair TCAS7302P",'Part List'!$A:$G,5,FALSE),0)*F7
+VLOOKUP(IF(M7="Outdoor",IF(L7="Local","Outdoor_Local","Outdoor_MSSB"),0),_VRF!L:N,3,FALSE)
+IF(M7="Indoor",VLOOKUP(M7,_VRF!L:N,3,FALSE),0),
VLOOKUP(M7,_VRF!L:N,3,FALSE)
+(VLOOKUP("7030 2 pair TCAS7302P",'Part List'!$A:$G,5,FALSE)+2*VLOOKUP("2.5mm Twin and Earth",'Part List'!$A:$G,5,FALSE))*F7
+VLOOKUP($N$1,_VRF!L:N,3,FALSE)*AE7
+VLOOKUP($O$1,_VRF!L:N,3,FALSE)*AF7
+VLOOKUP($P$1,_VRF!L:N,3,FALSE)*AG7
+VLOOKUP($Q$1,_VRF!L:N,3,FALSE)*AH7
+VLOOKUP($R$1,_VRF!L:N,3,FALSE)*AI7))))</f>
        <v>#N/A</v>
      </c>
      <c r="K7" s="430" t="e">
        <f>_xlfn.CONCAT(VLOOKUP(M7,_VRF!$A$39:$C$44,3,FALSE), "-",
IF(N7="Yes", 1, 0)*X7, IF(O7="Yes", 1, 0)*Y7, IF(P7="Yes", 1, 0)*Z7, AA7*IF(Q7="Yes", 1, 0),IF(R7="Yes", 1, 0)*AB7,IF(W7 = 1, IF(L7="Local", "-L", "-M"),""))</f>
        <v>#N/A</v>
      </c>
      <c r="L7" s="432" t="s">
        <v>678</v>
      </c>
      <c r="M7" s="432"/>
      <c r="N7" s="440"/>
      <c r="O7" s="440"/>
      <c r="P7" s="440"/>
      <c r="Q7" s="440"/>
      <c r="R7" s="440"/>
      <c r="S7" s="114" t="str">
        <f t="shared" si="7"/>
        <v/>
      </c>
      <c r="W7" s="114" t="e">
        <f>VLOOKUP($M7,_VRF!$A$26:$G$31, 2, FALSE)</f>
        <v>#N/A</v>
      </c>
      <c r="X7" s="114" t="e">
        <f>VLOOKUP($M7,_VRF!$A$26:$G$31, 3, FALSE)</f>
        <v>#N/A</v>
      </c>
      <c r="Y7" s="114" t="e">
        <f>VLOOKUP($M7,_VRF!$A$26:$G$31, 4, FALSE)</f>
        <v>#N/A</v>
      </c>
      <c r="Z7" s="114" t="e">
        <f>VLOOKUP($M7,_VRF!$A$26:$G$31, 5, FALSE)</f>
        <v>#N/A</v>
      </c>
      <c r="AA7" s="114" t="e">
        <f>VLOOKUP($M7,_VRF!$A$26:$G$31, 6, FALSE)</f>
        <v>#N/A</v>
      </c>
      <c r="AB7" s="114" t="e">
        <f>VLOOKUP($M7,_VRF!$A$26:$G$31, 7, FALSE)</f>
        <v>#N/A</v>
      </c>
      <c r="AD7" s="114" t="e">
        <f t="shared" si="8"/>
        <v>#N/A</v>
      </c>
      <c r="AE7" s="114">
        <f t="shared" si="9"/>
        <v>0</v>
      </c>
      <c r="AF7" s="114">
        <f t="shared" si="1"/>
        <v>0</v>
      </c>
      <c r="AG7" s="114">
        <f t="shared" si="1"/>
        <v>0</v>
      </c>
      <c r="AH7" s="114">
        <f t="shared" si="1"/>
        <v>0</v>
      </c>
      <c r="AI7" s="114">
        <f t="shared" si="1"/>
        <v>0</v>
      </c>
      <c r="AM7" s="432" t="str">
        <f t="shared" si="10"/>
        <v/>
      </c>
      <c r="AN7" s="114">
        <f t="shared" si="2"/>
        <v>0</v>
      </c>
      <c r="AO7" s="114" t="str">
        <f>_xlfn.CONCAT(E7," (",VLOOKUP(E7,[1]Backend!C:D,2,FALSE),")")</f>
        <v xml:space="preserve"> (Zero)</v>
      </c>
      <c r="AP7" s="114" t="str">
        <f>_xlfn.CONCAT(AN7," - Electrical power supply and controls to ",AO7," ",VLOOKUP(M7,_VRF!$A$39:$G$48,2,FALSE))</f>
        <v xml:space="preserve">0 - Electrical power supply and controls to  (Zero) </v>
      </c>
      <c r="AQ7" s="114" t="str">
        <f t="shared" si="11"/>
        <v xml:space="preserve"> </v>
      </c>
      <c r="AR7" s="114" t="str">
        <f t="shared" si="12"/>
        <v/>
      </c>
      <c r="AS7" s="114" t="e">
        <f t="shared" si="13"/>
        <v>#N/A</v>
      </c>
      <c r="AT7" s="114" t="e">
        <f t="shared" si="14"/>
        <v>#N/A</v>
      </c>
      <c r="AU7" s="114" t="str">
        <f t="shared" si="15"/>
        <v>0.1 - This includes supply and install of power and controls.</v>
      </c>
      <c r="AV7" s="114" t="str">
        <f>_xlfn.CONCAT(AN7,".2 - Power for system includes: ",VLOOKUP(L7,_VRF!L:O,4,FALSE))</f>
        <v xml:space="preserve">0.2 - Power for system includes: CB and cabling to unit from MSSB, and local isolator, </v>
      </c>
      <c r="AW7" s="114" t="e">
        <f t="shared" si="16"/>
        <v>#N/A</v>
      </c>
      <c r="AX7" s="114" t="str">
        <f>_xlfn.CONCAT(
IF(M7="Yes",VLOOKUP(M$1,_VRF!L:Z,4,FALSE),""),
IF(N7="Yes",VLOOKUP(N$1,_VRF!L:Z,4,FALSE),""),
IF(O7="Yes",VLOOKUP(O$1,_VRF!L:Z,4,FALSE),""),
IF(P7="Yes",VLOOKUP(P$1,_VRF!L:Z,4,FALSE),""),
IF(Q7="Yes",VLOOKUP(Q$1,_VRF!L:Z,4,FALSE),""),
IF(R7="Yes",VLOOKUP(R$1,_VRF!L:Z,4,FALSE),""))</f>
        <v/>
      </c>
      <c r="AZ7" s="114" t="str">
        <f>_xlfn.CONCAT(VLOOKUP(M7,_VRF!$A$39:$G$48,2,FALSE),AQ7,AR7,)</f>
        <v xml:space="preserve"> </v>
      </c>
    </row>
    <row r="8" spans="1:52" x14ac:dyDescent="0.4">
      <c r="A8" s="429" t="str">
        <f t="shared" si="3"/>
        <v>INVALID</v>
      </c>
      <c r="B8" s="430" t="str">
        <f t="shared" si="4"/>
        <v>VRF 7</v>
      </c>
      <c r="C8" s="431">
        <f t="shared" si="5"/>
        <v>0</v>
      </c>
      <c r="D8" s="430">
        <f t="shared" si="6"/>
        <v>0</v>
      </c>
      <c r="E8" s="430"/>
      <c r="F8" s="430">
        <f t="shared" si="0"/>
        <v>20</v>
      </c>
      <c r="G8" s="440"/>
      <c r="H8" s="441"/>
      <c r="I8" s="440" t="e">
        <f>F8*VLOOKUP("7030 2 pair TCAS7302P",'Part List'!$A:$G,3,FALSE)*AE8
+IF(M8="Controller",VLOOKUP(M8,_VRF!L:N,2,FALSE)
+VLOOKUP($N$1,_VRF!L:N,2,FALSE)*AE8
+VLOOKUP($O$1,_VRF!L:N,2,FALSE)*AF8
+VLOOKUP($P$1,_VRF!L:N,2,FALSE)*AG8
+VLOOKUP($Q$1,_VRF!L:N,2,FALSE)*AH8
+VLOOKUP($R$1,_VRF!L:N,2,FALSE)*AI8
+(VLOOKUP("Network cable",'Part List'!$A:$G,3,FALSE)+VLOOKUP("2.5mm Twin and Earth",'Part List'!$A:$G,3,FALSE))*F8,
IF(M8="PAC",VLOOKUP(M8,_VRF!L:N,2,FALSE)
+VLOOKUP($N$1,_VRF!L:N,2,FALSE)*AE8
+VLOOKUP($O$1,_VRF!L:N,2,FALSE)*AF8
+VLOOKUP($P$1,_VRF!L:N,2,FALSE)*AG8
+VLOOKUP($Q$1,_VRF!L:N,2,FALSE)*AH8
+VLOOKUP($R$1,_VRF!L:N,2,FALSE)*AI8
+VLOOKUP("6mm Cable 3 core and Earth",'Part List'!$A:$G,3,FALSE)*F8,
IF(M8="Branch Box",VLOOKUP(M8,_VRF!L:N,2,FALSE)
+VLOOKUP($N$1,_VRF!L:N,2,FALSE)*AE8
+VLOOKUP($O$1,_VRF!L:N,2,FALSE)*AF8
+VLOOKUP($P$1,_VRF!L:N,2,FALSE)*AG8
+VLOOKUP($Q$1,_VRF!L:N,2,FALSE)*AH8
+VLOOKUP($R$1,_VRF!L:N,2,FALSE)*AI8
+(VLOOKUP("2.5mm Twin and Earth",'Part List'!$A:$G,3,FALSE)+VLOOKUP("7030 2 pair TCAS7302P",'Part List'!$A:$G,3,FALSE))*F8,
+IF(NOT(M8="Split"),IF(OR(M8="Outdoor",M8="Indoor"),0,VLOOKUP(AD8,_VRF!L:N,2,FALSE)+VLOOKUP(M8,_VRF!L:N,2,FALSE))
+VLOOKUP($N$1,_VRF!L:N,2,FALSE)*AE8
+VLOOKUP($O$1,_VRF!L:N,2,FALSE)*AF8
+VLOOKUP($P$1,_VRF!L:N,2,FALSE)*AG8
+VLOOKUP($Q$1,_VRF!L:N,2,FALSE)*AH8
+VLOOKUP($R$1,_VRF!L:N,2,FALSE)*AI8
+VLOOKUP(IF(M8="Outdoor","4mm Cable 3 core and Earth","2.5mm Twin and Earth"),'Part List'!$A:$G,3,FALSE)*F8
+IF(M8="Indoor",VLOOKUP("7030 2 pair TCAS7302P",'Part List'!$A:$G,3,FALSE),0)*F8
+VLOOKUP(IF(M8="Outdoor",IF(L8="Local","Outdoor_Local","Outdoor_MSSB"),0),_VRF!L:N,2,FALSE)
+IF(M8="Indoor",VLOOKUP(M8,_VRF!L:N,2,FALSE),0),
VLOOKUP(M8,_VRF!L:N,2,FALSE)
+(VLOOKUP("7030 2 pair TCAS7302P",'Part List'!$A:$G,3,FALSE)+2*VLOOKUP("2.5mm Twin and Earth",'Part List'!$A:$G,3,FALSE))*F8
+VLOOKUP($N$1,_VRF!L:N,2,FALSE)*AE8
+VLOOKUP($O$1,_VRF!L:N,2,FALSE)*AF8
+VLOOKUP($P$1,_VRF!L:N,2,FALSE)*AG8
+VLOOKUP($Q$1,_VRF!L:N,2,FALSE)*AH8
+VLOOKUP($R$1,_VRF!L:N,2,FALSE)*AI8))))</f>
        <v>#N/A</v>
      </c>
      <c r="J8" s="441" t="e">
        <f>F8*VLOOKUP("7030 2 pair TCAS7302P",'Part List'!$A:$G,5,FALSE)*AE8+
+
IF(M8="Controller",VLOOKUP(M8,_VRF!L:N,3,FALSE)
+VLOOKUP($N$1,_VRF!L:N,3,FALSE)*AE8
+VLOOKUP($O$1,_VRF!L:N,3,FALSE)*AF8
+VLOOKUP($P$1,_VRF!L:N,3,FALSE)*AG8
+VLOOKUP($Q$1,_VRF!L:N,3,FALSE)*AH8
+VLOOKUP($R$1,_VRF!L:N,3,FALSE)*AI8
+(VLOOKUP("Network cable",'Part List'!$A:$G,5,FALSE)+VLOOKUP("2.5mm Twin and Earth",'Part List'!$A:$G,5,FALSE))*F8,
IF(M8="PAC",VLOOKUP(M8,_VRF!L:N,3,FALSE)
+VLOOKUP($N$1,_VRF!L:N,3,FALSE)*AE8
+VLOOKUP($O$1,_VRF!L:N,3,FALSE)*AF8
+VLOOKUP($P$1,_VRF!L:N,3,FALSE)*AG8
+VLOOKUP($Q$1,_VRF!L:N,3,FALSE)*AH8
+VLOOKUP($R$1,_VRF!L:N,3,FALSE)*AI8
+VLOOKUP("6mm Cable 3 core and Earth",'Part List'!$A:$G,5,FALSE)*F8,
IF(M8="Branch Box",VLOOKUP(M8,_VRF!L:N,3,FALSE)
+VLOOKUP($N$1,_VRF!L:N,3,FALSE)*AE8
+VLOOKUP($O$1,_VRF!L:N,3,FALSE)*AF8
+VLOOKUP($P$1,_VRF!L:N,3,FALSE)*AG8
+VLOOKUP($Q$1,_VRF!L:N,3,FALSE)*AH8
+VLOOKUP($R$1,_VRF!L:N,3,FALSE)*AI8
+(VLOOKUP("2.5mm Twin and Earth",'Part List'!$A:$G,5,FALSE)+VLOOKUP("7030 2 pair TCAS7302P",'Part List'!$A:$G,5,FALSE))*F8,
+IF(NOT(M8="Split"),IF(OR(M8="Outdoor",M8="Indoor"),0,VLOOKUP(AD8,_VRF!L:N,3,FALSE)+VLOOKUP(M8,_VRF!L:N,3,FALSE))
+VLOOKUP($N$1,_VRF!L:N,3,FALSE)*AE8
+VLOOKUP($O$1,_VRF!L:N,3,FALSE)*AF8
+VLOOKUP($P$1,_VRF!L:N,3,FALSE)*AG8
+VLOOKUP($Q$1,_VRF!L:N,3,FALSE)*AH8
+VLOOKUP($R$1,_VRF!L:N,3,FALSE)*AI8
+VLOOKUP(IF(M8="Outdoor","4mm Cable 3 core and Earth","2.5mm Twin and Earth"),'Part List'!$A:$G,5,FALSE)*F8
+IF(M8="Indoor",VLOOKUP("7030 2 pair TCAS7302P",'Part List'!$A:$G,5,FALSE),0)*F8
+VLOOKUP(IF(M8="Outdoor",IF(L8="Local","Outdoor_Local","Outdoor_MSSB"),0),_VRF!L:N,3,FALSE)
+IF(M8="Indoor",VLOOKUP(M8,_VRF!L:N,3,FALSE),0),
VLOOKUP(M8,_VRF!L:N,3,FALSE)
+(VLOOKUP("7030 2 pair TCAS7302P",'Part List'!$A:$G,5,FALSE)+2*VLOOKUP("2.5mm Twin and Earth",'Part List'!$A:$G,5,FALSE))*F8
+VLOOKUP($N$1,_VRF!L:N,3,FALSE)*AE8
+VLOOKUP($O$1,_VRF!L:N,3,FALSE)*AF8
+VLOOKUP($P$1,_VRF!L:N,3,FALSE)*AG8
+VLOOKUP($Q$1,_VRF!L:N,3,FALSE)*AH8
+VLOOKUP($R$1,_VRF!L:N,3,FALSE)*AI8))))</f>
        <v>#N/A</v>
      </c>
      <c r="K8" s="430" t="e">
        <f>_xlfn.CONCAT(VLOOKUP(M8,_VRF!$A$39:$C$44,3,FALSE), "-",
IF(N8="Yes", 1, 0)*X8, IF(O8="Yes", 1, 0)*Y8, IF(P8="Yes", 1, 0)*Z8, AA8*IF(Q8="Yes", 1, 0),IF(R8="Yes", 1, 0)*AB8,IF(W8 = 1, IF(L8="Local", "-L", "-M"),""))</f>
        <v>#N/A</v>
      </c>
      <c r="L8" s="432" t="s">
        <v>678</v>
      </c>
      <c r="M8" s="432"/>
      <c r="N8" s="440"/>
      <c r="O8" s="440"/>
      <c r="P8" s="440"/>
      <c r="Q8" s="440"/>
      <c r="R8" s="440"/>
      <c r="S8" s="114" t="str">
        <f t="shared" si="7"/>
        <v/>
      </c>
      <c r="W8" s="114" t="e">
        <f>VLOOKUP($M8,_VRF!$A$26:$G$31, 2, FALSE)</f>
        <v>#N/A</v>
      </c>
      <c r="X8" s="114" t="e">
        <f>VLOOKUP($M8,_VRF!$A$26:$G$31, 3, FALSE)</f>
        <v>#N/A</v>
      </c>
      <c r="Y8" s="114" t="e">
        <f>VLOOKUP($M8,_VRF!$A$26:$G$31, 4, FALSE)</f>
        <v>#N/A</v>
      </c>
      <c r="Z8" s="114" t="e">
        <f>VLOOKUP($M8,_VRF!$A$26:$G$31, 5, FALSE)</f>
        <v>#N/A</v>
      </c>
      <c r="AA8" s="114" t="e">
        <f>VLOOKUP($M8,_VRF!$A$26:$G$31, 6, FALSE)</f>
        <v>#N/A</v>
      </c>
      <c r="AB8" s="114" t="e">
        <f>VLOOKUP($M8,_VRF!$A$26:$G$31, 7, FALSE)</f>
        <v>#N/A</v>
      </c>
      <c r="AD8" s="114" t="e">
        <f t="shared" si="8"/>
        <v>#N/A</v>
      </c>
      <c r="AE8" s="114">
        <f t="shared" si="9"/>
        <v>0</v>
      </c>
      <c r="AF8" s="114">
        <f t="shared" si="1"/>
        <v>0</v>
      </c>
      <c r="AG8" s="114">
        <f t="shared" si="1"/>
        <v>0</v>
      </c>
      <c r="AH8" s="114">
        <f t="shared" si="1"/>
        <v>0</v>
      </c>
      <c r="AI8" s="114">
        <f t="shared" si="1"/>
        <v>0</v>
      </c>
      <c r="AM8" s="432" t="str">
        <f t="shared" si="10"/>
        <v/>
      </c>
      <c r="AN8" s="114">
        <f t="shared" si="2"/>
        <v>0</v>
      </c>
      <c r="AO8" s="114" t="str">
        <f>_xlfn.CONCAT(E8," (",VLOOKUP(E8,[1]Backend!C:D,2,FALSE),")")</f>
        <v xml:space="preserve"> (Zero)</v>
      </c>
      <c r="AP8" s="114" t="str">
        <f>_xlfn.CONCAT(AN8," - Electrical power supply and controls to ",AO8," ",VLOOKUP(M8,_VRF!$A$39:$G$48,2,FALSE))</f>
        <v xml:space="preserve">0 - Electrical power supply and controls to  (Zero) </v>
      </c>
      <c r="AQ8" s="114" t="str">
        <f t="shared" si="11"/>
        <v xml:space="preserve"> </v>
      </c>
      <c r="AR8" s="114" t="str">
        <f t="shared" si="12"/>
        <v/>
      </c>
      <c r="AS8" s="114" t="e">
        <f t="shared" si="13"/>
        <v>#N/A</v>
      </c>
      <c r="AT8" s="114" t="e">
        <f t="shared" si="14"/>
        <v>#N/A</v>
      </c>
      <c r="AU8" s="114" t="str">
        <f t="shared" si="15"/>
        <v>0.1 - This includes supply and install of power and controls.</v>
      </c>
      <c r="AV8" s="114" t="str">
        <f>_xlfn.CONCAT(AN8,".2 - Power for system includes: ",VLOOKUP(L8,_VRF!L:O,4,FALSE))</f>
        <v xml:space="preserve">0.2 - Power for system includes: CB and cabling to unit from MSSB, and local isolator, </v>
      </c>
      <c r="AW8" s="114" t="e">
        <f t="shared" si="16"/>
        <v>#N/A</v>
      </c>
      <c r="AX8" s="114" t="str">
        <f>_xlfn.CONCAT(
IF(M8="Yes",VLOOKUP(M$1,_VRF!L:Z,4,FALSE),""),
IF(N8="Yes",VLOOKUP(N$1,_VRF!L:Z,4,FALSE),""),
IF(O8="Yes",VLOOKUP(O$1,_VRF!L:Z,4,FALSE),""),
IF(P8="Yes",VLOOKUP(P$1,_VRF!L:Z,4,FALSE),""),
IF(Q8="Yes",VLOOKUP(Q$1,_VRF!L:Z,4,FALSE),""),
IF(R8="Yes",VLOOKUP(R$1,_VRF!L:Z,4,FALSE),""))</f>
        <v/>
      </c>
      <c r="AZ8" s="114" t="str">
        <f>_xlfn.CONCAT(VLOOKUP(M8,_VRF!$A$39:$G$48,2,FALSE),AQ8,AR8,)</f>
        <v xml:space="preserve"> </v>
      </c>
    </row>
    <row r="9" spans="1:52" x14ac:dyDescent="0.4">
      <c r="A9" s="429" t="str">
        <f t="shared" si="3"/>
        <v>INVALID</v>
      </c>
      <c r="B9" s="430" t="str">
        <f t="shared" si="4"/>
        <v>VRF 8</v>
      </c>
      <c r="C9" s="431">
        <f t="shared" si="5"/>
        <v>0</v>
      </c>
      <c r="D9" s="430">
        <f t="shared" si="6"/>
        <v>0</v>
      </c>
      <c r="E9" s="430"/>
      <c r="F9" s="430">
        <f t="shared" si="0"/>
        <v>20</v>
      </c>
      <c r="G9" s="440"/>
      <c r="H9" s="441"/>
      <c r="I9" s="440" t="e">
        <f>F9*VLOOKUP("7030 2 pair TCAS7302P",'Part List'!$A:$G,3,FALSE)*AE9
+IF(M9="Controller",VLOOKUP(M9,_VRF!L:N,2,FALSE)
+VLOOKUP($N$1,_VRF!L:N,2,FALSE)*AE9
+VLOOKUP($O$1,_VRF!L:N,2,FALSE)*AF9
+VLOOKUP($P$1,_VRF!L:N,2,FALSE)*AG9
+VLOOKUP($Q$1,_VRF!L:N,2,FALSE)*AH9
+VLOOKUP($R$1,_VRF!L:N,2,FALSE)*AI9
+(VLOOKUP("Network cable",'Part List'!$A:$G,3,FALSE)+VLOOKUP("2.5mm Twin and Earth",'Part List'!$A:$G,3,FALSE))*F9,
IF(M9="PAC",VLOOKUP(M9,_VRF!L:N,2,FALSE)
+VLOOKUP($N$1,_VRF!L:N,2,FALSE)*AE9
+VLOOKUP($O$1,_VRF!L:N,2,FALSE)*AF9
+VLOOKUP($P$1,_VRF!L:N,2,FALSE)*AG9
+VLOOKUP($Q$1,_VRF!L:N,2,FALSE)*AH9
+VLOOKUP($R$1,_VRF!L:N,2,FALSE)*AI9
+VLOOKUP("6mm Cable 3 core and Earth",'Part List'!$A:$G,3,FALSE)*F9,
IF(M9="Branch Box",VLOOKUP(M9,_VRF!L:N,2,FALSE)
+VLOOKUP($N$1,_VRF!L:N,2,FALSE)*AE9
+VLOOKUP($O$1,_VRF!L:N,2,FALSE)*AF9
+VLOOKUP($P$1,_VRF!L:N,2,FALSE)*AG9
+VLOOKUP($Q$1,_VRF!L:N,2,FALSE)*AH9
+VLOOKUP($R$1,_VRF!L:N,2,FALSE)*AI9
+(VLOOKUP("2.5mm Twin and Earth",'Part List'!$A:$G,3,FALSE)+VLOOKUP("7030 2 pair TCAS7302P",'Part List'!$A:$G,3,FALSE))*F9,
+IF(NOT(M9="Split"),IF(OR(M9="Outdoor",M9="Indoor"),0,VLOOKUP(AD9,_VRF!L:N,2,FALSE)+VLOOKUP(M9,_VRF!L:N,2,FALSE))
+VLOOKUP($N$1,_VRF!L:N,2,FALSE)*AE9
+VLOOKUP($O$1,_VRF!L:N,2,FALSE)*AF9
+VLOOKUP($P$1,_VRF!L:N,2,FALSE)*AG9
+VLOOKUP($Q$1,_VRF!L:N,2,FALSE)*AH9
+VLOOKUP($R$1,_VRF!L:N,2,FALSE)*AI9
+VLOOKUP(IF(M9="Outdoor","4mm Cable 3 core and Earth","2.5mm Twin and Earth"),'Part List'!$A:$G,3,FALSE)*F9
+IF(M9="Indoor",VLOOKUP("7030 2 pair TCAS7302P",'Part List'!$A:$G,3,FALSE),0)*F9
+VLOOKUP(IF(M9="Outdoor",IF(L9="Local","Outdoor_Local","Outdoor_MSSB"),0),_VRF!L:N,2,FALSE)
+IF(M9="Indoor",VLOOKUP(M9,_VRF!L:N,2,FALSE),0),
VLOOKUP(M9,_VRF!L:N,2,FALSE)
+(VLOOKUP("7030 2 pair TCAS7302P",'Part List'!$A:$G,3,FALSE)+2*VLOOKUP("2.5mm Twin and Earth",'Part List'!$A:$G,3,FALSE))*F9
+VLOOKUP($N$1,_VRF!L:N,2,FALSE)*AE9
+VLOOKUP($O$1,_VRF!L:N,2,FALSE)*AF9
+VLOOKUP($P$1,_VRF!L:N,2,FALSE)*AG9
+VLOOKUP($Q$1,_VRF!L:N,2,FALSE)*AH9
+VLOOKUP($R$1,_VRF!L:N,2,FALSE)*AI9))))</f>
        <v>#N/A</v>
      </c>
      <c r="J9" s="441" t="e">
        <f>F9*VLOOKUP("7030 2 pair TCAS7302P",'Part List'!$A:$G,5,FALSE)*AE9+
+
IF(M9="Controller",VLOOKUP(M9,_VRF!L:N,3,FALSE)
+VLOOKUP($N$1,_VRF!L:N,3,FALSE)*AE9
+VLOOKUP($O$1,_VRF!L:N,3,FALSE)*AF9
+VLOOKUP($P$1,_VRF!L:N,3,FALSE)*AG9
+VLOOKUP($Q$1,_VRF!L:N,3,FALSE)*AH9
+VLOOKUP($R$1,_VRF!L:N,3,FALSE)*AI9
+(VLOOKUP("Network cable",'Part List'!$A:$G,5,FALSE)+VLOOKUP("2.5mm Twin and Earth",'Part List'!$A:$G,5,FALSE))*F9,
IF(M9="PAC",VLOOKUP(M9,_VRF!L:N,3,FALSE)
+VLOOKUP($N$1,_VRF!L:N,3,FALSE)*AE9
+VLOOKUP($O$1,_VRF!L:N,3,FALSE)*AF9
+VLOOKUP($P$1,_VRF!L:N,3,FALSE)*AG9
+VLOOKUP($Q$1,_VRF!L:N,3,FALSE)*AH9
+VLOOKUP($R$1,_VRF!L:N,3,FALSE)*AI9
+VLOOKUP("6mm Cable 3 core and Earth",'Part List'!$A:$G,5,FALSE)*F9,
IF(M9="Branch Box",VLOOKUP(M9,_VRF!L:N,3,FALSE)
+VLOOKUP($N$1,_VRF!L:N,3,FALSE)*AE9
+VLOOKUP($O$1,_VRF!L:N,3,FALSE)*AF9
+VLOOKUP($P$1,_VRF!L:N,3,FALSE)*AG9
+VLOOKUP($Q$1,_VRF!L:N,3,FALSE)*AH9
+VLOOKUP($R$1,_VRF!L:N,3,FALSE)*AI9
+(VLOOKUP("2.5mm Twin and Earth",'Part List'!$A:$G,5,FALSE)+VLOOKUP("7030 2 pair TCAS7302P",'Part List'!$A:$G,5,FALSE))*F9,
+IF(NOT(M9="Split"),IF(OR(M9="Outdoor",M9="Indoor"),0,VLOOKUP(AD9,_VRF!L:N,3,FALSE)+VLOOKUP(M9,_VRF!L:N,3,FALSE))
+VLOOKUP($N$1,_VRF!L:N,3,FALSE)*AE9
+VLOOKUP($O$1,_VRF!L:N,3,FALSE)*AF9
+VLOOKUP($P$1,_VRF!L:N,3,FALSE)*AG9
+VLOOKUP($Q$1,_VRF!L:N,3,FALSE)*AH9
+VLOOKUP($R$1,_VRF!L:N,3,FALSE)*AI9
+VLOOKUP(IF(M9="Outdoor","4mm Cable 3 core and Earth","2.5mm Twin and Earth"),'Part List'!$A:$G,5,FALSE)*F9
+IF(M9="Indoor",VLOOKUP("7030 2 pair TCAS7302P",'Part List'!$A:$G,5,FALSE),0)*F9
+VLOOKUP(IF(M9="Outdoor",IF(L9="Local","Outdoor_Local","Outdoor_MSSB"),0),_VRF!L:N,3,FALSE)
+IF(M9="Indoor",VLOOKUP(M9,_VRF!L:N,3,FALSE),0),
VLOOKUP(M9,_VRF!L:N,3,FALSE)
+(VLOOKUP("7030 2 pair TCAS7302P",'Part List'!$A:$G,5,FALSE)+2*VLOOKUP("2.5mm Twin and Earth",'Part List'!$A:$G,5,FALSE))*F9
+VLOOKUP($N$1,_VRF!L:N,3,FALSE)*AE9
+VLOOKUP($O$1,_VRF!L:N,3,FALSE)*AF9
+VLOOKUP($P$1,_VRF!L:N,3,FALSE)*AG9
+VLOOKUP($Q$1,_VRF!L:N,3,FALSE)*AH9
+VLOOKUP($R$1,_VRF!L:N,3,FALSE)*AI9))))</f>
        <v>#N/A</v>
      </c>
      <c r="K9" s="430" t="e">
        <f>_xlfn.CONCAT(VLOOKUP(M9,_VRF!$A$39:$C$44,3,FALSE), "-",
IF(N9="Yes", 1, 0)*X9, IF(O9="Yes", 1, 0)*Y9, IF(P9="Yes", 1, 0)*Z9, AA9*IF(Q9="Yes", 1, 0),IF(R9="Yes", 1, 0)*AB9,IF(W9 = 1, IF(L9="Local", "-L", "-M"),""))</f>
        <v>#N/A</v>
      </c>
      <c r="L9" s="432" t="s">
        <v>678</v>
      </c>
      <c r="M9" s="432"/>
      <c r="N9" s="440"/>
      <c r="O9" s="440"/>
      <c r="P9" s="440"/>
      <c r="Q9" s="440"/>
      <c r="R9" s="440"/>
      <c r="S9" s="114" t="str">
        <f t="shared" si="7"/>
        <v/>
      </c>
      <c r="W9" s="114" t="e">
        <f>VLOOKUP($M9,_VRF!$A$26:$G$31, 2, FALSE)</f>
        <v>#N/A</v>
      </c>
      <c r="X9" s="114" t="e">
        <f>VLOOKUP($M9,_VRF!$A$26:$G$31, 3, FALSE)</f>
        <v>#N/A</v>
      </c>
      <c r="Y9" s="114" t="e">
        <f>VLOOKUP($M9,_VRF!$A$26:$G$31, 4, FALSE)</f>
        <v>#N/A</v>
      </c>
      <c r="Z9" s="114" t="e">
        <f>VLOOKUP($M9,_VRF!$A$26:$G$31, 5, FALSE)</f>
        <v>#N/A</v>
      </c>
      <c r="AA9" s="114" t="e">
        <f>VLOOKUP($M9,_VRF!$A$26:$G$31, 6, FALSE)</f>
        <v>#N/A</v>
      </c>
      <c r="AB9" s="114" t="e">
        <f>VLOOKUP($M9,_VRF!$A$26:$G$31, 7, FALSE)</f>
        <v>#N/A</v>
      </c>
      <c r="AD9" s="114" t="e">
        <f t="shared" si="8"/>
        <v>#N/A</v>
      </c>
      <c r="AE9" s="114">
        <f t="shared" si="9"/>
        <v>0</v>
      </c>
      <c r="AF9" s="114">
        <f t="shared" si="1"/>
        <v>0</v>
      </c>
      <c r="AG9" s="114">
        <f t="shared" si="1"/>
        <v>0</v>
      </c>
      <c r="AH9" s="114">
        <f t="shared" si="1"/>
        <v>0</v>
      </c>
      <c r="AI9" s="114">
        <f t="shared" si="1"/>
        <v>0</v>
      </c>
      <c r="AM9" s="432" t="str">
        <f t="shared" si="10"/>
        <v/>
      </c>
      <c r="AN9" s="114">
        <f t="shared" si="2"/>
        <v>0</v>
      </c>
      <c r="AO9" s="114" t="str">
        <f>_xlfn.CONCAT(E9," (",VLOOKUP(E9,[1]Backend!C:D,2,FALSE),")")</f>
        <v xml:space="preserve"> (Zero)</v>
      </c>
      <c r="AP9" s="114" t="str">
        <f>_xlfn.CONCAT(AN9," - Electrical power supply and controls to ",AO9," ",VLOOKUP(M9,_VRF!$A$39:$G$48,2,FALSE))</f>
        <v xml:space="preserve">0 - Electrical power supply and controls to  (Zero) </v>
      </c>
      <c r="AQ9" s="114" t="str">
        <f t="shared" si="11"/>
        <v xml:space="preserve"> </v>
      </c>
      <c r="AR9" s="114" t="str">
        <f t="shared" si="12"/>
        <v/>
      </c>
      <c r="AS9" s="114" t="e">
        <f t="shared" si="13"/>
        <v>#N/A</v>
      </c>
      <c r="AT9" s="114" t="e">
        <f t="shared" si="14"/>
        <v>#N/A</v>
      </c>
      <c r="AU9" s="114" t="str">
        <f t="shared" si="15"/>
        <v>0.1 - This includes supply and install of power and controls.</v>
      </c>
      <c r="AV9" s="114" t="str">
        <f>_xlfn.CONCAT(AN9,".2 - Power for system includes: ",VLOOKUP(L9,_VRF!L:O,4,FALSE))</f>
        <v xml:space="preserve">0.2 - Power for system includes: CB and cabling to unit from MSSB, and local isolator, </v>
      </c>
      <c r="AW9" s="114" t="e">
        <f t="shared" si="16"/>
        <v>#N/A</v>
      </c>
      <c r="AX9" s="114" t="str">
        <f>_xlfn.CONCAT(
IF(M9="Yes",VLOOKUP(M$1,_VRF!L:Z,4,FALSE),""),
IF(N9="Yes",VLOOKUP(N$1,_VRF!L:Z,4,FALSE),""),
IF(O9="Yes",VLOOKUP(O$1,_VRF!L:Z,4,FALSE),""),
IF(P9="Yes",VLOOKUP(P$1,_VRF!L:Z,4,FALSE),""),
IF(Q9="Yes",VLOOKUP(Q$1,_VRF!L:Z,4,FALSE),""),
IF(R9="Yes",VLOOKUP(R$1,_VRF!L:Z,4,FALSE),""))</f>
        <v/>
      </c>
      <c r="AZ9" s="114" t="str">
        <f>_xlfn.CONCAT(VLOOKUP(M9,_VRF!$A$39:$G$48,2,FALSE),AQ9,AR9,)</f>
        <v xml:space="preserve"> </v>
      </c>
    </row>
    <row r="10" spans="1:52" x14ac:dyDescent="0.4">
      <c r="A10" s="429" t="str">
        <f t="shared" si="3"/>
        <v>INVALID</v>
      </c>
      <c r="B10" s="430" t="str">
        <f t="shared" si="4"/>
        <v>VRF 9</v>
      </c>
      <c r="C10" s="431">
        <f t="shared" si="5"/>
        <v>0</v>
      </c>
      <c r="D10" s="430">
        <f t="shared" si="6"/>
        <v>0</v>
      </c>
      <c r="E10" s="430"/>
      <c r="F10" s="430">
        <f t="shared" si="0"/>
        <v>20</v>
      </c>
      <c r="G10" s="440"/>
      <c r="H10" s="441"/>
      <c r="I10" s="440" t="e">
        <f>F10*VLOOKUP("7030 2 pair TCAS7302P",'Part List'!$A:$G,3,FALSE)*AE10
+IF(M10="Controller",VLOOKUP(M10,_VRF!L:N,2,FALSE)
+VLOOKUP($N$1,_VRF!L:N,2,FALSE)*AE10
+VLOOKUP($O$1,_VRF!L:N,2,FALSE)*AF10
+VLOOKUP($P$1,_VRF!L:N,2,FALSE)*AG10
+VLOOKUP($Q$1,_VRF!L:N,2,FALSE)*AH10
+VLOOKUP($R$1,_VRF!L:N,2,FALSE)*AI10
+(VLOOKUP("Network cable",'Part List'!$A:$G,3,FALSE)+VLOOKUP("2.5mm Twin and Earth",'Part List'!$A:$G,3,FALSE))*F10,
IF(M10="PAC",VLOOKUP(M10,_VRF!L:N,2,FALSE)
+VLOOKUP($N$1,_VRF!L:N,2,FALSE)*AE10
+VLOOKUP($O$1,_VRF!L:N,2,FALSE)*AF10
+VLOOKUP($P$1,_VRF!L:N,2,FALSE)*AG10
+VLOOKUP($Q$1,_VRF!L:N,2,FALSE)*AH10
+VLOOKUP($R$1,_VRF!L:N,2,FALSE)*AI10
+VLOOKUP("6mm Cable 3 core and Earth",'Part List'!$A:$G,3,FALSE)*F10,
IF(M10="Branch Box",VLOOKUP(M10,_VRF!L:N,2,FALSE)
+VLOOKUP($N$1,_VRF!L:N,2,FALSE)*AE10
+VLOOKUP($O$1,_VRF!L:N,2,FALSE)*AF10
+VLOOKUP($P$1,_VRF!L:N,2,FALSE)*AG10
+VLOOKUP($Q$1,_VRF!L:N,2,FALSE)*AH10
+VLOOKUP($R$1,_VRF!L:N,2,FALSE)*AI10
+(VLOOKUP("2.5mm Twin and Earth",'Part List'!$A:$G,3,FALSE)+VLOOKUP("7030 2 pair TCAS7302P",'Part List'!$A:$G,3,FALSE))*F10,
+IF(NOT(M10="Split"),IF(OR(M10="Outdoor",M10="Indoor"),0,VLOOKUP(AD10,_VRF!L:N,2,FALSE)+VLOOKUP(M10,_VRF!L:N,2,FALSE))
+VLOOKUP($N$1,_VRF!L:N,2,FALSE)*AE10
+VLOOKUP($O$1,_VRF!L:N,2,FALSE)*AF10
+VLOOKUP($P$1,_VRF!L:N,2,FALSE)*AG10
+VLOOKUP($Q$1,_VRF!L:N,2,FALSE)*AH10
+VLOOKUP($R$1,_VRF!L:N,2,FALSE)*AI10
+VLOOKUP(IF(M10="Outdoor","4mm Cable 3 core and Earth","2.5mm Twin and Earth"),'Part List'!$A:$G,3,FALSE)*F10
+IF(M10="Indoor",VLOOKUP("7030 2 pair TCAS7302P",'Part List'!$A:$G,3,FALSE),0)*F10
+VLOOKUP(IF(M10="Outdoor",IF(L10="Local","Outdoor_Local","Outdoor_MSSB"),0),_VRF!L:N,2,FALSE)
+IF(M10="Indoor",VLOOKUP(M10,_VRF!L:N,2,FALSE),0),
VLOOKUP(M10,_VRF!L:N,2,FALSE)
+(VLOOKUP("7030 2 pair TCAS7302P",'Part List'!$A:$G,3,FALSE)+2*VLOOKUP("2.5mm Twin and Earth",'Part List'!$A:$G,3,FALSE))*F10
+VLOOKUP($N$1,_VRF!L:N,2,FALSE)*AE10
+VLOOKUP($O$1,_VRF!L:N,2,FALSE)*AF10
+VLOOKUP($P$1,_VRF!L:N,2,FALSE)*AG10
+VLOOKUP($Q$1,_VRF!L:N,2,FALSE)*AH10
+VLOOKUP($R$1,_VRF!L:N,2,FALSE)*AI10))))</f>
        <v>#N/A</v>
      </c>
      <c r="J10" s="441" t="e">
        <f>F10*VLOOKUP("7030 2 pair TCAS7302P",'Part List'!$A:$G,5,FALSE)*AE10+
+
IF(M10="Controller",VLOOKUP(M10,_VRF!L:N,3,FALSE)
+VLOOKUP($N$1,_VRF!L:N,3,FALSE)*AE10
+VLOOKUP($O$1,_VRF!L:N,3,FALSE)*AF10
+VLOOKUP($P$1,_VRF!L:N,3,FALSE)*AG10
+VLOOKUP($Q$1,_VRF!L:N,3,FALSE)*AH10
+VLOOKUP($R$1,_VRF!L:N,3,FALSE)*AI10
+(VLOOKUP("Network cable",'Part List'!$A:$G,5,FALSE)+VLOOKUP("2.5mm Twin and Earth",'Part List'!$A:$G,5,FALSE))*F10,
IF(M10="PAC",VLOOKUP(M10,_VRF!L:N,3,FALSE)
+VLOOKUP($N$1,_VRF!L:N,3,FALSE)*AE10
+VLOOKUP($O$1,_VRF!L:N,3,FALSE)*AF10
+VLOOKUP($P$1,_VRF!L:N,3,FALSE)*AG10
+VLOOKUP($Q$1,_VRF!L:N,3,FALSE)*AH10
+VLOOKUP($R$1,_VRF!L:N,3,FALSE)*AI10
+VLOOKUP("6mm Cable 3 core and Earth",'Part List'!$A:$G,5,FALSE)*F10,
IF(M10="Branch Box",VLOOKUP(M10,_VRF!L:N,3,FALSE)
+VLOOKUP($N$1,_VRF!L:N,3,FALSE)*AE10
+VLOOKUP($O$1,_VRF!L:N,3,FALSE)*AF10
+VLOOKUP($P$1,_VRF!L:N,3,FALSE)*AG10
+VLOOKUP($Q$1,_VRF!L:N,3,FALSE)*AH10
+VLOOKUP($R$1,_VRF!L:N,3,FALSE)*AI10
+(VLOOKUP("2.5mm Twin and Earth",'Part List'!$A:$G,5,FALSE)+VLOOKUP("7030 2 pair TCAS7302P",'Part List'!$A:$G,5,FALSE))*F10,
+IF(NOT(M10="Split"),IF(OR(M10="Outdoor",M10="Indoor"),0,VLOOKUP(AD10,_VRF!L:N,3,FALSE)+VLOOKUP(M10,_VRF!L:N,3,FALSE))
+VLOOKUP($N$1,_VRF!L:N,3,FALSE)*AE10
+VLOOKUP($O$1,_VRF!L:N,3,FALSE)*AF10
+VLOOKUP($P$1,_VRF!L:N,3,FALSE)*AG10
+VLOOKUP($Q$1,_VRF!L:N,3,FALSE)*AH10
+VLOOKUP($R$1,_VRF!L:N,3,FALSE)*AI10
+VLOOKUP(IF(M10="Outdoor","4mm Cable 3 core and Earth","2.5mm Twin and Earth"),'Part List'!$A:$G,5,FALSE)*F10
+IF(M10="Indoor",VLOOKUP("7030 2 pair TCAS7302P",'Part List'!$A:$G,5,FALSE),0)*F10
+VLOOKUP(IF(M10="Outdoor",IF(L10="Local","Outdoor_Local","Outdoor_MSSB"),0),_VRF!L:N,3,FALSE)
+IF(M10="Indoor",VLOOKUP(M10,_VRF!L:N,3,FALSE),0),
VLOOKUP(M10,_VRF!L:N,3,FALSE)
+(VLOOKUP("7030 2 pair TCAS7302P",'Part List'!$A:$G,5,FALSE)+2*VLOOKUP("2.5mm Twin and Earth",'Part List'!$A:$G,5,FALSE))*F10
+VLOOKUP($N$1,_VRF!L:N,3,FALSE)*AE10
+VLOOKUP($O$1,_VRF!L:N,3,FALSE)*AF10
+VLOOKUP($P$1,_VRF!L:N,3,FALSE)*AG10
+VLOOKUP($Q$1,_VRF!L:N,3,FALSE)*AH10
+VLOOKUP($R$1,_VRF!L:N,3,FALSE)*AI10))))</f>
        <v>#N/A</v>
      </c>
      <c r="K10" s="430" t="e">
        <f>_xlfn.CONCAT(VLOOKUP(M10,_VRF!$A$39:$C$44,3,FALSE), "-",
IF(N10="Yes", 1, 0)*X10, IF(O10="Yes", 1, 0)*Y10, IF(P10="Yes", 1, 0)*Z10, AA10*IF(Q10="Yes", 1, 0),IF(R10="Yes", 1, 0)*AB10,IF(W10 = 1, IF(L10="Local", "-L", "-M"),""))</f>
        <v>#N/A</v>
      </c>
      <c r="L10" s="432" t="s">
        <v>678</v>
      </c>
      <c r="M10" s="432"/>
      <c r="N10" s="440"/>
      <c r="O10" s="440"/>
      <c r="P10" s="440"/>
      <c r="Q10" s="440"/>
      <c r="R10" s="440"/>
      <c r="S10" s="114" t="str">
        <f t="shared" si="7"/>
        <v/>
      </c>
      <c r="W10" s="114" t="e">
        <f>VLOOKUP($M10,_VRF!$A$26:$G$31, 2, FALSE)</f>
        <v>#N/A</v>
      </c>
      <c r="X10" s="114" t="e">
        <f>VLOOKUP($M10,_VRF!$A$26:$G$31, 3, FALSE)</f>
        <v>#N/A</v>
      </c>
      <c r="Y10" s="114" t="e">
        <f>VLOOKUP($M10,_VRF!$A$26:$G$31, 4, FALSE)</f>
        <v>#N/A</v>
      </c>
      <c r="Z10" s="114" t="e">
        <f>VLOOKUP($M10,_VRF!$A$26:$G$31, 5, FALSE)</f>
        <v>#N/A</v>
      </c>
      <c r="AA10" s="114" t="e">
        <f>VLOOKUP($M10,_VRF!$A$26:$G$31, 6, FALSE)</f>
        <v>#N/A</v>
      </c>
      <c r="AB10" s="114" t="e">
        <f>VLOOKUP($M10,_VRF!$A$26:$G$31, 7, FALSE)</f>
        <v>#N/A</v>
      </c>
      <c r="AD10" s="114" t="e">
        <f t="shared" si="8"/>
        <v>#N/A</v>
      </c>
      <c r="AE10" s="114">
        <f t="shared" si="9"/>
        <v>0</v>
      </c>
      <c r="AF10" s="114">
        <f t="shared" si="1"/>
        <v>0</v>
      </c>
      <c r="AG10" s="114">
        <f t="shared" si="1"/>
        <v>0</v>
      </c>
      <c r="AH10" s="114">
        <f t="shared" si="1"/>
        <v>0</v>
      </c>
      <c r="AI10" s="114">
        <f t="shared" si="1"/>
        <v>0</v>
      </c>
      <c r="AM10" s="432" t="str">
        <f t="shared" si="10"/>
        <v/>
      </c>
      <c r="AN10" s="114">
        <f t="shared" si="2"/>
        <v>0</v>
      </c>
      <c r="AO10" s="114" t="str">
        <f>_xlfn.CONCAT(E10," (",VLOOKUP(E10,[1]Backend!C:D,2,FALSE),")")</f>
        <v xml:space="preserve"> (Zero)</v>
      </c>
      <c r="AP10" s="114" t="str">
        <f>_xlfn.CONCAT(AN10," - Electrical power supply and controls to ",AO10," ",VLOOKUP(M10,_VRF!$A$39:$G$48,2,FALSE))</f>
        <v xml:space="preserve">0 - Electrical power supply and controls to  (Zero) </v>
      </c>
      <c r="AQ10" s="114" t="str">
        <f t="shared" si="11"/>
        <v xml:space="preserve"> </v>
      </c>
      <c r="AR10" s="114" t="str">
        <f t="shared" si="12"/>
        <v/>
      </c>
      <c r="AS10" s="114" t="e">
        <f t="shared" si="13"/>
        <v>#N/A</v>
      </c>
      <c r="AT10" s="114" t="e">
        <f t="shared" si="14"/>
        <v>#N/A</v>
      </c>
      <c r="AU10" s="114" t="str">
        <f t="shared" si="15"/>
        <v>0.1 - This includes supply and install of power and controls.</v>
      </c>
      <c r="AV10" s="114" t="str">
        <f>_xlfn.CONCAT(AN10,".2 - Power for system includes: ",VLOOKUP(L10,_VRF!L:O,4,FALSE))</f>
        <v xml:space="preserve">0.2 - Power for system includes: CB and cabling to unit from MSSB, and local isolator, </v>
      </c>
      <c r="AW10" s="114" t="e">
        <f t="shared" si="16"/>
        <v>#N/A</v>
      </c>
      <c r="AX10" s="114" t="str">
        <f>_xlfn.CONCAT(
IF(M10="Yes",VLOOKUP(M$1,_VRF!L:Z,4,FALSE),""),
IF(N10="Yes",VLOOKUP(N$1,_VRF!L:Z,4,FALSE),""),
IF(O10="Yes",VLOOKUP(O$1,_VRF!L:Z,4,FALSE),""),
IF(P10="Yes",VLOOKUP(P$1,_VRF!L:Z,4,FALSE),""),
IF(Q10="Yes",VLOOKUP(Q$1,_VRF!L:Z,4,FALSE),""),
IF(R10="Yes",VLOOKUP(R$1,_VRF!L:Z,4,FALSE),""))</f>
        <v/>
      </c>
      <c r="AZ10" s="114" t="str">
        <f>_xlfn.CONCAT(VLOOKUP(M10,_VRF!$A$39:$G$48,2,FALSE),AQ10,AR10,)</f>
        <v xml:space="preserve"> </v>
      </c>
    </row>
    <row r="11" spans="1:52" x14ac:dyDescent="0.4">
      <c r="A11" s="429" t="str">
        <f t="shared" si="3"/>
        <v>INVALID</v>
      </c>
      <c r="B11" s="430" t="str">
        <f t="shared" si="4"/>
        <v>VRF 10</v>
      </c>
      <c r="C11" s="431">
        <f t="shared" si="5"/>
        <v>0</v>
      </c>
      <c r="D11" s="430">
        <f t="shared" si="6"/>
        <v>0</v>
      </c>
      <c r="E11" s="430"/>
      <c r="F11" s="430">
        <f t="shared" si="0"/>
        <v>20</v>
      </c>
      <c r="G11" s="440"/>
      <c r="H11" s="441"/>
      <c r="I11" s="440" t="e">
        <f>F11*VLOOKUP("7030 2 pair TCAS7302P",'Part List'!$A:$G,3,FALSE)*AE11
+IF(M11="Controller",VLOOKUP(M11,_VRF!L:N,2,FALSE)
+VLOOKUP($N$1,_VRF!L:N,2,FALSE)*AE11
+VLOOKUP($O$1,_VRF!L:N,2,FALSE)*AF11
+VLOOKUP($P$1,_VRF!L:N,2,FALSE)*AG11
+VLOOKUP($Q$1,_VRF!L:N,2,FALSE)*AH11
+VLOOKUP($R$1,_VRF!L:N,2,FALSE)*AI11
+(VLOOKUP("Network cable",'Part List'!$A:$G,3,FALSE)+VLOOKUP("2.5mm Twin and Earth",'Part List'!$A:$G,3,FALSE))*F11,
IF(M11="PAC",VLOOKUP(M11,_VRF!L:N,2,FALSE)
+VLOOKUP($N$1,_VRF!L:N,2,FALSE)*AE11
+VLOOKUP($O$1,_VRF!L:N,2,FALSE)*AF11
+VLOOKUP($P$1,_VRF!L:N,2,FALSE)*AG11
+VLOOKUP($Q$1,_VRF!L:N,2,FALSE)*AH11
+VLOOKUP($R$1,_VRF!L:N,2,FALSE)*AI11
+VLOOKUP("6mm Cable 3 core and Earth",'Part List'!$A:$G,3,FALSE)*F11,
IF(M11="Branch Box",VLOOKUP(M11,_VRF!L:N,2,FALSE)
+VLOOKUP($N$1,_VRF!L:N,2,FALSE)*AE11
+VLOOKUP($O$1,_VRF!L:N,2,FALSE)*AF11
+VLOOKUP($P$1,_VRF!L:N,2,FALSE)*AG11
+VLOOKUP($Q$1,_VRF!L:N,2,FALSE)*AH11
+VLOOKUP($R$1,_VRF!L:N,2,FALSE)*AI11
+(VLOOKUP("2.5mm Twin and Earth",'Part List'!$A:$G,3,FALSE)+VLOOKUP("7030 2 pair TCAS7302P",'Part List'!$A:$G,3,FALSE))*F11,
+IF(NOT(M11="Split"),IF(OR(M11="Outdoor",M11="Indoor"),0,VLOOKUP(AD11,_VRF!L:N,2,FALSE)+VLOOKUP(M11,_VRF!L:N,2,FALSE))
+VLOOKUP($N$1,_VRF!L:N,2,FALSE)*AE11
+VLOOKUP($O$1,_VRF!L:N,2,FALSE)*AF11
+VLOOKUP($P$1,_VRF!L:N,2,FALSE)*AG11
+VLOOKUP($Q$1,_VRF!L:N,2,FALSE)*AH11
+VLOOKUP($R$1,_VRF!L:N,2,FALSE)*AI11
+VLOOKUP(IF(M11="Outdoor","4mm Cable 3 core and Earth","2.5mm Twin and Earth"),'Part List'!$A:$G,3,FALSE)*F11
+IF(M11="Indoor",VLOOKUP("7030 2 pair TCAS7302P",'Part List'!$A:$G,3,FALSE),0)*F11
+VLOOKUP(IF(M11="Outdoor",IF(L11="Local","Outdoor_Local","Outdoor_MSSB"),0),_VRF!L:N,2,FALSE)
+IF(M11="Indoor",VLOOKUP(M11,_VRF!L:N,2,FALSE),0),
VLOOKUP(M11,_VRF!L:N,2,FALSE)
+(VLOOKUP("7030 2 pair TCAS7302P",'Part List'!$A:$G,3,FALSE)+2*VLOOKUP("2.5mm Twin and Earth",'Part List'!$A:$G,3,FALSE))*F11
+VLOOKUP($N$1,_VRF!L:N,2,FALSE)*AE11
+VLOOKUP($O$1,_VRF!L:N,2,FALSE)*AF11
+VLOOKUP($P$1,_VRF!L:N,2,FALSE)*AG11
+VLOOKUP($Q$1,_VRF!L:N,2,FALSE)*AH11
+VLOOKUP($R$1,_VRF!L:N,2,FALSE)*AI11))))</f>
        <v>#N/A</v>
      </c>
      <c r="J11" s="441" t="e">
        <f>F11*VLOOKUP("7030 2 pair TCAS7302P",'Part List'!$A:$G,5,FALSE)*AE11+
+
IF(M11="Controller",VLOOKUP(M11,_VRF!L:N,3,FALSE)
+VLOOKUP($N$1,_VRF!L:N,3,FALSE)*AE11
+VLOOKUP($O$1,_VRF!L:N,3,FALSE)*AF11
+VLOOKUP($P$1,_VRF!L:N,3,FALSE)*AG11
+VLOOKUP($Q$1,_VRF!L:N,3,FALSE)*AH11
+VLOOKUP($R$1,_VRF!L:N,3,FALSE)*AI11
+(VLOOKUP("Network cable",'Part List'!$A:$G,5,FALSE)+VLOOKUP("2.5mm Twin and Earth",'Part List'!$A:$G,5,FALSE))*F11,
IF(M11="PAC",VLOOKUP(M11,_VRF!L:N,3,FALSE)
+VLOOKUP($N$1,_VRF!L:N,3,FALSE)*AE11
+VLOOKUP($O$1,_VRF!L:N,3,FALSE)*AF11
+VLOOKUP($P$1,_VRF!L:N,3,FALSE)*AG11
+VLOOKUP($Q$1,_VRF!L:N,3,FALSE)*AH11
+VLOOKUP($R$1,_VRF!L:N,3,FALSE)*AI11
+VLOOKUP("6mm Cable 3 core and Earth",'Part List'!$A:$G,5,FALSE)*F11,
IF(M11="Branch Box",VLOOKUP(M11,_VRF!L:N,3,FALSE)
+VLOOKUP($N$1,_VRF!L:N,3,FALSE)*AE11
+VLOOKUP($O$1,_VRF!L:N,3,FALSE)*AF11
+VLOOKUP($P$1,_VRF!L:N,3,FALSE)*AG11
+VLOOKUP($Q$1,_VRF!L:N,3,FALSE)*AH11
+VLOOKUP($R$1,_VRF!L:N,3,FALSE)*AI11
+(VLOOKUP("2.5mm Twin and Earth",'Part List'!$A:$G,5,FALSE)+VLOOKUP("7030 2 pair TCAS7302P",'Part List'!$A:$G,5,FALSE))*F11,
+IF(NOT(M11="Split"),IF(OR(M11="Outdoor",M11="Indoor"),0,VLOOKUP(AD11,_VRF!L:N,3,FALSE)+VLOOKUP(M11,_VRF!L:N,3,FALSE))
+VLOOKUP($N$1,_VRF!L:N,3,FALSE)*AE11
+VLOOKUP($O$1,_VRF!L:N,3,FALSE)*AF11
+VLOOKUP($P$1,_VRF!L:N,3,FALSE)*AG11
+VLOOKUP($Q$1,_VRF!L:N,3,FALSE)*AH11
+VLOOKUP($R$1,_VRF!L:N,3,FALSE)*AI11
+VLOOKUP(IF(M11="Outdoor","4mm Cable 3 core and Earth","2.5mm Twin and Earth"),'Part List'!$A:$G,5,FALSE)*F11
+IF(M11="Indoor",VLOOKUP("7030 2 pair TCAS7302P",'Part List'!$A:$G,5,FALSE),0)*F11
+VLOOKUP(IF(M11="Outdoor",IF(L11="Local","Outdoor_Local","Outdoor_MSSB"),0),_VRF!L:N,3,FALSE)
+IF(M11="Indoor",VLOOKUP(M11,_VRF!L:N,3,FALSE),0),
VLOOKUP(M11,_VRF!L:N,3,FALSE)
+(VLOOKUP("7030 2 pair TCAS7302P",'Part List'!$A:$G,5,FALSE)+2*VLOOKUP("2.5mm Twin and Earth",'Part List'!$A:$G,5,FALSE))*F11
+VLOOKUP($N$1,_VRF!L:N,3,FALSE)*AE11
+VLOOKUP($O$1,_VRF!L:N,3,FALSE)*AF11
+VLOOKUP($P$1,_VRF!L:N,3,FALSE)*AG11
+VLOOKUP($Q$1,_VRF!L:N,3,FALSE)*AH11
+VLOOKUP($R$1,_VRF!L:N,3,FALSE)*AI11))))</f>
        <v>#N/A</v>
      </c>
      <c r="K11" s="430" t="e">
        <f>_xlfn.CONCAT(VLOOKUP(M11,_VRF!$A$39:$C$44,3,FALSE), "-",
IF(N11="Yes", 1, 0)*X11, IF(O11="Yes", 1, 0)*Y11, IF(P11="Yes", 1, 0)*Z11, AA11*IF(Q11="Yes", 1, 0),IF(R11="Yes", 1, 0)*AB11,IF(W11 = 1, IF(L11="Local", "-L", "-M"),""))</f>
        <v>#N/A</v>
      </c>
      <c r="L11" s="432" t="s">
        <v>678</v>
      </c>
      <c r="M11" s="432"/>
      <c r="N11" s="440"/>
      <c r="O11" s="440"/>
      <c r="P11" s="440"/>
      <c r="Q11" s="440"/>
      <c r="R11" s="440"/>
      <c r="S11" s="114" t="str">
        <f t="shared" si="7"/>
        <v/>
      </c>
      <c r="W11" s="114" t="e">
        <f>VLOOKUP($M11,_VRF!$A$26:$G$31, 2, FALSE)</f>
        <v>#N/A</v>
      </c>
      <c r="X11" s="114" t="e">
        <f>VLOOKUP($M11,_VRF!$A$26:$G$31, 3, FALSE)</f>
        <v>#N/A</v>
      </c>
      <c r="Y11" s="114" t="e">
        <f>VLOOKUP($M11,_VRF!$A$26:$G$31, 4, FALSE)</f>
        <v>#N/A</v>
      </c>
      <c r="Z11" s="114" t="e">
        <f>VLOOKUP($M11,_VRF!$A$26:$G$31, 5, FALSE)</f>
        <v>#N/A</v>
      </c>
      <c r="AA11" s="114" t="e">
        <f>VLOOKUP($M11,_VRF!$A$26:$G$31, 6, FALSE)</f>
        <v>#N/A</v>
      </c>
      <c r="AB11" s="114" t="e">
        <f>VLOOKUP($M11,_VRF!$A$26:$G$31, 7, FALSE)</f>
        <v>#N/A</v>
      </c>
      <c r="AD11" s="114" t="e">
        <f t="shared" si="8"/>
        <v>#N/A</v>
      </c>
      <c r="AE11" s="114">
        <f t="shared" si="9"/>
        <v>0</v>
      </c>
      <c r="AF11" s="114">
        <f t="shared" si="1"/>
        <v>0</v>
      </c>
      <c r="AG11" s="114">
        <f t="shared" si="1"/>
        <v>0</v>
      </c>
      <c r="AH11" s="114">
        <f t="shared" si="1"/>
        <v>0</v>
      </c>
      <c r="AI11" s="114">
        <f t="shared" si="1"/>
        <v>0</v>
      </c>
      <c r="AM11" s="432" t="str">
        <f t="shared" si="10"/>
        <v/>
      </c>
      <c r="AN11" s="114">
        <f t="shared" si="2"/>
        <v>0</v>
      </c>
      <c r="AO11" s="114" t="str">
        <f>_xlfn.CONCAT(E11," (",VLOOKUP(E11,[1]Backend!C:D,2,FALSE),")")</f>
        <v xml:space="preserve"> (Zero)</v>
      </c>
      <c r="AP11" s="114" t="str">
        <f>_xlfn.CONCAT(AN11," - Electrical power supply and controls to ",AO11," ",VLOOKUP(M11,_VRF!$A$39:$G$48,2,FALSE))</f>
        <v xml:space="preserve">0 - Electrical power supply and controls to  (Zero) </v>
      </c>
      <c r="AQ11" s="114" t="str">
        <f t="shared" si="11"/>
        <v xml:space="preserve"> </v>
      </c>
      <c r="AR11" s="114" t="str">
        <f t="shared" si="12"/>
        <v/>
      </c>
      <c r="AS11" s="114" t="e">
        <f t="shared" si="13"/>
        <v>#N/A</v>
      </c>
      <c r="AT11" s="114" t="e">
        <f t="shared" si="14"/>
        <v>#N/A</v>
      </c>
      <c r="AU11" s="114" t="str">
        <f t="shared" si="15"/>
        <v>0.1 - This includes supply and install of power and controls.</v>
      </c>
      <c r="AV11" s="114" t="str">
        <f>_xlfn.CONCAT(AN11,".2 - Power for system includes: ",VLOOKUP(L11,_VRF!L:O,4,FALSE))</f>
        <v xml:space="preserve">0.2 - Power for system includes: CB and cabling to unit from MSSB, and local isolator, </v>
      </c>
      <c r="AW11" s="114" t="e">
        <f t="shared" si="16"/>
        <v>#N/A</v>
      </c>
      <c r="AX11" s="114" t="str">
        <f>_xlfn.CONCAT(
IF(M11="Yes",VLOOKUP(M$1,_VRF!L:Z,4,FALSE),""),
IF(N11="Yes",VLOOKUP(N$1,_VRF!L:Z,4,FALSE),""),
IF(O11="Yes",VLOOKUP(O$1,_VRF!L:Z,4,FALSE),""),
IF(P11="Yes",VLOOKUP(P$1,_VRF!L:Z,4,FALSE),""),
IF(Q11="Yes",VLOOKUP(Q$1,_VRF!L:Z,4,FALSE),""),
IF(R11="Yes",VLOOKUP(R$1,_VRF!L:Z,4,FALSE),""))</f>
        <v/>
      </c>
      <c r="AZ11" s="114" t="str">
        <f>_xlfn.CONCAT(VLOOKUP(M11,_VRF!$A$39:$G$48,2,FALSE),AQ11,AR11,)</f>
        <v xml:space="preserve"> </v>
      </c>
    </row>
    <row r="12" spans="1:52" x14ac:dyDescent="0.4">
      <c r="A12" s="429" t="str">
        <f t="shared" si="3"/>
        <v>INVALID</v>
      </c>
      <c r="B12" s="430" t="str">
        <f t="shared" si="4"/>
        <v>VRF 11</v>
      </c>
      <c r="C12" s="431">
        <f t="shared" si="5"/>
        <v>0</v>
      </c>
      <c r="D12" s="430">
        <f t="shared" si="6"/>
        <v>0</v>
      </c>
      <c r="E12" s="430"/>
      <c r="F12" s="430">
        <f t="shared" si="0"/>
        <v>20</v>
      </c>
      <c r="G12" s="440"/>
      <c r="H12" s="441"/>
      <c r="I12" s="440" t="e">
        <f>F12*VLOOKUP("7030 2 pair TCAS7302P",'Part List'!$A:$G,3,FALSE)*AE12
+IF(M12="Controller",VLOOKUP(M12,_VRF!L:N,2,FALSE)
+VLOOKUP($N$1,_VRF!L:N,2,FALSE)*AE12
+VLOOKUP($O$1,_VRF!L:N,2,FALSE)*AF12
+VLOOKUP($P$1,_VRF!L:N,2,FALSE)*AG12
+VLOOKUP($Q$1,_VRF!L:N,2,FALSE)*AH12
+VLOOKUP($R$1,_VRF!L:N,2,FALSE)*AI12
+(VLOOKUP("Network cable",'Part List'!$A:$G,3,FALSE)+VLOOKUP("2.5mm Twin and Earth",'Part List'!$A:$G,3,FALSE))*F12,
IF(M12="PAC",VLOOKUP(M12,_VRF!L:N,2,FALSE)
+VLOOKUP($N$1,_VRF!L:N,2,FALSE)*AE12
+VLOOKUP($O$1,_VRF!L:N,2,FALSE)*AF12
+VLOOKUP($P$1,_VRF!L:N,2,FALSE)*AG12
+VLOOKUP($Q$1,_VRF!L:N,2,FALSE)*AH12
+VLOOKUP($R$1,_VRF!L:N,2,FALSE)*AI12
+VLOOKUP("6mm Cable 3 core and Earth",'Part List'!$A:$G,3,FALSE)*F12,
IF(M12="Branch Box",VLOOKUP(M12,_VRF!L:N,2,FALSE)
+VLOOKUP($N$1,_VRF!L:N,2,FALSE)*AE12
+VLOOKUP($O$1,_VRF!L:N,2,FALSE)*AF12
+VLOOKUP($P$1,_VRF!L:N,2,FALSE)*AG12
+VLOOKUP($Q$1,_VRF!L:N,2,FALSE)*AH12
+VLOOKUP($R$1,_VRF!L:N,2,FALSE)*AI12
+(VLOOKUP("2.5mm Twin and Earth",'Part List'!$A:$G,3,FALSE)+VLOOKUP("7030 2 pair TCAS7302P",'Part List'!$A:$G,3,FALSE))*F12,
+IF(NOT(M12="Split"),IF(OR(M12="Outdoor",M12="Indoor"),0,VLOOKUP(AD12,_VRF!L:N,2,FALSE)+VLOOKUP(M12,_VRF!L:N,2,FALSE))
+VLOOKUP($N$1,_VRF!L:N,2,FALSE)*AE12
+VLOOKUP($O$1,_VRF!L:N,2,FALSE)*AF12
+VLOOKUP($P$1,_VRF!L:N,2,FALSE)*AG12
+VLOOKUP($Q$1,_VRF!L:N,2,FALSE)*AH12
+VLOOKUP($R$1,_VRF!L:N,2,FALSE)*AI12
+VLOOKUP(IF(M12="Outdoor","4mm Cable 3 core and Earth","2.5mm Twin and Earth"),'Part List'!$A:$G,3,FALSE)*F12
+IF(M12="Indoor",VLOOKUP("7030 2 pair TCAS7302P",'Part List'!$A:$G,3,FALSE),0)*F12
+VLOOKUP(IF(M12="Outdoor",IF(L12="Local","Outdoor_Local","Outdoor_MSSB"),0),_VRF!L:N,2,FALSE)
+IF(M12="Indoor",VLOOKUP(M12,_VRF!L:N,2,FALSE),0),
VLOOKUP(M12,_VRF!L:N,2,FALSE)
+(VLOOKUP("7030 2 pair TCAS7302P",'Part List'!$A:$G,3,FALSE)+2*VLOOKUP("2.5mm Twin and Earth",'Part List'!$A:$G,3,FALSE))*F12
+VLOOKUP($N$1,_VRF!L:N,2,FALSE)*AE12
+VLOOKUP($O$1,_VRF!L:N,2,FALSE)*AF12
+VLOOKUP($P$1,_VRF!L:N,2,FALSE)*AG12
+VLOOKUP($Q$1,_VRF!L:N,2,FALSE)*AH12
+VLOOKUP($R$1,_VRF!L:N,2,FALSE)*AI12))))</f>
        <v>#N/A</v>
      </c>
      <c r="J12" s="441" t="e">
        <f>F12*VLOOKUP("7030 2 pair TCAS7302P",'Part List'!$A:$G,5,FALSE)*AE12+
+
IF(M12="Controller",VLOOKUP(M12,_VRF!L:N,3,FALSE)
+VLOOKUP($N$1,_VRF!L:N,3,FALSE)*AE12
+VLOOKUP($O$1,_VRF!L:N,3,FALSE)*AF12
+VLOOKUP($P$1,_VRF!L:N,3,FALSE)*AG12
+VLOOKUP($Q$1,_VRF!L:N,3,FALSE)*AH12
+VLOOKUP($R$1,_VRF!L:N,3,FALSE)*AI12
+(VLOOKUP("Network cable",'Part List'!$A:$G,5,FALSE)+VLOOKUP("2.5mm Twin and Earth",'Part List'!$A:$G,5,FALSE))*F12,
IF(M12="PAC",VLOOKUP(M12,_VRF!L:N,3,FALSE)
+VLOOKUP($N$1,_VRF!L:N,3,FALSE)*AE12
+VLOOKUP($O$1,_VRF!L:N,3,FALSE)*AF12
+VLOOKUP($P$1,_VRF!L:N,3,FALSE)*AG12
+VLOOKUP($Q$1,_VRF!L:N,3,FALSE)*AH12
+VLOOKUP($R$1,_VRF!L:N,3,FALSE)*AI12
+VLOOKUP("6mm Cable 3 core and Earth",'Part List'!$A:$G,5,FALSE)*F12,
IF(M12="Branch Box",VLOOKUP(M12,_VRF!L:N,3,FALSE)
+VLOOKUP($N$1,_VRF!L:N,3,FALSE)*AE12
+VLOOKUP($O$1,_VRF!L:N,3,FALSE)*AF12
+VLOOKUP($P$1,_VRF!L:N,3,FALSE)*AG12
+VLOOKUP($Q$1,_VRF!L:N,3,FALSE)*AH12
+VLOOKUP($R$1,_VRF!L:N,3,FALSE)*AI12
+(VLOOKUP("2.5mm Twin and Earth",'Part List'!$A:$G,5,FALSE)+VLOOKUP("7030 2 pair TCAS7302P",'Part List'!$A:$G,5,FALSE))*F12,
+IF(NOT(M12="Split"),IF(OR(M12="Outdoor",M12="Indoor"),0,VLOOKUP(AD12,_VRF!L:N,3,FALSE)+VLOOKUP(M12,_VRF!L:N,3,FALSE))
+VLOOKUP($N$1,_VRF!L:N,3,FALSE)*AE12
+VLOOKUP($O$1,_VRF!L:N,3,FALSE)*AF12
+VLOOKUP($P$1,_VRF!L:N,3,FALSE)*AG12
+VLOOKUP($Q$1,_VRF!L:N,3,FALSE)*AH12
+VLOOKUP($R$1,_VRF!L:N,3,FALSE)*AI12
+VLOOKUP(IF(M12="Outdoor","4mm Cable 3 core and Earth","2.5mm Twin and Earth"),'Part List'!$A:$G,5,FALSE)*F12
+IF(M12="Indoor",VLOOKUP("7030 2 pair TCAS7302P",'Part List'!$A:$G,5,FALSE),0)*F12
+VLOOKUP(IF(M12="Outdoor",IF(L12="Local","Outdoor_Local","Outdoor_MSSB"),0),_VRF!L:N,3,FALSE)
+IF(M12="Indoor",VLOOKUP(M12,_VRF!L:N,3,FALSE),0),
VLOOKUP(M12,_VRF!L:N,3,FALSE)
+(VLOOKUP("7030 2 pair TCAS7302P",'Part List'!$A:$G,5,FALSE)+2*VLOOKUP("2.5mm Twin and Earth",'Part List'!$A:$G,5,FALSE))*F12
+VLOOKUP($N$1,_VRF!L:N,3,FALSE)*AE12
+VLOOKUP($O$1,_VRF!L:N,3,FALSE)*AF12
+VLOOKUP($P$1,_VRF!L:N,3,FALSE)*AG12
+VLOOKUP($Q$1,_VRF!L:N,3,FALSE)*AH12
+VLOOKUP($R$1,_VRF!L:N,3,FALSE)*AI12))))</f>
        <v>#N/A</v>
      </c>
      <c r="K12" s="430" t="e">
        <f>_xlfn.CONCAT(VLOOKUP(M12,_VRF!$A$39:$C$44,3,FALSE), "-",
IF(N12="Yes", 1, 0)*X12, IF(O12="Yes", 1, 0)*Y12, IF(P12="Yes", 1, 0)*Z12, AA12*IF(Q12="Yes", 1, 0),IF(R12="Yes", 1, 0)*AB12,IF(W12 = 1, IF(L12="Local", "-L", "-M"),""))</f>
        <v>#N/A</v>
      </c>
      <c r="L12" s="432" t="s">
        <v>678</v>
      </c>
      <c r="M12" s="432"/>
      <c r="N12" s="440"/>
      <c r="O12" s="440"/>
      <c r="P12" s="440"/>
      <c r="Q12" s="440"/>
      <c r="R12" s="440"/>
      <c r="S12" s="114" t="str">
        <f t="shared" si="7"/>
        <v/>
      </c>
      <c r="W12" s="114" t="e">
        <f>VLOOKUP($M12,_VRF!$A$26:$G$31, 2, FALSE)</f>
        <v>#N/A</v>
      </c>
      <c r="X12" s="114" t="e">
        <f>VLOOKUP($M12,_VRF!$A$26:$G$31, 3, FALSE)</f>
        <v>#N/A</v>
      </c>
      <c r="Y12" s="114" t="e">
        <f>VLOOKUP($M12,_VRF!$A$26:$G$31, 4, FALSE)</f>
        <v>#N/A</v>
      </c>
      <c r="Z12" s="114" t="e">
        <f>VLOOKUP($M12,_VRF!$A$26:$G$31, 5, FALSE)</f>
        <v>#N/A</v>
      </c>
      <c r="AA12" s="114" t="e">
        <f>VLOOKUP($M12,_VRF!$A$26:$G$31, 6, FALSE)</f>
        <v>#N/A</v>
      </c>
      <c r="AB12" s="114" t="e">
        <f>VLOOKUP($M12,_VRF!$A$26:$G$31, 7, FALSE)</f>
        <v>#N/A</v>
      </c>
      <c r="AD12" s="114" t="e">
        <f t="shared" si="8"/>
        <v>#N/A</v>
      </c>
      <c r="AE12" s="114">
        <f t="shared" si="9"/>
        <v>0</v>
      </c>
      <c r="AF12" s="114">
        <f t="shared" si="1"/>
        <v>0</v>
      </c>
      <c r="AG12" s="114">
        <f t="shared" si="1"/>
        <v>0</v>
      </c>
      <c r="AH12" s="114">
        <f t="shared" si="1"/>
        <v>0</v>
      </c>
      <c r="AI12" s="114">
        <f t="shared" si="1"/>
        <v>0</v>
      </c>
      <c r="AM12" s="432" t="str">
        <f t="shared" si="10"/>
        <v/>
      </c>
      <c r="AN12" s="114">
        <f t="shared" si="2"/>
        <v>0</v>
      </c>
      <c r="AO12" s="114" t="str">
        <f>_xlfn.CONCAT(E12," (",VLOOKUP(E12,[1]Backend!C:D,2,FALSE),")")</f>
        <v xml:space="preserve"> (Zero)</v>
      </c>
      <c r="AP12" s="114" t="str">
        <f>_xlfn.CONCAT(AN12," - Electrical power supply and controls to ",AO12," ",VLOOKUP(M12,_VRF!$A$39:$G$48,2,FALSE))</f>
        <v xml:space="preserve">0 - Electrical power supply and controls to  (Zero) </v>
      </c>
      <c r="AQ12" s="114" t="str">
        <f t="shared" si="11"/>
        <v xml:space="preserve"> </v>
      </c>
      <c r="AR12" s="114" t="str">
        <f t="shared" si="12"/>
        <v/>
      </c>
      <c r="AS12" s="114" t="e">
        <f t="shared" si="13"/>
        <v>#N/A</v>
      </c>
      <c r="AT12" s="114" t="e">
        <f t="shared" si="14"/>
        <v>#N/A</v>
      </c>
      <c r="AU12" s="114" t="str">
        <f t="shared" si="15"/>
        <v>0.1 - This includes supply and install of power and controls.</v>
      </c>
      <c r="AV12" s="114" t="str">
        <f>_xlfn.CONCAT(AN12,".2 - Power for system includes: ",VLOOKUP(L12,_VRF!L:O,4,FALSE))</f>
        <v xml:space="preserve">0.2 - Power for system includes: CB and cabling to unit from MSSB, and local isolator, </v>
      </c>
      <c r="AW12" s="114" t="e">
        <f t="shared" si="16"/>
        <v>#N/A</v>
      </c>
      <c r="AX12" s="114" t="str">
        <f>_xlfn.CONCAT(
IF(M12="Yes",VLOOKUP(M$1,_VRF!L:Z,4,FALSE),""),
IF(N12="Yes",VLOOKUP(N$1,_VRF!L:Z,4,FALSE),""),
IF(O12="Yes",VLOOKUP(O$1,_VRF!L:Z,4,FALSE),""),
IF(P12="Yes",VLOOKUP(P$1,_VRF!L:Z,4,FALSE),""),
IF(Q12="Yes",VLOOKUP(Q$1,_VRF!L:Z,4,FALSE),""),
IF(R12="Yes",VLOOKUP(R$1,_VRF!L:Z,4,FALSE),""))</f>
        <v/>
      </c>
      <c r="AZ12" s="114" t="str">
        <f>_xlfn.CONCAT(VLOOKUP(M12,_VRF!$A$39:$G$48,2,FALSE),AQ12,AR12,)</f>
        <v xml:space="preserve"> </v>
      </c>
    </row>
    <row r="13" spans="1:52" x14ac:dyDescent="0.4">
      <c r="A13" s="429" t="str">
        <f t="shared" si="3"/>
        <v>INVALID</v>
      </c>
      <c r="B13" s="430" t="str">
        <f t="shared" si="4"/>
        <v>VRF 12</v>
      </c>
      <c r="C13" s="431">
        <f t="shared" si="5"/>
        <v>0</v>
      </c>
      <c r="D13" s="430">
        <f t="shared" si="6"/>
        <v>0</v>
      </c>
      <c r="E13" s="430"/>
      <c r="F13" s="430">
        <f t="shared" si="0"/>
        <v>20</v>
      </c>
      <c r="G13" s="440"/>
      <c r="H13" s="441"/>
      <c r="I13" s="440" t="e">
        <f>F13*VLOOKUP("7030 2 pair TCAS7302P",'Part List'!$A:$G,3,FALSE)*AE13
+IF(M13="Controller",VLOOKUP(M13,_VRF!L:N,2,FALSE)
+VLOOKUP($N$1,_VRF!L:N,2,FALSE)*AE13
+VLOOKUP($O$1,_VRF!L:N,2,FALSE)*AF13
+VLOOKUP($P$1,_VRF!L:N,2,FALSE)*AG13
+VLOOKUP($Q$1,_VRF!L:N,2,FALSE)*AH13
+VLOOKUP($R$1,_VRF!L:N,2,FALSE)*AI13
+(VLOOKUP("Network cable",'Part List'!$A:$G,3,FALSE)+VLOOKUP("2.5mm Twin and Earth",'Part List'!$A:$G,3,FALSE))*F13,
IF(M13="PAC",VLOOKUP(M13,_VRF!L:N,2,FALSE)
+VLOOKUP($N$1,_VRF!L:N,2,FALSE)*AE13
+VLOOKUP($O$1,_VRF!L:N,2,FALSE)*AF13
+VLOOKUP($P$1,_VRF!L:N,2,FALSE)*AG13
+VLOOKUP($Q$1,_VRF!L:N,2,FALSE)*AH13
+VLOOKUP($R$1,_VRF!L:N,2,FALSE)*AI13
+VLOOKUP("6mm Cable 3 core and Earth",'Part List'!$A:$G,3,FALSE)*F13,
IF(M13="Branch Box",VLOOKUP(M13,_VRF!L:N,2,FALSE)
+VLOOKUP($N$1,_VRF!L:N,2,FALSE)*AE13
+VLOOKUP($O$1,_VRF!L:N,2,FALSE)*AF13
+VLOOKUP($P$1,_VRF!L:N,2,FALSE)*AG13
+VLOOKUP($Q$1,_VRF!L:N,2,FALSE)*AH13
+VLOOKUP($R$1,_VRF!L:N,2,FALSE)*AI13
+(VLOOKUP("2.5mm Twin and Earth",'Part List'!$A:$G,3,FALSE)+VLOOKUP("7030 2 pair TCAS7302P",'Part List'!$A:$G,3,FALSE))*F13,
+IF(NOT(M13="Split"),IF(OR(M13="Outdoor",M13="Indoor"),0,VLOOKUP(AD13,_VRF!L:N,2,FALSE)+VLOOKUP(M13,_VRF!L:N,2,FALSE))
+VLOOKUP($N$1,_VRF!L:N,2,FALSE)*AE13
+VLOOKUP($O$1,_VRF!L:N,2,FALSE)*AF13
+VLOOKUP($P$1,_VRF!L:N,2,FALSE)*AG13
+VLOOKUP($Q$1,_VRF!L:N,2,FALSE)*AH13
+VLOOKUP($R$1,_VRF!L:N,2,FALSE)*AI13
+VLOOKUP(IF(M13="Outdoor","4mm Cable 3 core and Earth","2.5mm Twin and Earth"),'Part List'!$A:$G,3,FALSE)*F13
+IF(M13="Indoor",VLOOKUP("7030 2 pair TCAS7302P",'Part List'!$A:$G,3,FALSE),0)*F13
+VLOOKUP(IF(M13="Outdoor",IF(L13="Local","Outdoor_Local","Outdoor_MSSB"),0),_VRF!L:N,2,FALSE)
+IF(M13="Indoor",VLOOKUP(M13,_VRF!L:N,2,FALSE),0),
VLOOKUP(M13,_VRF!L:N,2,FALSE)
+(VLOOKUP("7030 2 pair TCAS7302P",'Part List'!$A:$G,3,FALSE)+2*VLOOKUP("2.5mm Twin and Earth",'Part List'!$A:$G,3,FALSE))*F13
+VLOOKUP($N$1,_VRF!L:N,2,FALSE)*AE13
+VLOOKUP($O$1,_VRF!L:N,2,FALSE)*AF13
+VLOOKUP($P$1,_VRF!L:N,2,FALSE)*AG13
+VLOOKUP($Q$1,_VRF!L:N,2,FALSE)*AH13
+VLOOKUP($R$1,_VRF!L:N,2,FALSE)*AI13))))</f>
        <v>#N/A</v>
      </c>
      <c r="J13" s="441" t="e">
        <f>F13*VLOOKUP("7030 2 pair TCAS7302P",'Part List'!$A:$G,5,FALSE)*AE13+
+
IF(M13="Controller",VLOOKUP(M13,_VRF!L:N,3,FALSE)
+VLOOKUP($N$1,_VRF!L:N,3,FALSE)*AE13
+VLOOKUP($O$1,_VRF!L:N,3,FALSE)*AF13
+VLOOKUP($P$1,_VRF!L:N,3,FALSE)*AG13
+VLOOKUP($Q$1,_VRF!L:N,3,FALSE)*AH13
+VLOOKUP($R$1,_VRF!L:N,3,FALSE)*AI13
+(VLOOKUP("Network cable",'Part List'!$A:$G,5,FALSE)+VLOOKUP("2.5mm Twin and Earth",'Part List'!$A:$G,5,FALSE))*F13,
IF(M13="PAC",VLOOKUP(M13,_VRF!L:N,3,FALSE)
+VLOOKUP($N$1,_VRF!L:N,3,FALSE)*AE13
+VLOOKUP($O$1,_VRF!L:N,3,FALSE)*AF13
+VLOOKUP($P$1,_VRF!L:N,3,FALSE)*AG13
+VLOOKUP($Q$1,_VRF!L:N,3,FALSE)*AH13
+VLOOKUP($R$1,_VRF!L:N,3,FALSE)*AI13
+VLOOKUP("6mm Cable 3 core and Earth",'Part List'!$A:$G,5,FALSE)*F13,
IF(M13="Branch Box",VLOOKUP(M13,_VRF!L:N,3,FALSE)
+VLOOKUP($N$1,_VRF!L:N,3,FALSE)*AE13
+VLOOKUP($O$1,_VRF!L:N,3,FALSE)*AF13
+VLOOKUP($P$1,_VRF!L:N,3,FALSE)*AG13
+VLOOKUP($Q$1,_VRF!L:N,3,FALSE)*AH13
+VLOOKUP($R$1,_VRF!L:N,3,FALSE)*AI13
+(VLOOKUP("2.5mm Twin and Earth",'Part List'!$A:$G,5,FALSE)+VLOOKUP("7030 2 pair TCAS7302P",'Part List'!$A:$G,5,FALSE))*F13,
+IF(NOT(M13="Split"),IF(OR(M13="Outdoor",M13="Indoor"),0,VLOOKUP(AD13,_VRF!L:N,3,FALSE)+VLOOKUP(M13,_VRF!L:N,3,FALSE))
+VLOOKUP($N$1,_VRF!L:N,3,FALSE)*AE13
+VLOOKUP($O$1,_VRF!L:N,3,FALSE)*AF13
+VLOOKUP($P$1,_VRF!L:N,3,FALSE)*AG13
+VLOOKUP($Q$1,_VRF!L:N,3,FALSE)*AH13
+VLOOKUP($R$1,_VRF!L:N,3,FALSE)*AI13
+VLOOKUP(IF(M13="Outdoor","4mm Cable 3 core and Earth","2.5mm Twin and Earth"),'Part List'!$A:$G,5,FALSE)*F13
+IF(M13="Indoor",VLOOKUP("7030 2 pair TCAS7302P",'Part List'!$A:$G,5,FALSE),0)*F13
+VLOOKUP(IF(M13="Outdoor",IF(L13="Local","Outdoor_Local","Outdoor_MSSB"),0),_VRF!L:N,3,FALSE)
+IF(M13="Indoor",VLOOKUP(M13,_VRF!L:N,3,FALSE),0),
VLOOKUP(M13,_VRF!L:N,3,FALSE)
+(VLOOKUP("7030 2 pair TCAS7302P",'Part List'!$A:$G,5,FALSE)+2*VLOOKUP("2.5mm Twin and Earth",'Part List'!$A:$G,5,FALSE))*F13
+VLOOKUP($N$1,_VRF!L:N,3,FALSE)*AE13
+VLOOKUP($O$1,_VRF!L:N,3,FALSE)*AF13
+VLOOKUP($P$1,_VRF!L:N,3,FALSE)*AG13
+VLOOKUP($Q$1,_VRF!L:N,3,FALSE)*AH13
+VLOOKUP($R$1,_VRF!L:N,3,FALSE)*AI13))))</f>
        <v>#N/A</v>
      </c>
      <c r="K13" s="430" t="e">
        <f>_xlfn.CONCAT(VLOOKUP(M13,_VRF!$A$39:$C$44,3,FALSE), "-",
IF(N13="Yes", 1, 0)*X13, IF(O13="Yes", 1, 0)*Y13, IF(P13="Yes", 1, 0)*Z13, AA13*IF(Q13="Yes", 1, 0),IF(R13="Yes", 1, 0)*AB13,IF(W13 = 1, IF(L13="Local", "-L", "-M"),""))</f>
        <v>#N/A</v>
      </c>
      <c r="L13" s="432" t="s">
        <v>678</v>
      </c>
      <c r="M13" s="432"/>
      <c r="N13" s="440"/>
      <c r="O13" s="440"/>
      <c r="P13" s="440"/>
      <c r="Q13" s="440"/>
      <c r="R13" s="440"/>
      <c r="S13" s="114" t="str">
        <f t="shared" si="7"/>
        <v/>
      </c>
      <c r="W13" s="114" t="e">
        <f>VLOOKUP($M13,_VRF!$A$26:$G$31, 2, FALSE)</f>
        <v>#N/A</v>
      </c>
      <c r="X13" s="114" t="e">
        <f>VLOOKUP($M13,_VRF!$A$26:$G$31, 3, FALSE)</f>
        <v>#N/A</v>
      </c>
      <c r="Y13" s="114" t="e">
        <f>VLOOKUP($M13,_VRF!$A$26:$G$31, 4, FALSE)</f>
        <v>#N/A</v>
      </c>
      <c r="Z13" s="114" t="e">
        <f>VLOOKUP($M13,_VRF!$A$26:$G$31, 5, FALSE)</f>
        <v>#N/A</v>
      </c>
      <c r="AA13" s="114" t="e">
        <f>VLOOKUP($M13,_VRF!$A$26:$G$31, 6, FALSE)</f>
        <v>#N/A</v>
      </c>
      <c r="AB13" s="114" t="e">
        <f>VLOOKUP($M13,_VRF!$A$26:$G$31, 7, FALSE)</f>
        <v>#N/A</v>
      </c>
      <c r="AD13" s="114" t="e">
        <f t="shared" si="8"/>
        <v>#N/A</v>
      </c>
      <c r="AE13" s="114">
        <f t="shared" si="9"/>
        <v>0</v>
      </c>
      <c r="AF13" s="114">
        <f t="shared" si="1"/>
        <v>0</v>
      </c>
      <c r="AG13" s="114">
        <f t="shared" si="1"/>
        <v>0</v>
      </c>
      <c r="AH13" s="114">
        <f t="shared" si="1"/>
        <v>0</v>
      </c>
      <c r="AI13" s="114">
        <f t="shared" si="1"/>
        <v>0</v>
      </c>
      <c r="AM13" s="432" t="str">
        <f t="shared" si="10"/>
        <v/>
      </c>
      <c r="AN13" s="114">
        <f t="shared" si="2"/>
        <v>0</v>
      </c>
      <c r="AO13" s="114" t="str">
        <f>_xlfn.CONCAT(E13," (",VLOOKUP(E13,[1]Backend!C:D,2,FALSE),")")</f>
        <v xml:space="preserve"> (Zero)</v>
      </c>
      <c r="AP13" s="114" t="str">
        <f>_xlfn.CONCAT(AN13," - Electrical power supply and controls to ",AO13," ",VLOOKUP(M13,_VRF!$A$39:$G$48,2,FALSE))</f>
        <v xml:space="preserve">0 - Electrical power supply and controls to  (Zero) </v>
      </c>
      <c r="AQ13" s="114" t="str">
        <f t="shared" si="11"/>
        <v xml:space="preserve"> </v>
      </c>
      <c r="AR13" s="114" t="str">
        <f t="shared" si="12"/>
        <v/>
      </c>
      <c r="AS13" s="114" t="e">
        <f t="shared" si="13"/>
        <v>#N/A</v>
      </c>
      <c r="AT13" s="114" t="e">
        <f t="shared" si="14"/>
        <v>#N/A</v>
      </c>
      <c r="AU13" s="114" t="str">
        <f t="shared" si="15"/>
        <v>0.1 - This includes supply and install of power and controls.</v>
      </c>
      <c r="AV13" s="114" t="str">
        <f>_xlfn.CONCAT(AN13,".2 - Power for system includes: ",VLOOKUP(L13,_VRF!L:O,4,FALSE))</f>
        <v xml:space="preserve">0.2 - Power for system includes: CB and cabling to unit from MSSB, and local isolator, </v>
      </c>
      <c r="AW13" s="114" t="e">
        <f t="shared" si="16"/>
        <v>#N/A</v>
      </c>
      <c r="AX13" s="114" t="str">
        <f>_xlfn.CONCAT(
IF(M13="Yes",VLOOKUP(M$1,_VRF!L:Z,4,FALSE),""),
IF(N13="Yes",VLOOKUP(N$1,_VRF!L:Z,4,FALSE),""),
IF(O13="Yes",VLOOKUP(O$1,_VRF!L:Z,4,FALSE),""),
IF(P13="Yes",VLOOKUP(P$1,_VRF!L:Z,4,FALSE),""),
IF(Q13="Yes",VLOOKUP(Q$1,_VRF!L:Z,4,FALSE),""),
IF(R13="Yes",VLOOKUP(R$1,_VRF!L:Z,4,FALSE),""))</f>
        <v/>
      </c>
      <c r="AZ13" s="114" t="str">
        <f>_xlfn.CONCAT(VLOOKUP(M13,_VRF!$A$39:$G$48,2,FALSE),AQ13,AR13,)</f>
        <v xml:space="preserve"> </v>
      </c>
    </row>
    <row r="14" spans="1:52" x14ac:dyDescent="0.4">
      <c r="A14" s="429" t="str">
        <f t="shared" si="3"/>
        <v>INVALID</v>
      </c>
      <c r="B14" s="430" t="str">
        <f t="shared" si="4"/>
        <v>VRF 13</v>
      </c>
      <c r="C14" s="431">
        <f t="shared" si="5"/>
        <v>0</v>
      </c>
      <c r="D14" s="430">
        <f t="shared" si="6"/>
        <v>0</v>
      </c>
      <c r="E14" s="430"/>
      <c r="F14" s="430">
        <f t="shared" si="0"/>
        <v>20</v>
      </c>
      <c r="G14" s="440"/>
      <c r="H14" s="441"/>
      <c r="I14" s="440" t="e">
        <f>F14*VLOOKUP("7030 2 pair TCAS7302P",'Part List'!$A:$G,3,FALSE)*AE14
+IF(M14="Controller",VLOOKUP(M14,_VRF!L:N,2,FALSE)
+VLOOKUP($N$1,_VRF!L:N,2,FALSE)*AE14
+VLOOKUP($O$1,_VRF!L:N,2,FALSE)*AF14
+VLOOKUP($P$1,_VRF!L:N,2,FALSE)*AG14
+VLOOKUP($Q$1,_VRF!L:N,2,FALSE)*AH14
+VLOOKUP($R$1,_VRF!L:N,2,FALSE)*AI14
+(VLOOKUP("Network cable",'Part List'!$A:$G,3,FALSE)+VLOOKUP("2.5mm Twin and Earth",'Part List'!$A:$G,3,FALSE))*F14,
IF(M14="PAC",VLOOKUP(M14,_VRF!L:N,2,FALSE)
+VLOOKUP($N$1,_VRF!L:N,2,FALSE)*AE14
+VLOOKUP($O$1,_VRF!L:N,2,FALSE)*AF14
+VLOOKUP($P$1,_VRF!L:N,2,FALSE)*AG14
+VLOOKUP($Q$1,_VRF!L:N,2,FALSE)*AH14
+VLOOKUP($R$1,_VRF!L:N,2,FALSE)*AI14
+VLOOKUP("6mm Cable 3 core and Earth",'Part List'!$A:$G,3,FALSE)*F14,
IF(M14="Branch Box",VLOOKUP(M14,_VRF!L:N,2,FALSE)
+VLOOKUP($N$1,_VRF!L:N,2,FALSE)*AE14
+VLOOKUP($O$1,_VRF!L:N,2,FALSE)*AF14
+VLOOKUP($P$1,_VRF!L:N,2,FALSE)*AG14
+VLOOKUP($Q$1,_VRF!L:N,2,FALSE)*AH14
+VLOOKUP($R$1,_VRF!L:N,2,FALSE)*AI14
+(VLOOKUP("2.5mm Twin and Earth",'Part List'!$A:$G,3,FALSE)+VLOOKUP("7030 2 pair TCAS7302P",'Part List'!$A:$G,3,FALSE))*F14,
+IF(NOT(M14="Split"),IF(OR(M14="Outdoor",M14="Indoor"),0,VLOOKUP(AD14,_VRF!L:N,2,FALSE)+VLOOKUP(M14,_VRF!L:N,2,FALSE))
+VLOOKUP($N$1,_VRF!L:N,2,FALSE)*AE14
+VLOOKUP($O$1,_VRF!L:N,2,FALSE)*AF14
+VLOOKUP($P$1,_VRF!L:N,2,FALSE)*AG14
+VLOOKUP($Q$1,_VRF!L:N,2,FALSE)*AH14
+VLOOKUP($R$1,_VRF!L:N,2,FALSE)*AI14
+VLOOKUP(IF(M14="Outdoor","4mm Cable 3 core and Earth","2.5mm Twin and Earth"),'Part List'!$A:$G,3,FALSE)*F14
+IF(M14="Indoor",VLOOKUP("7030 2 pair TCAS7302P",'Part List'!$A:$G,3,FALSE),0)*F14
+VLOOKUP(IF(M14="Outdoor",IF(L14="Local","Outdoor_Local","Outdoor_MSSB"),0),_VRF!L:N,2,FALSE)
+IF(M14="Indoor",VLOOKUP(M14,_VRF!L:N,2,FALSE),0),
VLOOKUP(M14,_VRF!L:N,2,FALSE)
+(VLOOKUP("7030 2 pair TCAS7302P",'Part List'!$A:$G,3,FALSE)+2*VLOOKUP("2.5mm Twin and Earth",'Part List'!$A:$G,3,FALSE))*F14
+VLOOKUP($N$1,_VRF!L:N,2,FALSE)*AE14
+VLOOKUP($O$1,_VRF!L:N,2,FALSE)*AF14
+VLOOKUP($P$1,_VRF!L:N,2,FALSE)*AG14
+VLOOKUP($Q$1,_VRF!L:N,2,FALSE)*AH14
+VLOOKUP($R$1,_VRF!L:N,2,FALSE)*AI14))))</f>
        <v>#N/A</v>
      </c>
      <c r="J14" s="441" t="e">
        <f>F14*VLOOKUP("7030 2 pair TCAS7302P",'Part List'!$A:$G,5,FALSE)*AE14+
+
IF(M14="Controller",VLOOKUP(M14,_VRF!L:N,3,FALSE)
+VLOOKUP($N$1,_VRF!L:N,3,FALSE)*AE14
+VLOOKUP($O$1,_VRF!L:N,3,FALSE)*AF14
+VLOOKUP($P$1,_VRF!L:N,3,FALSE)*AG14
+VLOOKUP($Q$1,_VRF!L:N,3,FALSE)*AH14
+VLOOKUP($R$1,_VRF!L:N,3,FALSE)*AI14
+(VLOOKUP("Network cable",'Part List'!$A:$G,5,FALSE)+VLOOKUP("2.5mm Twin and Earth",'Part List'!$A:$G,5,FALSE))*F14,
IF(M14="PAC",VLOOKUP(M14,_VRF!L:N,3,FALSE)
+VLOOKUP($N$1,_VRF!L:N,3,FALSE)*AE14
+VLOOKUP($O$1,_VRF!L:N,3,FALSE)*AF14
+VLOOKUP($P$1,_VRF!L:N,3,FALSE)*AG14
+VLOOKUP($Q$1,_VRF!L:N,3,FALSE)*AH14
+VLOOKUP($R$1,_VRF!L:N,3,FALSE)*AI14
+VLOOKUP("6mm Cable 3 core and Earth",'Part List'!$A:$G,5,FALSE)*F14,
IF(M14="Branch Box",VLOOKUP(M14,_VRF!L:N,3,FALSE)
+VLOOKUP($N$1,_VRF!L:N,3,FALSE)*AE14
+VLOOKUP($O$1,_VRF!L:N,3,FALSE)*AF14
+VLOOKUP($P$1,_VRF!L:N,3,FALSE)*AG14
+VLOOKUP($Q$1,_VRF!L:N,3,FALSE)*AH14
+VLOOKUP($R$1,_VRF!L:N,3,FALSE)*AI14
+(VLOOKUP("2.5mm Twin and Earth",'Part List'!$A:$G,5,FALSE)+VLOOKUP("7030 2 pair TCAS7302P",'Part List'!$A:$G,5,FALSE))*F14,
+IF(NOT(M14="Split"),IF(OR(M14="Outdoor",M14="Indoor"),0,VLOOKUP(AD14,_VRF!L:N,3,FALSE)+VLOOKUP(M14,_VRF!L:N,3,FALSE))
+VLOOKUP($N$1,_VRF!L:N,3,FALSE)*AE14
+VLOOKUP($O$1,_VRF!L:N,3,FALSE)*AF14
+VLOOKUP($P$1,_VRF!L:N,3,FALSE)*AG14
+VLOOKUP($Q$1,_VRF!L:N,3,FALSE)*AH14
+VLOOKUP($R$1,_VRF!L:N,3,FALSE)*AI14
+VLOOKUP(IF(M14="Outdoor","4mm Cable 3 core and Earth","2.5mm Twin and Earth"),'Part List'!$A:$G,5,FALSE)*F14
+IF(M14="Indoor",VLOOKUP("7030 2 pair TCAS7302P",'Part List'!$A:$G,5,FALSE),0)*F14
+VLOOKUP(IF(M14="Outdoor",IF(L14="Local","Outdoor_Local","Outdoor_MSSB"),0),_VRF!L:N,3,FALSE)
+IF(M14="Indoor",VLOOKUP(M14,_VRF!L:N,3,FALSE),0),
VLOOKUP(M14,_VRF!L:N,3,FALSE)
+(VLOOKUP("7030 2 pair TCAS7302P",'Part List'!$A:$G,5,FALSE)+2*VLOOKUP("2.5mm Twin and Earth",'Part List'!$A:$G,5,FALSE))*F14
+VLOOKUP($N$1,_VRF!L:N,3,FALSE)*AE14
+VLOOKUP($O$1,_VRF!L:N,3,FALSE)*AF14
+VLOOKUP($P$1,_VRF!L:N,3,FALSE)*AG14
+VLOOKUP($Q$1,_VRF!L:N,3,FALSE)*AH14
+VLOOKUP($R$1,_VRF!L:N,3,FALSE)*AI14))))</f>
        <v>#N/A</v>
      </c>
      <c r="K14" s="430" t="e">
        <f>_xlfn.CONCAT(VLOOKUP(M14,_VRF!$A$39:$C$44,3,FALSE), "-",
IF(N14="Yes", 1, 0)*X14, IF(O14="Yes", 1, 0)*Y14, IF(P14="Yes", 1, 0)*Z14, AA14*IF(Q14="Yes", 1, 0),IF(R14="Yes", 1, 0)*AB14,IF(W14 = 1, IF(L14="Local", "-L", "-M"),""))</f>
        <v>#N/A</v>
      </c>
      <c r="L14" s="432" t="s">
        <v>678</v>
      </c>
      <c r="M14" s="432"/>
      <c r="N14" s="440"/>
      <c r="O14" s="440"/>
      <c r="P14" s="440"/>
      <c r="Q14" s="440"/>
      <c r="R14" s="440"/>
      <c r="S14" s="114" t="str">
        <f t="shared" si="7"/>
        <v/>
      </c>
      <c r="W14" s="114" t="e">
        <f>VLOOKUP($M14,_VRF!$A$26:$G$31, 2, FALSE)</f>
        <v>#N/A</v>
      </c>
      <c r="X14" s="114" t="e">
        <f>VLOOKUP($M14,_VRF!$A$26:$G$31, 3, FALSE)</f>
        <v>#N/A</v>
      </c>
      <c r="Y14" s="114" t="e">
        <f>VLOOKUP($M14,_VRF!$A$26:$G$31, 4, FALSE)</f>
        <v>#N/A</v>
      </c>
      <c r="Z14" s="114" t="e">
        <f>VLOOKUP($M14,_VRF!$A$26:$G$31, 5, FALSE)</f>
        <v>#N/A</v>
      </c>
      <c r="AA14" s="114" t="e">
        <f>VLOOKUP($M14,_VRF!$A$26:$G$31, 6, FALSE)</f>
        <v>#N/A</v>
      </c>
      <c r="AB14" s="114" t="e">
        <f>VLOOKUP($M14,_VRF!$A$26:$G$31, 7, FALSE)</f>
        <v>#N/A</v>
      </c>
      <c r="AD14" s="114" t="e">
        <f t="shared" si="8"/>
        <v>#N/A</v>
      </c>
      <c r="AE14" s="114">
        <f t="shared" si="9"/>
        <v>0</v>
      </c>
      <c r="AF14" s="114">
        <f t="shared" si="1"/>
        <v>0</v>
      </c>
      <c r="AG14" s="114">
        <f t="shared" si="1"/>
        <v>0</v>
      </c>
      <c r="AH14" s="114">
        <f t="shared" si="1"/>
        <v>0</v>
      </c>
      <c r="AI14" s="114">
        <f t="shared" si="1"/>
        <v>0</v>
      </c>
      <c r="AM14" s="432" t="str">
        <f t="shared" si="10"/>
        <v/>
      </c>
      <c r="AN14" s="114">
        <f t="shared" si="2"/>
        <v>0</v>
      </c>
      <c r="AO14" s="114" t="str">
        <f>_xlfn.CONCAT(E14," (",VLOOKUP(E14,[1]Backend!C:D,2,FALSE),")")</f>
        <v xml:space="preserve"> (Zero)</v>
      </c>
      <c r="AP14" s="114" t="str">
        <f>_xlfn.CONCAT(AN14," - Electrical power supply and controls to ",AO14," ",VLOOKUP(M14,_VRF!$A$39:$G$48,2,FALSE))</f>
        <v xml:space="preserve">0 - Electrical power supply and controls to  (Zero) </v>
      </c>
      <c r="AQ14" s="114" t="str">
        <f t="shared" si="11"/>
        <v xml:space="preserve"> </v>
      </c>
      <c r="AR14" s="114" t="str">
        <f t="shared" si="12"/>
        <v/>
      </c>
      <c r="AS14" s="114" t="e">
        <f t="shared" si="13"/>
        <v>#N/A</v>
      </c>
      <c r="AT14" s="114" t="e">
        <f t="shared" si="14"/>
        <v>#N/A</v>
      </c>
      <c r="AU14" s="114" t="str">
        <f t="shared" si="15"/>
        <v>0.1 - This includes supply and install of power and controls.</v>
      </c>
      <c r="AV14" s="114" t="str">
        <f>_xlfn.CONCAT(AN14,".2 - Power for system includes: ",VLOOKUP(L14,_VRF!L:O,4,FALSE))</f>
        <v xml:space="preserve">0.2 - Power for system includes: CB and cabling to unit from MSSB, and local isolator, </v>
      </c>
      <c r="AW14" s="114" t="e">
        <f t="shared" si="16"/>
        <v>#N/A</v>
      </c>
      <c r="AX14" s="114" t="str">
        <f>_xlfn.CONCAT(
IF(M14="Yes",VLOOKUP(M$1,_VRF!L:Z,4,FALSE),""),
IF(N14="Yes",VLOOKUP(N$1,_VRF!L:Z,4,FALSE),""),
IF(O14="Yes",VLOOKUP(O$1,_VRF!L:Z,4,FALSE),""),
IF(P14="Yes",VLOOKUP(P$1,_VRF!L:Z,4,FALSE),""),
IF(Q14="Yes",VLOOKUP(Q$1,_VRF!L:Z,4,FALSE),""),
IF(R14="Yes",VLOOKUP(R$1,_VRF!L:Z,4,FALSE),""))</f>
        <v/>
      </c>
      <c r="AZ14" s="114" t="str">
        <f>_xlfn.CONCAT(VLOOKUP(M14,_VRF!$A$39:$G$48,2,FALSE),AQ14,AR14,)</f>
        <v xml:space="preserve"> </v>
      </c>
    </row>
    <row r="15" spans="1:52" x14ac:dyDescent="0.4">
      <c r="A15" s="429" t="str">
        <f t="shared" si="3"/>
        <v>INVALID</v>
      </c>
      <c r="B15" s="430" t="str">
        <f t="shared" si="4"/>
        <v>VRF 14</v>
      </c>
      <c r="C15" s="431">
        <f t="shared" si="5"/>
        <v>0</v>
      </c>
      <c r="D15" s="430">
        <f t="shared" si="6"/>
        <v>0</v>
      </c>
      <c r="E15" s="430"/>
      <c r="F15" s="430">
        <f t="shared" si="0"/>
        <v>20</v>
      </c>
      <c r="G15" s="440"/>
      <c r="H15" s="441"/>
      <c r="I15" s="440" t="e">
        <f>F15*VLOOKUP("7030 2 pair TCAS7302P",'Part List'!$A:$G,3,FALSE)*AE15
+IF(M15="Controller",VLOOKUP(M15,_VRF!L:N,2,FALSE)
+VLOOKUP($N$1,_VRF!L:N,2,FALSE)*AE15
+VLOOKUP($O$1,_VRF!L:N,2,FALSE)*AF15
+VLOOKUP($P$1,_VRF!L:N,2,FALSE)*AG15
+VLOOKUP($Q$1,_VRF!L:N,2,FALSE)*AH15
+VLOOKUP($R$1,_VRF!L:N,2,FALSE)*AI15
+(VLOOKUP("Network cable",'Part List'!$A:$G,3,FALSE)+VLOOKUP("2.5mm Twin and Earth",'Part List'!$A:$G,3,FALSE))*F15,
IF(M15="PAC",VLOOKUP(M15,_VRF!L:N,2,FALSE)
+VLOOKUP($N$1,_VRF!L:N,2,FALSE)*AE15
+VLOOKUP($O$1,_VRF!L:N,2,FALSE)*AF15
+VLOOKUP($P$1,_VRF!L:N,2,FALSE)*AG15
+VLOOKUP($Q$1,_VRF!L:N,2,FALSE)*AH15
+VLOOKUP($R$1,_VRF!L:N,2,FALSE)*AI15
+VLOOKUP("6mm Cable 3 core and Earth",'Part List'!$A:$G,3,FALSE)*F15,
IF(M15="Branch Box",VLOOKUP(M15,_VRF!L:N,2,FALSE)
+VLOOKUP($N$1,_VRF!L:N,2,FALSE)*AE15
+VLOOKUP($O$1,_VRF!L:N,2,FALSE)*AF15
+VLOOKUP($P$1,_VRF!L:N,2,FALSE)*AG15
+VLOOKUP($Q$1,_VRF!L:N,2,FALSE)*AH15
+VLOOKUP($R$1,_VRF!L:N,2,FALSE)*AI15
+(VLOOKUP("2.5mm Twin and Earth",'Part List'!$A:$G,3,FALSE)+VLOOKUP("7030 2 pair TCAS7302P",'Part List'!$A:$G,3,FALSE))*F15,
+IF(NOT(M15="Split"),IF(OR(M15="Outdoor",M15="Indoor"),0,VLOOKUP(AD15,_VRF!L:N,2,FALSE)+VLOOKUP(M15,_VRF!L:N,2,FALSE))
+VLOOKUP($N$1,_VRF!L:N,2,FALSE)*AE15
+VLOOKUP($O$1,_VRF!L:N,2,FALSE)*AF15
+VLOOKUP($P$1,_VRF!L:N,2,FALSE)*AG15
+VLOOKUP($Q$1,_VRF!L:N,2,FALSE)*AH15
+VLOOKUP($R$1,_VRF!L:N,2,FALSE)*AI15
+VLOOKUP(IF(M15="Outdoor","4mm Cable 3 core and Earth","2.5mm Twin and Earth"),'Part List'!$A:$G,3,FALSE)*F15
+IF(M15="Indoor",VLOOKUP("7030 2 pair TCAS7302P",'Part List'!$A:$G,3,FALSE),0)*F15
+VLOOKUP(IF(M15="Outdoor",IF(L15="Local","Outdoor_Local","Outdoor_MSSB"),0),_VRF!L:N,2,FALSE)
+IF(M15="Indoor",VLOOKUP(M15,_VRF!L:N,2,FALSE),0),
VLOOKUP(M15,_VRF!L:N,2,FALSE)
+(VLOOKUP("7030 2 pair TCAS7302P",'Part List'!$A:$G,3,FALSE)+2*VLOOKUP("2.5mm Twin and Earth",'Part List'!$A:$G,3,FALSE))*F15
+VLOOKUP($N$1,_VRF!L:N,2,FALSE)*AE15
+VLOOKUP($O$1,_VRF!L:N,2,FALSE)*AF15
+VLOOKUP($P$1,_VRF!L:N,2,FALSE)*AG15
+VLOOKUP($Q$1,_VRF!L:N,2,FALSE)*AH15
+VLOOKUP($R$1,_VRF!L:N,2,FALSE)*AI15))))</f>
        <v>#N/A</v>
      </c>
      <c r="J15" s="441" t="e">
        <f>F15*VLOOKUP("7030 2 pair TCAS7302P",'Part List'!$A:$G,5,FALSE)*AE15+
+
IF(M15="Controller",VLOOKUP(M15,_VRF!L:N,3,FALSE)
+VLOOKUP($N$1,_VRF!L:N,3,FALSE)*AE15
+VLOOKUP($O$1,_VRF!L:N,3,FALSE)*AF15
+VLOOKUP($P$1,_VRF!L:N,3,FALSE)*AG15
+VLOOKUP($Q$1,_VRF!L:N,3,FALSE)*AH15
+VLOOKUP($R$1,_VRF!L:N,3,FALSE)*AI15
+(VLOOKUP("Network cable",'Part List'!$A:$G,5,FALSE)+VLOOKUP("2.5mm Twin and Earth",'Part List'!$A:$G,5,FALSE))*F15,
IF(M15="PAC",VLOOKUP(M15,_VRF!L:N,3,FALSE)
+VLOOKUP($N$1,_VRF!L:N,3,FALSE)*AE15
+VLOOKUP($O$1,_VRF!L:N,3,FALSE)*AF15
+VLOOKUP($P$1,_VRF!L:N,3,FALSE)*AG15
+VLOOKUP($Q$1,_VRF!L:N,3,FALSE)*AH15
+VLOOKUP($R$1,_VRF!L:N,3,FALSE)*AI15
+VLOOKUP("6mm Cable 3 core and Earth",'Part List'!$A:$G,5,FALSE)*F15,
IF(M15="Branch Box",VLOOKUP(M15,_VRF!L:N,3,FALSE)
+VLOOKUP($N$1,_VRF!L:N,3,FALSE)*AE15
+VLOOKUP($O$1,_VRF!L:N,3,FALSE)*AF15
+VLOOKUP($P$1,_VRF!L:N,3,FALSE)*AG15
+VLOOKUP($Q$1,_VRF!L:N,3,FALSE)*AH15
+VLOOKUP($R$1,_VRF!L:N,3,FALSE)*AI15
+(VLOOKUP("2.5mm Twin and Earth",'Part List'!$A:$G,5,FALSE)+VLOOKUP("7030 2 pair TCAS7302P",'Part List'!$A:$G,5,FALSE))*F15,
+IF(NOT(M15="Split"),IF(OR(M15="Outdoor",M15="Indoor"),0,VLOOKUP(AD15,_VRF!L:N,3,FALSE)+VLOOKUP(M15,_VRF!L:N,3,FALSE))
+VLOOKUP($N$1,_VRF!L:N,3,FALSE)*AE15
+VLOOKUP($O$1,_VRF!L:N,3,FALSE)*AF15
+VLOOKUP($P$1,_VRF!L:N,3,FALSE)*AG15
+VLOOKUP($Q$1,_VRF!L:N,3,FALSE)*AH15
+VLOOKUP($R$1,_VRF!L:N,3,FALSE)*AI15
+VLOOKUP(IF(M15="Outdoor","4mm Cable 3 core and Earth","2.5mm Twin and Earth"),'Part List'!$A:$G,5,FALSE)*F15
+IF(M15="Indoor",VLOOKUP("7030 2 pair TCAS7302P",'Part List'!$A:$G,5,FALSE),0)*F15
+VLOOKUP(IF(M15="Outdoor",IF(L15="Local","Outdoor_Local","Outdoor_MSSB"),0),_VRF!L:N,3,FALSE)
+IF(M15="Indoor",VLOOKUP(M15,_VRF!L:N,3,FALSE),0),
VLOOKUP(M15,_VRF!L:N,3,FALSE)
+(VLOOKUP("7030 2 pair TCAS7302P",'Part List'!$A:$G,5,FALSE)+2*VLOOKUP("2.5mm Twin and Earth",'Part List'!$A:$G,5,FALSE))*F15
+VLOOKUP($N$1,_VRF!L:N,3,FALSE)*AE15
+VLOOKUP($O$1,_VRF!L:N,3,FALSE)*AF15
+VLOOKUP($P$1,_VRF!L:N,3,FALSE)*AG15
+VLOOKUP($Q$1,_VRF!L:N,3,FALSE)*AH15
+VLOOKUP($R$1,_VRF!L:N,3,FALSE)*AI15))))</f>
        <v>#N/A</v>
      </c>
      <c r="K15" s="430" t="e">
        <f>_xlfn.CONCAT(VLOOKUP(M15,_VRF!$A$39:$C$44,3,FALSE), "-",
IF(N15="Yes", 1, 0)*X15, IF(O15="Yes", 1, 0)*Y15, IF(P15="Yes", 1, 0)*Z15, AA15*IF(Q15="Yes", 1, 0),IF(R15="Yes", 1, 0)*AB15,IF(W15 = 1, IF(L15="Local", "-L", "-M"),""))</f>
        <v>#N/A</v>
      </c>
      <c r="L15" s="432" t="s">
        <v>678</v>
      </c>
      <c r="M15" s="432"/>
      <c r="N15" s="440"/>
      <c r="O15" s="440"/>
      <c r="P15" s="440"/>
      <c r="Q15" s="440"/>
      <c r="R15" s="440"/>
      <c r="S15" s="114" t="str">
        <f t="shared" si="7"/>
        <v/>
      </c>
      <c r="W15" s="114" t="e">
        <f>VLOOKUP($M15,_VRF!$A$26:$G$31, 2, FALSE)</f>
        <v>#N/A</v>
      </c>
      <c r="X15" s="114" t="e">
        <f>VLOOKUP($M15,_VRF!$A$26:$G$31, 3, FALSE)</f>
        <v>#N/A</v>
      </c>
      <c r="Y15" s="114" t="e">
        <f>VLOOKUP($M15,_VRF!$A$26:$G$31, 4, FALSE)</f>
        <v>#N/A</v>
      </c>
      <c r="Z15" s="114" t="e">
        <f>VLOOKUP($M15,_VRF!$A$26:$G$31, 5, FALSE)</f>
        <v>#N/A</v>
      </c>
      <c r="AA15" s="114" t="e">
        <f>VLOOKUP($M15,_VRF!$A$26:$G$31, 6, FALSE)</f>
        <v>#N/A</v>
      </c>
      <c r="AB15" s="114" t="e">
        <f>VLOOKUP($M15,_VRF!$A$26:$G$31, 7, FALSE)</f>
        <v>#N/A</v>
      </c>
      <c r="AD15" s="114" t="e">
        <f t="shared" si="8"/>
        <v>#N/A</v>
      </c>
      <c r="AE15" s="114">
        <f t="shared" si="9"/>
        <v>0</v>
      </c>
      <c r="AF15" s="114">
        <f t="shared" si="1"/>
        <v>0</v>
      </c>
      <c r="AG15" s="114">
        <f t="shared" si="1"/>
        <v>0</v>
      </c>
      <c r="AH15" s="114">
        <f t="shared" si="1"/>
        <v>0</v>
      </c>
      <c r="AI15" s="114">
        <f t="shared" si="1"/>
        <v>0</v>
      </c>
      <c r="AM15" s="432" t="str">
        <f t="shared" si="10"/>
        <v/>
      </c>
      <c r="AN15" s="114">
        <f t="shared" si="2"/>
        <v>0</v>
      </c>
      <c r="AO15" s="114" t="str">
        <f>_xlfn.CONCAT(E15," (",VLOOKUP(E15,[1]Backend!C:D,2,FALSE),")")</f>
        <v xml:space="preserve"> (Zero)</v>
      </c>
      <c r="AP15" s="114" t="str">
        <f>_xlfn.CONCAT(AN15," - Electrical power supply and controls to ",AO15," ",VLOOKUP(M15,_VRF!$A$39:$G$48,2,FALSE))</f>
        <v xml:space="preserve">0 - Electrical power supply and controls to  (Zero) </v>
      </c>
      <c r="AQ15" s="114" t="str">
        <f t="shared" si="11"/>
        <v xml:space="preserve"> </v>
      </c>
      <c r="AR15" s="114" t="str">
        <f t="shared" si="12"/>
        <v/>
      </c>
      <c r="AS15" s="114" t="e">
        <f t="shared" si="13"/>
        <v>#N/A</v>
      </c>
      <c r="AT15" s="114" t="e">
        <f t="shared" si="14"/>
        <v>#N/A</v>
      </c>
      <c r="AU15" s="114" t="str">
        <f t="shared" si="15"/>
        <v>0.1 - This includes supply and install of power and controls.</v>
      </c>
      <c r="AV15" s="114" t="str">
        <f>_xlfn.CONCAT(AN15,".2 - Power for system includes: ",VLOOKUP(L15,_VRF!L:O,4,FALSE))</f>
        <v xml:space="preserve">0.2 - Power for system includes: CB and cabling to unit from MSSB, and local isolator, </v>
      </c>
      <c r="AW15" s="114" t="e">
        <f t="shared" si="16"/>
        <v>#N/A</v>
      </c>
      <c r="AX15" s="114" t="str">
        <f>_xlfn.CONCAT(
IF(M15="Yes",VLOOKUP(M$1,_VRF!L:Z,4,FALSE),""),
IF(N15="Yes",VLOOKUP(N$1,_VRF!L:Z,4,FALSE),""),
IF(O15="Yes",VLOOKUP(O$1,_VRF!L:Z,4,FALSE),""),
IF(P15="Yes",VLOOKUP(P$1,_VRF!L:Z,4,FALSE),""),
IF(Q15="Yes",VLOOKUP(Q$1,_VRF!L:Z,4,FALSE),""),
IF(R15="Yes",VLOOKUP(R$1,_VRF!L:Z,4,FALSE),""))</f>
        <v/>
      </c>
      <c r="AZ15" s="114" t="str">
        <f>_xlfn.CONCAT(VLOOKUP(M15,_VRF!$A$39:$G$48,2,FALSE),AQ15,AR15,)</f>
        <v xml:space="preserve"> </v>
      </c>
    </row>
    <row r="16" spans="1:52" x14ac:dyDescent="0.4">
      <c r="A16" s="429" t="str">
        <f t="shared" si="3"/>
        <v>INVALID</v>
      </c>
      <c r="B16" s="430" t="str">
        <f t="shared" si="4"/>
        <v>VRF 15</v>
      </c>
      <c r="C16" s="431">
        <f t="shared" si="5"/>
        <v>0</v>
      </c>
      <c r="D16" s="430">
        <f t="shared" si="6"/>
        <v>0</v>
      </c>
      <c r="E16" s="430"/>
      <c r="F16" s="430">
        <f t="shared" si="0"/>
        <v>20</v>
      </c>
      <c r="G16" s="440"/>
      <c r="H16" s="441"/>
      <c r="I16" s="440" t="e">
        <f>F16*VLOOKUP("7030 2 pair TCAS7302P",'Part List'!$A:$G,3,FALSE)*AE16
+IF(M16="Controller",VLOOKUP(M16,_VRF!L:N,2,FALSE)
+VLOOKUP($N$1,_VRF!L:N,2,FALSE)*AE16
+VLOOKUP($O$1,_VRF!L:N,2,FALSE)*AF16
+VLOOKUP($P$1,_VRF!L:N,2,FALSE)*AG16
+VLOOKUP($Q$1,_VRF!L:N,2,FALSE)*AH16
+VLOOKUP($R$1,_VRF!L:N,2,FALSE)*AI16
+(VLOOKUP("Network cable",'Part List'!$A:$G,3,FALSE)+VLOOKUP("2.5mm Twin and Earth",'Part List'!$A:$G,3,FALSE))*F16,
IF(M16="PAC",VLOOKUP(M16,_VRF!L:N,2,FALSE)
+VLOOKUP($N$1,_VRF!L:N,2,FALSE)*AE16
+VLOOKUP($O$1,_VRF!L:N,2,FALSE)*AF16
+VLOOKUP($P$1,_VRF!L:N,2,FALSE)*AG16
+VLOOKUP($Q$1,_VRF!L:N,2,FALSE)*AH16
+VLOOKUP($R$1,_VRF!L:N,2,FALSE)*AI16
+VLOOKUP("6mm Cable 3 core and Earth",'Part List'!$A:$G,3,FALSE)*F16,
IF(M16="Branch Box",VLOOKUP(M16,_VRF!L:N,2,FALSE)
+VLOOKUP($N$1,_VRF!L:N,2,FALSE)*AE16
+VLOOKUP($O$1,_VRF!L:N,2,FALSE)*AF16
+VLOOKUP($P$1,_VRF!L:N,2,FALSE)*AG16
+VLOOKUP($Q$1,_VRF!L:N,2,FALSE)*AH16
+VLOOKUP($R$1,_VRF!L:N,2,FALSE)*AI16
+(VLOOKUP("2.5mm Twin and Earth",'Part List'!$A:$G,3,FALSE)+VLOOKUP("7030 2 pair TCAS7302P",'Part List'!$A:$G,3,FALSE))*F16,
+IF(NOT(M16="Split"),IF(OR(M16="Outdoor",M16="Indoor"),0,VLOOKUP(AD16,_VRF!L:N,2,FALSE)+VLOOKUP(M16,_VRF!L:N,2,FALSE))
+VLOOKUP($N$1,_VRF!L:N,2,FALSE)*AE16
+VLOOKUP($O$1,_VRF!L:N,2,FALSE)*AF16
+VLOOKUP($P$1,_VRF!L:N,2,FALSE)*AG16
+VLOOKUP($Q$1,_VRF!L:N,2,FALSE)*AH16
+VLOOKUP($R$1,_VRF!L:N,2,FALSE)*AI16
+VLOOKUP(IF(M16="Outdoor","4mm Cable 3 core and Earth","2.5mm Twin and Earth"),'Part List'!$A:$G,3,FALSE)*F16
+IF(M16="Indoor",VLOOKUP("7030 2 pair TCAS7302P",'Part List'!$A:$G,3,FALSE),0)*F16
+VLOOKUP(IF(M16="Outdoor",IF(L16="Local","Outdoor_Local","Outdoor_MSSB"),0),_VRF!L:N,2,FALSE)
+IF(M16="Indoor",VLOOKUP(M16,_VRF!L:N,2,FALSE),0),
VLOOKUP(M16,_VRF!L:N,2,FALSE)
+(VLOOKUP("7030 2 pair TCAS7302P",'Part List'!$A:$G,3,FALSE)+2*VLOOKUP("2.5mm Twin and Earth",'Part List'!$A:$G,3,FALSE))*F16
+VLOOKUP($N$1,_VRF!L:N,2,FALSE)*AE16
+VLOOKUP($O$1,_VRF!L:N,2,FALSE)*AF16
+VLOOKUP($P$1,_VRF!L:N,2,FALSE)*AG16
+VLOOKUP($Q$1,_VRF!L:N,2,FALSE)*AH16
+VLOOKUP($R$1,_VRF!L:N,2,FALSE)*AI16))))</f>
        <v>#N/A</v>
      </c>
      <c r="J16" s="441" t="e">
        <f>F16*VLOOKUP("7030 2 pair TCAS7302P",'Part List'!$A:$G,5,FALSE)*AE16+
+
IF(M16="Controller",VLOOKUP(M16,_VRF!L:N,3,FALSE)
+VLOOKUP($N$1,_VRF!L:N,3,FALSE)*AE16
+VLOOKUP($O$1,_VRF!L:N,3,FALSE)*AF16
+VLOOKUP($P$1,_VRF!L:N,3,FALSE)*AG16
+VLOOKUP($Q$1,_VRF!L:N,3,FALSE)*AH16
+VLOOKUP($R$1,_VRF!L:N,3,FALSE)*AI16
+(VLOOKUP("Network cable",'Part List'!$A:$G,5,FALSE)+VLOOKUP("2.5mm Twin and Earth",'Part List'!$A:$G,5,FALSE))*F16,
IF(M16="PAC",VLOOKUP(M16,_VRF!L:N,3,FALSE)
+VLOOKUP($N$1,_VRF!L:N,3,FALSE)*AE16
+VLOOKUP($O$1,_VRF!L:N,3,FALSE)*AF16
+VLOOKUP($P$1,_VRF!L:N,3,FALSE)*AG16
+VLOOKUP($Q$1,_VRF!L:N,3,FALSE)*AH16
+VLOOKUP($R$1,_VRF!L:N,3,FALSE)*AI16
+VLOOKUP("6mm Cable 3 core and Earth",'Part List'!$A:$G,5,FALSE)*F16,
IF(M16="Branch Box",VLOOKUP(M16,_VRF!L:N,3,FALSE)
+VLOOKUP($N$1,_VRF!L:N,3,FALSE)*AE16
+VLOOKUP($O$1,_VRF!L:N,3,FALSE)*AF16
+VLOOKUP($P$1,_VRF!L:N,3,FALSE)*AG16
+VLOOKUP($Q$1,_VRF!L:N,3,FALSE)*AH16
+VLOOKUP($R$1,_VRF!L:N,3,FALSE)*AI16
+(VLOOKUP("2.5mm Twin and Earth",'Part List'!$A:$G,5,FALSE)+VLOOKUP("7030 2 pair TCAS7302P",'Part List'!$A:$G,5,FALSE))*F16,
+IF(NOT(M16="Split"),IF(OR(M16="Outdoor",M16="Indoor"),0,VLOOKUP(AD16,_VRF!L:N,3,FALSE)+VLOOKUP(M16,_VRF!L:N,3,FALSE))
+VLOOKUP($N$1,_VRF!L:N,3,FALSE)*AE16
+VLOOKUP($O$1,_VRF!L:N,3,FALSE)*AF16
+VLOOKUP($P$1,_VRF!L:N,3,FALSE)*AG16
+VLOOKUP($Q$1,_VRF!L:N,3,FALSE)*AH16
+VLOOKUP($R$1,_VRF!L:N,3,FALSE)*AI16
+VLOOKUP(IF(M16="Outdoor","4mm Cable 3 core and Earth","2.5mm Twin and Earth"),'Part List'!$A:$G,5,FALSE)*F16
+IF(M16="Indoor",VLOOKUP("7030 2 pair TCAS7302P",'Part List'!$A:$G,5,FALSE),0)*F16
+VLOOKUP(IF(M16="Outdoor",IF(L16="Local","Outdoor_Local","Outdoor_MSSB"),0),_VRF!L:N,3,FALSE)
+IF(M16="Indoor",VLOOKUP(M16,_VRF!L:N,3,FALSE),0),
VLOOKUP(M16,_VRF!L:N,3,FALSE)
+(VLOOKUP("7030 2 pair TCAS7302P",'Part List'!$A:$G,5,FALSE)+2*VLOOKUP("2.5mm Twin and Earth",'Part List'!$A:$G,5,FALSE))*F16
+VLOOKUP($N$1,_VRF!L:N,3,FALSE)*AE16
+VLOOKUP($O$1,_VRF!L:N,3,FALSE)*AF16
+VLOOKUP($P$1,_VRF!L:N,3,FALSE)*AG16
+VLOOKUP($Q$1,_VRF!L:N,3,FALSE)*AH16
+VLOOKUP($R$1,_VRF!L:N,3,FALSE)*AI16))))</f>
        <v>#N/A</v>
      </c>
      <c r="K16" s="430" t="e">
        <f>_xlfn.CONCAT(VLOOKUP(M16,_VRF!$A$39:$C$44,3,FALSE), "-",
IF(N16="Yes", 1, 0)*X16, IF(O16="Yes", 1, 0)*Y16, IF(P16="Yes", 1, 0)*Z16, AA16*IF(Q16="Yes", 1, 0),IF(R16="Yes", 1, 0)*AB16,IF(W16 = 1, IF(L16="Local", "-L", "-M"),""))</f>
        <v>#N/A</v>
      </c>
      <c r="L16" s="432" t="s">
        <v>678</v>
      </c>
      <c r="M16" s="432"/>
      <c r="N16" s="440"/>
      <c r="O16" s="440"/>
      <c r="P16" s="440"/>
      <c r="Q16" s="440"/>
      <c r="R16" s="440"/>
      <c r="S16" s="114" t="str">
        <f t="shared" si="7"/>
        <v/>
      </c>
      <c r="W16" s="114" t="e">
        <f>VLOOKUP($M16,_VRF!$A$26:$G$31, 2, FALSE)</f>
        <v>#N/A</v>
      </c>
      <c r="X16" s="114" t="e">
        <f>VLOOKUP($M16,_VRF!$A$26:$G$31, 3, FALSE)</f>
        <v>#N/A</v>
      </c>
      <c r="Y16" s="114" t="e">
        <f>VLOOKUP($M16,_VRF!$A$26:$G$31, 4, FALSE)</f>
        <v>#N/A</v>
      </c>
      <c r="Z16" s="114" t="e">
        <f>VLOOKUP($M16,_VRF!$A$26:$G$31, 5, FALSE)</f>
        <v>#N/A</v>
      </c>
      <c r="AA16" s="114" t="e">
        <f>VLOOKUP($M16,_VRF!$A$26:$G$31, 6, FALSE)</f>
        <v>#N/A</v>
      </c>
      <c r="AB16" s="114" t="e">
        <f>VLOOKUP($M16,_VRF!$A$26:$G$31, 7, FALSE)</f>
        <v>#N/A</v>
      </c>
      <c r="AD16" s="114" t="e">
        <f t="shared" si="8"/>
        <v>#N/A</v>
      </c>
      <c r="AE16" s="114">
        <f t="shared" si="9"/>
        <v>0</v>
      </c>
      <c r="AF16" s="114">
        <f t="shared" si="1"/>
        <v>0</v>
      </c>
      <c r="AG16" s="114">
        <f t="shared" si="1"/>
        <v>0</v>
      </c>
      <c r="AH16" s="114">
        <f t="shared" si="1"/>
        <v>0</v>
      </c>
      <c r="AI16" s="114">
        <f t="shared" si="1"/>
        <v>0</v>
      </c>
      <c r="AM16" s="432" t="str">
        <f t="shared" si="10"/>
        <v/>
      </c>
      <c r="AN16" s="114">
        <f t="shared" si="2"/>
        <v>0</v>
      </c>
      <c r="AO16" s="114" t="str">
        <f>_xlfn.CONCAT(E16," (",VLOOKUP(E16,[1]Backend!C:D,2,FALSE),")")</f>
        <v xml:space="preserve"> (Zero)</v>
      </c>
      <c r="AP16" s="114" t="str">
        <f>_xlfn.CONCAT(AN16," - Electrical power supply and controls to ",AO16," ",VLOOKUP(M16,_VRF!$A$39:$G$48,2,FALSE))</f>
        <v xml:space="preserve">0 - Electrical power supply and controls to  (Zero) </v>
      </c>
      <c r="AQ16" s="114" t="str">
        <f t="shared" si="11"/>
        <v xml:space="preserve"> </v>
      </c>
      <c r="AR16" s="114" t="str">
        <f t="shared" si="12"/>
        <v/>
      </c>
      <c r="AS16" s="114" t="e">
        <f t="shared" si="13"/>
        <v>#N/A</v>
      </c>
      <c r="AT16" s="114" t="e">
        <f t="shared" si="14"/>
        <v>#N/A</v>
      </c>
      <c r="AU16" s="114" t="str">
        <f t="shared" si="15"/>
        <v>0.1 - This includes supply and install of power and controls.</v>
      </c>
      <c r="AV16" s="114" t="str">
        <f>_xlfn.CONCAT(AN16,".2 - Power for system includes: ",VLOOKUP(L16,_VRF!L:O,4,FALSE))</f>
        <v xml:space="preserve">0.2 - Power for system includes: CB and cabling to unit from MSSB, and local isolator, </v>
      </c>
      <c r="AW16" s="114" t="e">
        <f t="shared" si="16"/>
        <v>#N/A</v>
      </c>
      <c r="AX16" s="114" t="str">
        <f>_xlfn.CONCAT(
IF(M16="Yes",VLOOKUP(M$1,_VRF!L:Z,4,FALSE),""),
IF(N16="Yes",VLOOKUP(N$1,_VRF!L:Z,4,FALSE),""),
IF(O16="Yes",VLOOKUP(O$1,_VRF!L:Z,4,FALSE),""),
IF(P16="Yes",VLOOKUP(P$1,_VRF!L:Z,4,FALSE),""),
IF(Q16="Yes",VLOOKUP(Q$1,_VRF!L:Z,4,FALSE),""),
IF(R16="Yes",VLOOKUP(R$1,_VRF!L:Z,4,FALSE),""))</f>
        <v/>
      </c>
      <c r="AZ16" s="114" t="str">
        <f>_xlfn.CONCAT(VLOOKUP(M16,_VRF!$A$39:$G$48,2,FALSE),AQ16,AR16,)</f>
        <v xml:space="preserve"> </v>
      </c>
    </row>
    <row r="17" spans="1:52" x14ac:dyDescent="0.4">
      <c r="A17" s="429" t="str">
        <f t="shared" si="3"/>
        <v>INVALID</v>
      </c>
      <c r="B17" s="430" t="str">
        <f t="shared" si="4"/>
        <v>VRF 16</v>
      </c>
      <c r="C17" s="431">
        <f t="shared" si="5"/>
        <v>0</v>
      </c>
      <c r="D17" s="430">
        <f t="shared" si="6"/>
        <v>0</v>
      </c>
      <c r="E17" s="430"/>
      <c r="F17" s="430">
        <f t="shared" si="0"/>
        <v>20</v>
      </c>
      <c r="G17" s="440"/>
      <c r="H17" s="441"/>
      <c r="I17" s="440" t="e">
        <f>F17*VLOOKUP("7030 2 pair TCAS7302P",'Part List'!$A:$G,3,FALSE)*AE17
+IF(M17="Controller",VLOOKUP(M17,_VRF!L:N,2,FALSE)
+VLOOKUP($N$1,_VRF!L:N,2,FALSE)*AE17
+VLOOKUP($O$1,_VRF!L:N,2,FALSE)*AF17
+VLOOKUP($P$1,_VRF!L:N,2,FALSE)*AG17
+VLOOKUP($Q$1,_VRF!L:N,2,FALSE)*AH17
+VLOOKUP($R$1,_VRF!L:N,2,FALSE)*AI17
+(VLOOKUP("Network cable",'Part List'!$A:$G,3,FALSE)+VLOOKUP("2.5mm Twin and Earth",'Part List'!$A:$G,3,FALSE))*F17,
IF(M17="PAC",VLOOKUP(M17,_VRF!L:N,2,FALSE)
+VLOOKUP($N$1,_VRF!L:N,2,FALSE)*AE17
+VLOOKUP($O$1,_VRF!L:N,2,FALSE)*AF17
+VLOOKUP($P$1,_VRF!L:N,2,FALSE)*AG17
+VLOOKUP($Q$1,_VRF!L:N,2,FALSE)*AH17
+VLOOKUP($R$1,_VRF!L:N,2,FALSE)*AI17
+VLOOKUP("6mm Cable 3 core and Earth",'Part List'!$A:$G,3,FALSE)*F17,
IF(M17="Branch Box",VLOOKUP(M17,_VRF!L:N,2,FALSE)
+VLOOKUP($N$1,_VRF!L:N,2,FALSE)*AE17
+VLOOKUP($O$1,_VRF!L:N,2,FALSE)*AF17
+VLOOKUP($P$1,_VRF!L:N,2,FALSE)*AG17
+VLOOKUP($Q$1,_VRF!L:N,2,FALSE)*AH17
+VLOOKUP($R$1,_VRF!L:N,2,FALSE)*AI17
+(VLOOKUP("2.5mm Twin and Earth",'Part List'!$A:$G,3,FALSE)+VLOOKUP("7030 2 pair TCAS7302P",'Part List'!$A:$G,3,FALSE))*F17,
+IF(NOT(M17="Split"),IF(OR(M17="Outdoor",M17="Indoor"),0,VLOOKUP(AD17,_VRF!L:N,2,FALSE)+VLOOKUP(M17,_VRF!L:N,2,FALSE))
+VLOOKUP($N$1,_VRF!L:N,2,FALSE)*AE17
+VLOOKUP($O$1,_VRF!L:N,2,FALSE)*AF17
+VLOOKUP($P$1,_VRF!L:N,2,FALSE)*AG17
+VLOOKUP($Q$1,_VRF!L:N,2,FALSE)*AH17
+VLOOKUP($R$1,_VRF!L:N,2,FALSE)*AI17
+VLOOKUP(IF(M17="Outdoor","4mm Cable 3 core and Earth","2.5mm Twin and Earth"),'Part List'!$A:$G,3,FALSE)*F17
+IF(M17="Indoor",VLOOKUP("7030 2 pair TCAS7302P",'Part List'!$A:$G,3,FALSE),0)*F17
+VLOOKUP(IF(M17="Outdoor",IF(L17="Local","Outdoor_Local","Outdoor_MSSB"),0),_VRF!L:N,2,FALSE)
+IF(M17="Indoor",VLOOKUP(M17,_VRF!L:N,2,FALSE),0),
VLOOKUP(M17,_VRF!L:N,2,FALSE)
+(VLOOKUP("7030 2 pair TCAS7302P",'Part List'!$A:$G,3,FALSE)+2*VLOOKUP("2.5mm Twin and Earth",'Part List'!$A:$G,3,FALSE))*F17
+VLOOKUP($N$1,_VRF!L:N,2,FALSE)*AE17
+VLOOKUP($O$1,_VRF!L:N,2,FALSE)*AF17
+VLOOKUP($P$1,_VRF!L:N,2,FALSE)*AG17
+VLOOKUP($Q$1,_VRF!L:N,2,FALSE)*AH17
+VLOOKUP($R$1,_VRF!L:N,2,FALSE)*AI17))))</f>
        <v>#N/A</v>
      </c>
      <c r="J17" s="441" t="e">
        <f>F17*VLOOKUP("7030 2 pair TCAS7302P",'Part List'!$A:$G,5,FALSE)*AE17+
+
IF(M17="Controller",VLOOKUP(M17,_VRF!L:N,3,FALSE)
+VLOOKUP($N$1,_VRF!L:N,3,FALSE)*AE17
+VLOOKUP($O$1,_VRF!L:N,3,FALSE)*AF17
+VLOOKUP($P$1,_VRF!L:N,3,FALSE)*AG17
+VLOOKUP($Q$1,_VRF!L:N,3,FALSE)*AH17
+VLOOKUP($R$1,_VRF!L:N,3,FALSE)*AI17
+(VLOOKUP("Network cable",'Part List'!$A:$G,5,FALSE)+VLOOKUP("2.5mm Twin and Earth",'Part List'!$A:$G,5,FALSE))*F17,
IF(M17="PAC",VLOOKUP(M17,_VRF!L:N,3,FALSE)
+VLOOKUP($N$1,_VRF!L:N,3,FALSE)*AE17
+VLOOKUP($O$1,_VRF!L:N,3,FALSE)*AF17
+VLOOKUP($P$1,_VRF!L:N,3,FALSE)*AG17
+VLOOKUP($Q$1,_VRF!L:N,3,FALSE)*AH17
+VLOOKUP($R$1,_VRF!L:N,3,FALSE)*AI17
+VLOOKUP("6mm Cable 3 core and Earth",'Part List'!$A:$G,5,FALSE)*F17,
IF(M17="Branch Box",VLOOKUP(M17,_VRF!L:N,3,FALSE)
+VLOOKUP($N$1,_VRF!L:N,3,FALSE)*AE17
+VLOOKUP($O$1,_VRF!L:N,3,FALSE)*AF17
+VLOOKUP($P$1,_VRF!L:N,3,FALSE)*AG17
+VLOOKUP($Q$1,_VRF!L:N,3,FALSE)*AH17
+VLOOKUP($R$1,_VRF!L:N,3,FALSE)*AI17
+(VLOOKUP("2.5mm Twin and Earth",'Part List'!$A:$G,5,FALSE)+VLOOKUP("7030 2 pair TCAS7302P",'Part List'!$A:$G,5,FALSE))*F17,
+IF(NOT(M17="Split"),IF(OR(M17="Outdoor",M17="Indoor"),0,VLOOKUP(AD17,_VRF!L:N,3,FALSE)+VLOOKUP(M17,_VRF!L:N,3,FALSE))
+VLOOKUP($N$1,_VRF!L:N,3,FALSE)*AE17
+VLOOKUP($O$1,_VRF!L:N,3,FALSE)*AF17
+VLOOKUP($P$1,_VRF!L:N,3,FALSE)*AG17
+VLOOKUP($Q$1,_VRF!L:N,3,FALSE)*AH17
+VLOOKUP($R$1,_VRF!L:N,3,FALSE)*AI17
+VLOOKUP(IF(M17="Outdoor","4mm Cable 3 core and Earth","2.5mm Twin and Earth"),'Part List'!$A:$G,5,FALSE)*F17
+IF(M17="Indoor",VLOOKUP("7030 2 pair TCAS7302P",'Part List'!$A:$G,5,FALSE),0)*F17
+VLOOKUP(IF(M17="Outdoor",IF(L17="Local","Outdoor_Local","Outdoor_MSSB"),0),_VRF!L:N,3,FALSE)
+IF(M17="Indoor",VLOOKUP(M17,_VRF!L:N,3,FALSE),0),
VLOOKUP(M17,_VRF!L:N,3,FALSE)
+(VLOOKUP("7030 2 pair TCAS7302P",'Part List'!$A:$G,5,FALSE)+2*VLOOKUP("2.5mm Twin and Earth",'Part List'!$A:$G,5,FALSE))*F17
+VLOOKUP($N$1,_VRF!L:N,3,FALSE)*AE17
+VLOOKUP($O$1,_VRF!L:N,3,FALSE)*AF17
+VLOOKUP($P$1,_VRF!L:N,3,FALSE)*AG17
+VLOOKUP($Q$1,_VRF!L:N,3,FALSE)*AH17
+VLOOKUP($R$1,_VRF!L:N,3,FALSE)*AI17))))</f>
        <v>#N/A</v>
      </c>
      <c r="K17" s="430" t="e">
        <f>_xlfn.CONCAT(VLOOKUP(M17,_VRF!$A$39:$C$44,3,FALSE), "-",
IF(N17="Yes", 1, 0)*X17, IF(O17="Yes", 1, 0)*Y17, IF(P17="Yes", 1, 0)*Z17, AA17*IF(Q17="Yes", 1, 0),IF(R17="Yes", 1, 0)*AB17,IF(W17 = 1, IF(L17="Local", "-L", "-M"),""))</f>
        <v>#N/A</v>
      </c>
      <c r="L17" s="432" t="s">
        <v>678</v>
      </c>
      <c r="M17" s="432"/>
      <c r="N17" s="440"/>
      <c r="O17" s="440"/>
      <c r="P17" s="440"/>
      <c r="Q17" s="440"/>
      <c r="R17" s="440"/>
      <c r="S17" s="114" t="str">
        <f t="shared" si="7"/>
        <v/>
      </c>
      <c r="W17" s="114" t="e">
        <f>VLOOKUP($M17,_VRF!$A$26:$G$31, 2, FALSE)</f>
        <v>#N/A</v>
      </c>
      <c r="X17" s="114" t="e">
        <f>VLOOKUP($M17,_VRF!$A$26:$G$31, 3, FALSE)</f>
        <v>#N/A</v>
      </c>
      <c r="Y17" s="114" t="e">
        <f>VLOOKUP($M17,_VRF!$A$26:$G$31, 4, FALSE)</f>
        <v>#N/A</v>
      </c>
      <c r="Z17" s="114" t="e">
        <f>VLOOKUP($M17,_VRF!$A$26:$G$31, 5, FALSE)</f>
        <v>#N/A</v>
      </c>
      <c r="AA17" s="114" t="e">
        <f>VLOOKUP($M17,_VRF!$A$26:$G$31, 6, FALSE)</f>
        <v>#N/A</v>
      </c>
      <c r="AB17" s="114" t="e">
        <f>VLOOKUP($M17,_VRF!$A$26:$G$31, 7, FALSE)</f>
        <v>#N/A</v>
      </c>
      <c r="AD17" s="114" t="e">
        <f t="shared" si="8"/>
        <v>#N/A</v>
      </c>
      <c r="AE17" s="114">
        <f t="shared" si="9"/>
        <v>0</v>
      </c>
      <c r="AF17" s="114">
        <f t="shared" si="1"/>
        <v>0</v>
      </c>
      <c r="AG17" s="114">
        <f t="shared" si="1"/>
        <v>0</v>
      </c>
      <c r="AH17" s="114">
        <f t="shared" si="1"/>
        <v>0</v>
      </c>
      <c r="AI17" s="114">
        <f t="shared" si="1"/>
        <v>0</v>
      </c>
      <c r="AM17" s="432" t="str">
        <f t="shared" si="10"/>
        <v/>
      </c>
      <c r="AN17" s="114">
        <f t="shared" si="2"/>
        <v>0</v>
      </c>
      <c r="AO17" s="114" t="str">
        <f>_xlfn.CONCAT(E17," (",VLOOKUP(E17,[1]Backend!C:D,2,FALSE),")")</f>
        <v xml:space="preserve"> (Zero)</v>
      </c>
      <c r="AP17" s="114" t="str">
        <f>_xlfn.CONCAT(AN17," - Electrical power supply and controls to ",AO17," ",VLOOKUP(M17,_VRF!$A$39:$G$48,2,FALSE))</f>
        <v xml:space="preserve">0 - Electrical power supply and controls to  (Zero) </v>
      </c>
      <c r="AQ17" s="114" t="str">
        <f t="shared" si="11"/>
        <v xml:space="preserve"> </v>
      </c>
      <c r="AR17" s="114" t="str">
        <f t="shared" si="12"/>
        <v/>
      </c>
      <c r="AS17" s="114" t="e">
        <f t="shared" si="13"/>
        <v>#N/A</v>
      </c>
      <c r="AT17" s="114" t="e">
        <f t="shared" si="14"/>
        <v>#N/A</v>
      </c>
      <c r="AU17" s="114" t="str">
        <f t="shared" si="15"/>
        <v>0.1 - This includes supply and install of power and controls.</v>
      </c>
      <c r="AV17" s="114" t="str">
        <f>_xlfn.CONCAT(AN17,".2 - Power for system includes: ",VLOOKUP(L17,_VRF!L:O,4,FALSE))</f>
        <v xml:space="preserve">0.2 - Power for system includes: CB and cabling to unit from MSSB, and local isolator, </v>
      </c>
      <c r="AW17" s="114" t="e">
        <f t="shared" si="16"/>
        <v>#N/A</v>
      </c>
      <c r="AX17" s="114" t="str">
        <f>_xlfn.CONCAT(
IF(M17="Yes",VLOOKUP(M$1,_VRF!L:Z,4,FALSE),""),
IF(N17="Yes",VLOOKUP(N$1,_VRF!L:Z,4,FALSE),""),
IF(O17="Yes",VLOOKUP(O$1,_VRF!L:Z,4,FALSE),""),
IF(P17="Yes",VLOOKUP(P$1,_VRF!L:Z,4,FALSE),""),
IF(Q17="Yes",VLOOKUP(Q$1,_VRF!L:Z,4,FALSE),""),
IF(R17="Yes",VLOOKUP(R$1,_VRF!L:Z,4,FALSE),""))</f>
        <v/>
      </c>
      <c r="AZ17" s="114" t="str">
        <f>_xlfn.CONCAT(VLOOKUP(M17,_VRF!$A$39:$G$48,2,FALSE),AQ17,AR17,)</f>
        <v xml:space="preserve"> </v>
      </c>
    </row>
    <row r="18" spans="1:52" x14ac:dyDescent="0.4">
      <c r="A18" s="429" t="str">
        <f t="shared" si="3"/>
        <v>INVALID</v>
      </c>
      <c r="B18" s="430" t="str">
        <f t="shared" si="4"/>
        <v>VRF 17</v>
      </c>
      <c r="C18" s="431">
        <f t="shared" si="5"/>
        <v>0</v>
      </c>
      <c r="D18" s="430">
        <f t="shared" si="6"/>
        <v>0</v>
      </c>
      <c r="E18" s="430"/>
      <c r="F18" s="430">
        <f t="shared" si="0"/>
        <v>20</v>
      </c>
      <c r="G18" s="440"/>
      <c r="H18" s="441"/>
      <c r="I18" s="440" t="e">
        <f>F18*VLOOKUP("7030 2 pair TCAS7302P",'Part List'!$A:$G,3,FALSE)*AE18
+IF(M18="Controller",VLOOKUP(M18,_VRF!L:N,2,FALSE)
+VLOOKUP($N$1,_VRF!L:N,2,FALSE)*AE18
+VLOOKUP($O$1,_VRF!L:N,2,FALSE)*AF18
+VLOOKUP($P$1,_VRF!L:N,2,FALSE)*AG18
+VLOOKUP($Q$1,_VRF!L:N,2,FALSE)*AH18
+VLOOKUP($R$1,_VRF!L:N,2,FALSE)*AI18
+(VLOOKUP("Network cable",'Part List'!$A:$G,3,FALSE)+VLOOKUP("2.5mm Twin and Earth",'Part List'!$A:$G,3,FALSE))*F18,
IF(M18="PAC",VLOOKUP(M18,_VRF!L:N,2,FALSE)
+VLOOKUP($N$1,_VRF!L:N,2,FALSE)*AE18
+VLOOKUP($O$1,_VRF!L:N,2,FALSE)*AF18
+VLOOKUP($P$1,_VRF!L:N,2,FALSE)*AG18
+VLOOKUP($Q$1,_VRF!L:N,2,FALSE)*AH18
+VLOOKUP($R$1,_VRF!L:N,2,FALSE)*AI18
+VLOOKUP("6mm Cable 3 core and Earth",'Part List'!$A:$G,3,FALSE)*F18,
IF(M18="Branch Box",VLOOKUP(M18,_VRF!L:N,2,FALSE)
+VLOOKUP($N$1,_VRF!L:N,2,FALSE)*AE18
+VLOOKUP($O$1,_VRF!L:N,2,FALSE)*AF18
+VLOOKUP($P$1,_VRF!L:N,2,FALSE)*AG18
+VLOOKUP($Q$1,_VRF!L:N,2,FALSE)*AH18
+VLOOKUP($R$1,_VRF!L:N,2,FALSE)*AI18
+(VLOOKUP("2.5mm Twin and Earth",'Part List'!$A:$G,3,FALSE)+VLOOKUP("7030 2 pair TCAS7302P",'Part List'!$A:$G,3,FALSE))*F18,
+IF(NOT(M18="Split"),IF(OR(M18="Outdoor",M18="Indoor"),0,VLOOKUP(AD18,_VRF!L:N,2,FALSE)+VLOOKUP(M18,_VRF!L:N,2,FALSE))
+VLOOKUP($N$1,_VRF!L:N,2,FALSE)*AE18
+VLOOKUP($O$1,_VRF!L:N,2,FALSE)*AF18
+VLOOKUP($P$1,_VRF!L:N,2,FALSE)*AG18
+VLOOKUP($Q$1,_VRF!L:N,2,FALSE)*AH18
+VLOOKUP($R$1,_VRF!L:N,2,FALSE)*AI18
+VLOOKUP(IF(M18="Outdoor","4mm Cable 3 core and Earth","2.5mm Twin and Earth"),'Part List'!$A:$G,3,FALSE)*F18
+IF(M18="Indoor",VLOOKUP("7030 2 pair TCAS7302P",'Part List'!$A:$G,3,FALSE),0)*F18
+VLOOKUP(IF(M18="Outdoor",IF(L18="Local","Outdoor_Local","Outdoor_MSSB"),0),_VRF!L:N,2,FALSE)
+IF(M18="Indoor",VLOOKUP(M18,_VRF!L:N,2,FALSE),0),
VLOOKUP(M18,_VRF!L:N,2,FALSE)
+(VLOOKUP("7030 2 pair TCAS7302P",'Part List'!$A:$G,3,FALSE)+2*VLOOKUP("2.5mm Twin and Earth",'Part List'!$A:$G,3,FALSE))*F18
+VLOOKUP($N$1,_VRF!L:N,2,FALSE)*AE18
+VLOOKUP($O$1,_VRF!L:N,2,FALSE)*AF18
+VLOOKUP($P$1,_VRF!L:N,2,FALSE)*AG18
+VLOOKUP($Q$1,_VRF!L:N,2,FALSE)*AH18
+VLOOKUP($R$1,_VRF!L:N,2,FALSE)*AI18))))</f>
        <v>#N/A</v>
      </c>
      <c r="J18" s="441" t="e">
        <f>F18*VLOOKUP("7030 2 pair TCAS7302P",'Part List'!$A:$G,5,FALSE)*AE18+
+
IF(M18="Controller",VLOOKUP(M18,_VRF!L:N,3,FALSE)
+VLOOKUP($N$1,_VRF!L:N,3,FALSE)*AE18
+VLOOKUP($O$1,_VRF!L:N,3,FALSE)*AF18
+VLOOKUP($P$1,_VRF!L:N,3,FALSE)*AG18
+VLOOKUP($Q$1,_VRF!L:N,3,FALSE)*AH18
+VLOOKUP($R$1,_VRF!L:N,3,FALSE)*AI18
+(VLOOKUP("Network cable",'Part List'!$A:$G,5,FALSE)+VLOOKUP("2.5mm Twin and Earth",'Part List'!$A:$G,5,FALSE))*F18,
IF(M18="PAC",VLOOKUP(M18,_VRF!L:N,3,FALSE)
+VLOOKUP($N$1,_VRF!L:N,3,FALSE)*AE18
+VLOOKUP($O$1,_VRF!L:N,3,FALSE)*AF18
+VLOOKUP($P$1,_VRF!L:N,3,FALSE)*AG18
+VLOOKUP($Q$1,_VRF!L:N,3,FALSE)*AH18
+VLOOKUP($R$1,_VRF!L:N,3,FALSE)*AI18
+VLOOKUP("6mm Cable 3 core and Earth",'Part List'!$A:$G,5,FALSE)*F18,
IF(M18="Branch Box",VLOOKUP(M18,_VRF!L:N,3,FALSE)
+VLOOKUP($N$1,_VRF!L:N,3,FALSE)*AE18
+VLOOKUP($O$1,_VRF!L:N,3,FALSE)*AF18
+VLOOKUP($P$1,_VRF!L:N,3,FALSE)*AG18
+VLOOKUP($Q$1,_VRF!L:N,3,FALSE)*AH18
+VLOOKUP($R$1,_VRF!L:N,3,FALSE)*AI18
+(VLOOKUP("2.5mm Twin and Earth",'Part List'!$A:$G,5,FALSE)+VLOOKUP("7030 2 pair TCAS7302P",'Part List'!$A:$G,5,FALSE))*F18,
+IF(NOT(M18="Split"),IF(OR(M18="Outdoor",M18="Indoor"),0,VLOOKUP(AD18,_VRF!L:N,3,FALSE)+VLOOKUP(M18,_VRF!L:N,3,FALSE))
+VLOOKUP($N$1,_VRF!L:N,3,FALSE)*AE18
+VLOOKUP($O$1,_VRF!L:N,3,FALSE)*AF18
+VLOOKUP($P$1,_VRF!L:N,3,FALSE)*AG18
+VLOOKUP($Q$1,_VRF!L:N,3,FALSE)*AH18
+VLOOKUP($R$1,_VRF!L:N,3,FALSE)*AI18
+VLOOKUP(IF(M18="Outdoor","4mm Cable 3 core and Earth","2.5mm Twin and Earth"),'Part List'!$A:$G,5,FALSE)*F18
+IF(M18="Indoor",VLOOKUP("7030 2 pair TCAS7302P",'Part List'!$A:$G,5,FALSE),0)*F18
+VLOOKUP(IF(M18="Outdoor",IF(L18="Local","Outdoor_Local","Outdoor_MSSB"),0),_VRF!L:N,3,FALSE)
+IF(M18="Indoor",VLOOKUP(M18,_VRF!L:N,3,FALSE),0),
VLOOKUP(M18,_VRF!L:N,3,FALSE)
+(VLOOKUP("7030 2 pair TCAS7302P",'Part List'!$A:$G,5,FALSE)+2*VLOOKUP("2.5mm Twin and Earth",'Part List'!$A:$G,5,FALSE))*F18
+VLOOKUP($N$1,_VRF!L:N,3,FALSE)*AE18
+VLOOKUP($O$1,_VRF!L:N,3,FALSE)*AF18
+VLOOKUP($P$1,_VRF!L:N,3,FALSE)*AG18
+VLOOKUP($Q$1,_VRF!L:N,3,FALSE)*AH18
+VLOOKUP($R$1,_VRF!L:N,3,FALSE)*AI18))))</f>
        <v>#N/A</v>
      </c>
      <c r="K18" s="430" t="e">
        <f>_xlfn.CONCAT(VLOOKUP(M18,_VRF!$A$39:$C$44,3,FALSE), "-",
IF(N18="Yes", 1, 0)*X18, IF(O18="Yes", 1, 0)*Y18, IF(P18="Yes", 1, 0)*Z18, AA18*IF(Q18="Yes", 1, 0),IF(R18="Yes", 1, 0)*AB18,IF(W18 = 1, IF(L18="Local", "-L", "-M"),""))</f>
        <v>#N/A</v>
      </c>
      <c r="L18" s="432" t="s">
        <v>678</v>
      </c>
      <c r="M18" s="432"/>
      <c r="N18" s="440"/>
      <c r="O18" s="440"/>
      <c r="P18" s="440"/>
      <c r="Q18" s="440"/>
      <c r="R18" s="440"/>
      <c r="S18" s="114" t="str">
        <f t="shared" si="7"/>
        <v/>
      </c>
      <c r="W18" s="114" t="e">
        <f>VLOOKUP($M18,_VRF!$A$26:$G$31, 2, FALSE)</f>
        <v>#N/A</v>
      </c>
      <c r="X18" s="114" t="e">
        <f>VLOOKUP($M18,_VRF!$A$26:$G$31, 3, FALSE)</f>
        <v>#N/A</v>
      </c>
      <c r="Y18" s="114" t="e">
        <f>VLOOKUP($M18,_VRF!$A$26:$G$31, 4, FALSE)</f>
        <v>#N/A</v>
      </c>
      <c r="Z18" s="114" t="e">
        <f>VLOOKUP($M18,_VRF!$A$26:$G$31, 5, FALSE)</f>
        <v>#N/A</v>
      </c>
      <c r="AA18" s="114" t="e">
        <f>VLOOKUP($M18,_VRF!$A$26:$G$31, 6, FALSE)</f>
        <v>#N/A</v>
      </c>
      <c r="AB18" s="114" t="e">
        <f>VLOOKUP($M18,_VRF!$A$26:$G$31, 7, FALSE)</f>
        <v>#N/A</v>
      </c>
      <c r="AD18" s="114" t="e">
        <f t="shared" si="8"/>
        <v>#N/A</v>
      </c>
      <c r="AE18" s="114">
        <f t="shared" si="9"/>
        <v>0</v>
      </c>
      <c r="AF18" s="114">
        <f t="shared" si="9"/>
        <v>0</v>
      </c>
      <c r="AG18" s="114">
        <f t="shared" si="9"/>
        <v>0</v>
      </c>
      <c r="AH18" s="114">
        <f t="shared" si="9"/>
        <v>0</v>
      </c>
      <c r="AI18" s="114">
        <f t="shared" si="9"/>
        <v>0</v>
      </c>
      <c r="AM18" s="432" t="str">
        <f t="shared" si="10"/>
        <v/>
      </c>
      <c r="AN18" s="114">
        <f t="shared" si="2"/>
        <v>0</v>
      </c>
      <c r="AO18" s="114" t="str">
        <f>_xlfn.CONCAT(E18," (",VLOOKUP(E18,[1]Backend!C:D,2,FALSE),")")</f>
        <v xml:space="preserve"> (Zero)</v>
      </c>
      <c r="AP18" s="114" t="str">
        <f>_xlfn.CONCAT(AN18," - Electrical power supply and controls to ",AO18," ",VLOOKUP(M18,_VRF!$A$39:$G$48,2,FALSE))</f>
        <v xml:space="preserve">0 - Electrical power supply and controls to  (Zero) </v>
      </c>
      <c r="AQ18" s="114" t="str">
        <f t="shared" si="11"/>
        <v xml:space="preserve"> </v>
      </c>
      <c r="AR18" s="114" t="str">
        <f t="shared" si="12"/>
        <v/>
      </c>
      <c r="AS18" s="114" t="e">
        <f t="shared" si="13"/>
        <v>#N/A</v>
      </c>
      <c r="AT18" s="114" t="e">
        <f t="shared" si="14"/>
        <v>#N/A</v>
      </c>
      <c r="AU18" s="114" t="str">
        <f t="shared" si="15"/>
        <v>0.1 - This includes supply and install of power and controls.</v>
      </c>
      <c r="AV18" s="114" t="str">
        <f>_xlfn.CONCAT(AN18,".2 - Power for system includes: ",VLOOKUP(L18,_VRF!L:O,4,FALSE))</f>
        <v xml:space="preserve">0.2 - Power for system includes: CB and cabling to unit from MSSB, and local isolator, </v>
      </c>
      <c r="AW18" s="114" t="e">
        <f t="shared" si="16"/>
        <v>#N/A</v>
      </c>
      <c r="AX18" s="114" t="str">
        <f>_xlfn.CONCAT(
IF(M18="Yes",VLOOKUP(M$1,_VRF!L:Z,4,FALSE),""),
IF(N18="Yes",VLOOKUP(N$1,_VRF!L:Z,4,FALSE),""),
IF(O18="Yes",VLOOKUP(O$1,_VRF!L:Z,4,FALSE),""),
IF(P18="Yes",VLOOKUP(P$1,_VRF!L:Z,4,FALSE),""),
IF(Q18="Yes",VLOOKUP(Q$1,_VRF!L:Z,4,FALSE),""),
IF(R18="Yes",VLOOKUP(R$1,_VRF!L:Z,4,FALSE),""))</f>
        <v/>
      </c>
      <c r="AZ18" s="114" t="str">
        <f>_xlfn.CONCAT(VLOOKUP(M18,_VRF!$A$39:$G$48,2,FALSE),AQ18,AR18,)</f>
        <v xml:space="preserve"> </v>
      </c>
    </row>
    <row r="19" spans="1:52" x14ac:dyDescent="0.4">
      <c r="A19" s="429" t="str">
        <f t="shared" si="3"/>
        <v>INVALID</v>
      </c>
      <c r="B19" s="430" t="str">
        <f t="shared" si="4"/>
        <v>VRF 18</v>
      </c>
      <c r="C19" s="431">
        <f t="shared" si="5"/>
        <v>0</v>
      </c>
      <c r="D19" s="430">
        <f t="shared" si="6"/>
        <v>0</v>
      </c>
      <c r="E19" s="430"/>
      <c r="F19" s="430">
        <f t="shared" si="0"/>
        <v>20</v>
      </c>
      <c r="G19" s="440"/>
      <c r="H19" s="441"/>
      <c r="I19" s="440" t="e">
        <f>F19*VLOOKUP("7030 2 pair TCAS7302P",'Part List'!$A:$G,3,FALSE)*AE19
+IF(M19="Controller",VLOOKUP(M19,_VRF!L:N,2,FALSE)
+VLOOKUP($N$1,_VRF!L:N,2,FALSE)*AE19
+VLOOKUP($O$1,_VRF!L:N,2,FALSE)*AF19
+VLOOKUP($P$1,_VRF!L:N,2,FALSE)*AG19
+VLOOKUP($Q$1,_VRF!L:N,2,FALSE)*AH19
+VLOOKUP($R$1,_VRF!L:N,2,FALSE)*AI19
+(VLOOKUP("Network cable",'Part List'!$A:$G,3,FALSE)+VLOOKUP("2.5mm Twin and Earth",'Part List'!$A:$G,3,FALSE))*F19,
IF(M19="PAC",VLOOKUP(M19,_VRF!L:N,2,FALSE)
+VLOOKUP($N$1,_VRF!L:N,2,FALSE)*AE19
+VLOOKUP($O$1,_VRF!L:N,2,FALSE)*AF19
+VLOOKUP($P$1,_VRF!L:N,2,FALSE)*AG19
+VLOOKUP($Q$1,_VRF!L:N,2,FALSE)*AH19
+VLOOKUP($R$1,_VRF!L:N,2,FALSE)*AI19
+VLOOKUP("6mm Cable 3 core and Earth",'Part List'!$A:$G,3,FALSE)*F19,
IF(M19="Branch Box",VLOOKUP(M19,_VRF!L:N,2,FALSE)
+VLOOKUP($N$1,_VRF!L:N,2,FALSE)*AE19
+VLOOKUP($O$1,_VRF!L:N,2,FALSE)*AF19
+VLOOKUP($P$1,_VRF!L:N,2,FALSE)*AG19
+VLOOKUP($Q$1,_VRF!L:N,2,FALSE)*AH19
+VLOOKUP($R$1,_VRF!L:N,2,FALSE)*AI19
+(VLOOKUP("2.5mm Twin and Earth",'Part List'!$A:$G,3,FALSE)+VLOOKUP("7030 2 pair TCAS7302P",'Part List'!$A:$G,3,FALSE))*F19,
+IF(NOT(M19="Split"),IF(OR(M19="Outdoor",M19="Indoor"),0,VLOOKUP(AD19,_VRF!L:N,2,FALSE)+VLOOKUP(M19,_VRF!L:N,2,FALSE))
+VLOOKUP($N$1,_VRF!L:N,2,FALSE)*AE19
+VLOOKUP($O$1,_VRF!L:N,2,FALSE)*AF19
+VLOOKUP($P$1,_VRF!L:N,2,FALSE)*AG19
+VLOOKUP($Q$1,_VRF!L:N,2,FALSE)*AH19
+VLOOKUP($R$1,_VRF!L:N,2,FALSE)*AI19
+VLOOKUP(IF(M19="Outdoor","4mm Cable 3 core and Earth","2.5mm Twin and Earth"),'Part List'!$A:$G,3,FALSE)*F19
+IF(M19="Indoor",VLOOKUP("7030 2 pair TCAS7302P",'Part List'!$A:$G,3,FALSE),0)*F19
+VLOOKUP(IF(M19="Outdoor",IF(L19="Local","Outdoor_Local","Outdoor_MSSB"),0),_VRF!L:N,2,FALSE)
+IF(M19="Indoor",VLOOKUP(M19,_VRF!L:N,2,FALSE),0),
VLOOKUP(M19,_VRF!L:N,2,FALSE)
+(VLOOKUP("7030 2 pair TCAS7302P",'Part List'!$A:$G,3,FALSE)+2*VLOOKUP("2.5mm Twin and Earth",'Part List'!$A:$G,3,FALSE))*F19
+VLOOKUP($N$1,_VRF!L:N,2,FALSE)*AE19
+VLOOKUP($O$1,_VRF!L:N,2,FALSE)*AF19
+VLOOKUP($P$1,_VRF!L:N,2,FALSE)*AG19
+VLOOKUP($Q$1,_VRF!L:N,2,FALSE)*AH19
+VLOOKUP($R$1,_VRF!L:N,2,FALSE)*AI19))))</f>
        <v>#N/A</v>
      </c>
      <c r="J19" s="441" t="e">
        <f>F19*VLOOKUP("7030 2 pair TCAS7302P",'Part List'!$A:$G,5,FALSE)*AE19+
+
IF(M19="Controller",VLOOKUP(M19,_VRF!L:N,3,FALSE)
+VLOOKUP($N$1,_VRF!L:N,3,FALSE)*AE19
+VLOOKUP($O$1,_VRF!L:N,3,FALSE)*AF19
+VLOOKUP($P$1,_VRF!L:N,3,FALSE)*AG19
+VLOOKUP($Q$1,_VRF!L:N,3,FALSE)*AH19
+VLOOKUP($R$1,_VRF!L:N,3,FALSE)*AI19
+(VLOOKUP("Network cable",'Part List'!$A:$G,5,FALSE)+VLOOKUP("2.5mm Twin and Earth",'Part List'!$A:$G,5,FALSE))*F19,
IF(M19="PAC",VLOOKUP(M19,_VRF!L:N,3,FALSE)
+VLOOKUP($N$1,_VRF!L:N,3,FALSE)*AE19
+VLOOKUP($O$1,_VRF!L:N,3,FALSE)*AF19
+VLOOKUP($P$1,_VRF!L:N,3,FALSE)*AG19
+VLOOKUP($Q$1,_VRF!L:N,3,FALSE)*AH19
+VLOOKUP($R$1,_VRF!L:N,3,FALSE)*AI19
+VLOOKUP("6mm Cable 3 core and Earth",'Part List'!$A:$G,5,FALSE)*F19,
IF(M19="Branch Box",VLOOKUP(M19,_VRF!L:N,3,FALSE)
+VLOOKUP($N$1,_VRF!L:N,3,FALSE)*AE19
+VLOOKUP($O$1,_VRF!L:N,3,FALSE)*AF19
+VLOOKUP($P$1,_VRF!L:N,3,FALSE)*AG19
+VLOOKUP($Q$1,_VRF!L:N,3,FALSE)*AH19
+VLOOKUP($R$1,_VRF!L:N,3,FALSE)*AI19
+(VLOOKUP("2.5mm Twin and Earth",'Part List'!$A:$G,5,FALSE)+VLOOKUP("7030 2 pair TCAS7302P",'Part List'!$A:$G,5,FALSE))*F19,
+IF(NOT(M19="Split"),IF(OR(M19="Outdoor",M19="Indoor"),0,VLOOKUP(AD19,_VRF!L:N,3,FALSE)+VLOOKUP(M19,_VRF!L:N,3,FALSE))
+VLOOKUP($N$1,_VRF!L:N,3,FALSE)*AE19
+VLOOKUP($O$1,_VRF!L:N,3,FALSE)*AF19
+VLOOKUP($P$1,_VRF!L:N,3,FALSE)*AG19
+VLOOKUP($Q$1,_VRF!L:N,3,FALSE)*AH19
+VLOOKUP($R$1,_VRF!L:N,3,FALSE)*AI19
+VLOOKUP(IF(M19="Outdoor","4mm Cable 3 core and Earth","2.5mm Twin and Earth"),'Part List'!$A:$G,5,FALSE)*F19
+IF(M19="Indoor",VLOOKUP("7030 2 pair TCAS7302P",'Part List'!$A:$G,5,FALSE),0)*F19
+VLOOKUP(IF(M19="Outdoor",IF(L19="Local","Outdoor_Local","Outdoor_MSSB"),0),_VRF!L:N,3,FALSE)
+IF(M19="Indoor",VLOOKUP(M19,_VRF!L:N,3,FALSE),0),
VLOOKUP(M19,_VRF!L:N,3,FALSE)
+(VLOOKUP("7030 2 pair TCAS7302P",'Part List'!$A:$G,5,FALSE)+2*VLOOKUP("2.5mm Twin and Earth",'Part List'!$A:$G,5,FALSE))*F19
+VLOOKUP($N$1,_VRF!L:N,3,FALSE)*AE19
+VLOOKUP($O$1,_VRF!L:N,3,FALSE)*AF19
+VLOOKUP($P$1,_VRF!L:N,3,FALSE)*AG19
+VLOOKUP($Q$1,_VRF!L:N,3,FALSE)*AH19
+VLOOKUP($R$1,_VRF!L:N,3,FALSE)*AI19))))</f>
        <v>#N/A</v>
      </c>
      <c r="K19" s="430" t="e">
        <f>_xlfn.CONCAT(VLOOKUP(M19,_VRF!$A$39:$C$44,3,FALSE), "-",
IF(N19="Yes", 1, 0)*X19, IF(O19="Yes", 1, 0)*Y19, IF(P19="Yes", 1, 0)*Z19, AA19*IF(Q19="Yes", 1, 0),IF(R19="Yes", 1, 0)*AB19,IF(W19 = 1, IF(L19="Local", "-L", "-M"),""))</f>
        <v>#N/A</v>
      </c>
      <c r="L19" s="432" t="s">
        <v>678</v>
      </c>
      <c r="M19" s="432"/>
      <c r="N19" s="440"/>
      <c r="O19" s="440"/>
      <c r="P19" s="440"/>
      <c r="Q19" s="440"/>
      <c r="R19" s="440"/>
      <c r="S19" s="114" t="str">
        <f t="shared" si="7"/>
        <v/>
      </c>
      <c r="W19" s="114" t="e">
        <f>VLOOKUP($M19,_VRF!$A$26:$G$31, 2, FALSE)</f>
        <v>#N/A</v>
      </c>
      <c r="X19" s="114" t="e">
        <f>VLOOKUP($M19,_VRF!$A$26:$G$31, 3, FALSE)</f>
        <v>#N/A</v>
      </c>
      <c r="Y19" s="114" t="e">
        <f>VLOOKUP($M19,_VRF!$A$26:$G$31, 4, FALSE)</f>
        <v>#N/A</v>
      </c>
      <c r="Z19" s="114" t="e">
        <f>VLOOKUP($M19,_VRF!$A$26:$G$31, 5, FALSE)</f>
        <v>#N/A</v>
      </c>
      <c r="AA19" s="114" t="e">
        <f>VLOOKUP($M19,_VRF!$A$26:$G$31, 6, FALSE)</f>
        <v>#N/A</v>
      </c>
      <c r="AB19" s="114" t="e">
        <f>VLOOKUP($M19,_VRF!$A$26:$G$31, 7, FALSE)</f>
        <v>#N/A</v>
      </c>
      <c r="AD19" s="114" t="e">
        <f t="shared" si="8"/>
        <v>#N/A</v>
      </c>
      <c r="AE19" s="114">
        <f t="shared" si="9"/>
        <v>0</v>
      </c>
      <c r="AF19" s="114">
        <f t="shared" si="9"/>
        <v>0</v>
      </c>
      <c r="AG19" s="114">
        <f t="shared" si="9"/>
        <v>0</v>
      </c>
      <c r="AH19" s="114">
        <f t="shared" si="9"/>
        <v>0</v>
      </c>
      <c r="AI19" s="114">
        <f t="shared" si="9"/>
        <v>0</v>
      </c>
      <c r="AM19" s="432" t="str">
        <f t="shared" si="10"/>
        <v/>
      </c>
      <c r="AN19" s="114">
        <f t="shared" si="2"/>
        <v>0</v>
      </c>
      <c r="AO19" s="114" t="str">
        <f>_xlfn.CONCAT(E19," (",VLOOKUP(E19,[1]Backend!C:D,2,FALSE),")")</f>
        <v xml:space="preserve"> (Zero)</v>
      </c>
      <c r="AP19" s="114" t="str">
        <f>_xlfn.CONCAT(AN19," - Electrical power supply and controls to ",AO19," ",VLOOKUP(M19,_VRF!$A$39:$G$48,2,FALSE))</f>
        <v xml:space="preserve">0 - Electrical power supply and controls to  (Zero) </v>
      </c>
      <c r="AQ19" s="114" t="str">
        <f t="shared" si="11"/>
        <v xml:space="preserve"> </v>
      </c>
      <c r="AR19" s="114" t="str">
        <f t="shared" si="12"/>
        <v/>
      </c>
      <c r="AS19" s="114" t="e">
        <f t="shared" si="13"/>
        <v>#N/A</v>
      </c>
      <c r="AT19" s="114" t="e">
        <f t="shared" si="14"/>
        <v>#N/A</v>
      </c>
      <c r="AU19" s="114" t="str">
        <f t="shared" si="15"/>
        <v>0.1 - This includes supply and install of power and controls.</v>
      </c>
      <c r="AV19" s="114" t="str">
        <f>_xlfn.CONCAT(AN19,".2 - Power for system includes: ",VLOOKUP(L19,_VRF!L:O,4,FALSE))</f>
        <v xml:space="preserve">0.2 - Power for system includes: CB and cabling to unit from MSSB, and local isolator, </v>
      </c>
      <c r="AW19" s="114" t="e">
        <f t="shared" si="16"/>
        <v>#N/A</v>
      </c>
      <c r="AX19" s="114" t="str">
        <f>_xlfn.CONCAT(
IF(M19="Yes",VLOOKUP(M$1,_VRF!L:Z,4,FALSE),""),
IF(N19="Yes",VLOOKUP(N$1,_VRF!L:Z,4,FALSE),""),
IF(O19="Yes",VLOOKUP(O$1,_VRF!L:Z,4,FALSE),""),
IF(P19="Yes",VLOOKUP(P$1,_VRF!L:Z,4,FALSE),""),
IF(Q19="Yes",VLOOKUP(Q$1,_VRF!L:Z,4,FALSE),""),
IF(R19="Yes",VLOOKUP(R$1,_VRF!L:Z,4,FALSE),""))</f>
        <v/>
      </c>
      <c r="AZ19" s="114" t="str">
        <f>_xlfn.CONCAT(VLOOKUP(M19,_VRF!$A$39:$G$48,2,FALSE),AQ19,AR19,)</f>
        <v xml:space="preserve"> </v>
      </c>
    </row>
    <row r="20" spans="1:52" x14ac:dyDescent="0.4">
      <c r="A20" s="429" t="str">
        <f t="shared" si="3"/>
        <v>INVALID</v>
      </c>
      <c r="B20" s="430" t="str">
        <f t="shared" si="4"/>
        <v>VRF 19</v>
      </c>
      <c r="C20" s="431">
        <f t="shared" si="5"/>
        <v>0</v>
      </c>
      <c r="D20" s="430">
        <f t="shared" si="6"/>
        <v>0</v>
      </c>
      <c r="E20" s="430"/>
      <c r="F20" s="430">
        <f t="shared" si="0"/>
        <v>20</v>
      </c>
      <c r="G20" s="440"/>
      <c r="H20" s="441"/>
      <c r="I20" s="440" t="e">
        <f>F20*VLOOKUP("7030 2 pair TCAS7302P",'Part List'!$A:$G,3,FALSE)*AE20
+IF(M20="Controller",VLOOKUP(M20,_VRF!L:N,2,FALSE)
+VLOOKUP($N$1,_VRF!L:N,2,FALSE)*AE20
+VLOOKUP($O$1,_VRF!L:N,2,FALSE)*AF20
+VLOOKUP($P$1,_VRF!L:N,2,FALSE)*AG20
+VLOOKUP($Q$1,_VRF!L:N,2,FALSE)*AH20
+VLOOKUP($R$1,_VRF!L:N,2,FALSE)*AI20
+(VLOOKUP("Network cable",'Part List'!$A:$G,3,FALSE)+VLOOKUP("2.5mm Twin and Earth",'Part List'!$A:$G,3,FALSE))*F20,
IF(M20="PAC",VLOOKUP(M20,_VRF!L:N,2,FALSE)
+VLOOKUP($N$1,_VRF!L:N,2,FALSE)*AE20
+VLOOKUP($O$1,_VRF!L:N,2,FALSE)*AF20
+VLOOKUP($P$1,_VRF!L:N,2,FALSE)*AG20
+VLOOKUP($Q$1,_VRF!L:N,2,FALSE)*AH20
+VLOOKUP($R$1,_VRF!L:N,2,FALSE)*AI20
+VLOOKUP("6mm Cable 3 core and Earth",'Part List'!$A:$G,3,FALSE)*F20,
IF(M20="Branch Box",VLOOKUP(M20,_VRF!L:N,2,FALSE)
+VLOOKUP($N$1,_VRF!L:N,2,FALSE)*AE20
+VLOOKUP($O$1,_VRF!L:N,2,FALSE)*AF20
+VLOOKUP($P$1,_VRF!L:N,2,FALSE)*AG20
+VLOOKUP($Q$1,_VRF!L:N,2,FALSE)*AH20
+VLOOKUP($R$1,_VRF!L:N,2,FALSE)*AI20
+(VLOOKUP("2.5mm Twin and Earth",'Part List'!$A:$G,3,FALSE)+VLOOKUP("7030 2 pair TCAS7302P",'Part List'!$A:$G,3,FALSE))*F20,
+IF(NOT(M20="Split"),IF(OR(M20="Outdoor",M20="Indoor"),0,VLOOKUP(AD20,_VRF!L:N,2,FALSE)+VLOOKUP(M20,_VRF!L:N,2,FALSE))
+VLOOKUP($N$1,_VRF!L:N,2,FALSE)*AE20
+VLOOKUP($O$1,_VRF!L:N,2,FALSE)*AF20
+VLOOKUP($P$1,_VRF!L:N,2,FALSE)*AG20
+VLOOKUP($Q$1,_VRF!L:N,2,FALSE)*AH20
+VLOOKUP($R$1,_VRF!L:N,2,FALSE)*AI20
+VLOOKUP(IF(M20="Outdoor","4mm Cable 3 core and Earth","2.5mm Twin and Earth"),'Part List'!$A:$G,3,FALSE)*F20
+IF(M20="Indoor",VLOOKUP("7030 2 pair TCAS7302P",'Part List'!$A:$G,3,FALSE),0)*F20
+VLOOKUP(IF(M20="Outdoor",IF(L20="Local","Outdoor_Local","Outdoor_MSSB"),0),_VRF!L:N,2,FALSE)
+IF(M20="Indoor",VLOOKUP(M20,_VRF!L:N,2,FALSE),0),
VLOOKUP(M20,_VRF!L:N,2,FALSE)
+(VLOOKUP("7030 2 pair TCAS7302P",'Part List'!$A:$G,3,FALSE)+2*VLOOKUP("2.5mm Twin and Earth",'Part List'!$A:$G,3,FALSE))*F20
+VLOOKUP($N$1,_VRF!L:N,2,FALSE)*AE20
+VLOOKUP($O$1,_VRF!L:N,2,FALSE)*AF20
+VLOOKUP($P$1,_VRF!L:N,2,FALSE)*AG20
+VLOOKUP($Q$1,_VRF!L:N,2,FALSE)*AH20
+VLOOKUP($R$1,_VRF!L:N,2,FALSE)*AI20))))</f>
        <v>#N/A</v>
      </c>
      <c r="J20" s="441" t="e">
        <f>F20*VLOOKUP("7030 2 pair TCAS7302P",'Part List'!$A:$G,5,FALSE)*AE20+
+
IF(M20="Controller",VLOOKUP(M20,_VRF!L:N,3,FALSE)
+VLOOKUP($N$1,_VRF!L:N,3,FALSE)*AE20
+VLOOKUP($O$1,_VRF!L:N,3,FALSE)*AF20
+VLOOKUP($P$1,_VRF!L:N,3,FALSE)*AG20
+VLOOKUP($Q$1,_VRF!L:N,3,FALSE)*AH20
+VLOOKUP($R$1,_VRF!L:N,3,FALSE)*AI20
+(VLOOKUP("Network cable",'Part List'!$A:$G,5,FALSE)+VLOOKUP("2.5mm Twin and Earth",'Part List'!$A:$G,5,FALSE))*F20,
IF(M20="PAC",VLOOKUP(M20,_VRF!L:N,3,FALSE)
+VLOOKUP($N$1,_VRF!L:N,3,FALSE)*AE20
+VLOOKUP($O$1,_VRF!L:N,3,FALSE)*AF20
+VLOOKUP($P$1,_VRF!L:N,3,FALSE)*AG20
+VLOOKUP($Q$1,_VRF!L:N,3,FALSE)*AH20
+VLOOKUP($R$1,_VRF!L:N,3,FALSE)*AI20
+VLOOKUP("6mm Cable 3 core and Earth",'Part List'!$A:$G,5,FALSE)*F20,
IF(M20="Branch Box",VLOOKUP(M20,_VRF!L:N,3,FALSE)
+VLOOKUP($N$1,_VRF!L:N,3,FALSE)*AE20
+VLOOKUP($O$1,_VRF!L:N,3,FALSE)*AF20
+VLOOKUP($P$1,_VRF!L:N,3,FALSE)*AG20
+VLOOKUP($Q$1,_VRF!L:N,3,FALSE)*AH20
+VLOOKUP($R$1,_VRF!L:N,3,FALSE)*AI20
+(VLOOKUP("2.5mm Twin and Earth",'Part List'!$A:$G,5,FALSE)+VLOOKUP("7030 2 pair TCAS7302P",'Part List'!$A:$G,5,FALSE))*F20,
+IF(NOT(M20="Split"),IF(OR(M20="Outdoor",M20="Indoor"),0,VLOOKUP(AD20,_VRF!L:N,3,FALSE)+VLOOKUP(M20,_VRF!L:N,3,FALSE))
+VLOOKUP($N$1,_VRF!L:N,3,FALSE)*AE20
+VLOOKUP($O$1,_VRF!L:N,3,FALSE)*AF20
+VLOOKUP($P$1,_VRF!L:N,3,FALSE)*AG20
+VLOOKUP($Q$1,_VRF!L:N,3,FALSE)*AH20
+VLOOKUP($R$1,_VRF!L:N,3,FALSE)*AI20
+VLOOKUP(IF(M20="Outdoor","4mm Cable 3 core and Earth","2.5mm Twin and Earth"),'Part List'!$A:$G,5,FALSE)*F20
+IF(M20="Indoor",VLOOKUP("7030 2 pair TCAS7302P",'Part List'!$A:$G,5,FALSE),0)*F20
+VLOOKUP(IF(M20="Outdoor",IF(L20="Local","Outdoor_Local","Outdoor_MSSB"),0),_VRF!L:N,3,FALSE)
+IF(M20="Indoor",VLOOKUP(M20,_VRF!L:N,3,FALSE),0),
VLOOKUP(M20,_VRF!L:N,3,FALSE)
+(VLOOKUP("7030 2 pair TCAS7302P",'Part List'!$A:$G,5,FALSE)+2*VLOOKUP("2.5mm Twin and Earth",'Part List'!$A:$G,5,FALSE))*F20
+VLOOKUP($N$1,_VRF!L:N,3,FALSE)*AE20
+VLOOKUP($O$1,_VRF!L:N,3,FALSE)*AF20
+VLOOKUP($P$1,_VRF!L:N,3,FALSE)*AG20
+VLOOKUP($Q$1,_VRF!L:N,3,FALSE)*AH20
+VLOOKUP($R$1,_VRF!L:N,3,FALSE)*AI20))))</f>
        <v>#N/A</v>
      </c>
      <c r="K20" s="430" t="e">
        <f>_xlfn.CONCAT(VLOOKUP(M20,_VRF!$A$39:$C$44,3,FALSE), "-",
IF(N20="Yes", 1, 0)*X20, IF(O20="Yes", 1, 0)*Y20, IF(P20="Yes", 1, 0)*Z20, AA20*IF(Q20="Yes", 1, 0),IF(R20="Yes", 1, 0)*AB20,IF(W20 = 1, IF(L20="Local", "-L", "-M"),""))</f>
        <v>#N/A</v>
      </c>
      <c r="L20" s="432" t="s">
        <v>678</v>
      </c>
      <c r="M20" s="432"/>
      <c r="N20" s="440"/>
      <c r="O20" s="440"/>
      <c r="P20" s="440"/>
      <c r="Q20" s="440"/>
      <c r="R20" s="440"/>
      <c r="S20" s="114" t="str">
        <f t="shared" si="7"/>
        <v/>
      </c>
      <c r="W20" s="114" t="e">
        <f>VLOOKUP($M20,_VRF!$A$26:$G$31, 2, FALSE)</f>
        <v>#N/A</v>
      </c>
      <c r="X20" s="114" t="e">
        <f>VLOOKUP($M20,_VRF!$A$26:$G$31, 3, FALSE)</f>
        <v>#N/A</v>
      </c>
      <c r="Y20" s="114" t="e">
        <f>VLOOKUP($M20,_VRF!$A$26:$G$31, 4, FALSE)</f>
        <v>#N/A</v>
      </c>
      <c r="Z20" s="114" t="e">
        <f>VLOOKUP($M20,_VRF!$A$26:$G$31, 5, FALSE)</f>
        <v>#N/A</v>
      </c>
      <c r="AA20" s="114" t="e">
        <f>VLOOKUP($M20,_VRF!$A$26:$G$31, 6, FALSE)</f>
        <v>#N/A</v>
      </c>
      <c r="AB20" s="114" t="e">
        <f>VLOOKUP($M20,_VRF!$A$26:$G$31, 7, FALSE)</f>
        <v>#N/A</v>
      </c>
      <c r="AD20" s="114" t="e">
        <f t="shared" si="8"/>
        <v>#N/A</v>
      </c>
      <c r="AE20" s="114">
        <f t="shared" ref="AE20:AI23" si="17">IF(N20="Yes",X20, 0)</f>
        <v>0</v>
      </c>
      <c r="AF20" s="114">
        <f t="shared" si="17"/>
        <v>0</v>
      </c>
      <c r="AG20" s="114">
        <f t="shared" si="17"/>
        <v>0</v>
      </c>
      <c r="AH20" s="114">
        <f t="shared" si="17"/>
        <v>0</v>
      </c>
      <c r="AI20" s="114">
        <f t="shared" si="17"/>
        <v>0</v>
      </c>
      <c r="AM20" s="432" t="str">
        <f t="shared" si="10"/>
        <v/>
      </c>
      <c r="AN20" s="114">
        <f t="shared" si="2"/>
        <v>0</v>
      </c>
      <c r="AO20" s="114" t="str">
        <f>_xlfn.CONCAT(E20," (",VLOOKUP(E20,[1]Backend!C:D,2,FALSE),")")</f>
        <v xml:space="preserve"> (Zero)</v>
      </c>
      <c r="AP20" s="114" t="str">
        <f>_xlfn.CONCAT(AN20," - Electrical power supply and controls to ",AO20," ",VLOOKUP(M20,_VRF!$A$39:$G$48,2,FALSE))</f>
        <v xml:space="preserve">0 - Electrical power supply and controls to  (Zero) </v>
      </c>
      <c r="AQ20" s="114" t="str">
        <f t="shared" si="11"/>
        <v xml:space="preserve"> </v>
      </c>
      <c r="AR20" s="114" t="str">
        <f t="shared" si="12"/>
        <v/>
      </c>
      <c r="AS20" s="114" t="e">
        <f t="shared" si="13"/>
        <v>#N/A</v>
      </c>
      <c r="AT20" s="114" t="e">
        <f t="shared" si="14"/>
        <v>#N/A</v>
      </c>
      <c r="AU20" s="114" t="str">
        <f t="shared" si="15"/>
        <v>0.1 - This includes supply and install of power and controls.</v>
      </c>
      <c r="AV20" s="114" t="str">
        <f>_xlfn.CONCAT(AN20,".2 - Power for system includes: ",VLOOKUP(L20,_VRF!L:O,4,FALSE))</f>
        <v xml:space="preserve">0.2 - Power for system includes: CB and cabling to unit from MSSB, and local isolator, </v>
      </c>
      <c r="AW20" s="114" t="e">
        <f t="shared" si="16"/>
        <v>#N/A</v>
      </c>
      <c r="AX20" s="114" t="str">
        <f>_xlfn.CONCAT(
IF(M20="Yes",VLOOKUP(M$1,_VRF!L:Z,4,FALSE),""),
IF(N20="Yes",VLOOKUP(N$1,_VRF!L:Z,4,FALSE),""),
IF(O20="Yes",VLOOKUP(O$1,_VRF!L:Z,4,FALSE),""),
IF(P20="Yes",VLOOKUP(P$1,_VRF!L:Z,4,FALSE),""),
IF(Q20="Yes",VLOOKUP(Q$1,_VRF!L:Z,4,FALSE),""),
IF(R20="Yes",VLOOKUP(R$1,_VRF!L:Z,4,FALSE),""))</f>
        <v/>
      </c>
      <c r="AZ20" s="114" t="str">
        <f>_xlfn.CONCAT(VLOOKUP(M20,_VRF!$A$39:$G$48,2,FALSE),AQ20,AR20,)</f>
        <v xml:space="preserve"> </v>
      </c>
    </row>
    <row r="21" spans="1:52" x14ac:dyDescent="0.4">
      <c r="A21" s="429" t="str">
        <f t="shared" si="3"/>
        <v>INVALID</v>
      </c>
      <c r="B21" s="430" t="str">
        <f t="shared" si="4"/>
        <v>VRF 20</v>
      </c>
      <c r="C21" s="431">
        <f t="shared" si="5"/>
        <v>0</v>
      </c>
      <c r="D21" s="430">
        <f t="shared" si="6"/>
        <v>0</v>
      </c>
      <c r="E21" s="430"/>
      <c r="F21" s="430">
        <f t="shared" si="0"/>
        <v>20</v>
      </c>
      <c r="G21" s="440"/>
      <c r="H21" s="441"/>
      <c r="I21" s="440" t="e">
        <f>F21*VLOOKUP("7030 2 pair TCAS7302P",'Part List'!$A:$G,3,FALSE)*AE21
+IF(M21="Controller",VLOOKUP(M21,_VRF!L:N,2,FALSE)
+VLOOKUP($N$1,_VRF!L:N,2,FALSE)*AE21
+VLOOKUP($O$1,_VRF!L:N,2,FALSE)*AF21
+VLOOKUP($P$1,_VRF!L:N,2,FALSE)*AG21
+VLOOKUP($Q$1,_VRF!L:N,2,FALSE)*AH21
+VLOOKUP($R$1,_VRF!L:N,2,FALSE)*AI21
+(VLOOKUP("Network cable",'Part List'!$A:$G,3,FALSE)+VLOOKUP("2.5mm Twin and Earth",'Part List'!$A:$G,3,FALSE))*F21,
IF(M21="PAC",VLOOKUP(M21,_VRF!L:N,2,FALSE)
+VLOOKUP($N$1,_VRF!L:N,2,FALSE)*AE21
+VLOOKUP($O$1,_VRF!L:N,2,FALSE)*AF21
+VLOOKUP($P$1,_VRF!L:N,2,FALSE)*AG21
+VLOOKUP($Q$1,_VRF!L:N,2,FALSE)*AH21
+VLOOKUP($R$1,_VRF!L:N,2,FALSE)*AI21
+VLOOKUP("6mm Cable 3 core and Earth",'Part List'!$A:$G,3,FALSE)*F21,
IF(M21="Branch Box",VLOOKUP(M21,_VRF!L:N,2,FALSE)
+VLOOKUP($N$1,_VRF!L:N,2,FALSE)*AE21
+VLOOKUP($O$1,_VRF!L:N,2,FALSE)*AF21
+VLOOKUP($P$1,_VRF!L:N,2,FALSE)*AG21
+VLOOKUP($Q$1,_VRF!L:N,2,FALSE)*AH21
+VLOOKUP($R$1,_VRF!L:N,2,FALSE)*AI21
+(VLOOKUP("2.5mm Twin and Earth",'Part List'!$A:$G,3,FALSE)+VLOOKUP("7030 2 pair TCAS7302P",'Part List'!$A:$G,3,FALSE))*F21,
+IF(NOT(M21="Split"),IF(OR(M21="Outdoor",M21="Indoor"),0,VLOOKUP(AD21,_VRF!L:N,2,FALSE)+VLOOKUP(M21,_VRF!L:N,2,FALSE))
+VLOOKUP($N$1,_VRF!L:N,2,FALSE)*AE21
+VLOOKUP($O$1,_VRF!L:N,2,FALSE)*AF21
+VLOOKUP($P$1,_VRF!L:N,2,FALSE)*AG21
+VLOOKUP($Q$1,_VRF!L:N,2,FALSE)*AH21
+VLOOKUP($R$1,_VRF!L:N,2,FALSE)*AI21
+VLOOKUP(IF(M21="Outdoor","4mm Cable 3 core and Earth","2.5mm Twin and Earth"),'Part List'!$A:$G,3,FALSE)*F21
+IF(M21="Indoor",VLOOKUP("7030 2 pair TCAS7302P",'Part List'!$A:$G,3,FALSE),0)*F21
+VLOOKUP(IF(M21="Outdoor",IF(L21="Local","Outdoor_Local","Outdoor_MSSB"),0),_VRF!L:N,2,FALSE)
+IF(M21="Indoor",VLOOKUP(M21,_VRF!L:N,2,FALSE),0),
VLOOKUP(M21,_VRF!L:N,2,FALSE)
+(VLOOKUP("7030 2 pair TCAS7302P",'Part List'!$A:$G,3,FALSE)+2*VLOOKUP("2.5mm Twin and Earth",'Part List'!$A:$G,3,FALSE))*F21
+VLOOKUP($N$1,_VRF!L:N,2,FALSE)*AE21
+VLOOKUP($O$1,_VRF!L:N,2,FALSE)*AF21
+VLOOKUP($P$1,_VRF!L:N,2,FALSE)*AG21
+VLOOKUP($Q$1,_VRF!L:N,2,FALSE)*AH21
+VLOOKUP($R$1,_VRF!L:N,2,FALSE)*AI21))))</f>
        <v>#N/A</v>
      </c>
      <c r="J21" s="441" t="e">
        <f>F21*VLOOKUP("7030 2 pair TCAS7302P",'Part List'!$A:$G,5,FALSE)*AE21+
+
IF(M21="Controller",VLOOKUP(M21,_VRF!L:N,3,FALSE)
+VLOOKUP($N$1,_VRF!L:N,3,FALSE)*AE21
+VLOOKUP($O$1,_VRF!L:N,3,FALSE)*AF21
+VLOOKUP($P$1,_VRF!L:N,3,FALSE)*AG21
+VLOOKUP($Q$1,_VRF!L:N,3,FALSE)*AH21
+VLOOKUP($R$1,_VRF!L:N,3,FALSE)*AI21
+(VLOOKUP("Network cable",'Part List'!$A:$G,5,FALSE)+VLOOKUP("2.5mm Twin and Earth",'Part List'!$A:$G,5,FALSE))*F21,
IF(M21="PAC",VLOOKUP(M21,_VRF!L:N,3,FALSE)
+VLOOKUP($N$1,_VRF!L:N,3,FALSE)*AE21
+VLOOKUP($O$1,_VRF!L:N,3,FALSE)*AF21
+VLOOKUP($P$1,_VRF!L:N,3,FALSE)*AG21
+VLOOKUP($Q$1,_VRF!L:N,3,FALSE)*AH21
+VLOOKUP($R$1,_VRF!L:N,3,FALSE)*AI21
+VLOOKUP("6mm Cable 3 core and Earth",'Part List'!$A:$G,5,FALSE)*F21,
IF(M21="Branch Box",VLOOKUP(M21,_VRF!L:N,3,FALSE)
+VLOOKUP($N$1,_VRF!L:N,3,FALSE)*AE21
+VLOOKUP($O$1,_VRF!L:N,3,FALSE)*AF21
+VLOOKUP($P$1,_VRF!L:N,3,FALSE)*AG21
+VLOOKUP($Q$1,_VRF!L:N,3,FALSE)*AH21
+VLOOKUP($R$1,_VRF!L:N,3,FALSE)*AI21
+(VLOOKUP("2.5mm Twin and Earth",'Part List'!$A:$G,5,FALSE)+VLOOKUP("7030 2 pair TCAS7302P",'Part List'!$A:$G,5,FALSE))*F21,
+IF(NOT(M21="Split"),IF(OR(M21="Outdoor",M21="Indoor"),0,VLOOKUP(AD21,_VRF!L:N,3,FALSE)+VLOOKUP(M21,_VRF!L:N,3,FALSE))
+VLOOKUP($N$1,_VRF!L:N,3,FALSE)*AE21
+VLOOKUP($O$1,_VRF!L:N,3,FALSE)*AF21
+VLOOKUP($P$1,_VRF!L:N,3,FALSE)*AG21
+VLOOKUP($Q$1,_VRF!L:N,3,FALSE)*AH21
+VLOOKUP($R$1,_VRF!L:N,3,FALSE)*AI21
+VLOOKUP(IF(M21="Outdoor","4mm Cable 3 core and Earth","2.5mm Twin and Earth"),'Part List'!$A:$G,5,FALSE)*F21
+IF(M21="Indoor",VLOOKUP("7030 2 pair TCAS7302P",'Part List'!$A:$G,5,FALSE),0)*F21
+VLOOKUP(IF(M21="Outdoor",IF(L21="Local","Outdoor_Local","Outdoor_MSSB"),0),_VRF!L:N,3,FALSE)
+IF(M21="Indoor",VLOOKUP(M21,_VRF!L:N,3,FALSE),0),
VLOOKUP(M21,_VRF!L:N,3,FALSE)
+(VLOOKUP("7030 2 pair TCAS7302P",'Part List'!$A:$G,5,FALSE)+2*VLOOKUP("2.5mm Twin and Earth",'Part List'!$A:$G,5,FALSE))*F21
+VLOOKUP($N$1,_VRF!L:N,3,FALSE)*AE21
+VLOOKUP($O$1,_VRF!L:N,3,FALSE)*AF21
+VLOOKUP($P$1,_VRF!L:N,3,FALSE)*AG21
+VLOOKUP($Q$1,_VRF!L:N,3,FALSE)*AH21
+VLOOKUP($R$1,_VRF!L:N,3,FALSE)*AI21))))</f>
        <v>#N/A</v>
      </c>
      <c r="K21" s="430" t="e">
        <f>_xlfn.CONCAT(VLOOKUP(M21,_VRF!$A$39:$C$44,3,FALSE), "-",
IF(N21="Yes", 1, 0)*X21, IF(O21="Yes", 1, 0)*Y21, IF(P21="Yes", 1, 0)*Z21, AA21*IF(Q21="Yes", 1, 0),IF(R21="Yes", 1, 0)*AB21,IF(W21 = 1, IF(L21="Local", "-L", "-M"),""))</f>
        <v>#N/A</v>
      </c>
      <c r="L21" s="432" t="s">
        <v>678</v>
      </c>
      <c r="M21" s="432"/>
      <c r="N21" s="440"/>
      <c r="O21" s="440"/>
      <c r="P21" s="440"/>
      <c r="Q21" s="440"/>
      <c r="R21" s="440"/>
      <c r="S21" s="114" t="str">
        <f t="shared" si="7"/>
        <v/>
      </c>
      <c r="W21" s="114" t="e">
        <f>VLOOKUP($M21,_VRF!$A$26:$G$31, 2, FALSE)</f>
        <v>#N/A</v>
      </c>
      <c r="X21" s="114" t="e">
        <f>VLOOKUP($M21,_VRF!$A$26:$G$31, 3, FALSE)</f>
        <v>#N/A</v>
      </c>
      <c r="Y21" s="114" t="e">
        <f>VLOOKUP($M21,_VRF!$A$26:$G$31, 4, FALSE)</f>
        <v>#N/A</v>
      </c>
      <c r="Z21" s="114" t="e">
        <f>VLOOKUP($M21,_VRF!$A$26:$G$31, 5, FALSE)</f>
        <v>#N/A</v>
      </c>
      <c r="AA21" s="114" t="e">
        <f>VLOOKUP($M21,_VRF!$A$26:$G$31, 6, FALSE)</f>
        <v>#N/A</v>
      </c>
      <c r="AB21" s="114" t="e">
        <f>VLOOKUP($M21,_VRF!$A$26:$G$31, 7, FALSE)</f>
        <v>#N/A</v>
      </c>
      <c r="AD21" s="114" t="e">
        <f t="shared" si="8"/>
        <v>#N/A</v>
      </c>
      <c r="AE21" s="114">
        <f t="shared" si="17"/>
        <v>0</v>
      </c>
      <c r="AF21" s="114">
        <f t="shared" si="17"/>
        <v>0</v>
      </c>
      <c r="AG21" s="114">
        <f t="shared" si="17"/>
        <v>0</v>
      </c>
      <c r="AH21" s="114">
        <f t="shared" si="17"/>
        <v>0</v>
      </c>
      <c r="AI21" s="114">
        <f t="shared" si="17"/>
        <v>0</v>
      </c>
      <c r="AM21" s="432" t="str">
        <f t="shared" si="10"/>
        <v/>
      </c>
      <c r="AN21" s="114">
        <f t="shared" si="2"/>
        <v>0</v>
      </c>
      <c r="AO21" s="114" t="str">
        <f>_xlfn.CONCAT(E21," (",VLOOKUP(E21,[1]Backend!C:D,2,FALSE),")")</f>
        <v xml:space="preserve"> (Zero)</v>
      </c>
      <c r="AP21" s="114" t="str">
        <f>_xlfn.CONCAT(AN21," - Electrical power supply and controls to ",AO21," ",VLOOKUP(M21,_VRF!$A$39:$G$48,2,FALSE))</f>
        <v xml:space="preserve">0 - Electrical power supply and controls to  (Zero) </v>
      </c>
      <c r="AQ21" s="114" t="str">
        <f t="shared" si="11"/>
        <v xml:space="preserve"> </v>
      </c>
      <c r="AR21" s="114" t="str">
        <f t="shared" si="12"/>
        <v/>
      </c>
      <c r="AS21" s="114" t="e">
        <f t="shared" si="13"/>
        <v>#N/A</v>
      </c>
      <c r="AT21" s="114" t="e">
        <f t="shared" si="14"/>
        <v>#N/A</v>
      </c>
      <c r="AU21" s="114" t="str">
        <f t="shared" si="15"/>
        <v>0.1 - This includes supply and install of power and controls.</v>
      </c>
      <c r="AV21" s="114" t="str">
        <f>_xlfn.CONCAT(AN21,".2 - Power for system includes: ",VLOOKUP(L21,_VRF!L:O,4,FALSE))</f>
        <v xml:space="preserve">0.2 - Power for system includes: CB and cabling to unit from MSSB, and local isolator, </v>
      </c>
      <c r="AW21" s="114" t="e">
        <f t="shared" si="16"/>
        <v>#N/A</v>
      </c>
      <c r="AX21" s="114" t="str">
        <f>_xlfn.CONCAT(
IF(M21="Yes",VLOOKUP(M$1,_VRF!L:Z,4,FALSE),""),
IF(N21="Yes",VLOOKUP(N$1,_VRF!L:Z,4,FALSE),""),
IF(O21="Yes",VLOOKUP(O$1,_VRF!L:Z,4,FALSE),""),
IF(P21="Yes",VLOOKUP(P$1,_VRF!L:Z,4,FALSE),""),
IF(Q21="Yes",VLOOKUP(Q$1,_VRF!L:Z,4,FALSE),""),
IF(R21="Yes",VLOOKUP(R$1,_VRF!L:Z,4,FALSE),""))</f>
        <v/>
      </c>
      <c r="AZ21" s="114" t="str">
        <f>_xlfn.CONCAT(VLOOKUP(M21,_VRF!$A$39:$G$48,2,FALSE),AQ21,AR21,)</f>
        <v xml:space="preserve"> </v>
      </c>
    </row>
    <row r="22" spans="1:52" x14ac:dyDescent="0.4">
      <c r="A22" s="429" t="str">
        <f t="shared" si="3"/>
        <v>INVALID</v>
      </c>
      <c r="B22" s="430" t="str">
        <f t="shared" si="4"/>
        <v>VRF 21</v>
      </c>
      <c r="C22" s="431">
        <f t="shared" si="5"/>
        <v>0</v>
      </c>
      <c r="D22" s="430">
        <f t="shared" si="6"/>
        <v>0</v>
      </c>
      <c r="E22" s="430"/>
      <c r="F22" s="430">
        <f t="shared" si="0"/>
        <v>20</v>
      </c>
      <c r="G22" s="440"/>
      <c r="H22" s="441"/>
      <c r="I22" s="440" t="e">
        <f>F22*VLOOKUP("7030 2 pair TCAS7302P",'Part List'!$A:$G,3,FALSE)*AE22
+IF(M22="Controller",VLOOKUP(M22,_VRF!L:N,2,FALSE)
+VLOOKUP($N$1,_VRF!L:N,2,FALSE)*AE22
+VLOOKUP($O$1,_VRF!L:N,2,FALSE)*AF22
+VLOOKUP($P$1,_VRF!L:N,2,FALSE)*AG22
+VLOOKUP($Q$1,_VRF!L:N,2,FALSE)*AH22
+VLOOKUP($R$1,_VRF!L:N,2,FALSE)*AI22
+(VLOOKUP("Network cable",'Part List'!$A:$G,3,FALSE)+VLOOKUP("2.5mm Twin and Earth",'Part List'!$A:$G,3,FALSE))*F22,
IF(M22="PAC",VLOOKUP(M22,_VRF!L:N,2,FALSE)
+VLOOKUP($N$1,_VRF!L:N,2,FALSE)*AE22
+VLOOKUP($O$1,_VRF!L:N,2,FALSE)*AF22
+VLOOKUP($P$1,_VRF!L:N,2,FALSE)*AG22
+VLOOKUP($Q$1,_VRF!L:N,2,FALSE)*AH22
+VLOOKUP($R$1,_VRF!L:N,2,FALSE)*AI22
+VLOOKUP("6mm Cable 3 core and Earth",'Part List'!$A:$G,3,FALSE)*F22,
IF(M22="Branch Box",VLOOKUP(M22,_VRF!L:N,2,FALSE)
+VLOOKUP($N$1,_VRF!L:N,2,FALSE)*AE22
+VLOOKUP($O$1,_VRF!L:N,2,FALSE)*AF22
+VLOOKUP($P$1,_VRF!L:N,2,FALSE)*AG22
+VLOOKUP($Q$1,_VRF!L:N,2,FALSE)*AH22
+VLOOKUP($R$1,_VRF!L:N,2,FALSE)*AI22
+(VLOOKUP("2.5mm Twin and Earth",'Part List'!$A:$G,3,FALSE)+VLOOKUP("7030 2 pair TCAS7302P",'Part List'!$A:$G,3,FALSE))*F22,
+IF(NOT(M22="Split"),IF(OR(M22="Outdoor",M22="Indoor"),0,VLOOKUP(AD22,_VRF!L:N,2,FALSE)+VLOOKUP(M22,_VRF!L:N,2,FALSE))
+VLOOKUP($N$1,_VRF!L:N,2,FALSE)*AE22
+VLOOKUP($O$1,_VRF!L:N,2,FALSE)*AF22
+VLOOKUP($P$1,_VRF!L:N,2,FALSE)*AG22
+VLOOKUP($Q$1,_VRF!L:N,2,FALSE)*AH22
+VLOOKUP($R$1,_VRF!L:N,2,FALSE)*AI22
+VLOOKUP(IF(M22="Outdoor","4mm Cable 3 core and Earth","2.5mm Twin and Earth"),'Part List'!$A:$G,3,FALSE)*F22
+IF(M22="Indoor",VLOOKUP("7030 2 pair TCAS7302P",'Part List'!$A:$G,3,FALSE),0)*F22
+VLOOKUP(IF(M22="Outdoor",IF(L22="Local","Outdoor_Local","Outdoor_MSSB"),0),_VRF!L:N,2,FALSE)
+IF(M22="Indoor",VLOOKUP(M22,_VRF!L:N,2,FALSE),0),
VLOOKUP(M22,_VRF!L:N,2,FALSE)
+(VLOOKUP("7030 2 pair TCAS7302P",'Part List'!$A:$G,3,FALSE)+2*VLOOKUP("2.5mm Twin and Earth",'Part List'!$A:$G,3,FALSE))*F22
+VLOOKUP($N$1,_VRF!L:N,2,FALSE)*AE22
+VLOOKUP($O$1,_VRF!L:N,2,FALSE)*AF22
+VLOOKUP($P$1,_VRF!L:N,2,FALSE)*AG22
+VLOOKUP($Q$1,_VRF!L:N,2,FALSE)*AH22
+VLOOKUP($R$1,_VRF!L:N,2,FALSE)*AI22))))</f>
        <v>#N/A</v>
      </c>
      <c r="J22" s="441" t="e">
        <f>F22*VLOOKUP("7030 2 pair TCAS7302P",'Part List'!$A:$G,5,FALSE)*AE22+
+
IF(M22="Controller",VLOOKUP(M22,_VRF!L:N,3,FALSE)
+VLOOKUP($N$1,_VRF!L:N,3,FALSE)*AE22
+VLOOKUP($O$1,_VRF!L:N,3,FALSE)*AF22
+VLOOKUP($P$1,_VRF!L:N,3,FALSE)*AG22
+VLOOKUP($Q$1,_VRF!L:N,3,FALSE)*AH22
+VLOOKUP($R$1,_VRF!L:N,3,FALSE)*AI22
+(VLOOKUP("Network cable",'Part List'!$A:$G,5,FALSE)+VLOOKUP("2.5mm Twin and Earth",'Part List'!$A:$G,5,FALSE))*F22,
IF(M22="PAC",VLOOKUP(M22,_VRF!L:N,3,FALSE)
+VLOOKUP($N$1,_VRF!L:N,3,FALSE)*AE22
+VLOOKUP($O$1,_VRF!L:N,3,FALSE)*AF22
+VLOOKUP($P$1,_VRF!L:N,3,FALSE)*AG22
+VLOOKUP($Q$1,_VRF!L:N,3,FALSE)*AH22
+VLOOKUP($R$1,_VRF!L:N,3,FALSE)*AI22
+VLOOKUP("6mm Cable 3 core and Earth",'Part List'!$A:$G,5,FALSE)*F22,
IF(M22="Branch Box",VLOOKUP(M22,_VRF!L:N,3,FALSE)
+VLOOKUP($N$1,_VRF!L:N,3,FALSE)*AE22
+VLOOKUP($O$1,_VRF!L:N,3,FALSE)*AF22
+VLOOKUP($P$1,_VRF!L:N,3,FALSE)*AG22
+VLOOKUP($Q$1,_VRF!L:N,3,FALSE)*AH22
+VLOOKUP($R$1,_VRF!L:N,3,FALSE)*AI22
+(VLOOKUP("2.5mm Twin and Earth",'Part List'!$A:$G,5,FALSE)+VLOOKUP("7030 2 pair TCAS7302P",'Part List'!$A:$G,5,FALSE))*F22,
+IF(NOT(M22="Split"),IF(OR(M22="Outdoor",M22="Indoor"),0,VLOOKUP(AD22,_VRF!L:N,3,FALSE)+VLOOKUP(M22,_VRF!L:N,3,FALSE))
+VLOOKUP($N$1,_VRF!L:N,3,FALSE)*AE22
+VLOOKUP($O$1,_VRF!L:N,3,FALSE)*AF22
+VLOOKUP($P$1,_VRF!L:N,3,FALSE)*AG22
+VLOOKUP($Q$1,_VRF!L:N,3,FALSE)*AH22
+VLOOKUP($R$1,_VRF!L:N,3,FALSE)*AI22
+VLOOKUP(IF(M22="Outdoor","4mm Cable 3 core and Earth","2.5mm Twin and Earth"),'Part List'!$A:$G,5,FALSE)*F22
+IF(M22="Indoor",VLOOKUP("7030 2 pair TCAS7302P",'Part List'!$A:$G,5,FALSE),0)*F22
+VLOOKUP(IF(M22="Outdoor",IF(L22="Local","Outdoor_Local","Outdoor_MSSB"),0),_VRF!L:N,3,FALSE)
+IF(M22="Indoor",VLOOKUP(M22,_VRF!L:N,3,FALSE),0),
VLOOKUP(M22,_VRF!L:N,3,FALSE)
+(VLOOKUP("7030 2 pair TCAS7302P",'Part List'!$A:$G,5,FALSE)+2*VLOOKUP("2.5mm Twin and Earth",'Part List'!$A:$G,5,FALSE))*F22
+VLOOKUP($N$1,_VRF!L:N,3,FALSE)*AE22
+VLOOKUP($O$1,_VRF!L:N,3,FALSE)*AF22
+VLOOKUP($P$1,_VRF!L:N,3,FALSE)*AG22
+VLOOKUP($Q$1,_VRF!L:N,3,FALSE)*AH22
+VLOOKUP($R$1,_VRF!L:N,3,FALSE)*AI22))))</f>
        <v>#N/A</v>
      </c>
      <c r="K22" s="430" t="e">
        <f>_xlfn.CONCAT(VLOOKUP(M22,_VRF!$A$39:$C$44,3,FALSE), "-",
IF(N22="Yes", 1, 0)*X22, IF(O22="Yes", 1, 0)*Y22, IF(P22="Yes", 1, 0)*Z22, AA22*IF(Q22="Yes", 1, 0),IF(R22="Yes", 1, 0)*AB22,IF(W22 = 1, IF(L22="Local", "-L", "-M"),""))</f>
        <v>#N/A</v>
      </c>
      <c r="L22" s="432" t="s">
        <v>678</v>
      </c>
      <c r="M22" s="432"/>
      <c r="N22" s="440"/>
      <c r="O22" s="440"/>
      <c r="P22" s="440"/>
      <c r="Q22" s="440"/>
      <c r="R22" s="440"/>
      <c r="S22" s="114" t="str">
        <f t="shared" si="7"/>
        <v/>
      </c>
      <c r="W22" s="114" t="e">
        <f>VLOOKUP($M22,_VRF!$A$26:$G$31, 2, FALSE)</f>
        <v>#N/A</v>
      </c>
      <c r="X22" s="114" t="e">
        <f>VLOOKUP($M22,_VRF!$A$26:$G$31, 3, FALSE)</f>
        <v>#N/A</v>
      </c>
      <c r="Y22" s="114" t="e">
        <f>VLOOKUP($M22,_VRF!$A$26:$G$31, 4, FALSE)</f>
        <v>#N/A</v>
      </c>
      <c r="Z22" s="114" t="e">
        <f>VLOOKUP($M22,_VRF!$A$26:$G$31, 5, FALSE)</f>
        <v>#N/A</v>
      </c>
      <c r="AA22" s="114" t="e">
        <f>VLOOKUP($M22,_VRF!$A$26:$G$31, 6, FALSE)</f>
        <v>#N/A</v>
      </c>
      <c r="AB22" s="114" t="e">
        <f>VLOOKUP($M22,_VRF!$A$26:$G$31, 7, FALSE)</f>
        <v>#N/A</v>
      </c>
      <c r="AD22" s="114" t="e">
        <f t="shared" si="8"/>
        <v>#N/A</v>
      </c>
      <c r="AE22" s="114">
        <f t="shared" si="17"/>
        <v>0</v>
      </c>
      <c r="AF22" s="114">
        <f t="shared" si="17"/>
        <v>0</v>
      </c>
      <c r="AG22" s="114">
        <f t="shared" si="17"/>
        <v>0</v>
      </c>
      <c r="AH22" s="114">
        <f t="shared" si="17"/>
        <v>0</v>
      </c>
      <c r="AI22" s="114">
        <f t="shared" si="17"/>
        <v>0</v>
      </c>
      <c r="AM22" s="432" t="str">
        <f t="shared" si="10"/>
        <v/>
      </c>
      <c r="AN22" s="114">
        <f t="shared" si="2"/>
        <v>0</v>
      </c>
      <c r="AO22" s="114" t="str">
        <f>_xlfn.CONCAT(E22," (",VLOOKUP(E22,[1]Backend!C:D,2,FALSE),")")</f>
        <v xml:space="preserve"> (Zero)</v>
      </c>
      <c r="AP22" s="114" t="str">
        <f>_xlfn.CONCAT(AN22," - Electrical power supply and controls to ",AO22," ",VLOOKUP(M22,_VRF!$A$39:$G$48,2,FALSE))</f>
        <v xml:space="preserve">0 - Electrical power supply and controls to  (Zero) </v>
      </c>
      <c r="AQ22" s="114" t="str">
        <f t="shared" si="11"/>
        <v xml:space="preserve"> </v>
      </c>
      <c r="AR22" s="114" t="str">
        <f t="shared" si="12"/>
        <v/>
      </c>
      <c r="AS22" s="114" t="e">
        <f t="shared" si="13"/>
        <v>#N/A</v>
      </c>
      <c r="AT22" s="114" t="e">
        <f t="shared" si="14"/>
        <v>#N/A</v>
      </c>
      <c r="AU22" s="114" t="str">
        <f t="shared" si="15"/>
        <v>0.1 - This includes supply and install of power and controls.</v>
      </c>
      <c r="AV22" s="114" t="str">
        <f>_xlfn.CONCAT(AN22,".2 - Power for system includes: ",VLOOKUP(L22,_VRF!L:O,4,FALSE))</f>
        <v xml:space="preserve">0.2 - Power for system includes: CB and cabling to unit from MSSB, and local isolator, </v>
      </c>
      <c r="AW22" s="114" t="e">
        <f t="shared" si="16"/>
        <v>#N/A</v>
      </c>
      <c r="AX22" s="114" t="str">
        <f>_xlfn.CONCAT(
IF(M22="Yes",VLOOKUP(M$1,_VRF!L:Z,4,FALSE),""),
IF(N22="Yes",VLOOKUP(N$1,_VRF!L:Z,4,FALSE),""),
IF(O22="Yes",VLOOKUP(O$1,_VRF!L:Z,4,FALSE),""),
IF(P22="Yes",VLOOKUP(P$1,_VRF!L:Z,4,FALSE),""),
IF(Q22="Yes",VLOOKUP(Q$1,_VRF!L:Z,4,FALSE),""),
IF(R22="Yes",VLOOKUP(R$1,_VRF!L:Z,4,FALSE),""))</f>
        <v/>
      </c>
      <c r="AZ22" s="114" t="str">
        <f>_xlfn.CONCAT(VLOOKUP(M22,_VRF!$A$39:$G$48,2,FALSE),AQ22,AR22,)</f>
        <v xml:space="preserve"> </v>
      </c>
    </row>
    <row r="23" spans="1:52" x14ac:dyDescent="0.4">
      <c r="A23" s="429" t="str">
        <f t="shared" si="3"/>
        <v>INVALID</v>
      </c>
      <c r="B23" s="430" t="str">
        <f t="shared" si="4"/>
        <v>VRF 22</v>
      </c>
      <c r="C23" s="431">
        <f t="shared" si="5"/>
        <v>0</v>
      </c>
      <c r="D23" s="430">
        <f t="shared" si="6"/>
        <v>0</v>
      </c>
      <c r="E23" s="430"/>
      <c r="F23" s="430">
        <f t="shared" si="0"/>
        <v>20</v>
      </c>
      <c r="G23" s="440"/>
      <c r="H23" s="441"/>
      <c r="I23" s="440" t="e">
        <f>F23*VLOOKUP("7030 2 pair TCAS7302P",'Part List'!$A:$G,3,FALSE)*AE23
+IF(M23="Controller",VLOOKUP(M23,_VRF!L:N,2,FALSE)
+VLOOKUP($N$1,_VRF!L:N,2,FALSE)*AE23
+VLOOKUP($O$1,_VRF!L:N,2,FALSE)*AF23
+VLOOKUP($P$1,_VRF!L:N,2,FALSE)*AG23
+VLOOKUP($Q$1,_VRF!L:N,2,FALSE)*AH23
+VLOOKUP($R$1,_VRF!L:N,2,FALSE)*AI23
+(VLOOKUP("Network cable",'Part List'!$A:$G,3,FALSE)+VLOOKUP("2.5mm Twin and Earth",'Part List'!$A:$G,3,FALSE))*F23,
IF(M23="PAC",VLOOKUP(M23,_VRF!L:N,2,FALSE)
+VLOOKUP($N$1,_VRF!L:N,2,FALSE)*AE23
+VLOOKUP($O$1,_VRF!L:N,2,FALSE)*AF23
+VLOOKUP($P$1,_VRF!L:N,2,FALSE)*AG23
+VLOOKUP($Q$1,_VRF!L:N,2,FALSE)*AH23
+VLOOKUP($R$1,_VRF!L:N,2,FALSE)*AI23
+VLOOKUP("6mm Cable 3 core and Earth",'Part List'!$A:$G,3,FALSE)*F23,
IF(M23="Branch Box",VLOOKUP(M23,_VRF!L:N,2,FALSE)
+VLOOKUP($N$1,_VRF!L:N,2,FALSE)*AE23
+VLOOKUP($O$1,_VRF!L:N,2,FALSE)*AF23
+VLOOKUP($P$1,_VRF!L:N,2,FALSE)*AG23
+VLOOKUP($Q$1,_VRF!L:N,2,FALSE)*AH23
+VLOOKUP($R$1,_VRF!L:N,2,FALSE)*AI23
+(VLOOKUP("2.5mm Twin and Earth",'Part List'!$A:$G,3,FALSE)+VLOOKUP("7030 2 pair TCAS7302P",'Part List'!$A:$G,3,FALSE))*F23,
+IF(NOT(M23="Split"),IF(OR(M23="Outdoor",M23="Indoor"),0,VLOOKUP(AD23,_VRF!L:N,2,FALSE)+VLOOKUP(M23,_VRF!L:N,2,FALSE))
+VLOOKUP($N$1,_VRF!L:N,2,FALSE)*AE23
+VLOOKUP($O$1,_VRF!L:N,2,FALSE)*AF23
+VLOOKUP($P$1,_VRF!L:N,2,FALSE)*AG23
+VLOOKUP($Q$1,_VRF!L:N,2,FALSE)*AH23
+VLOOKUP($R$1,_VRF!L:N,2,FALSE)*AI23
+VLOOKUP(IF(M23="Outdoor","4mm Cable 3 core and Earth","2.5mm Twin and Earth"),'Part List'!$A:$G,3,FALSE)*F23
+IF(M23="Indoor",VLOOKUP("7030 2 pair TCAS7302P",'Part List'!$A:$G,3,FALSE),0)*F23
+VLOOKUP(IF(M23="Outdoor",IF(L23="Local","Outdoor_Local","Outdoor_MSSB"),0),_VRF!L:N,2,FALSE)
+IF(M23="Indoor",VLOOKUP(M23,_VRF!L:N,2,FALSE),0),
VLOOKUP(M23,_VRF!L:N,2,FALSE)
+(VLOOKUP("7030 2 pair TCAS7302P",'Part List'!$A:$G,3,FALSE)+2*VLOOKUP("2.5mm Twin and Earth",'Part List'!$A:$G,3,FALSE))*F23
+VLOOKUP($N$1,_VRF!L:N,2,FALSE)*AE23
+VLOOKUP($O$1,_VRF!L:N,2,FALSE)*AF23
+VLOOKUP($P$1,_VRF!L:N,2,FALSE)*AG23
+VLOOKUP($Q$1,_VRF!L:N,2,FALSE)*AH23
+VLOOKUP($R$1,_VRF!L:N,2,FALSE)*AI23))))</f>
        <v>#N/A</v>
      </c>
      <c r="J23" s="441" t="e">
        <f>F23*VLOOKUP("7030 2 pair TCAS7302P",'Part List'!$A:$G,5,FALSE)*AE23+
+
IF(M23="Controller",VLOOKUP(M23,_VRF!L:N,3,FALSE)
+VLOOKUP($N$1,_VRF!L:N,3,FALSE)*AE23
+VLOOKUP($O$1,_VRF!L:N,3,FALSE)*AF23
+VLOOKUP($P$1,_VRF!L:N,3,FALSE)*AG23
+VLOOKUP($Q$1,_VRF!L:N,3,FALSE)*AH23
+VLOOKUP($R$1,_VRF!L:N,3,FALSE)*AI23
+(VLOOKUP("Network cable",'Part List'!$A:$G,5,FALSE)+VLOOKUP("2.5mm Twin and Earth",'Part List'!$A:$G,5,FALSE))*F23,
IF(M23="PAC",VLOOKUP(M23,_VRF!L:N,3,FALSE)
+VLOOKUP($N$1,_VRF!L:N,3,FALSE)*AE23
+VLOOKUP($O$1,_VRF!L:N,3,FALSE)*AF23
+VLOOKUP($P$1,_VRF!L:N,3,FALSE)*AG23
+VLOOKUP($Q$1,_VRF!L:N,3,FALSE)*AH23
+VLOOKUP($R$1,_VRF!L:N,3,FALSE)*AI23
+VLOOKUP("6mm Cable 3 core and Earth",'Part List'!$A:$G,5,FALSE)*F23,
IF(M23="Branch Box",VLOOKUP(M23,_VRF!L:N,3,FALSE)
+VLOOKUP($N$1,_VRF!L:N,3,FALSE)*AE23
+VLOOKUP($O$1,_VRF!L:N,3,FALSE)*AF23
+VLOOKUP($P$1,_VRF!L:N,3,FALSE)*AG23
+VLOOKUP($Q$1,_VRF!L:N,3,FALSE)*AH23
+VLOOKUP($R$1,_VRF!L:N,3,FALSE)*AI23
+(VLOOKUP("2.5mm Twin and Earth",'Part List'!$A:$G,5,FALSE)+VLOOKUP("7030 2 pair TCAS7302P",'Part List'!$A:$G,5,FALSE))*F23,
+IF(NOT(M23="Split"),IF(OR(M23="Outdoor",M23="Indoor"),0,VLOOKUP(AD23,_VRF!L:N,3,FALSE)+VLOOKUP(M23,_VRF!L:N,3,FALSE))
+VLOOKUP($N$1,_VRF!L:N,3,FALSE)*AE23
+VLOOKUP($O$1,_VRF!L:N,3,FALSE)*AF23
+VLOOKUP($P$1,_VRF!L:N,3,FALSE)*AG23
+VLOOKUP($Q$1,_VRF!L:N,3,FALSE)*AH23
+VLOOKUP($R$1,_VRF!L:N,3,FALSE)*AI23
+VLOOKUP(IF(M23="Outdoor","4mm Cable 3 core and Earth","2.5mm Twin and Earth"),'Part List'!$A:$G,5,FALSE)*F23
+IF(M23="Indoor",VLOOKUP("7030 2 pair TCAS7302P",'Part List'!$A:$G,5,FALSE),0)*F23
+VLOOKUP(IF(M23="Outdoor",IF(L23="Local","Outdoor_Local","Outdoor_MSSB"),0),_VRF!L:N,3,FALSE)
+IF(M23="Indoor",VLOOKUP(M23,_VRF!L:N,3,FALSE),0),
VLOOKUP(M23,_VRF!L:N,3,FALSE)
+(VLOOKUP("7030 2 pair TCAS7302P",'Part List'!$A:$G,5,FALSE)+2*VLOOKUP("2.5mm Twin and Earth",'Part List'!$A:$G,5,FALSE))*F23
+VLOOKUP($N$1,_VRF!L:N,3,FALSE)*AE23
+VLOOKUP($O$1,_VRF!L:N,3,FALSE)*AF23
+VLOOKUP($P$1,_VRF!L:N,3,FALSE)*AG23
+VLOOKUP($Q$1,_VRF!L:N,3,FALSE)*AH23
+VLOOKUP($R$1,_VRF!L:N,3,FALSE)*AI23))))</f>
        <v>#N/A</v>
      </c>
      <c r="K23" s="430" t="e">
        <f>_xlfn.CONCAT(VLOOKUP(M23,_VRF!$A$39:$C$44,3,FALSE), "-",
IF(N23="Yes", 1, 0)*X23, IF(O23="Yes", 1, 0)*Y23, IF(P23="Yes", 1, 0)*Z23, AA23*IF(Q23="Yes", 1, 0),IF(R23="Yes", 1, 0)*AB23,IF(W23 = 1, IF(L23="Local", "-L", "-M"),""))</f>
        <v>#N/A</v>
      </c>
      <c r="L23" s="432" t="s">
        <v>678</v>
      </c>
      <c r="M23" s="432"/>
      <c r="N23" s="440"/>
      <c r="O23" s="440"/>
      <c r="P23" s="440"/>
      <c r="Q23" s="440"/>
      <c r="R23" s="440"/>
      <c r="S23" s="114" t="str">
        <f t="shared" si="7"/>
        <v/>
      </c>
      <c r="W23" s="114" t="e">
        <f>VLOOKUP($M23,_VRF!$A$26:$G$31, 2, FALSE)</f>
        <v>#N/A</v>
      </c>
      <c r="X23" s="114" t="e">
        <f>VLOOKUP($M23,_VRF!$A$26:$G$31, 3, FALSE)</f>
        <v>#N/A</v>
      </c>
      <c r="Y23" s="114" t="e">
        <f>VLOOKUP($M23,_VRF!$A$26:$G$31, 4, FALSE)</f>
        <v>#N/A</v>
      </c>
      <c r="Z23" s="114" t="e">
        <f>VLOOKUP($M23,_VRF!$A$26:$G$31, 5, FALSE)</f>
        <v>#N/A</v>
      </c>
      <c r="AA23" s="114" t="e">
        <f>VLOOKUP($M23,_VRF!$A$26:$G$31, 6, FALSE)</f>
        <v>#N/A</v>
      </c>
      <c r="AB23" s="114" t="e">
        <f>VLOOKUP($M23,_VRF!$A$26:$G$31, 7, FALSE)</f>
        <v>#N/A</v>
      </c>
      <c r="AD23" s="114" t="e">
        <f t="shared" si="8"/>
        <v>#N/A</v>
      </c>
      <c r="AE23" s="114">
        <f t="shared" si="17"/>
        <v>0</v>
      </c>
      <c r="AF23" s="114">
        <f t="shared" si="17"/>
        <v>0</v>
      </c>
      <c r="AG23" s="114">
        <f t="shared" si="17"/>
        <v>0</v>
      </c>
      <c r="AH23" s="114">
        <f t="shared" si="17"/>
        <v>0</v>
      </c>
      <c r="AI23" s="114">
        <f t="shared" si="17"/>
        <v>0</v>
      </c>
      <c r="AM23" s="432" t="str">
        <f t="shared" si="10"/>
        <v/>
      </c>
      <c r="AW23" s="114" t="e">
        <f t="shared" si="16"/>
        <v>#N/A</v>
      </c>
      <c r="AX23" s="114" t="str">
        <f>_xlfn.CONCAT(
IF(M23="Yes",VLOOKUP(M$1,_VRF!L:Z,4,FALSE),""),
IF(N23="Yes",VLOOKUP(N$1,_VRF!L:Z,4,FALSE),""),
IF(O23="Yes",VLOOKUP(O$1,_VRF!L:Z,4,FALSE),""),
IF(P23="Yes",VLOOKUP(P$1,_VRF!L:Z,4,FALSE),""),
IF(Q23="Yes",VLOOKUP(Q$1,_VRF!L:Z,4,FALSE),""),
IF(R23="Yes",VLOOKUP(R$1,_VRF!L:Z,4,FALSE),""))</f>
        <v/>
      </c>
      <c r="AZ23" s="114" t="str">
        <f>_xlfn.CONCAT(VLOOKUP(M23,_VRF!$A$39:$G$48,2,FALSE),AQ23,AR23,)</f>
        <v/>
      </c>
    </row>
    <row r="24" spans="1:52" x14ac:dyDescent="0.4">
      <c r="J24" s="441"/>
      <c r="S24" s="114" t="str">
        <f t="shared" si="7"/>
        <v/>
      </c>
    </row>
    <row r="25" spans="1:52" x14ac:dyDescent="0.4">
      <c r="J25" s="441"/>
      <c r="S25" s="114" t="str">
        <f t="shared" si="7"/>
        <v/>
      </c>
    </row>
  </sheetData>
  <conditionalFormatting sqref="A2:A23">
    <cfRule type="cellIs" dxfId="154" priority="4" operator="equal">
      <formula>"INVALID"</formula>
    </cfRule>
    <cfRule type="cellIs" dxfId="153" priority="5" operator="equal">
      <formula>"VALID"</formula>
    </cfRule>
  </conditionalFormatting>
  <conditionalFormatting sqref="L2:R23">
    <cfRule type="cellIs" dxfId="152" priority="3" operator="equal">
      <formula>$AAF$2</formula>
    </cfRule>
  </conditionalFormatting>
  <conditionalFormatting sqref="AW2:AW1048576">
    <cfRule type="colorScale" priority="2">
      <colorScale>
        <cfvo type="min"/>
        <cfvo type="max"/>
        <color rgb="FF63BE7B"/>
        <color rgb="FFFCFCFF"/>
      </colorScale>
    </cfRule>
  </conditionalFormatting>
  <conditionalFormatting sqref="AF1">
    <cfRule type="colorScale" priority="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5" xr:uid="{D417AECB-4A38-41DD-9AB5-B23FC6F393A9}">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165EBC32-E4D5-4C57-AC92-E4D3A761ECD2}">
          <x14:formula1>
            <xm:f>_VRF!B$2:B$7</xm:f>
          </x14:formula1>
          <xm:sqref>M2:M23</xm:sqref>
        </x14:dataValidation>
        <x14:dataValidation type="list" allowBlank="1" showInputMessage="1" showErrorMessage="1" xr:uid="{A7D73423-B433-4D88-A269-42FE4EB855CB}">
          <x14:formula1>
            <xm:f>_VRF!D$2:D$3</xm:f>
          </x14:formula1>
          <xm:sqref>O3:R23</xm:sqref>
        </x14:dataValidation>
        <x14:dataValidation type="list" allowBlank="1" showInputMessage="1" showErrorMessage="1" xr:uid="{F4284552-17DE-4DA8-B5DE-45C23BF80161}">
          <x14:formula1>
            <xm:f>_Fan!A$2:A$3</xm:f>
          </x14:formula1>
          <xm:sqref>L2:L23 T2:U23 N2:N23 O2:R2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88EDE4-BB17-40CA-ABE3-14A4299BEA4B}">
  <dimension ref="A1:X48"/>
  <sheetViews>
    <sheetView topLeftCell="H13" workbookViewId="0">
      <selection activeCell="D26" sqref="D26"/>
    </sheetView>
  </sheetViews>
  <sheetFormatPr defaultRowHeight="14.6" x14ac:dyDescent="0.4"/>
  <cols>
    <col min="1" max="3" width="12.23046875" style="114" customWidth="1"/>
    <col min="4" max="4" width="11.53515625" style="114" customWidth="1"/>
    <col min="5" max="10" width="12.23046875" style="114" customWidth="1"/>
    <col min="11" max="11" width="9.23046875" style="114"/>
    <col min="12" max="12" width="18.23046875" style="114" customWidth="1"/>
    <col min="13" max="13" width="9.23046875" style="114"/>
    <col min="14" max="14" width="9.23046875" style="114" customWidth="1"/>
    <col min="15" max="20" width="19.921875" style="114" customWidth="1"/>
    <col min="21" max="16384" width="9.23046875" style="114"/>
  </cols>
  <sheetData>
    <row r="1" spans="1:24" s="418" customFormat="1" ht="43.75" x14ac:dyDescent="0.4">
      <c r="A1" s="427" t="s">
        <v>676</v>
      </c>
      <c r="B1" s="427" t="s">
        <v>1033</v>
      </c>
      <c r="C1" s="427" t="s">
        <v>1021</v>
      </c>
      <c r="D1" s="427" t="s">
        <v>1022</v>
      </c>
      <c r="E1" s="427" t="s">
        <v>1023</v>
      </c>
      <c r="F1" s="418" t="s">
        <v>1024</v>
      </c>
      <c r="G1" s="418" t="s">
        <v>990</v>
      </c>
      <c r="L1" s="418" t="s">
        <v>995</v>
      </c>
      <c r="M1" s="418" t="s">
        <v>996</v>
      </c>
      <c r="N1" s="418" t="s">
        <v>997</v>
      </c>
    </row>
    <row r="2" spans="1:24" x14ac:dyDescent="0.4">
      <c r="A2" s="114" t="s">
        <v>991</v>
      </c>
      <c r="B2" s="114" t="s">
        <v>1028</v>
      </c>
      <c r="C2" s="114" t="s">
        <v>886</v>
      </c>
      <c r="D2" s="114" t="s">
        <v>886</v>
      </c>
      <c r="E2" s="114" t="s">
        <v>886</v>
      </c>
      <c r="F2" s="114" t="s">
        <v>886</v>
      </c>
      <c r="G2" s="114" t="s">
        <v>886</v>
      </c>
      <c r="L2" s="114" t="str">
        <f>A2</f>
        <v>Local</v>
      </c>
      <c r="M2" s="114">
        <f>IFERROR(P3*VLOOKUP(P2,'Part List'!A:G,3,FALSE),0)
+IFERROR(Q3*VLOOKUP(Q2,'Part List'!A:G,3,FALSE),0)
+IFERROR(R3*VLOOKUP(R2,'Part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f>
        <v>88.25</v>
      </c>
      <c r="N2" s="114">
        <f>IFERROR(P3*VLOOKUP(P2,'Part List'!A:G,5,FALSE),0)
+IFERROR(Q3*VLOOKUP(Q2,'Part List'!A:G,5,FALSE),0)
+IFERROR(R3*VLOOKUP(R2,'Part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f>
        <v>1</v>
      </c>
      <c r="O2" s="114" t="s">
        <v>1034</v>
      </c>
      <c r="P2" s="114" t="s">
        <v>253</v>
      </c>
      <c r="Q2" s="114" t="s">
        <v>999</v>
      </c>
      <c r="R2" s="114" t="s">
        <v>268</v>
      </c>
      <c r="S2" s="114" t="s">
        <v>1000</v>
      </c>
      <c r="T2" s="114" t="s">
        <v>1001</v>
      </c>
    </row>
    <row r="3" spans="1:24" x14ac:dyDescent="0.4">
      <c r="A3" s="114" t="s">
        <v>678</v>
      </c>
      <c r="B3" s="114" t="s">
        <v>1029</v>
      </c>
      <c r="C3" s="114" t="s">
        <v>887</v>
      </c>
      <c r="D3" s="114" t="s">
        <v>887</v>
      </c>
      <c r="E3" s="114" t="s">
        <v>887</v>
      </c>
      <c r="F3" s="114" t="s">
        <v>887</v>
      </c>
      <c r="G3" s="114" t="s">
        <v>887</v>
      </c>
      <c r="P3" s="114">
        <v>1</v>
      </c>
      <c r="Q3" s="114">
        <v>1</v>
      </c>
      <c r="R3" s="114" t="s">
        <v>1002</v>
      </c>
      <c r="S3" s="114">
        <v>1</v>
      </c>
      <c r="T3" s="114">
        <v>1</v>
      </c>
    </row>
    <row r="4" spans="1:24" x14ac:dyDescent="0.4">
      <c r="B4" s="114" t="s">
        <v>1030</v>
      </c>
      <c r="L4" s="114" t="str">
        <f>A3</f>
        <v>MSSB</v>
      </c>
      <c r="M4" s="114">
        <f>IFERROR(P5*VLOOKUP(P4,'Part List'!A:G,3,FALSE),0)
+IFERROR(Q5*VLOOKUP(Q4,'Part List'!A:G,3,FALSE),0)
+IFERROR(R5*VLOOKUP(R4,'Part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f>
        <v>553.25</v>
      </c>
      <c r="N4" s="114">
        <f>IFERROR(P5*VLOOKUP(P4,'Part List'!A:G,5,FALSE),0)
+IFERROR(Q5*VLOOKUP(Q4,'Part List'!A:G,5,FALSE),0)
+IFERROR(R5*VLOOKUP(R4,'Part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f>
        <v>2</v>
      </c>
      <c r="O4" s="114" t="s">
        <v>1035</v>
      </c>
      <c r="P4" s="114" t="s">
        <v>253</v>
      </c>
      <c r="Q4" s="114" t="s">
        <v>999</v>
      </c>
      <c r="R4" s="114" t="s">
        <v>268</v>
      </c>
      <c r="S4" s="114" t="s">
        <v>304</v>
      </c>
      <c r="T4" s="114" t="s">
        <v>1345</v>
      </c>
      <c r="U4" s="114" t="s">
        <v>1004</v>
      </c>
      <c r="V4" s="114" t="s">
        <v>1005</v>
      </c>
      <c r="W4" s="114" t="s">
        <v>1001</v>
      </c>
    </row>
    <row r="5" spans="1:24" x14ac:dyDescent="0.4">
      <c r="B5" s="114" t="s">
        <v>1031</v>
      </c>
      <c r="P5" s="114">
        <v>1</v>
      </c>
      <c r="Q5" s="114">
        <v>1</v>
      </c>
      <c r="R5" s="114" t="s">
        <v>1002</v>
      </c>
      <c r="S5" s="114">
        <v>1</v>
      </c>
      <c r="T5" s="114">
        <v>1</v>
      </c>
      <c r="U5" s="114">
        <v>1</v>
      </c>
      <c r="V5" s="114">
        <v>1</v>
      </c>
      <c r="W5" s="114">
        <v>1</v>
      </c>
      <c r="X5" s="114">
        <v>1</v>
      </c>
    </row>
    <row r="6" spans="1:24" x14ac:dyDescent="0.4">
      <c r="B6" s="114" t="s">
        <v>1027</v>
      </c>
      <c r="L6" s="114" t="s">
        <v>1028</v>
      </c>
      <c r="M6" s="114">
        <f>IFERROR(P7*VLOOKUP(P6,'Part List'!A:G,3,FALSE),0)
+IFERROR(Q7*VLOOKUP(Q6,'Part List'!A:G,3,FALSE),0)
+IFERROR(R7*VLOOKUP(R6,'Part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f>
        <v>8.4499999999999993</v>
      </c>
      <c r="N6" s="114">
        <f>IFERROR(P7*VLOOKUP(P6,'Part List'!A:G,5,FALSE),0)
+IFERROR(Q7*VLOOKUP(Q6,'Part List'!A:G,5,FALSE),0)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f>
        <v>1.5</v>
      </c>
      <c r="O6" s="114" t="s">
        <v>1034</v>
      </c>
      <c r="P6" s="114" t="s">
        <v>253</v>
      </c>
      <c r="Q6" s="114" t="s">
        <v>999</v>
      </c>
      <c r="R6" s="114" t="s">
        <v>268</v>
      </c>
      <c r="S6" s="114" t="s">
        <v>269</v>
      </c>
      <c r="T6" s="114" t="s">
        <v>1036</v>
      </c>
      <c r="U6" s="114" t="s">
        <v>239</v>
      </c>
    </row>
    <row r="7" spans="1:24" x14ac:dyDescent="0.4">
      <c r="B7" s="114" t="s">
        <v>1032</v>
      </c>
      <c r="P7" s="114">
        <v>1</v>
      </c>
      <c r="R7" s="114" t="s">
        <v>1002</v>
      </c>
      <c r="S7" s="114" t="s">
        <v>1002</v>
      </c>
      <c r="T7" s="114">
        <v>1</v>
      </c>
      <c r="U7" s="114">
        <v>1</v>
      </c>
    </row>
    <row r="8" spans="1:24" x14ac:dyDescent="0.4">
      <c r="L8" s="114" t="s">
        <v>1037</v>
      </c>
      <c r="M8" s="114">
        <f>IFERROR(P9*VLOOKUP(P8,'Part List'!A:G,3,FALSE),0)
+IFERROR(Q9*VLOOKUP(Q8,'Part List'!A:G,3,FALSE),0)
+IFERROR(R9*VLOOKUP(R8,'Part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f>
        <v>0</v>
      </c>
      <c r="N8" s="114">
        <f>IFERROR(P9*VLOOKUP(P8,'Part List'!A:G,5,FALSE),0)
+IFERROR(Q9*VLOOKUP(Q8,'Part List'!A:G,5,FALSE),0)
+IFERROR(R9*VLOOKUP(R8,'Part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f>
        <v>0</v>
      </c>
      <c r="O8" s="114" t="s">
        <v>1038</v>
      </c>
      <c r="P8" s="114" t="s">
        <v>267</v>
      </c>
    </row>
    <row r="9" spans="1:24" x14ac:dyDescent="0.4">
      <c r="P9" s="114" t="s">
        <v>1002</v>
      </c>
    </row>
    <row r="10" spans="1:24" x14ac:dyDescent="0.4">
      <c r="L10" s="114" t="s">
        <v>1030</v>
      </c>
      <c r="M10" s="114">
        <f>IFERROR(P11*VLOOKUP(P10,'Part List'!A:G,3,FALSE),0)
+IFERROR(Q11*VLOOKUP(Q10,'Part List'!A:G,3,FALSE),0)
+IFERROR(R11*VLOOKUP(R10,'Part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f>
        <v>28.25</v>
      </c>
      <c r="N10" s="114">
        <f>IFERROR(P11*VLOOKUP(P10,'Part List'!A:G,5,FALSE),0)
+IFERROR(Q11*VLOOKUP(Q10,'Part List'!A:G,5,FALSE),0)
+IFERROR(R11*VLOOKUP(R10,'Part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f>
        <v>2</v>
      </c>
      <c r="P10" s="114" t="s">
        <v>1039</v>
      </c>
      <c r="Q10" s="114" t="s">
        <v>1019</v>
      </c>
      <c r="R10" s="114" t="s">
        <v>253</v>
      </c>
      <c r="S10" s="114" t="s">
        <v>999</v>
      </c>
    </row>
    <row r="11" spans="1:24" x14ac:dyDescent="0.4">
      <c r="P11" s="114">
        <v>1</v>
      </c>
      <c r="Q11" s="114">
        <v>1</v>
      </c>
      <c r="R11" s="114">
        <v>1</v>
      </c>
      <c r="S11" s="114">
        <v>1</v>
      </c>
    </row>
    <row r="12" spans="1:24" x14ac:dyDescent="0.4">
      <c r="L12" s="114" t="s">
        <v>1031</v>
      </c>
      <c r="M12" s="114">
        <f>IFERROR(P13*VLOOKUP(P12,'Part List'!A:G,3,FALSE),0)
+IFERROR(Q13*VLOOKUP(Q12,'Part List'!A:G,3,FALSE),0)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f>
        <v>89.9</v>
      </c>
      <c r="N12" s="114">
        <f>IFERROR(P13*VLOOKUP(P12,'Part List'!A:G,5,FALSE),0)
+IFERROR(Q13*VLOOKUP(Q12,'Part List'!A:G,5,FALSE),0)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f>
        <v>1</v>
      </c>
      <c r="P12" s="114" t="s">
        <v>266</v>
      </c>
      <c r="Q12" s="114" t="s">
        <v>1040</v>
      </c>
      <c r="R12" s="114" t="s">
        <v>1041</v>
      </c>
      <c r="S12" s="114" t="s">
        <v>1019</v>
      </c>
    </row>
    <row r="13" spans="1:24" x14ac:dyDescent="0.4">
      <c r="P13" s="114" t="s">
        <v>1002</v>
      </c>
      <c r="Q13" s="114">
        <v>1</v>
      </c>
      <c r="R13" s="114">
        <v>1</v>
      </c>
      <c r="S13" s="114">
        <v>1</v>
      </c>
    </row>
    <row r="14" spans="1:24" x14ac:dyDescent="0.4">
      <c r="A14" s="33" t="s">
        <v>975</v>
      </c>
      <c r="L14" s="114" t="s">
        <v>1027</v>
      </c>
      <c r="M14" s="114">
        <f>IFERROR(P15*VLOOKUP(P14,'Part List'!A:G,3,FALSE),0)
+IFERROR(Q15*VLOOKUP(Q14,'Part List'!A:G,3,FALSE),0)
+IFERROR(R15*VLOOKUP(R14,'Part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f>
        <v>8.4499999999999993</v>
      </c>
      <c r="N14" s="114">
        <f>IFERROR(P15*VLOOKUP(P14,'Part List'!A:G,5,FALSE),0)
+IFERROR(Q15*VLOOKUP(Q14,'Part List'!A:G,5,FALSE),0)
+IFERROR(R15*VLOOKUP(R14,'Part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f>
        <v>1</v>
      </c>
      <c r="P14" s="114" t="s">
        <v>350</v>
      </c>
      <c r="Q14" s="114" t="s">
        <v>253</v>
      </c>
      <c r="R14" s="114" t="s">
        <v>360</v>
      </c>
      <c r="S14" s="114" t="s">
        <v>268</v>
      </c>
    </row>
    <row r="15" spans="1:24" x14ac:dyDescent="0.4">
      <c r="A15" s="114" t="s">
        <v>965</v>
      </c>
      <c r="B15" s="114" t="s">
        <v>977</v>
      </c>
      <c r="P15" s="114">
        <v>1</v>
      </c>
      <c r="Q15" s="114">
        <v>1</v>
      </c>
      <c r="R15" s="114" t="s">
        <v>1002</v>
      </c>
      <c r="S15" s="114" t="s">
        <v>1002</v>
      </c>
    </row>
    <row r="16" spans="1:24" x14ac:dyDescent="0.4">
      <c r="A16" s="114" t="s">
        <v>978</v>
      </c>
      <c r="B16" s="114" t="s">
        <v>979</v>
      </c>
      <c r="L16" s="114" t="s">
        <v>1032</v>
      </c>
      <c r="M16" s="114">
        <f>IFERROR(P17*VLOOKUP(P16,'Part List'!A:G,3,FALSE),0)
+IFERROR(Q17*VLOOKUP(Q16,'Part List'!A:G,3,FALSE),0)
+IFERROR(R17*VLOOKUP(R16,'Part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f>
        <v>8.4499999999999993</v>
      </c>
      <c r="N16" s="114">
        <f>IFERROR(P17*VLOOKUP(P16,'Part List'!A:G,5,FALSE),0)
+IFERROR(Q17*VLOOKUP(Q16,'Part List'!A:G,5,FALSE),0)
+IFERROR(R17*VLOOKUP(R16,'Part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f>
        <v>1.75</v>
      </c>
      <c r="O16" s="114" t="s">
        <v>1034</v>
      </c>
      <c r="P16" s="114" t="s">
        <v>253</v>
      </c>
      <c r="Q16" s="114" t="s">
        <v>999</v>
      </c>
      <c r="R16" s="114" t="s">
        <v>268</v>
      </c>
      <c r="S16" s="114" t="s">
        <v>269</v>
      </c>
      <c r="T16" s="114" t="s">
        <v>1036</v>
      </c>
      <c r="U16" s="114" t="s">
        <v>239</v>
      </c>
      <c r="V16" s="114" t="s">
        <v>301</v>
      </c>
    </row>
    <row r="17" spans="1:22" x14ac:dyDescent="0.4">
      <c r="P17" s="114">
        <v>1</v>
      </c>
      <c r="R17" s="114" t="s">
        <v>1002</v>
      </c>
      <c r="S17" s="114" t="s">
        <v>1002</v>
      </c>
      <c r="T17" s="114">
        <v>1</v>
      </c>
      <c r="U17" s="114">
        <v>1</v>
      </c>
      <c r="V17" s="114">
        <v>1</v>
      </c>
    </row>
    <row r="18" spans="1:22" x14ac:dyDescent="0.4">
      <c r="A18" s="114" t="s">
        <v>1042</v>
      </c>
      <c r="B18" s="114" t="s">
        <v>1043</v>
      </c>
      <c r="L18" s="114" t="s">
        <v>1021</v>
      </c>
      <c r="M18" s="114">
        <f>IFERROR(P19*VLOOKUP(P18,'Part List'!A:G,3,FALSE),0)
+IFERROR(Q19*VLOOKUP(Q18,'Part List'!A:G,3,FALSE),0)
+IFERROR(R19*VLOOKUP(R18,'Part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f>
        <v>0</v>
      </c>
      <c r="N18" s="114">
        <f>IFERROR(P19*VLOOKUP(P18,'Part List'!A:G,5,FALSE),0)
+IFERROR(Q19*VLOOKUP(Q18,'Part List'!A:G,5,FALSE),0)
+IFERROR(R19*VLOOKUP(R18,'Part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f>
        <v>0</v>
      </c>
      <c r="O18" s="114" t="s">
        <v>1044</v>
      </c>
      <c r="P18" s="114" t="s">
        <v>280</v>
      </c>
    </row>
    <row r="19" spans="1:22" x14ac:dyDescent="0.4">
      <c r="A19" s="114" t="s">
        <v>1028</v>
      </c>
      <c r="B19" s="415" t="s">
        <v>1045</v>
      </c>
      <c r="C19" s="114" t="s">
        <v>639</v>
      </c>
      <c r="P19" s="114">
        <v>1</v>
      </c>
    </row>
    <row r="20" spans="1:22" x14ac:dyDescent="0.4">
      <c r="A20" s="114" t="s">
        <v>1029</v>
      </c>
      <c r="L20" s="114" t="s">
        <v>1022</v>
      </c>
      <c r="M20" s="114">
        <f>IFERROR(P21*VLOOKUP(P20,'Part List'!A:G,3,FALSE),0)
+IFERROR(Q21*VLOOKUP(Q20,'Part List'!A:G,3,FALSE),0)
+IFERROR(R21*VLOOKUP(R20,'Part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f>
        <v>80</v>
      </c>
      <c r="N20" s="114">
        <f>IFERROR(P21*VLOOKUP(P20,'Part List'!A:G,5,FALSE),0)
+IFERROR(Q21*VLOOKUP(Q20,'Part List'!A:G,5,FALSE),0)
+IFERROR(R21*VLOOKUP(R20,'Part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f>
        <v>2</v>
      </c>
      <c r="O20" s="114" t="s">
        <v>1015</v>
      </c>
      <c r="P20" s="114" t="s">
        <v>588</v>
      </c>
    </row>
    <row r="21" spans="1:22" x14ac:dyDescent="0.4">
      <c r="A21" s="114" t="s">
        <v>1030</v>
      </c>
      <c r="P21" s="114">
        <v>1</v>
      </c>
    </row>
    <row r="22" spans="1:22" x14ac:dyDescent="0.4">
      <c r="A22" s="114" t="s">
        <v>1031</v>
      </c>
      <c r="L22" s="114" t="s">
        <v>1023</v>
      </c>
      <c r="M22" s="114">
        <f>IFERROR(P23*VLOOKUP(P22,'Part List'!A:G,3,FALSE),0)
+IFERROR(Q23*VLOOKUP(Q22,'Part List'!A:G,3,FALSE),0)
+IFERROR(R23*VLOOKUP(R22,'Part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f>
        <v>849999.15</v>
      </c>
      <c r="N22" s="114">
        <f>IFERROR(P23*VLOOKUP(P22,'Part List'!A:G,5,FALSE),0)
+IFERROR(Q23*VLOOKUP(Q22,'Part List'!A:G,5,FALSE),0)
+IFERROR(R23*VLOOKUP(R22,'Part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f>
        <v>99999.900000000009</v>
      </c>
      <c r="O22" s="114" t="s">
        <v>1046</v>
      </c>
      <c r="P22" s="114" t="s">
        <v>268</v>
      </c>
    </row>
    <row r="23" spans="1:22" x14ac:dyDescent="0.4">
      <c r="A23" s="114" t="s">
        <v>1027</v>
      </c>
      <c r="B23" s="415" t="s">
        <v>1047</v>
      </c>
      <c r="P23" s="114">
        <v>999999</v>
      </c>
    </row>
    <row r="24" spans="1:22" x14ac:dyDescent="0.4">
      <c r="L24" s="114" t="s">
        <v>1024</v>
      </c>
      <c r="M24" s="114">
        <f>IFERROR(P25*VLOOKUP(P24,'Part List'!A:G,3,FALSE),0)
+IFERROR(Q25*VLOOKUP(Q24,'Part List'!A:G,3,FALSE),0)
+IFERROR(R25*VLOOKUP(R24,'Part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f>
        <v>850010.61</v>
      </c>
      <c r="N24" s="114">
        <f>IFERROR(P25*VLOOKUP(P24,'Part List'!A:G,5,FALSE),0)
+IFERROR(Q25*VLOOKUP(Q24,'Part List'!A:G,5,FALSE),0)
+IFERROR(R25*VLOOKUP(R24,'Part List'!A:G,5,FALSE),0)
+IFERROR(S25*VLOOKUP(S24,'Part List'!A:G,5,FALSE),0)
+IFERROR(T25*VLOOKUP(T24,'Part List'!A:G,5,FALSE),0)
+IFERROR(U25*VLOOKUP(U24,'Part List'!A:G,5,FALSE),0)
+IFERROR(V25*VLOOKUP(V24,'Part List'!A:G,5,FALSE),0)
+IFERROR(W25*VLOOKUP(W24,'Part List'!A:G,5,FALSE),0)
+IFERROR(X25*VLOOKUP(X24,'Part List'!A:G,5,FALSE),0)
+IFERROR(Y25*VLOOKUP(Y24,'Part List'!A:G,5,FALSE),0)
+IFERROR(Z25*VLOOKUP(Z24,'Part List'!A:G,5,FALSE),0)
+IFERROR(AA25*VLOOKUP(AA24,'Part List'!A:G,5,FALSE),0)</f>
        <v>99999.900000000009</v>
      </c>
      <c r="O24" s="114" t="s">
        <v>1048</v>
      </c>
      <c r="P24" s="114" t="s">
        <v>268</v>
      </c>
      <c r="Q24" s="114" t="s">
        <v>1024</v>
      </c>
    </row>
    <row r="25" spans="1:22" x14ac:dyDescent="0.4">
      <c r="A25" s="114" t="s">
        <v>1033</v>
      </c>
      <c r="B25" s="114" t="s">
        <v>676</v>
      </c>
      <c r="C25" s="114" t="s">
        <v>1021</v>
      </c>
      <c r="D25" s="114" t="s">
        <v>1022</v>
      </c>
      <c r="E25" s="114" t="s">
        <v>1023</v>
      </c>
      <c r="F25" s="114" t="s">
        <v>1024</v>
      </c>
      <c r="G25" s="114" t="s">
        <v>990</v>
      </c>
      <c r="P25" s="114">
        <v>999999</v>
      </c>
      <c r="Q25" s="114">
        <v>1</v>
      </c>
    </row>
    <row r="26" spans="1:22" x14ac:dyDescent="0.4">
      <c r="A26" s="114" t="str">
        <f>B2</f>
        <v>Indoor</v>
      </c>
      <c r="B26" s="114">
        <v>1</v>
      </c>
      <c r="C26" s="114">
        <v>1</v>
      </c>
      <c r="D26" s="114">
        <v>1</v>
      </c>
      <c r="E26" s="114">
        <v>1</v>
      </c>
      <c r="F26" s="114">
        <v>1</v>
      </c>
      <c r="G26" s="114">
        <v>1</v>
      </c>
      <c r="L26" s="114" t="s">
        <v>990</v>
      </c>
      <c r="M26" s="114">
        <f>IFERROR(P27*VLOOKUP(P26,'Part List'!A:G,3,FALSE),0)
+IFERROR(Q27*VLOOKUP(Q26,'Part List'!A:G,3,FALSE),0)
+IFERROR(R27*VLOOKUP(R26,'Part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f>
        <v>8500015.1500000004</v>
      </c>
      <c r="N26" s="114">
        <f>IFERROR(P27*VLOOKUP(P26,'Part List'!A:G,5,FALSE),0)
+IFERROR(Q27*VLOOKUP(Q26,'Part List'!A:G,5,FALSE),0)
+IFERROR(R27*VLOOKUP(R26,'Part List'!A:G,5,FALSE),0)
+IFERROR(S27*VLOOKUP(S26,'Part List'!A:G,5,FALSE),0)
+IFERROR(T27*VLOOKUP(T26,'Part List'!A:G,5,FALSE),0)
+IFERROR(U27*VLOOKUP(U26,'Part List'!A:G,5,FALSE),0)
+IFERROR(V27*VLOOKUP(V26,'Part List'!A:G,5,FALSE),0)
+IFERROR(W27*VLOOKUP(W26,'Part List'!A:G,5,FALSE),0)
+IFERROR(X27*VLOOKUP(X26,'Part List'!A:G,5,FALSE),0)
+IFERROR(Y27*VLOOKUP(Y26,'Part List'!A:G,5,FALSE),0)
+IFERROR(Z27*VLOOKUP(Z26,'Part List'!A:G,5,FALSE),0)
+IFERROR(AA27*VLOOKUP(AA26,'Part List'!A:G,5,FALSE),0)</f>
        <v>999999.9</v>
      </c>
      <c r="O26" s="114" t="s">
        <v>1017</v>
      </c>
      <c r="P26" s="114" t="s">
        <v>268</v>
      </c>
      <c r="Q26" s="114" t="s">
        <v>990</v>
      </c>
    </row>
    <row r="27" spans="1:22" x14ac:dyDescent="0.4">
      <c r="A27" s="114" t="str">
        <f t="shared" ref="A27:A35" si="0">B3</f>
        <v>Outdoor</v>
      </c>
      <c r="B27" s="114">
        <v>1</v>
      </c>
      <c r="C27" s="114">
        <v>1</v>
      </c>
      <c r="D27" s="114">
        <v>0</v>
      </c>
      <c r="E27" s="114">
        <v>0</v>
      </c>
      <c r="F27" s="114">
        <v>0</v>
      </c>
      <c r="G27" s="114">
        <v>0</v>
      </c>
      <c r="P27" s="114">
        <v>9999999</v>
      </c>
      <c r="Q27" s="114">
        <v>1</v>
      </c>
    </row>
    <row r="28" spans="1:22" x14ac:dyDescent="0.4">
      <c r="A28" s="114" t="str">
        <f t="shared" si="0"/>
        <v>Split</v>
      </c>
      <c r="B28" s="114">
        <v>1</v>
      </c>
      <c r="C28" s="114">
        <v>1</v>
      </c>
      <c r="D28" s="114">
        <v>1</v>
      </c>
      <c r="E28" s="114">
        <v>1</v>
      </c>
      <c r="F28" s="114">
        <v>1</v>
      </c>
      <c r="G28" s="114">
        <v>1</v>
      </c>
      <c r="L28" s="114" t="s">
        <v>1049</v>
      </c>
      <c r="M28" s="114">
        <f>IFERROR(P29*VLOOKUP(P28,'Part List'!A:G,3,FALSE),0)
+IFERROR(Q29*VLOOKUP(Q28,'Part List'!A:G,3,FALSE),0)
+IFERROR(R29*VLOOKUP(R28,'Part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f>
        <v>89.9</v>
      </c>
      <c r="N28" s="114">
        <f>0
+IFERROR(P29*VLOOKUP(P28,'Part List'!A:G,5,FALSE),0)
+IFERROR(Q29*VLOOKUP(Q28,'Part List'!A:G,5,FALSE),0)
+IFERROR(R29*VLOOKUP(R28,'Part List'!A:G,5,FALSE),0)
+IFERROR(S29*VLOOKUP(S28,'Part List'!A:G,5,FALSE),0)
+IFERROR(T29*VLOOKUP(T28,'Part List'!A:G,5,FALSE),0)
+IFERROR(U29*VLOOKUP(U28,'Part List'!A:G,5,FALSE),0)
+IFERROR(V29*VLOOKUP(V28,'Part List'!A:G,5,FALSE),0)
+IFERROR(W29*VLOOKUP(W28,'Part List'!A:G,5,FALSE),0)
+IFERROR(X29*VLOOKUP(X28,'Part List'!A:G,5,FALSE),0)
+IFERROR(Y29*VLOOKUP(Y28,'Part List'!A:G,5,FALSE),0)
+IFERROR(Z29*VLOOKUP(Z28,'Part List'!A:G,5,FALSE),0)
+IFERROR(AA29*VLOOKUP(AA28,'Part List'!A:G,5,FALSE),0)</f>
        <v>0</v>
      </c>
      <c r="O28" s="114" t="s">
        <v>1050</v>
      </c>
      <c r="P28" s="114" t="s">
        <v>267</v>
      </c>
      <c r="Q28" s="114" t="s">
        <v>1040</v>
      </c>
      <c r="R28" s="114" t="s">
        <v>1041</v>
      </c>
    </row>
    <row r="29" spans="1:22" x14ac:dyDescent="0.4">
      <c r="A29" s="114" t="str">
        <f t="shared" si="0"/>
        <v>PAC</v>
      </c>
      <c r="B29" s="114">
        <v>0</v>
      </c>
      <c r="C29" s="114">
        <v>1</v>
      </c>
      <c r="D29" s="114">
        <v>0</v>
      </c>
      <c r="E29" s="114">
        <v>1</v>
      </c>
      <c r="F29" s="114">
        <v>1</v>
      </c>
      <c r="G29" s="114">
        <v>1</v>
      </c>
      <c r="P29" s="114" t="s">
        <v>1002</v>
      </c>
      <c r="Q29" s="114">
        <v>1</v>
      </c>
      <c r="R29" s="114">
        <v>1</v>
      </c>
    </row>
    <row r="30" spans="1:22" x14ac:dyDescent="0.4">
      <c r="A30" s="114" t="str">
        <f t="shared" si="0"/>
        <v>Controller</v>
      </c>
      <c r="B30" s="114">
        <v>0</v>
      </c>
      <c r="C30" s="114">
        <v>0</v>
      </c>
      <c r="D30" s="114">
        <v>0</v>
      </c>
      <c r="E30" s="114">
        <v>0</v>
      </c>
      <c r="F30" s="114">
        <v>0</v>
      </c>
      <c r="G30" s="114">
        <v>0</v>
      </c>
      <c r="L30" s="114" t="s">
        <v>887</v>
      </c>
      <c r="M30" s="114">
        <v>0</v>
      </c>
      <c r="N30" s="114">
        <v>0</v>
      </c>
      <c r="O30" s="114" t="s">
        <v>1018</v>
      </c>
    </row>
    <row r="31" spans="1:22" x14ac:dyDescent="0.4">
      <c r="A31" s="114" t="str">
        <f t="shared" si="0"/>
        <v>Branch Box</v>
      </c>
      <c r="B31" s="114">
        <v>1</v>
      </c>
      <c r="C31" s="114">
        <v>1</v>
      </c>
      <c r="D31" s="114">
        <v>0</v>
      </c>
      <c r="E31" s="114">
        <v>0</v>
      </c>
      <c r="F31" s="114">
        <v>0</v>
      </c>
      <c r="G31" s="114">
        <v>0</v>
      </c>
      <c r="L31" s="114">
        <v>0</v>
      </c>
      <c r="M31" s="114">
        <v>0</v>
      </c>
      <c r="N31" s="114">
        <v>0</v>
      </c>
    </row>
    <row r="32" spans="1:22" x14ac:dyDescent="0.4">
      <c r="A32" s="114">
        <f t="shared" si="0"/>
        <v>0</v>
      </c>
      <c r="L32" s="114" t="s">
        <v>1029</v>
      </c>
      <c r="M32" s="114">
        <v>0</v>
      </c>
      <c r="N32" s="114">
        <v>0</v>
      </c>
    </row>
    <row r="33" spans="1:3" x14ac:dyDescent="0.4">
      <c r="A33" s="114">
        <f t="shared" si="0"/>
        <v>0</v>
      </c>
    </row>
    <row r="34" spans="1:3" x14ac:dyDescent="0.4">
      <c r="A34" s="114">
        <f t="shared" si="0"/>
        <v>0</v>
      </c>
    </row>
    <row r="35" spans="1:3" x14ac:dyDescent="0.4">
      <c r="A35" s="114">
        <f t="shared" si="0"/>
        <v>0</v>
      </c>
    </row>
    <row r="38" spans="1:3" x14ac:dyDescent="0.4">
      <c r="A38" s="114" t="str">
        <f>A25</f>
        <v>Type</v>
      </c>
    </row>
    <row r="39" spans="1:3" x14ac:dyDescent="0.4">
      <c r="A39" s="114" t="str">
        <f t="shared" ref="A39:A48" si="1">A26</f>
        <v>Indoor</v>
      </c>
      <c r="B39" s="114" t="s">
        <v>1051</v>
      </c>
      <c r="C39" s="114" t="s">
        <v>1052</v>
      </c>
    </row>
    <row r="40" spans="1:3" x14ac:dyDescent="0.4">
      <c r="A40" s="114" t="str">
        <f t="shared" si="1"/>
        <v>Outdoor</v>
      </c>
      <c r="B40" s="114" t="s">
        <v>1270</v>
      </c>
      <c r="C40" s="114" t="s">
        <v>1053</v>
      </c>
    </row>
    <row r="41" spans="1:3" x14ac:dyDescent="0.4">
      <c r="A41" s="114" t="str">
        <f t="shared" si="1"/>
        <v>Split</v>
      </c>
      <c r="B41" s="114" t="s">
        <v>1054</v>
      </c>
      <c r="C41" s="114" t="s">
        <v>1055</v>
      </c>
    </row>
    <row r="42" spans="1:3" x14ac:dyDescent="0.4">
      <c r="A42" s="114" t="str">
        <f t="shared" si="1"/>
        <v>PAC</v>
      </c>
      <c r="B42" s="282" t="s">
        <v>1056</v>
      </c>
      <c r="C42" s="114" t="s">
        <v>1031</v>
      </c>
    </row>
    <row r="43" spans="1:3" x14ac:dyDescent="0.4">
      <c r="A43" s="114" t="str">
        <f t="shared" si="1"/>
        <v>Controller</v>
      </c>
      <c r="B43" s="114" t="s">
        <v>1057</v>
      </c>
      <c r="C43" s="114" t="s">
        <v>1058</v>
      </c>
    </row>
    <row r="44" spans="1:3" x14ac:dyDescent="0.4">
      <c r="A44" s="114" t="str">
        <f t="shared" si="1"/>
        <v>Branch Box</v>
      </c>
      <c r="B44" s="114" t="s">
        <v>1032</v>
      </c>
      <c r="C44" s="114" t="s">
        <v>1059</v>
      </c>
    </row>
    <row r="45" spans="1:3" x14ac:dyDescent="0.4">
      <c r="A45" s="114">
        <f t="shared" si="1"/>
        <v>0</v>
      </c>
    </row>
    <row r="46" spans="1:3" x14ac:dyDescent="0.4">
      <c r="A46" s="114">
        <f t="shared" si="1"/>
        <v>0</v>
      </c>
    </row>
    <row r="47" spans="1:3" x14ac:dyDescent="0.4">
      <c r="A47" s="114">
        <f>A34</f>
        <v>0</v>
      </c>
    </row>
    <row r="48" spans="1:3" x14ac:dyDescent="0.4">
      <c r="A48" s="114">
        <f t="shared" si="1"/>
        <v>0</v>
      </c>
    </row>
  </sheetData>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FDE0A4A7-C883-47C9-8728-498577650292}">
          <x14:formula1>
            <xm:f>'Part List'!$A:$A</xm:f>
          </x14:formula1>
          <xm:sqref>W4 G25 H23:H24 P10:Q10 E25 S12 F23:F24 P18:R18 P20</xm:sqref>
        </x14:dataValidation>
        <x14:dataValidation type="list" allowBlank="1" showInputMessage="1" showErrorMessage="1" xr:uid="{03B17D7B-F606-43F7-9D92-8CCEF58A3C7E}">
          <x14:formula1>
            <xm:f>'D:\Github\IGOC-Workspace\Mech Elec Template\[V2 - XXX -  Mech Elec - Rev A.xlsx]Part List'!#REF!</xm:f>
          </x14:formula1>
          <xm:sqref>W14 Q8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F4F4-6675-4EA7-8AC0-EC558BB69F5F}">
  <dimension ref="A1:AS25"/>
  <sheetViews>
    <sheetView topLeftCell="C1" workbookViewId="0">
      <selection activeCell="M2" sqref="M2:U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2.23046875" style="114" customWidth="1"/>
    <col min="13" max="13" width="19.61328125" style="114" customWidth="1"/>
    <col min="14" max="21" width="12.23046875" style="114" customWidth="1"/>
    <col min="22" max="22" width="12.3828125" style="424" hidden="1" customWidth="1"/>
    <col min="23" max="23" width="12.3828125" style="114" hidden="1" customWidth="1"/>
    <col min="24" max="24" width="16" style="114" hidden="1" customWidth="1"/>
    <col min="25" max="25" width="79.15234375" style="114" hidden="1" customWidth="1"/>
    <col min="26" max="26" width="9.23046875" style="114" hidden="1" customWidth="1"/>
    <col min="27" max="27" width="53.3046875" style="114" hidden="1" customWidth="1"/>
    <col min="28" max="28" width="28.3828125" style="114" hidden="1" customWidth="1"/>
    <col min="29" max="29" width="14.3046875" style="114" hidden="1" customWidth="1"/>
    <col min="30" max="30" width="9.23046875" style="114" hidden="1" customWidth="1"/>
    <col min="31" max="31" width="93.69140625" style="114" hidden="1" customWidth="1"/>
    <col min="32" max="32" width="86.84375" style="114" hidden="1" customWidth="1"/>
    <col min="33" max="33" width="79.61328125" style="114" hidden="1" customWidth="1"/>
    <col min="34" max="44" width="9.23046875" style="114" hidden="1" customWidth="1"/>
    <col min="45" max="48" width="0" style="114" hidden="1" customWidth="1"/>
    <col min="49" max="16384" width="9.23046875" style="114"/>
  </cols>
  <sheetData>
    <row r="1" spans="1:45" s="299" customFormat="1" ht="29.15" x14ac:dyDescent="0.4">
      <c r="A1" s="425" t="s">
        <v>931</v>
      </c>
      <c r="B1" s="425" t="s">
        <v>932</v>
      </c>
      <c r="C1" s="426" t="s">
        <v>933</v>
      </c>
      <c r="D1" s="425" t="s">
        <v>934</v>
      </c>
      <c r="E1" s="425" t="s">
        <v>844</v>
      </c>
      <c r="F1" s="425"/>
      <c r="G1" s="427" t="s">
        <v>980</v>
      </c>
      <c r="H1" s="427" t="s">
        <v>981</v>
      </c>
      <c r="I1" s="425" t="s">
        <v>936</v>
      </c>
      <c r="J1" s="425" t="s">
        <v>937</v>
      </c>
      <c r="K1" s="427" t="s">
        <v>982</v>
      </c>
      <c r="L1" s="427" t="s">
        <v>676</v>
      </c>
      <c r="M1" s="427" t="s">
        <v>1033</v>
      </c>
      <c r="N1" s="427" t="s">
        <v>1294</v>
      </c>
      <c r="O1" s="427" t="s">
        <v>1295</v>
      </c>
      <c r="P1" s="427" t="s">
        <v>1297</v>
      </c>
      <c r="Q1" s="427" t="s">
        <v>1296</v>
      </c>
      <c r="R1" s="427" t="s">
        <v>1298</v>
      </c>
      <c r="S1" s="418" t="s">
        <v>987</v>
      </c>
      <c r="T1" s="418" t="s">
        <v>1024</v>
      </c>
      <c r="U1" s="418" t="s">
        <v>990</v>
      </c>
      <c r="V1" s="428"/>
      <c r="W1" s="299">
        <f>MAX('@VRF'!AN:AN)</f>
        <v>0</v>
      </c>
      <c r="AI1" s="299" t="str">
        <f>N1</f>
        <v>Size</v>
      </c>
      <c r="AJ1" s="299" t="str">
        <f>O1</f>
        <v>Dual Fan [CW AHU]</v>
      </c>
      <c r="AK1" s="299" t="str">
        <f>P1</f>
        <v>Fire Ess. [CW AHU]</v>
      </c>
      <c r="AL1" s="299" t="str">
        <f>Q1</f>
        <v>DOL
[PUMP]</v>
      </c>
      <c r="AM1" s="299" t="str">
        <f>R1</f>
        <v>Precision Cooling</v>
      </c>
      <c r="AN1" s="299" t="str">
        <f t="shared" ref="AN1:AP1" si="0">S1</f>
        <v>Run On Timer</v>
      </c>
      <c r="AO1" s="299" t="str">
        <f t="shared" si="0"/>
        <v>Push Button</v>
      </c>
      <c r="AP1" s="299" t="str">
        <f t="shared" si="0"/>
        <v>Run Status Light</v>
      </c>
    </row>
    <row r="2" spans="1:45" x14ac:dyDescent="0.4">
      <c r="A2" s="429" t="str">
        <f t="shared" ref="A2:A22" si="1">IF(NOT(K2="N/A"),IF(COUNTBLANK(L2:R2)=0,"VALID","INVALID"),"INVALID")</f>
        <v>INVALID</v>
      </c>
      <c r="B2" s="430" t="str">
        <f>_xlfn.CONCAT("CH ",(ROW()-1))</f>
        <v>CH 1</v>
      </c>
      <c r="C2" s="431">
        <f>IFERROR(E2*I2,0)</f>
        <v>0</v>
      </c>
      <c r="D2" s="430">
        <f>IFERROR(IF(ISBLANK(G2),J2*E2,G2*E2),0)</f>
        <v>0</v>
      </c>
      <c r="E2" s="430"/>
      <c r="F2" s="430">
        <f>IF(COUNTBLANK(H2)=0,H2,20)</f>
        <v>20</v>
      </c>
      <c r="G2" s="430"/>
      <c r="H2" s="430"/>
      <c r="I2" s="430" t="e">
        <f>IF(M2="EDH",VLOOKUP("EDH",_Chiller!N:P,2,FALSE),
IF(M2="Chilled Water AHU",VLOOKUP("Chilled Water AHU",_Chiller!N:P,2,FALSE)+VLOOKUP(N2,_Chiller!N:P,2,FALSE)*IF(O2="Yes",2,1),
IF(M2="Chilled Water FCU",VLOOKUP("Chilled Water FCU",_Chiller!N:P,2,FALSE),
IF(M2="Pump",VLOOKUP("Pump",_Chiller!N:P,2,FALSE)+IF(Q2="Yes",0,VLOOKUP(N2,_Chiller!N:P,2,FALSE)),
IF(M2="Air Cooled Chiller",VLOOKUP("Air Cooled Chiller",_Chiller!N:P,2,FALSE),"NOT")))))
+
IF(M2="Pump",F2*(VLOOKUP("2.5mm Twin and Earth",'Part List'!A:G,3,FALSE)+VLOOKUP("Switchboard Cable 1mm",'Part List'!A:G,3,FALSE)),
IF(M2="Air Cooled Chiller",777000,
F2*(VLOOKUP("7030 2 pair TCAS7302P",'Part List'!A:G,3,FALSE)+VLOOKUP("4mm Cable 3 core and Earth",'Part List'!A:G,3,FALSE))))</f>
        <v>#VALUE!</v>
      </c>
      <c r="J2" s="430" t="e">
        <f>IF(M2="EDH",VLOOKUP("EDH",_Chiller!N:P,3,FALSE),
IF(M2="Chilled Water AHU",VLOOKUP("Chilled Water AHU",_Chiller!N:P,3,FALSE)+(VLOOKUP(N2,_Chiller!N:P,3,FALSE)*IF(O2="Yes",2,1)),
IF(M2="Chilled Water FCU",VLOOKUP("Chilled Water FCU",_Chiller!N:P,3,FALSE),
IF(M2="Pump",VLOOKUP("Pump",_Chiller!N:P,3,FALSE)+IF(Q2="Yes",0,VLOOKUP(N2,_Chiller!N:P,3,FALSE)),
IF(M2="Air Cooled Chiller",VLOOKUP("Air Cooled Chiller",_Chiller!N:P,3,FALSE),"NOT")))))
+
IF(M2="Pump",F2*(VLOOKUP("2.5mm Twin and Earth",'Part List'!A:G,5,FALSE)+VLOOKUP("Switchboard Cable 1mm",'Part List'!A:G,5,FALSE)),
IF(M2="Air Cooled Chiller",777000,
F2*(VLOOKUP("7030 2 pair TCAS7302P",'Part List'!A:G,5,FALSE)+VLOOKUP("4mm Cable 3 core and Earth",'Part List'!A:G,5,FALSE))))</f>
        <v>#VALUE!</v>
      </c>
      <c r="K2" s="430" t="b">
        <f>IF(COUNTBLANK(L2:R2)=0,
IF(M2="Chilled Water FCU",VLOOKUP(M2,_Chiller!$A$18:$D$25,3,FALSE),
IF(M2="Chilled Water AHU",_xlfn.CONCAT(VLOOKUP(M2,_Chiller!$A$18:$D$25,3,FALSE), VLOOKUP(N2,_Chiller!$A$25:$B$27,2,FALSE),IF(O2="Yes","D",""),IF(P2="Yes","F","")),
IF(M2="Pump",_xlfn.CONCAT(VLOOKUP(M2,_Chiller!$A$18:$D$25,3,FALSE),IF(Q2="Yes", "D", VLOOKUP(N2,_Chiller!$A$25:$B$27,2,FALSE))),
IF(M2="EDH",VLOOKUP(M2,_Chiller!$A$18:$D$25,3,FALSE),
IF(M2="Air Cooled Chiller",VLOOKUP(M2,_Chiller!$A$18:$D$25,3,FALSE),
"INVALID"))))))</f>
        <v>0</v>
      </c>
      <c r="L2" s="430" t="s">
        <v>678</v>
      </c>
      <c r="M2" s="430"/>
      <c r="N2" s="430"/>
      <c r="O2" s="430"/>
      <c r="P2" s="430"/>
      <c r="Q2" s="430"/>
      <c r="R2" s="430"/>
      <c r="S2" s="430"/>
      <c r="T2" s="430"/>
      <c r="U2" s="430"/>
      <c r="V2" s="432" t="str">
        <f t="shared" ref="V2:V10" si="2">IF(A2="VALID",_xlfn.CONCAT("
",AC2,"
",REPT(" ",8),AD2,"
",REPT(" ",8),AE2,"
",REPT(" ", 8),AF2, "
"),"")</f>
        <v/>
      </c>
      <c r="W2" s="114">
        <f t="shared" ref="W2:W22" si="3" xml:space="preserve"> IF(AND(E2&gt;0,A2="VALID"),W1+1,W1)</f>
        <v>0</v>
      </c>
      <c r="X2" s="114" t="str">
        <f>_xlfn.CONCAT(E2," (",VLOOKUP(E2,[1]Backend!C:D,2,FALSE),")")</f>
        <v xml:space="preserve"> (Zero)</v>
      </c>
      <c r="Y2" s="114" t="e">
        <f>_xlfn.CONCAT(W2," - Electrical power supply and controls to ",X2,VLOOKUP(M2,_Chiller!$A$18:$D$22,2,FALSE))</f>
        <v>#N/A</v>
      </c>
      <c r="Z2" s="114" t="str">
        <f>IF((COUNTIF(AI2:AM2,TRUE) &gt; 0)," with: "," ")</f>
        <v xml:space="preserve"> with: </v>
      </c>
      <c r="AA2" s="114" t="str">
        <f>_xlfn.CONCAT(
IF(AI2,VLOOKUP(N2,_Chiller!$N:$T,4,FALSE),""),
IF(AJ2,VLOOKUP($O$1,_Chiller!$N:$T,4,FALSE),""),
IF(AK2,VLOOKUP($P$1,_Chiller!$N:$T,4,FALSE),""),
IF(AL2,VLOOKUP($Q$1,_Chiller!$N:$T,4,FALSE),""),
IF(AM2,VLOOKUP($R$1,_Chiller!$N:$T,4,FALSE),""))</f>
        <v/>
      </c>
      <c r="AB2" s="114" t="str">
        <f>_xlfn.CONCAT("from ","MSSB", " Power Supply")</f>
        <v>from MSSB Power Supply</v>
      </c>
      <c r="AC2" s="114" t="e">
        <f>_xlfn.CONCAT(Y2,Z2,AA2,AB2)</f>
        <v>#N/A</v>
      </c>
      <c r="AD2" s="114" t="str">
        <f>_xlfn.CONCAT(W2,".1 - This includes supply and install of power and controls.")</f>
        <v>0.1 - This includes supply and install of power and controls.</v>
      </c>
      <c r="AE2" s="114" t="e">
        <f>_xlfn.CONCAT(W2,".2 - Power for system includes: CB and cabling to ",VLOOKUP(M2,_Chiller!$A$18:$D$22,4,FALSE)," from MSSB, and local isolator,")</f>
        <v>#N/A</v>
      </c>
      <c r="AF2" s="114" t="str">
        <f>IF(OR(NOT(AG2=""),COUNTIF(AI2:AP2,TRUE)&gt;0),_xlfn.CONCAT(W2,".3 - Controls for system includes: ",AG2),"")</f>
        <v xml:space="preserve">0.3 - Controls for system includes: { CONTROLS FOR: 0}, { CONTROLS FOR: 0}, </v>
      </c>
      <c r="AG2" s="114" t="str">
        <f>_xlfn.CONCAT(VLOOKUP(M2,_Chiller!AF:AG,2,FALSE),
IF(AI2,VLOOKUP(N2,_Chiller!AF:AG,2,FALSE),""),
IF(AJ2,VLOOKUP($AJ$1,_Chiller!AF:AG,2,FALSE),""),
IF(AK2,VLOOKUP($AK$1,_Chiller!AF:AG,2,FALSE),""),
IF(AL2,VLOOKUP($AL$1,_Chiller!AF:AG,2,FALSE),""),
IF(AM2,VLOOKUP($AM$1,_Chiller!AF:AG,2,FALSE),""),
IF(AN2,VLOOKUP($AN$1,_Chiller!AF:AG,2,FALSE),""),
IF(AO2,VLOOKUP($AO$1,_Chiller!AF:AG,2,FALSE),""),
IF(AP2,VLOOKUP($AP$1,_Chiller!AF:AG,2,FALSE),""),
)</f>
        <v xml:space="preserve">{ CONTROLS FOR: 0}, { CONTROLS FOR: 0}, </v>
      </c>
      <c r="AI2" s="114" t="b">
        <f>IF(OR(M2="Chilled Water FCU",M2="EDH", AND(M2="Pump",AL2=TRUE)),FALSE,TRUE)</f>
        <v>1</v>
      </c>
      <c r="AJ2" s="114" t="b">
        <f>IF(M2="Chilled Water AHU",NOT(O2="No"), FALSE)</f>
        <v>0</v>
      </c>
      <c r="AK2" s="114" t="b">
        <f>IF(M2="Chilled Water AHU",NOT(P2="No"), FALSE)</f>
        <v>0</v>
      </c>
      <c r="AL2" s="114" t="b">
        <f>IF(M2="Pump",NOT(Q2="No"), FALSE)</f>
        <v>0</v>
      </c>
      <c r="AM2" s="114" t="b">
        <v>0</v>
      </c>
      <c r="AN2" s="114" t="b">
        <f>IF($M2="Chilled Water FCU",NOT(S2="No"), FALSE)</f>
        <v>0</v>
      </c>
      <c r="AO2" s="114" t="b">
        <f t="shared" ref="AO2:AP2" si="4">IF($M2="Chilled Water FCU",NOT(T2="No"), FALSE)</f>
        <v>0</v>
      </c>
      <c r="AP2" s="114" t="b">
        <f t="shared" si="4"/>
        <v>0</v>
      </c>
      <c r="AS2" s="114" t="e">
        <f>_xlfn.CONCAT(VLOOKUP(M2,_Chiller!$A$18:$D$22,2,FALSE),Z2,AA2)</f>
        <v>#N/A</v>
      </c>
    </row>
    <row r="3" spans="1:45" x14ac:dyDescent="0.4">
      <c r="A3" s="429" t="str">
        <f t="shared" si="1"/>
        <v>INVALID</v>
      </c>
      <c r="B3" s="430" t="str">
        <f t="shared" ref="B3:B22" si="5">_xlfn.CONCAT("CH ",(ROW()-1))</f>
        <v>CH 2</v>
      </c>
      <c r="C3" s="431">
        <f t="shared" ref="C3:C22" si="6">IFERROR(E3*I3,0)</f>
        <v>0</v>
      </c>
      <c r="D3" s="430">
        <f t="shared" ref="D3:D22" si="7">IFERROR(IF(ISBLANK(G3),J3*E3,G3*E3),0)</f>
        <v>0</v>
      </c>
      <c r="E3" s="430"/>
      <c r="F3" s="430">
        <f t="shared" ref="F3:F22" si="8">IF(COUNTBLANK(H3)=0,H3,20)</f>
        <v>20</v>
      </c>
      <c r="G3" s="430"/>
      <c r="H3" s="430"/>
      <c r="I3" s="430" t="e">
        <f>IF(M3="EDH",VLOOKUP("EDH",_Chiller!N:P,2,FALSE),
IF(M3="Chilled Water AHU",VLOOKUP("Chilled Water AHU",_Chiller!N:P,2,FALSE)+VLOOKUP(N3,_Chiller!N:P,2,FALSE)*IF(O3="Yes",2,1),
IF(M3="Chilled Water FCU",VLOOKUP("Chilled Water FCU",_Chiller!N:P,2,FALSE),
IF(M3="Pump",VLOOKUP("Pump",_Chiller!N:P,2,FALSE)+IF(Q3="Yes",0,VLOOKUP(N3,_Chiller!N:P,2,FALSE)),
IF(M3="Air Cooled Chiller",VLOOKUP("Air Cooled Chiller",_Chiller!N:P,2,FALSE),"NOT")))))
+
IF(M3="Pump",F3*(VLOOKUP("2.5mm Twin and Earth",'Part List'!A:G,3,FALSE)+VLOOKUP("Switchboard Cable 1mm",'Part List'!A:G,3,FALSE)),
IF(M3="Air Cooled Chiller",777000,
F3*(VLOOKUP("7030 2 pair TCAS7302P",'Part List'!A:G,3,FALSE)+VLOOKUP("4mm Cable 3 core and Earth",'Part List'!A:G,3,FALSE))))</f>
        <v>#VALUE!</v>
      </c>
      <c r="J3" s="430" t="e">
        <f>IF(M3="EDH",VLOOKUP("EDH",_Chiller!N:P,3,FALSE),
IF(M3="Chilled Water AHU",VLOOKUP("Chilled Water AHU",_Chiller!N:P,3,FALSE)+(VLOOKUP(N3,_Chiller!N:P,3,FALSE)*IF(O3="Yes",2,1)),
IF(M3="Chilled Water FCU",VLOOKUP("Chilled Water FCU",_Chiller!N:P,3,FALSE),
IF(M3="Pump",VLOOKUP("Pump",_Chiller!N:P,3,FALSE)+IF(Q3="Yes",0,VLOOKUP(N3,_Chiller!N:P,3,FALSE)),
IF(M3="Air Cooled Chiller",VLOOKUP("Air Cooled Chiller",_Chiller!N:P,3,FALSE),"NOT")))))
+
IF(M3="Pump",F3*(VLOOKUP("2.5mm Twin and Earth",'Part List'!A:G,5,FALSE)+VLOOKUP("Switchboard Cable 1mm",'Part List'!A:G,5,FALSE)),
IF(M3="Air Cooled Chiller",777000,
F3*(VLOOKUP("7030 2 pair TCAS7302P",'Part List'!A:G,5,FALSE)+VLOOKUP("4mm Cable 3 core and Earth",'Part List'!A:G,5,FALSE))))</f>
        <v>#VALUE!</v>
      </c>
      <c r="K3" s="430" t="b">
        <f>IF(COUNTBLANK(L3:R3)=0,
IF(M3="Chilled Water FCU",VLOOKUP(M3,_Chiller!$A$18:$D$25,3,FALSE),
IF(M3="Chilled Water AHU",_xlfn.CONCAT(VLOOKUP(M3,_Chiller!$A$18:$D$25,3,FALSE), VLOOKUP(N3,_Chiller!$A$25:$B$27,2,FALSE),IF(O3="Yes","D",""),IF(P3="Yes","F","")),
IF(M3="Pump",_xlfn.CONCAT(VLOOKUP(M3,_Chiller!$A$18:$D$25,3,FALSE),IF(Q3="Yes", "D", VLOOKUP(N3,_Chiller!$A$25:$B$27,2,FALSE))),
IF(M3="EDH",VLOOKUP(M3,_Chiller!$A$18:$D$25,3,FALSE),
IF(M3="Air Cooled Chiller",VLOOKUP(M3,_Chiller!$A$18:$D$25,3,FALSE),
"INVALID"))))))</f>
        <v>0</v>
      </c>
      <c r="L3" s="430" t="s">
        <v>678</v>
      </c>
      <c r="M3" s="430"/>
      <c r="N3" s="430"/>
      <c r="O3" s="430"/>
      <c r="P3" s="430"/>
      <c r="Q3" s="430"/>
      <c r="R3" s="430"/>
      <c r="S3" s="430"/>
      <c r="T3" s="430"/>
      <c r="U3" s="430"/>
      <c r="V3" s="432" t="str">
        <f t="shared" si="2"/>
        <v/>
      </c>
      <c r="W3" s="114">
        <f t="shared" si="3"/>
        <v>0</v>
      </c>
      <c r="X3" s="114" t="str">
        <f>_xlfn.CONCAT(E3," (",VLOOKUP(E3,[1]Backend!C:D,2,FALSE),")")</f>
        <v xml:space="preserve"> (Zero)</v>
      </c>
      <c r="Y3" s="114" t="e">
        <f>_xlfn.CONCAT(W3," - Electrical power supply and controls to ",X3,VLOOKUP(M3,_Chiller!$A$18:$D$22,2,FALSE))</f>
        <v>#N/A</v>
      </c>
      <c r="Z3" s="114" t="str">
        <f t="shared" ref="Z3:Z22" si="9">IF((COUNTIF(AI3:AM3,TRUE) &gt; 0)," with: "," ")</f>
        <v xml:space="preserve"> with: </v>
      </c>
      <c r="AA3" s="114" t="str">
        <f>_xlfn.CONCAT(
IF(AI3,VLOOKUP(N3,_Chiller!$N:$T,4,FALSE),""),
IF(AJ3,VLOOKUP($O$1,_Chiller!$N:$T,4,FALSE),""),
IF(AK3,VLOOKUP($P$1,_Chiller!$N:$T,4,FALSE),""),
IF(AL3,VLOOKUP($Q$1,_Chiller!$N:$T,4,FALSE),""),
IF(AM3,VLOOKUP($R$1,_Chiller!$N:$T,4,FALSE),""))</f>
        <v/>
      </c>
      <c r="AB3" s="114" t="str">
        <f t="shared" ref="AB3:AB22" si="10">_xlfn.CONCAT("from ","MSSB", " Power Supply")</f>
        <v>from MSSB Power Supply</v>
      </c>
      <c r="AC3" s="114" t="e">
        <f>_xlfn.CONCAT(Y3,Z3,AA3,AB3)</f>
        <v>#N/A</v>
      </c>
      <c r="AD3" s="114" t="str">
        <f t="shared" ref="AD3:AD22" si="11">_xlfn.CONCAT(W3,".1 - This includes supply and install of power and controls.")</f>
        <v>0.1 - This includes supply and install of power and controls.</v>
      </c>
      <c r="AE3" s="114" t="e">
        <f>_xlfn.CONCAT(W3,".2 - Power for system includes: CB and cabling to ",VLOOKUP(M3,_Chiller!$A$18:$D$22,4,FALSE)," from MSSB, and local isolator,")</f>
        <v>#N/A</v>
      </c>
      <c r="AF3" s="114" t="str">
        <f>IF(OR(NOT(AG3=""),COUNTIF(AI3:AP3,TRUE)&gt;0),_xlfn.CONCAT(W3,".3 - Controls for system includes: ",AG3),"")</f>
        <v xml:space="preserve">0.3 - Controls for system includes: { CONTROLS FOR: 0}, { CONTROLS FOR: 0}, </v>
      </c>
      <c r="AG3" s="114" t="str">
        <f>_xlfn.CONCAT(VLOOKUP(M3,_Chiller!AF:AG,2,FALSE),
IF(AI3,VLOOKUP(N3,_Chiller!AF:AG,2,FALSE),""),
IF(AJ3,VLOOKUP($AJ$1,_Chiller!AF:AG,2,FALSE),""),
IF(AK3,VLOOKUP($AK$1,_Chiller!AF:AG,2,FALSE),""),
IF(AL3,VLOOKUP($AL$1,_Chiller!AF:AG,2,FALSE),""),
IF(AM3,VLOOKUP($AM$1,_Chiller!AF:AG,2,FALSE),""),
IF(AN3,VLOOKUP($AN$1,_Chiller!AF:AG,2,FALSE),""),
IF(AO3,VLOOKUP($AO$1,_Chiller!AF:AG,2,FALSE),""),
IF(AP3,VLOOKUP($AP$1,_Chiller!AF:AG,2,FALSE),""),
)</f>
        <v xml:space="preserve">{ CONTROLS FOR: 0}, { CONTROLS FOR: 0}, </v>
      </c>
      <c r="AI3" s="114" t="b">
        <f t="shared" ref="AI3:AI22" si="12">IF(OR(M3="Chilled Water FCU",M3="EDH", AND(M3="Pump",AL3=TRUE)),FALSE,TRUE)</f>
        <v>1</v>
      </c>
      <c r="AJ3" s="114" t="b">
        <f t="shared" ref="AJ3:AJ22" si="13">IF(M3="Chilled Water AHU",NOT(O3="No"), FALSE)</f>
        <v>0</v>
      </c>
      <c r="AK3" s="114" t="b">
        <f t="shared" ref="AK3:AK22" si="14">IF(M3="Chilled Water AHU",NOT(P3="No"), FALSE)</f>
        <v>0</v>
      </c>
      <c r="AL3" s="114" t="b">
        <f t="shared" ref="AL3:AL22" si="15">IF(M3="Pump",NOT(Q3="No"), FALSE)</f>
        <v>0</v>
      </c>
      <c r="AM3" s="114" t="b">
        <v>0</v>
      </c>
      <c r="AN3" s="114" t="b">
        <f t="shared" ref="AN3:AN22" si="16">IF($M3="Chilled Water FCU",NOT(S3="No"), FALSE)</f>
        <v>0</v>
      </c>
      <c r="AO3" s="114" t="b">
        <f t="shared" ref="AO3:AO22" si="17">IF($M3="Chilled Water FCU",NOT(T3="No"), FALSE)</f>
        <v>0</v>
      </c>
      <c r="AP3" s="114" t="b">
        <f t="shared" ref="AP3:AP22" si="18">IF($M3="Chilled Water FCU",NOT(U3="No"), FALSE)</f>
        <v>0</v>
      </c>
      <c r="AS3" s="114" t="e">
        <f>_xlfn.CONCAT(VLOOKUP(M3,_Chiller!$A$18:$D$22,2,FALSE),Z3,AA3)</f>
        <v>#N/A</v>
      </c>
    </row>
    <row r="4" spans="1:45" x14ac:dyDescent="0.4">
      <c r="A4" s="429" t="str">
        <f t="shared" si="1"/>
        <v>INVALID</v>
      </c>
      <c r="B4" s="430" t="str">
        <f t="shared" si="5"/>
        <v>CH 3</v>
      </c>
      <c r="C4" s="431">
        <f t="shared" si="6"/>
        <v>0</v>
      </c>
      <c r="D4" s="430">
        <f t="shared" si="7"/>
        <v>0</v>
      </c>
      <c r="E4" s="430"/>
      <c r="F4" s="430">
        <f t="shared" si="8"/>
        <v>20</v>
      </c>
      <c r="G4" s="430"/>
      <c r="H4" s="430"/>
      <c r="I4" s="430" t="e">
        <f>IF(M4="EDH",VLOOKUP("EDH",_Chiller!N:P,2,FALSE),
IF(M4="Chilled Water AHU",VLOOKUP("Chilled Water AHU",_Chiller!N:P,2,FALSE)+VLOOKUP(N4,_Chiller!N:P,2,FALSE)*IF(O4="Yes",2,1),
IF(M4="Chilled Water FCU",VLOOKUP("Chilled Water FCU",_Chiller!N:P,2,FALSE),
IF(M4="Pump",VLOOKUP("Pump",_Chiller!N:P,2,FALSE)+IF(Q4="Yes",0,VLOOKUP(N4,_Chiller!N:P,2,FALSE)),
IF(M4="Air Cooled Chiller",VLOOKUP("Air Cooled Chiller",_Chiller!N:P,2,FALSE),"NOT")))))
+
IF(M4="Pump",F4*(VLOOKUP("2.5mm Twin and Earth",'Part List'!A:G,3,FALSE)+VLOOKUP("Switchboard Cable 1mm",'Part List'!A:G,3,FALSE)),
IF(M4="Air Cooled Chiller",777000,
F4*(VLOOKUP("7030 2 pair TCAS7302P",'Part List'!A:G,3,FALSE)+VLOOKUP("4mm Cable 3 core and Earth",'Part List'!A:G,3,FALSE))))</f>
        <v>#VALUE!</v>
      </c>
      <c r="J4" s="430" t="e">
        <f>IF(M4="EDH",VLOOKUP("EDH",_Chiller!N:P,3,FALSE),
IF(M4="Chilled Water AHU",VLOOKUP("Chilled Water AHU",_Chiller!N:P,3,FALSE)+(VLOOKUP(N4,_Chiller!N:P,3,FALSE)*IF(O4="Yes",2,1)),
IF(M4="Chilled Water FCU",VLOOKUP("Chilled Water FCU",_Chiller!N:P,3,FALSE),
IF(M4="Pump",VLOOKUP("Pump",_Chiller!N:P,3,FALSE)+IF(Q4="Yes",0,VLOOKUP(N4,_Chiller!N:P,3,FALSE)),
IF(M4="Air Cooled Chiller",VLOOKUP("Air Cooled Chiller",_Chiller!N:P,3,FALSE),"NOT")))))
+
IF(M4="Pump",F4*(VLOOKUP("2.5mm Twin and Earth",'Part List'!A:G,5,FALSE)+VLOOKUP("Switchboard Cable 1mm",'Part List'!A:G,5,FALSE)),
IF(M4="Air Cooled Chiller",777000,
F4*(VLOOKUP("7030 2 pair TCAS7302P",'Part List'!A:G,5,FALSE)+VLOOKUP("4mm Cable 3 core and Earth",'Part List'!A:G,5,FALSE))))</f>
        <v>#VALUE!</v>
      </c>
      <c r="K4" s="430" t="b">
        <f>IF(COUNTBLANK(L4:R4)=0,
IF(M4="Chilled Water FCU",VLOOKUP(M4,_Chiller!$A$18:$D$25,3,FALSE),
IF(M4="Chilled Water AHU",_xlfn.CONCAT(VLOOKUP(M4,_Chiller!$A$18:$D$25,3,FALSE), VLOOKUP(N4,_Chiller!$A$25:$B$27,2,FALSE),IF(O4="Yes","D",""),IF(P4="Yes","F","")),
IF(M4="Pump",_xlfn.CONCAT(VLOOKUP(M4,_Chiller!$A$18:$D$25,3,FALSE),IF(Q4="Yes", "D", VLOOKUP(N4,_Chiller!$A$25:$B$27,2,FALSE))),
IF(M4="EDH",VLOOKUP(M4,_Chiller!$A$18:$D$25,3,FALSE),
IF(M4="Air Cooled Chiller",VLOOKUP(M4,_Chiller!$A$18:$D$25,3,FALSE),
"INVALID"))))))</f>
        <v>0</v>
      </c>
      <c r="L4" s="430" t="s">
        <v>678</v>
      </c>
      <c r="M4" s="430"/>
      <c r="N4" s="430"/>
      <c r="O4" s="430"/>
      <c r="P4" s="430"/>
      <c r="Q4" s="430"/>
      <c r="R4" s="430"/>
      <c r="S4" s="430"/>
      <c r="T4" s="430"/>
      <c r="U4" s="430"/>
      <c r="V4" s="432" t="str">
        <f t="shared" si="2"/>
        <v/>
      </c>
      <c r="W4" s="114">
        <f t="shared" si="3"/>
        <v>0</v>
      </c>
      <c r="X4" s="114" t="str">
        <f>_xlfn.CONCAT(E4," (",VLOOKUP(E4,[1]Backend!C:D,2,FALSE),")")</f>
        <v xml:space="preserve"> (Zero)</v>
      </c>
      <c r="Y4" s="114" t="e">
        <f>_xlfn.CONCAT(W4," - Electrical power supply and controls to ",X4,VLOOKUP(M4,_Chiller!$A$18:$D$22,2,FALSE))</f>
        <v>#N/A</v>
      </c>
      <c r="Z4" s="114" t="str">
        <f t="shared" si="9"/>
        <v xml:space="preserve"> with: </v>
      </c>
      <c r="AA4" s="114" t="str">
        <f>_xlfn.CONCAT(
IF(AI4,VLOOKUP(N4,_Chiller!$N:$T,4,FALSE),""),
IF(AJ4,VLOOKUP($O$1,_Chiller!$N:$T,4,FALSE),""),
IF(AK4,VLOOKUP($P$1,_Chiller!$N:$T,4,FALSE),""),
IF(AL4,VLOOKUP($Q$1,_Chiller!$N:$T,4,FALSE),""),
IF(AM4,VLOOKUP($R$1,_Chiller!$N:$T,4,FALSE),""))</f>
        <v/>
      </c>
      <c r="AB4" s="114" t="str">
        <f t="shared" si="10"/>
        <v>from MSSB Power Supply</v>
      </c>
      <c r="AC4" s="114" t="e">
        <f>_xlfn.CONCAT(Y4,Z4,AA4,AB4)</f>
        <v>#N/A</v>
      </c>
      <c r="AD4" s="114" t="str">
        <f t="shared" si="11"/>
        <v>0.1 - This includes supply and install of power and controls.</v>
      </c>
      <c r="AE4" s="114" t="e">
        <f>_xlfn.CONCAT(W4,".2 - Power for system includes: CB and cabling to ",VLOOKUP(M4,_Chiller!$A$18:$D$22,4,FALSE)," from MSSB, and local isolator,")</f>
        <v>#N/A</v>
      </c>
      <c r="AF4" s="114" t="str">
        <f t="shared" ref="AF4:AF22" si="19">IF(OR(NOT(AG4=""),COUNTIF(AI4:AP4,TRUE)&gt;0),_xlfn.CONCAT(W4,".3 - Controls for system includes: ",AG4),"")</f>
        <v xml:space="preserve">0.3 - Controls for system includes: { CONTROLS FOR: 0}, { CONTROLS FOR: 0}, </v>
      </c>
      <c r="AG4" s="114" t="str">
        <f>_xlfn.CONCAT(VLOOKUP(M4,_Chiller!AF:AG,2,FALSE),
IF(AI4,VLOOKUP(N4,_Chiller!AF:AG,2,FALSE),""),
IF(AJ4,VLOOKUP($AJ$1,_Chiller!AF:AG,2,FALSE),""),
IF(AK4,VLOOKUP($AK$1,_Chiller!AF:AG,2,FALSE),""),
IF(AL4,VLOOKUP($AL$1,_Chiller!AF:AG,2,FALSE),""),
IF(AM4,VLOOKUP($AM$1,_Chiller!AF:AG,2,FALSE),""),
IF(AN4,VLOOKUP($AN$1,_Chiller!AF:AG,2,FALSE),""),
IF(AO4,VLOOKUP($AO$1,_Chiller!AF:AG,2,FALSE),""),
IF(AP4,VLOOKUP($AP$1,_Chiller!AF:AG,2,FALSE),""),
)</f>
        <v xml:space="preserve">{ CONTROLS FOR: 0}, { CONTROLS FOR: 0}, </v>
      </c>
      <c r="AI4" s="114" t="b">
        <f t="shared" si="12"/>
        <v>1</v>
      </c>
      <c r="AJ4" s="114" t="b">
        <f t="shared" si="13"/>
        <v>0</v>
      </c>
      <c r="AK4" s="114" t="b">
        <f t="shared" si="14"/>
        <v>0</v>
      </c>
      <c r="AL4" s="114" t="b">
        <f t="shared" si="15"/>
        <v>0</v>
      </c>
      <c r="AM4" s="114" t="b">
        <v>0</v>
      </c>
      <c r="AN4" s="114" t="b">
        <f t="shared" si="16"/>
        <v>0</v>
      </c>
      <c r="AO4" s="114" t="b">
        <f t="shared" si="17"/>
        <v>0</v>
      </c>
      <c r="AP4" s="114" t="b">
        <f t="shared" si="18"/>
        <v>0</v>
      </c>
      <c r="AS4" s="114" t="e">
        <f>_xlfn.CONCAT(VLOOKUP(M4,_Chiller!$A$18:$D$22,2,FALSE),Z4,AA4)</f>
        <v>#N/A</v>
      </c>
    </row>
    <row r="5" spans="1:45" x14ac:dyDescent="0.4">
      <c r="A5" s="429" t="str">
        <f t="shared" si="1"/>
        <v>INVALID</v>
      </c>
      <c r="B5" s="430" t="str">
        <f t="shared" si="5"/>
        <v>CH 4</v>
      </c>
      <c r="C5" s="431">
        <f t="shared" si="6"/>
        <v>0</v>
      </c>
      <c r="D5" s="430">
        <f t="shared" si="7"/>
        <v>0</v>
      </c>
      <c r="E5" s="430"/>
      <c r="F5" s="430">
        <f t="shared" si="8"/>
        <v>20</v>
      </c>
      <c r="G5" s="430"/>
      <c r="H5" s="430"/>
      <c r="I5" s="430" t="e">
        <f>IF(M5="EDH",VLOOKUP("EDH",_Chiller!N:P,2,FALSE),
IF(M5="Chilled Water AHU",VLOOKUP("Chilled Water AHU",_Chiller!N:P,2,FALSE)+VLOOKUP(N5,_Chiller!N:P,2,FALSE)*IF(O5="Yes",2,1),
IF(M5="Chilled Water FCU",VLOOKUP("Chilled Water FCU",_Chiller!N:P,2,FALSE),
IF(M5="Pump",VLOOKUP("Pump",_Chiller!N:P,2,FALSE)+IF(Q5="Yes",0,VLOOKUP(N5,_Chiller!N:P,2,FALSE)),
IF(M5="Air Cooled Chiller",VLOOKUP("Air Cooled Chiller",_Chiller!N:P,2,FALSE),"NOT")))))
+
IF(M5="Pump",F5*(VLOOKUP("2.5mm Twin and Earth",'Part List'!A:G,3,FALSE)+VLOOKUP("Switchboard Cable 1mm",'Part List'!A:G,3,FALSE)),
IF(M5="Air Cooled Chiller",777000,
F5*(VLOOKUP("7030 2 pair TCAS7302P",'Part List'!A:G,3,FALSE)+VLOOKUP("4mm Cable 3 core and Earth",'Part List'!A:G,3,FALSE))))</f>
        <v>#VALUE!</v>
      </c>
      <c r="J5" s="430" t="e">
        <f>IF(M5="EDH",VLOOKUP("EDH",_Chiller!N:P,3,FALSE),
IF(M5="Chilled Water AHU",VLOOKUP("Chilled Water AHU",_Chiller!N:P,3,FALSE)+(VLOOKUP(N5,_Chiller!N:P,3,FALSE)*IF(O5="Yes",2,1)),
IF(M5="Chilled Water FCU",VLOOKUP("Chilled Water FCU",_Chiller!N:P,3,FALSE),
IF(M5="Pump",VLOOKUP("Pump",_Chiller!N:P,3,FALSE)+IF(Q5="Yes",0,VLOOKUP(N5,_Chiller!N:P,3,FALSE)),
IF(M5="Air Cooled Chiller",VLOOKUP("Air Cooled Chiller",_Chiller!N:P,3,FALSE),"NOT")))))
+
IF(M5="Pump",F5*(VLOOKUP("2.5mm Twin and Earth",'Part List'!A:G,5,FALSE)+VLOOKUP("Switchboard Cable 1mm",'Part List'!A:G,5,FALSE)),
IF(M5="Air Cooled Chiller",777000,
F5*(VLOOKUP("7030 2 pair TCAS7302P",'Part List'!A:G,5,FALSE)+VLOOKUP("4mm Cable 3 core and Earth",'Part List'!A:G,5,FALSE))))</f>
        <v>#VALUE!</v>
      </c>
      <c r="K5" s="430" t="b">
        <f>IF(COUNTBLANK(L5:R5)=0,
IF(M5="Chilled Water FCU",VLOOKUP(M5,_Chiller!$A$18:$D$25,3,FALSE),
IF(M5="Chilled Water AHU",_xlfn.CONCAT(VLOOKUP(M5,_Chiller!$A$18:$D$25,3,FALSE), VLOOKUP(N5,_Chiller!$A$25:$B$27,2,FALSE),IF(O5="Yes","D",""),IF(P5="Yes","F","")),
IF(M5="Pump",_xlfn.CONCAT(VLOOKUP(M5,_Chiller!$A$18:$D$25,3,FALSE),IF(Q5="Yes", "D", VLOOKUP(N5,_Chiller!$A$25:$B$27,2,FALSE))),
IF(M5="EDH",VLOOKUP(M5,_Chiller!$A$18:$D$25,3,FALSE),
IF(M5="Air Cooled Chiller",VLOOKUP(M5,_Chiller!$A$18:$D$25,3,FALSE),
"INVALID"))))))</f>
        <v>0</v>
      </c>
      <c r="L5" s="430" t="s">
        <v>678</v>
      </c>
      <c r="M5" s="430"/>
      <c r="N5" s="430"/>
      <c r="O5" s="430"/>
      <c r="P5" s="430"/>
      <c r="Q5" s="430"/>
      <c r="R5" s="430"/>
      <c r="S5" s="430"/>
      <c r="T5" s="430"/>
      <c r="U5" s="430"/>
      <c r="V5" s="432" t="str">
        <f t="shared" si="2"/>
        <v/>
      </c>
      <c r="W5" s="114">
        <f t="shared" si="3"/>
        <v>0</v>
      </c>
      <c r="X5" s="114" t="str">
        <f>_xlfn.CONCAT(E5," (",VLOOKUP(E5,[1]Backend!C:D,2,FALSE),")")</f>
        <v xml:space="preserve"> (Zero)</v>
      </c>
      <c r="Y5" s="114" t="e">
        <f>_xlfn.CONCAT(W5," - Electrical power supply and controls to ",X5,VLOOKUP(M5,_Chiller!$A$18:$D$22,2,FALSE))</f>
        <v>#N/A</v>
      </c>
      <c r="Z5" s="114" t="str">
        <f t="shared" si="9"/>
        <v xml:space="preserve"> with: </v>
      </c>
      <c r="AA5" s="114" t="str">
        <f>_xlfn.CONCAT(
IF(AI5,VLOOKUP(N5,_Chiller!$N:$T,4,FALSE),""),
IF(AJ5,VLOOKUP($O$1,_Chiller!$N:$T,4,FALSE),""),
IF(AK5,VLOOKUP($P$1,_Chiller!$N:$T,4,FALSE),""),
IF(AL5,VLOOKUP($Q$1,_Chiller!$N:$T,4,FALSE),""),
IF(AM5,VLOOKUP($R$1,_Chiller!$N:$T,4,FALSE),""))</f>
        <v/>
      </c>
      <c r="AB5" s="114" t="str">
        <f t="shared" si="10"/>
        <v>from MSSB Power Supply</v>
      </c>
      <c r="AC5" s="114" t="e">
        <f>_xlfn.CONCAT(Y5,Z5,AA5,AB5)</f>
        <v>#N/A</v>
      </c>
      <c r="AD5" s="114" t="str">
        <f t="shared" si="11"/>
        <v>0.1 - This includes supply and install of power and controls.</v>
      </c>
      <c r="AE5" s="114" t="e">
        <f>_xlfn.CONCAT(W5,".2 - Power for system includes: CB and cabling to ",VLOOKUP(M5,_Chiller!$A$18:$D$22,4,FALSE)," from MSSB, and local isolator,")</f>
        <v>#N/A</v>
      </c>
      <c r="AF5" s="114" t="str">
        <f t="shared" si="19"/>
        <v xml:space="preserve">0.3 - Controls for system includes: { CONTROLS FOR: 0}, { CONTROLS FOR: 0}, </v>
      </c>
      <c r="AG5" s="114" t="str">
        <f>_xlfn.CONCAT(VLOOKUP(M5,_Chiller!AF:AG,2,FALSE),
IF(AI5,VLOOKUP(N5,_Chiller!AF:AG,2,FALSE),""),
IF(AJ5,VLOOKUP($AJ$1,_Chiller!AF:AG,2,FALSE),""),
IF(AK5,VLOOKUP($AK$1,_Chiller!AF:AG,2,FALSE),""),
IF(AL5,VLOOKUP($AL$1,_Chiller!AF:AG,2,FALSE),""),
IF(AM5,VLOOKUP($AM$1,_Chiller!AF:AG,2,FALSE),""),
IF(AN5,VLOOKUP($AN$1,_Chiller!AF:AG,2,FALSE),""),
IF(AO5,VLOOKUP($AO$1,_Chiller!AF:AG,2,FALSE),""),
IF(AP5,VLOOKUP($AP$1,_Chiller!AF:AG,2,FALSE),""),
)</f>
        <v xml:space="preserve">{ CONTROLS FOR: 0}, { CONTROLS FOR: 0}, </v>
      </c>
      <c r="AI5" s="114" t="b">
        <f t="shared" si="12"/>
        <v>1</v>
      </c>
      <c r="AJ5" s="114" t="b">
        <f t="shared" si="13"/>
        <v>0</v>
      </c>
      <c r="AK5" s="114" t="b">
        <f t="shared" si="14"/>
        <v>0</v>
      </c>
      <c r="AL5" s="114" t="b">
        <f t="shared" si="15"/>
        <v>0</v>
      </c>
      <c r="AM5" s="114" t="b">
        <v>0</v>
      </c>
      <c r="AN5" s="114" t="b">
        <f t="shared" si="16"/>
        <v>0</v>
      </c>
      <c r="AO5" s="114" t="b">
        <f t="shared" si="17"/>
        <v>0</v>
      </c>
      <c r="AP5" s="114" t="b">
        <f t="shared" si="18"/>
        <v>0</v>
      </c>
      <c r="AS5" s="114" t="e">
        <f>_xlfn.CONCAT(VLOOKUP(M5,_Chiller!$A$18:$D$22,2,FALSE),Z5,AA5)</f>
        <v>#N/A</v>
      </c>
    </row>
    <row r="6" spans="1:45" x14ac:dyDescent="0.4">
      <c r="A6" s="429" t="str">
        <f t="shared" si="1"/>
        <v>INVALID</v>
      </c>
      <c r="B6" s="430" t="str">
        <f t="shared" si="5"/>
        <v>CH 5</v>
      </c>
      <c r="C6" s="431">
        <f t="shared" si="6"/>
        <v>0</v>
      </c>
      <c r="D6" s="430">
        <f t="shared" si="7"/>
        <v>0</v>
      </c>
      <c r="E6" s="430"/>
      <c r="F6" s="430">
        <f t="shared" si="8"/>
        <v>20</v>
      </c>
      <c r="G6" s="430"/>
      <c r="H6" s="430"/>
      <c r="I6" s="430" t="e">
        <f>IF(M6="EDH",VLOOKUP("EDH",_Chiller!N:P,2,FALSE),
IF(M6="Chilled Water AHU",VLOOKUP("Chilled Water AHU",_Chiller!N:P,2,FALSE)+VLOOKUP(N6,_Chiller!N:P,2,FALSE)*IF(O6="Yes",2,1),
IF(M6="Chilled Water FCU",VLOOKUP("Chilled Water FCU",_Chiller!N:P,2,FALSE),
IF(M6="Pump",VLOOKUP("Pump",_Chiller!N:P,2,FALSE)+IF(Q6="Yes",0,VLOOKUP(N6,_Chiller!N:P,2,FALSE)),
IF(M6="Air Cooled Chiller",VLOOKUP("Air Cooled Chiller",_Chiller!N:P,2,FALSE),"NOT")))))
+
IF(M6="Pump",F6*(VLOOKUP("2.5mm Twin and Earth",'Part List'!A:G,3,FALSE)+VLOOKUP("Switchboard Cable 1mm",'Part List'!A:G,3,FALSE)),
IF(M6="Air Cooled Chiller",777000,
F6*(VLOOKUP("7030 2 pair TCAS7302P",'Part List'!A:G,3,FALSE)+VLOOKUP("4mm Cable 3 core and Earth",'Part List'!A:G,3,FALSE))))</f>
        <v>#VALUE!</v>
      </c>
      <c r="J6" s="430" t="e">
        <f>IF(M6="EDH",VLOOKUP("EDH",_Chiller!N:P,3,FALSE),
IF(M6="Chilled Water AHU",VLOOKUP("Chilled Water AHU",_Chiller!N:P,3,FALSE)+(VLOOKUP(N6,_Chiller!N:P,3,FALSE)*IF(O6="Yes",2,1)),
IF(M6="Chilled Water FCU",VLOOKUP("Chilled Water FCU",_Chiller!N:P,3,FALSE),
IF(M6="Pump",VLOOKUP("Pump",_Chiller!N:P,3,FALSE)+IF(Q6="Yes",0,VLOOKUP(N6,_Chiller!N:P,3,FALSE)),
IF(M6="Air Cooled Chiller",VLOOKUP("Air Cooled Chiller",_Chiller!N:P,3,FALSE),"NOT")))))
+
IF(M6="Pump",F6*(VLOOKUP("2.5mm Twin and Earth",'Part List'!A:G,5,FALSE)+VLOOKUP("Switchboard Cable 1mm",'Part List'!A:G,5,FALSE)),
IF(M6="Air Cooled Chiller",777000,
F6*(VLOOKUP("7030 2 pair TCAS7302P",'Part List'!A:G,5,FALSE)+VLOOKUP("4mm Cable 3 core and Earth",'Part List'!A:G,5,FALSE))))</f>
        <v>#VALUE!</v>
      </c>
      <c r="K6" s="430" t="b">
        <f>IF(COUNTBLANK(L6:R6)=0,
IF(M6="Chilled Water FCU",VLOOKUP(M6,_Chiller!$A$18:$D$25,3,FALSE),
IF(M6="Chilled Water AHU",_xlfn.CONCAT(VLOOKUP(M6,_Chiller!$A$18:$D$25,3,FALSE), VLOOKUP(N6,_Chiller!$A$25:$B$27,2,FALSE),IF(O6="Yes","D",""),IF(P6="Yes","F","")),
IF(M6="Pump",_xlfn.CONCAT(VLOOKUP(M6,_Chiller!$A$18:$D$25,3,FALSE),IF(Q6="Yes", "D", VLOOKUP(N6,_Chiller!$A$25:$B$27,2,FALSE))),
IF(M6="EDH",VLOOKUP(M6,_Chiller!$A$18:$D$25,3,FALSE),
IF(M6="Air Cooled Chiller",VLOOKUP(M6,_Chiller!$A$18:$D$25,3,FALSE),
"INVALID"))))))</f>
        <v>0</v>
      </c>
      <c r="L6" s="430" t="s">
        <v>678</v>
      </c>
      <c r="M6" s="430"/>
      <c r="N6" s="430"/>
      <c r="O6" s="430"/>
      <c r="P6" s="430"/>
      <c r="Q6" s="430"/>
      <c r="R6" s="430"/>
      <c r="S6" s="430"/>
      <c r="T6" s="430"/>
      <c r="U6" s="430"/>
      <c r="V6" s="432" t="str">
        <f t="shared" si="2"/>
        <v/>
      </c>
      <c r="W6" s="114">
        <f t="shared" si="3"/>
        <v>0</v>
      </c>
      <c r="X6" s="114" t="str">
        <f>_xlfn.CONCAT(E6," (",VLOOKUP(E6,[1]Backend!C:D,2,FALSE),")")</f>
        <v xml:space="preserve"> (Zero)</v>
      </c>
      <c r="Y6" s="114" t="e">
        <f>_xlfn.CONCAT(W6," - Electrical power supply and controls to ",X6,VLOOKUP(M6,_Chiller!$A$18:$D$22,2,FALSE))</f>
        <v>#N/A</v>
      </c>
      <c r="Z6" s="114" t="str">
        <f t="shared" si="9"/>
        <v xml:space="preserve"> with: </v>
      </c>
      <c r="AA6" s="114" t="str">
        <f>_xlfn.CONCAT(
IF(AI6,VLOOKUP(N6,_Chiller!$N:$T,4,FALSE),""),
IF(AJ6,VLOOKUP($O$1,_Chiller!$N:$T,4,FALSE),""),
IF(AK6,VLOOKUP($P$1,_Chiller!$N:$T,4,FALSE),""),
IF(AL6,VLOOKUP($Q$1,_Chiller!$N:$T,4,FALSE),""),
IF(AM6,VLOOKUP($R$1,_Chiller!$N:$T,4,FALSE),""))</f>
        <v/>
      </c>
      <c r="AB6" s="114" t="str">
        <f t="shared" si="10"/>
        <v>from MSSB Power Supply</v>
      </c>
      <c r="AC6" s="114" t="e">
        <f t="shared" ref="AC6:AC22" si="20">_xlfn.CONCAT(Y6,Z6,AA6,AB6)</f>
        <v>#N/A</v>
      </c>
      <c r="AD6" s="114" t="str">
        <f t="shared" si="11"/>
        <v>0.1 - This includes supply and install of power and controls.</v>
      </c>
      <c r="AE6" s="114" t="e">
        <f>_xlfn.CONCAT(W6,".2 - Power for system includes: CB and cabling to ",VLOOKUP(M6,_Chiller!$A$18:$D$22,4,FALSE)," from MSSB, and local isolator,")</f>
        <v>#N/A</v>
      </c>
      <c r="AF6" s="114" t="str">
        <f t="shared" si="19"/>
        <v xml:space="preserve">0.3 - Controls for system includes: { CONTROLS FOR: 0}, { CONTROLS FOR: 0}, </v>
      </c>
      <c r="AG6" s="114" t="str">
        <f>_xlfn.CONCAT(VLOOKUP(M6,_Chiller!AF:AG,2,FALSE),
IF(AI6,VLOOKUP(N6,_Chiller!AF:AG,2,FALSE),""),
IF(AJ6,VLOOKUP($AJ$1,_Chiller!AF:AG,2,FALSE),""),
IF(AK6,VLOOKUP($AK$1,_Chiller!AF:AG,2,FALSE),""),
IF(AL6,VLOOKUP($AL$1,_Chiller!AF:AG,2,FALSE),""),
IF(AM6,VLOOKUP($AM$1,_Chiller!AF:AG,2,FALSE),""),
IF(AN6,VLOOKUP($AN$1,_Chiller!AF:AG,2,FALSE),""),
IF(AO6,VLOOKUP($AO$1,_Chiller!AF:AG,2,FALSE),""),
IF(AP6,VLOOKUP($AP$1,_Chiller!AF:AG,2,FALSE),""),
)</f>
        <v xml:space="preserve">{ CONTROLS FOR: 0}, { CONTROLS FOR: 0}, </v>
      </c>
      <c r="AI6" s="114" t="b">
        <f t="shared" si="12"/>
        <v>1</v>
      </c>
      <c r="AJ6" s="114" t="b">
        <f t="shared" si="13"/>
        <v>0</v>
      </c>
      <c r="AK6" s="114" t="b">
        <f t="shared" si="14"/>
        <v>0</v>
      </c>
      <c r="AL6" s="114" t="b">
        <f t="shared" si="15"/>
        <v>0</v>
      </c>
      <c r="AM6" s="114" t="b">
        <v>0</v>
      </c>
      <c r="AN6" s="114" t="b">
        <f t="shared" si="16"/>
        <v>0</v>
      </c>
      <c r="AO6" s="114" t="b">
        <f t="shared" si="17"/>
        <v>0</v>
      </c>
      <c r="AP6" s="114" t="b">
        <f t="shared" si="18"/>
        <v>0</v>
      </c>
      <c r="AS6" s="114" t="e">
        <f>_xlfn.CONCAT(VLOOKUP(M6,_Chiller!$A$18:$D$22,2,FALSE),Z6,AA6)</f>
        <v>#N/A</v>
      </c>
    </row>
    <row r="7" spans="1:45" x14ac:dyDescent="0.4">
      <c r="A7" s="429" t="str">
        <f t="shared" si="1"/>
        <v>INVALID</v>
      </c>
      <c r="B7" s="430" t="str">
        <f t="shared" si="5"/>
        <v>CH 6</v>
      </c>
      <c r="C7" s="431">
        <f t="shared" si="6"/>
        <v>0</v>
      </c>
      <c r="D7" s="430">
        <f t="shared" si="7"/>
        <v>0</v>
      </c>
      <c r="E7" s="430"/>
      <c r="F7" s="430">
        <f t="shared" si="8"/>
        <v>20</v>
      </c>
      <c r="G7" s="430"/>
      <c r="H7" s="430"/>
      <c r="I7" s="430" t="e">
        <f>IF(M7="EDH",VLOOKUP("EDH",_Chiller!N:P,2,FALSE),
IF(M7="Chilled Water AHU",VLOOKUP("Chilled Water AHU",_Chiller!N:P,2,FALSE)+VLOOKUP(N7,_Chiller!N:P,2,FALSE)*IF(O7="Yes",2,1),
IF(M7="Chilled Water FCU",VLOOKUP("Chilled Water FCU",_Chiller!N:P,2,FALSE),
IF(M7="Pump",VLOOKUP("Pump",_Chiller!N:P,2,FALSE)+IF(Q7="Yes",0,VLOOKUP(N7,_Chiller!N:P,2,FALSE)),
IF(M7="Air Cooled Chiller",VLOOKUP("Air Cooled Chiller",_Chiller!N:P,2,FALSE),"NOT")))))
+
IF(M7="Pump",F7*(VLOOKUP("2.5mm Twin and Earth",'Part List'!A:G,3,FALSE)+VLOOKUP("Switchboard Cable 1mm",'Part List'!A:G,3,FALSE)),
IF(M7="Air Cooled Chiller",777000,
F7*(VLOOKUP("7030 2 pair TCAS7302P",'Part List'!A:G,3,FALSE)+VLOOKUP("4mm Cable 3 core and Earth",'Part List'!A:G,3,FALSE))))</f>
        <v>#VALUE!</v>
      </c>
      <c r="J7" s="430" t="e">
        <f>IF(M7="EDH",VLOOKUP("EDH",_Chiller!N:P,3,FALSE),
IF(M7="Chilled Water AHU",VLOOKUP("Chilled Water AHU",_Chiller!N:P,3,FALSE)+(VLOOKUP(N7,_Chiller!N:P,3,FALSE)*IF(O7="Yes",2,1)),
IF(M7="Chilled Water FCU",VLOOKUP("Chilled Water FCU",_Chiller!N:P,3,FALSE),
IF(M7="Pump",VLOOKUP("Pump",_Chiller!N:P,3,FALSE)+IF(Q7="Yes",0,VLOOKUP(N7,_Chiller!N:P,3,FALSE)),
IF(M7="Air Cooled Chiller",VLOOKUP("Air Cooled Chiller",_Chiller!N:P,3,FALSE),"NOT")))))
+
IF(M7="Pump",F7*(VLOOKUP("2.5mm Twin and Earth",'Part List'!A:G,5,FALSE)+VLOOKUP("Switchboard Cable 1mm",'Part List'!A:G,5,FALSE)),
IF(M7="Air Cooled Chiller",777000,
F7*(VLOOKUP("7030 2 pair TCAS7302P",'Part List'!A:G,5,FALSE)+VLOOKUP("4mm Cable 3 core and Earth",'Part List'!A:G,5,FALSE))))</f>
        <v>#VALUE!</v>
      </c>
      <c r="K7" s="430" t="b">
        <f>IF(COUNTBLANK(L7:R7)=0,
IF(M7="Chilled Water FCU",VLOOKUP(M7,_Chiller!$A$18:$D$25,3,FALSE),
IF(M7="Chilled Water AHU",_xlfn.CONCAT(VLOOKUP(M7,_Chiller!$A$18:$D$25,3,FALSE), VLOOKUP(N7,_Chiller!$A$25:$B$27,2,FALSE),IF(O7="Yes","D",""),IF(P7="Yes","F","")),
IF(M7="Pump",_xlfn.CONCAT(VLOOKUP(M7,_Chiller!$A$18:$D$25,3,FALSE),IF(Q7="Yes", "D", VLOOKUP(N7,_Chiller!$A$25:$B$27,2,FALSE))),
IF(M7="EDH",VLOOKUP(M7,_Chiller!$A$18:$D$25,3,FALSE),
IF(M7="Air Cooled Chiller",VLOOKUP(M7,_Chiller!$A$18:$D$25,3,FALSE),
"INVALID"))))))</f>
        <v>0</v>
      </c>
      <c r="L7" s="430" t="s">
        <v>678</v>
      </c>
      <c r="M7" s="430"/>
      <c r="N7" s="430"/>
      <c r="O7" s="430"/>
      <c r="P7" s="430"/>
      <c r="Q7" s="430"/>
      <c r="R7" s="430"/>
      <c r="S7" s="430"/>
      <c r="T7" s="430"/>
      <c r="U7" s="430"/>
      <c r="V7" s="432" t="str">
        <f t="shared" si="2"/>
        <v/>
      </c>
      <c r="W7" s="114">
        <f t="shared" si="3"/>
        <v>0</v>
      </c>
      <c r="X7" s="114" t="str">
        <f>_xlfn.CONCAT(E7," (",VLOOKUP(E7,[1]Backend!C:D,2,FALSE),")")</f>
        <v xml:space="preserve"> (Zero)</v>
      </c>
      <c r="Y7" s="114" t="e">
        <f>_xlfn.CONCAT(W7," - Electrical power supply and controls to ",X7,VLOOKUP(M7,_Chiller!$A$18:$D$22,2,FALSE))</f>
        <v>#N/A</v>
      </c>
      <c r="Z7" s="114" t="str">
        <f t="shared" si="9"/>
        <v xml:space="preserve"> with: </v>
      </c>
      <c r="AA7" s="114" t="str">
        <f>_xlfn.CONCAT(
IF(AI7,VLOOKUP(N7,_Chiller!$N:$T,4,FALSE),""),
IF(AJ7,VLOOKUP($O$1,_Chiller!$N:$T,4,FALSE),""),
IF(AK7,VLOOKUP($P$1,_Chiller!$N:$T,4,FALSE),""),
IF(AL7,VLOOKUP($Q$1,_Chiller!$N:$T,4,FALSE),""),
IF(AM7,VLOOKUP($R$1,_Chiller!$N:$T,4,FALSE),""))</f>
        <v/>
      </c>
      <c r="AB7" s="114" t="str">
        <f t="shared" si="10"/>
        <v>from MSSB Power Supply</v>
      </c>
      <c r="AC7" s="114" t="e">
        <f t="shared" si="20"/>
        <v>#N/A</v>
      </c>
      <c r="AD7" s="114" t="str">
        <f t="shared" si="11"/>
        <v>0.1 - This includes supply and install of power and controls.</v>
      </c>
      <c r="AE7" s="114" t="e">
        <f>_xlfn.CONCAT(W7,".2 - Power for system includes: CB and cabling to ",VLOOKUP(M7,_Chiller!$A$18:$D$22,4,FALSE)," from MSSB, and local isolator,")</f>
        <v>#N/A</v>
      </c>
      <c r="AF7" s="114" t="str">
        <f t="shared" si="19"/>
        <v xml:space="preserve">0.3 - Controls for system includes: { CONTROLS FOR: 0}, { CONTROLS FOR: 0}, </v>
      </c>
      <c r="AG7" s="114" t="str">
        <f>_xlfn.CONCAT(VLOOKUP(M7,_Chiller!AF:AG,2,FALSE),
IF(AI7,VLOOKUP(N7,_Chiller!AF:AG,2,FALSE),""),
IF(AJ7,VLOOKUP($AJ$1,_Chiller!AF:AG,2,FALSE),""),
IF(AK7,VLOOKUP($AK$1,_Chiller!AF:AG,2,FALSE),""),
IF(AL7,VLOOKUP($AL$1,_Chiller!AF:AG,2,FALSE),""),
IF(AM7,VLOOKUP($AM$1,_Chiller!AF:AG,2,FALSE),""),
IF(AN7,VLOOKUP($AN$1,_Chiller!AF:AG,2,FALSE),""),
IF(AO7,VLOOKUP($AO$1,_Chiller!AF:AG,2,FALSE),""),
IF(AP7,VLOOKUP($AP$1,_Chiller!AF:AG,2,FALSE),""),
)</f>
        <v xml:space="preserve">{ CONTROLS FOR: 0}, { CONTROLS FOR: 0}, </v>
      </c>
      <c r="AI7" s="114" t="b">
        <f t="shared" si="12"/>
        <v>1</v>
      </c>
      <c r="AJ7" s="114" t="b">
        <f t="shared" si="13"/>
        <v>0</v>
      </c>
      <c r="AK7" s="114" t="b">
        <f t="shared" si="14"/>
        <v>0</v>
      </c>
      <c r="AL7" s="114" t="b">
        <f t="shared" si="15"/>
        <v>0</v>
      </c>
      <c r="AM7" s="114" t="b">
        <v>0</v>
      </c>
      <c r="AN7" s="114" t="b">
        <f t="shared" si="16"/>
        <v>0</v>
      </c>
      <c r="AO7" s="114" t="b">
        <f t="shared" si="17"/>
        <v>0</v>
      </c>
      <c r="AP7" s="114" t="b">
        <f t="shared" si="18"/>
        <v>0</v>
      </c>
      <c r="AS7" s="114" t="e">
        <f>_xlfn.CONCAT(VLOOKUP(M7,_Chiller!$A$18:$D$22,2,FALSE),Z7,AA7)</f>
        <v>#N/A</v>
      </c>
    </row>
    <row r="8" spans="1:45" x14ac:dyDescent="0.4">
      <c r="A8" s="429" t="str">
        <f t="shared" si="1"/>
        <v>INVALID</v>
      </c>
      <c r="B8" s="430" t="str">
        <f t="shared" si="5"/>
        <v>CH 7</v>
      </c>
      <c r="C8" s="431">
        <f t="shared" si="6"/>
        <v>0</v>
      </c>
      <c r="D8" s="430">
        <f t="shared" si="7"/>
        <v>0</v>
      </c>
      <c r="E8" s="430"/>
      <c r="F8" s="430">
        <f t="shared" si="8"/>
        <v>20</v>
      </c>
      <c r="G8" s="430"/>
      <c r="H8" s="430"/>
      <c r="I8" s="430" t="e">
        <f>IF(M8="EDH",VLOOKUP("EDH",_Chiller!N:P,2,FALSE),
IF(M8="Chilled Water AHU",VLOOKUP("Chilled Water AHU",_Chiller!N:P,2,FALSE)+VLOOKUP(N8,_Chiller!N:P,2,FALSE)*IF(O8="Yes",2,1),
IF(M8="Chilled Water FCU",VLOOKUP("Chilled Water FCU",_Chiller!N:P,2,FALSE),
IF(M8="Pump",VLOOKUP("Pump",_Chiller!N:P,2,FALSE)+IF(Q8="Yes",0,VLOOKUP(N8,_Chiller!N:P,2,FALSE)),
IF(M8="Air Cooled Chiller",VLOOKUP("Air Cooled Chiller",_Chiller!N:P,2,FALSE),"NOT")))))
+
IF(M8="Pump",F8*(VLOOKUP("2.5mm Twin and Earth",'Part List'!A:G,3,FALSE)+VLOOKUP("Switchboard Cable 1mm",'Part List'!A:G,3,FALSE)),
IF(M8="Air Cooled Chiller",777000,
F8*(VLOOKUP("7030 2 pair TCAS7302P",'Part List'!A:G,3,FALSE)+VLOOKUP("4mm Cable 3 core and Earth",'Part List'!A:G,3,FALSE))))</f>
        <v>#VALUE!</v>
      </c>
      <c r="J8" s="430" t="e">
        <f>IF(M8="EDH",VLOOKUP("EDH",_Chiller!N:P,3,FALSE),
IF(M8="Chilled Water AHU",VLOOKUP("Chilled Water AHU",_Chiller!N:P,3,FALSE)+(VLOOKUP(N8,_Chiller!N:P,3,FALSE)*IF(O8="Yes",2,1)),
IF(M8="Chilled Water FCU",VLOOKUP("Chilled Water FCU",_Chiller!N:P,3,FALSE),
IF(M8="Pump",VLOOKUP("Pump",_Chiller!N:P,3,FALSE)+IF(Q8="Yes",0,VLOOKUP(N8,_Chiller!N:P,3,FALSE)),
IF(M8="Air Cooled Chiller",VLOOKUP("Air Cooled Chiller",_Chiller!N:P,3,FALSE),"NOT")))))
+
IF(M8="Pump",F8*(VLOOKUP("2.5mm Twin and Earth",'Part List'!A:G,5,FALSE)+VLOOKUP("Switchboard Cable 1mm",'Part List'!A:G,5,FALSE)),
IF(M8="Air Cooled Chiller",777000,
F8*(VLOOKUP("7030 2 pair TCAS7302P",'Part List'!A:G,5,FALSE)+VLOOKUP("4mm Cable 3 core and Earth",'Part List'!A:G,5,FALSE))))</f>
        <v>#VALUE!</v>
      </c>
      <c r="K8" s="430" t="b">
        <f>IF(COUNTBLANK(L8:R8)=0,
IF(M8="Chilled Water FCU",VLOOKUP(M8,_Chiller!$A$18:$D$25,3,FALSE),
IF(M8="Chilled Water AHU",_xlfn.CONCAT(VLOOKUP(M8,_Chiller!$A$18:$D$25,3,FALSE), VLOOKUP(N8,_Chiller!$A$25:$B$27,2,FALSE),IF(O8="Yes","D",""),IF(P8="Yes","F","")),
IF(M8="Pump",_xlfn.CONCAT(VLOOKUP(M8,_Chiller!$A$18:$D$25,3,FALSE),IF(Q8="Yes", "D", VLOOKUP(N8,_Chiller!$A$25:$B$27,2,FALSE))),
IF(M8="EDH",VLOOKUP(M8,_Chiller!$A$18:$D$25,3,FALSE),
IF(M8="Air Cooled Chiller",VLOOKUP(M8,_Chiller!$A$18:$D$25,3,FALSE),
"INVALID"))))))</f>
        <v>0</v>
      </c>
      <c r="L8" s="430" t="s">
        <v>678</v>
      </c>
      <c r="M8" s="430"/>
      <c r="N8" s="430"/>
      <c r="O8" s="430"/>
      <c r="P8" s="430"/>
      <c r="Q8" s="430"/>
      <c r="R8" s="430"/>
      <c r="S8" s="430"/>
      <c r="T8" s="430"/>
      <c r="U8" s="430"/>
      <c r="V8" s="432" t="str">
        <f t="shared" si="2"/>
        <v/>
      </c>
      <c r="W8" s="114">
        <f t="shared" si="3"/>
        <v>0</v>
      </c>
      <c r="X8" s="114" t="str">
        <f>_xlfn.CONCAT(E8," (",VLOOKUP(E8,[1]Backend!C:D,2,FALSE),")")</f>
        <v xml:space="preserve"> (Zero)</v>
      </c>
      <c r="Y8" s="114" t="e">
        <f>_xlfn.CONCAT(W8," - Electrical power supply and controls to ",X8,VLOOKUP(M8,_Chiller!$A$18:$D$22,2,FALSE))</f>
        <v>#N/A</v>
      </c>
      <c r="Z8" s="114" t="str">
        <f t="shared" si="9"/>
        <v xml:space="preserve"> with: </v>
      </c>
      <c r="AA8" s="114" t="str">
        <f>_xlfn.CONCAT(
IF(AI8,VLOOKUP(N8,_Chiller!$N:$T,4,FALSE),""),
IF(AJ8,VLOOKUP($O$1,_Chiller!$N:$T,4,FALSE),""),
IF(AK8,VLOOKUP($P$1,_Chiller!$N:$T,4,FALSE),""),
IF(AL8,VLOOKUP($Q$1,_Chiller!$N:$T,4,FALSE),""),
IF(AM8,VLOOKUP($R$1,_Chiller!$N:$T,4,FALSE),""))</f>
        <v/>
      </c>
      <c r="AB8" s="114" t="str">
        <f t="shared" si="10"/>
        <v>from MSSB Power Supply</v>
      </c>
      <c r="AC8" s="114" t="e">
        <f t="shared" si="20"/>
        <v>#N/A</v>
      </c>
      <c r="AD8" s="114" t="str">
        <f t="shared" si="11"/>
        <v>0.1 - This includes supply and install of power and controls.</v>
      </c>
      <c r="AE8" s="114" t="e">
        <f>_xlfn.CONCAT(W8,".2 - Power for system includes: CB and cabling to ",VLOOKUP(M8,_Chiller!$A$18:$D$22,4,FALSE)," from MSSB, and local isolator,")</f>
        <v>#N/A</v>
      </c>
      <c r="AF8" s="114" t="str">
        <f t="shared" si="19"/>
        <v xml:space="preserve">0.3 - Controls for system includes: { CONTROLS FOR: 0}, { CONTROLS FOR: 0}, </v>
      </c>
      <c r="AG8" s="114" t="str">
        <f>_xlfn.CONCAT(VLOOKUP(M8,_Chiller!AF:AG,2,FALSE),
IF(AI8,VLOOKUP(N8,_Chiller!AF:AG,2,FALSE),""),
IF(AJ8,VLOOKUP($AJ$1,_Chiller!AF:AG,2,FALSE),""),
IF(AK8,VLOOKUP($AK$1,_Chiller!AF:AG,2,FALSE),""),
IF(AL8,VLOOKUP($AL$1,_Chiller!AF:AG,2,FALSE),""),
IF(AM8,VLOOKUP($AM$1,_Chiller!AF:AG,2,FALSE),""),
IF(AN8,VLOOKUP($AN$1,_Chiller!AF:AG,2,FALSE),""),
IF(AO8,VLOOKUP($AO$1,_Chiller!AF:AG,2,FALSE),""),
IF(AP8,VLOOKUP($AP$1,_Chiller!AF:AG,2,FALSE),""),
)</f>
        <v xml:space="preserve">{ CONTROLS FOR: 0}, { CONTROLS FOR: 0}, </v>
      </c>
      <c r="AI8" s="114" t="b">
        <f t="shared" si="12"/>
        <v>1</v>
      </c>
      <c r="AJ8" s="114" t="b">
        <f t="shared" si="13"/>
        <v>0</v>
      </c>
      <c r="AK8" s="114" t="b">
        <f t="shared" si="14"/>
        <v>0</v>
      </c>
      <c r="AL8" s="114" t="b">
        <f t="shared" si="15"/>
        <v>0</v>
      </c>
      <c r="AM8" s="114" t="b">
        <v>0</v>
      </c>
      <c r="AN8" s="114" t="b">
        <f t="shared" si="16"/>
        <v>0</v>
      </c>
      <c r="AO8" s="114" t="b">
        <f t="shared" si="17"/>
        <v>0</v>
      </c>
      <c r="AP8" s="114" t="b">
        <f t="shared" si="18"/>
        <v>0</v>
      </c>
      <c r="AS8" s="114" t="e">
        <f>_xlfn.CONCAT(VLOOKUP(M8,_Chiller!$A$18:$D$22,2,FALSE),Z8,AA8)</f>
        <v>#N/A</v>
      </c>
    </row>
    <row r="9" spans="1:45" x14ac:dyDescent="0.4">
      <c r="A9" s="429" t="str">
        <f t="shared" si="1"/>
        <v>INVALID</v>
      </c>
      <c r="B9" s="430" t="str">
        <f t="shared" si="5"/>
        <v>CH 8</v>
      </c>
      <c r="C9" s="431">
        <f t="shared" si="6"/>
        <v>0</v>
      </c>
      <c r="D9" s="430">
        <f t="shared" si="7"/>
        <v>0</v>
      </c>
      <c r="E9" s="430"/>
      <c r="F9" s="430">
        <f t="shared" si="8"/>
        <v>20</v>
      </c>
      <c r="G9" s="430"/>
      <c r="H9" s="430"/>
      <c r="I9" s="430" t="e">
        <f>IF(M9="EDH",VLOOKUP("EDH",_Chiller!N:P,2,FALSE),
IF(M9="Chilled Water AHU",VLOOKUP("Chilled Water AHU",_Chiller!N:P,2,FALSE)+VLOOKUP(N9,_Chiller!N:P,2,FALSE)*IF(O9="Yes",2,1),
IF(M9="Chilled Water FCU",VLOOKUP("Chilled Water FCU",_Chiller!N:P,2,FALSE),
IF(M9="Pump",VLOOKUP("Pump",_Chiller!N:P,2,FALSE)+IF(Q9="Yes",0,VLOOKUP(N9,_Chiller!N:P,2,FALSE)),
IF(M9="Air Cooled Chiller",VLOOKUP("Air Cooled Chiller",_Chiller!N:P,2,FALSE),"NOT")))))
+
IF(M9="Pump",F9*(VLOOKUP("2.5mm Twin and Earth",'Part List'!A:G,3,FALSE)+VLOOKUP("Switchboard Cable 1mm",'Part List'!A:G,3,FALSE)),
IF(M9="Air Cooled Chiller",777000,
F9*(VLOOKUP("7030 2 pair TCAS7302P",'Part List'!A:G,3,FALSE)+VLOOKUP("4mm Cable 3 core and Earth",'Part List'!A:G,3,FALSE))))</f>
        <v>#VALUE!</v>
      </c>
      <c r="J9" s="430" t="e">
        <f>IF(M9="EDH",VLOOKUP("EDH",_Chiller!N:P,3,FALSE),
IF(M9="Chilled Water AHU",VLOOKUP("Chilled Water AHU",_Chiller!N:P,3,FALSE)+(VLOOKUP(N9,_Chiller!N:P,3,FALSE)*IF(O9="Yes",2,1)),
IF(M9="Chilled Water FCU",VLOOKUP("Chilled Water FCU",_Chiller!N:P,3,FALSE),
IF(M9="Pump",VLOOKUP("Pump",_Chiller!N:P,3,FALSE)+IF(Q9="Yes",0,VLOOKUP(N9,_Chiller!N:P,3,FALSE)),
IF(M9="Air Cooled Chiller",VLOOKUP("Air Cooled Chiller",_Chiller!N:P,3,FALSE),"NOT")))))
+
IF(M9="Pump",F9*(VLOOKUP("2.5mm Twin and Earth",'Part List'!A:G,5,FALSE)+VLOOKUP("Switchboard Cable 1mm",'Part List'!A:G,5,FALSE)),
IF(M9="Air Cooled Chiller",777000,
F9*(VLOOKUP("7030 2 pair TCAS7302P",'Part List'!A:G,5,FALSE)+VLOOKUP("4mm Cable 3 core and Earth",'Part List'!A:G,5,FALSE))))</f>
        <v>#VALUE!</v>
      </c>
      <c r="K9" s="430" t="b">
        <f>IF(COUNTBLANK(L9:R9)=0,
IF(M9="Chilled Water FCU",VLOOKUP(M9,_Chiller!$A$18:$D$25,3,FALSE),
IF(M9="Chilled Water AHU",_xlfn.CONCAT(VLOOKUP(M9,_Chiller!$A$18:$D$25,3,FALSE), VLOOKUP(N9,_Chiller!$A$25:$B$27,2,FALSE),IF(O9="Yes","D",""),IF(P9="Yes","F","")),
IF(M9="Pump",_xlfn.CONCAT(VLOOKUP(M9,_Chiller!$A$18:$D$25,3,FALSE),IF(Q9="Yes", "D", VLOOKUP(N9,_Chiller!$A$25:$B$27,2,FALSE))),
IF(M9="EDH",VLOOKUP(M9,_Chiller!$A$18:$D$25,3,FALSE),
IF(M9="Air Cooled Chiller",VLOOKUP(M9,_Chiller!$A$18:$D$25,3,FALSE),
"INVALID"))))))</f>
        <v>0</v>
      </c>
      <c r="L9" s="430" t="s">
        <v>678</v>
      </c>
      <c r="M9" s="430"/>
      <c r="N9" s="430"/>
      <c r="O9" s="430"/>
      <c r="P9" s="430"/>
      <c r="Q9" s="430"/>
      <c r="R9" s="430"/>
      <c r="S9" s="430"/>
      <c r="T9" s="430"/>
      <c r="U9" s="430"/>
      <c r="V9" s="432" t="str">
        <f t="shared" si="2"/>
        <v/>
      </c>
      <c r="W9" s="114">
        <f t="shared" si="3"/>
        <v>0</v>
      </c>
      <c r="X9" s="114" t="str">
        <f>_xlfn.CONCAT(E9," (",VLOOKUP(E9,[1]Backend!C:D,2,FALSE),")")</f>
        <v xml:space="preserve"> (Zero)</v>
      </c>
      <c r="Y9" s="114" t="e">
        <f>_xlfn.CONCAT(W9," - Electrical power supply and controls to ",X9,VLOOKUP(M9,_Chiller!$A$18:$D$22,2,FALSE))</f>
        <v>#N/A</v>
      </c>
      <c r="Z9" s="114" t="str">
        <f t="shared" si="9"/>
        <v xml:space="preserve"> with: </v>
      </c>
      <c r="AA9" s="114" t="str">
        <f>_xlfn.CONCAT(
IF(AI9,VLOOKUP(N9,_Chiller!$N:$T,4,FALSE),""),
IF(AJ9,VLOOKUP($O$1,_Chiller!$N:$T,4,FALSE),""),
IF(AK9,VLOOKUP($P$1,_Chiller!$N:$T,4,FALSE),""),
IF(AL9,VLOOKUP($Q$1,_Chiller!$N:$T,4,FALSE),""),
IF(AM9,VLOOKUP($R$1,_Chiller!$N:$T,4,FALSE),""))</f>
        <v/>
      </c>
      <c r="AB9" s="114" t="str">
        <f t="shared" si="10"/>
        <v>from MSSB Power Supply</v>
      </c>
      <c r="AC9" s="114" t="e">
        <f t="shared" si="20"/>
        <v>#N/A</v>
      </c>
      <c r="AD9" s="114" t="str">
        <f t="shared" si="11"/>
        <v>0.1 - This includes supply and install of power and controls.</v>
      </c>
      <c r="AE9" s="114" t="e">
        <f>_xlfn.CONCAT(W9,".2 - Power for system includes: CB and cabling to ",VLOOKUP(M9,_Chiller!$A$18:$D$22,4,FALSE)," from MSSB, and local isolator,")</f>
        <v>#N/A</v>
      </c>
      <c r="AF9" s="114" t="str">
        <f t="shared" si="19"/>
        <v xml:space="preserve">0.3 - Controls for system includes: { CONTROLS FOR: 0}, { CONTROLS FOR: 0}, </v>
      </c>
      <c r="AG9" s="114" t="str">
        <f>_xlfn.CONCAT(VLOOKUP(M9,_Chiller!AF:AG,2,FALSE),
IF(AI9,VLOOKUP(N9,_Chiller!AF:AG,2,FALSE),""),
IF(AJ9,VLOOKUP($AJ$1,_Chiller!AF:AG,2,FALSE),""),
IF(AK9,VLOOKUP($AK$1,_Chiller!AF:AG,2,FALSE),""),
IF(AL9,VLOOKUP($AL$1,_Chiller!AF:AG,2,FALSE),""),
IF(AM9,VLOOKUP($AM$1,_Chiller!AF:AG,2,FALSE),""),
IF(AN9,VLOOKUP($AN$1,_Chiller!AF:AG,2,FALSE),""),
IF(AO9,VLOOKUP($AO$1,_Chiller!AF:AG,2,FALSE),""),
IF(AP9,VLOOKUP($AP$1,_Chiller!AF:AG,2,FALSE),""),
)</f>
        <v xml:space="preserve">{ CONTROLS FOR: 0}, { CONTROLS FOR: 0}, </v>
      </c>
      <c r="AI9" s="114" t="b">
        <f t="shared" si="12"/>
        <v>1</v>
      </c>
      <c r="AJ9" s="114" t="b">
        <f t="shared" si="13"/>
        <v>0</v>
      </c>
      <c r="AK9" s="114" t="b">
        <f t="shared" si="14"/>
        <v>0</v>
      </c>
      <c r="AL9" s="114" t="b">
        <f t="shared" si="15"/>
        <v>0</v>
      </c>
      <c r="AM9" s="114" t="b">
        <v>0</v>
      </c>
      <c r="AN9" s="114" t="b">
        <f t="shared" si="16"/>
        <v>0</v>
      </c>
      <c r="AO9" s="114" t="b">
        <f t="shared" si="17"/>
        <v>0</v>
      </c>
      <c r="AP9" s="114" t="b">
        <f t="shared" si="18"/>
        <v>0</v>
      </c>
      <c r="AS9" s="114" t="e">
        <f>_xlfn.CONCAT(VLOOKUP(M9,_Chiller!$A$18:$D$22,2,FALSE),Z9,AA9)</f>
        <v>#N/A</v>
      </c>
    </row>
    <row r="10" spans="1:45" x14ac:dyDescent="0.4">
      <c r="A10" s="429" t="str">
        <f t="shared" si="1"/>
        <v>INVALID</v>
      </c>
      <c r="B10" s="430" t="str">
        <f t="shared" si="5"/>
        <v>CH 9</v>
      </c>
      <c r="C10" s="431">
        <f t="shared" si="6"/>
        <v>0</v>
      </c>
      <c r="D10" s="430">
        <f t="shared" si="7"/>
        <v>0</v>
      </c>
      <c r="E10" s="430"/>
      <c r="F10" s="430">
        <f t="shared" si="8"/>
        <v>20</v>
      </c>
      <c r="G10" s="430"/>
      <c r="H10" s="430"/>
      <c r="I10" s="430" t="e">
        <f>IF(M10="EDH",VLOOKUP("EDH",_Chiller!N:P,2,FALSE),
IF(M10="Chilled Water AHU",VLOOKUP("Chilled Water AHU",_Chiller!N:P,2,FALSE)+VLOOKUP(N10,_Chiller!N:P,2,FALSE)*IF(O10="Yes",2,1),
IF(M10="Chilled Water FCU",VLOOKUP("Chilled Water FCU",_Chiller!N:P,2,FALSE),
IF(M10="Pump",VLOOKUP("Pump",_Chiller!N:P,2,FALSE)+IF(Q10="Yes",0,VLOOKUP(N10,_Chiller!N:P,2,FALSE)),
IF(M10="Air Cooled Chiller",VLOOKUP("Air Cooled Chiller",_Chiller!N:P,2,FALSE),"NOT")))))
+
IF(M10="Pump",F10*(VLOOKUP("2.5mm Twin and Earth",'Part List'!A:G,3,FALSE)+VLOOKUP("Switchboard Cable 1mm",'Part List'!A:G,3,FALSE)),
IF(M10="Air Cooled Chiller",777000,
F10*(VLOOKUP("7030 2 pair TCAS7302P",'Part List'!A:G,3,FALSE)+VLOOKUP("4mm Cable 3 core and Earth",'Part List'!A:G,3,FALSE))))</f>
        <v>#VALUE!</v>
      </c>
      <c r="J10" s="430" t="e">
        <f>IF(M10="EDH",VLOOKUP("EDH",_Chiller!N:P,3,FALSE),
IF(M10="Chilled Water AHU",VLOOKUP("Chilled Water AHU",_Chiller!N:P,3,FALSE)+(VLOOKUP(N10,_Chiller!N:P,3,FALSE)*IF(O10="Yes",2,1)),
IF(M10="Chilled Water FCU",VLOOKUP("Chilled Water FCU",_Chiller!N:P,3,FALSE),
IF(M10="Pump",VLOOKUP("Pump",_Chiller!N:P,3,FALSE)+IF(Q10="Yes",0,VLOOKUP(N10,_Chiller!N:P,3,FALSE)),
IF(M10="Air Cooled Chiller",VLOOKUP("Air Cooled Chiller",_Chiller!N:P,3,FALSE),"NOT")))))
+
IF(M10="Pump",F10*(VLOOKUP("2.5mm Twin and Earth",'Part List'!A:G,5,FALSE)+VLOOKUP("Switchboard Cable 1mm",'Part List'!A:G,5,FALSE)),
IF(M10="Air Cooled Chiller",777000,
F10*(VLOOKUP("7030 2 pair TCAS7302P",'Part List'!A:G,5,FALSE)+VLOOKUP("4mm Cable 3 core and Earth",'Part List'!A:G,5,FALSE))))</f>
        <v>#VALUE!</v>
      </c>
      <c r="K10" s="430" t="b">
        <f>IF(COUNTBLANK(L10:R10)=0,
IF(M10="Chilled Water FCU",VLOOKUP(M10,_Chiller!$A$18:$D$25,3,FALSE),
IF(M10="Chilled Water AHU",_xlfn.CONCAT(VLOOKUP(M10,_Chiller!$A$18:$D$25,3,FALSE), VLOOKUP(N10,_Chiller!$A$25:$B$27,2,FALSE),IF(O10="Yes","D",""),IF(P10="Yes","F","")),
IF(M10="Pump",_xlfn.CONCAT(VLOOKUP(M10,_Chiller!$A$18:$D$25,3,FALSE),IF(Q10="Yes", "D", VLOOKUP(N10,_Chiller!$A$25:$B$27,2,FALSE))),
IF(M10="EDH",VLOOKUP(M10,_Chiller!$A$18:$D$25,3,FALSE),
IF(M10="Air Cooled Chiller",VLOOKUP(M10,_Chiller!$A$18:$D$25,3,FALSE),
"INVALID"))))))</f>
        <v>0</v>
      </c>
      <c r="L10" s="430" t="s">
        <v>678</v>
      </c>
      <c r="M10" s="430"/>
      <c r="N10" s="430"/>
      <c r="O10" s="430"/>
      <c r="P10" s="430"/>
      <c r="Q10" s="430"/>
      <c r="R10" s="430"/>
      <c r="S10" s="430"/>
      <c r="T10" s="430"/>
      <c r="U10" s="430"/>
      <c r="V10" s="432" t="str">
        <f t="shared" si="2"/>
        <v/>
      </c>
      <c r="W10" s="114">
        <f t="shared" si="3"/>
        <v>0</v>
      </c>
      <c r="X10" s="114" t="str">
        <f>_xlfn.CONCAT(E10," (",VLOOKUP(E10,[1]Backend!C:D,2,FALSE),")")</f>
        <v xml:space="preserve"> (Zero)</v>
      </c>
      <c r="Y10" s="114" t="e">
        <f>_xlfn.CONCAT(W10," - Electrical power supply and controls to ",X10,VLOOKUP(M10,_Chiller!$A$18:$D$22,2,FALSE))</f>
        <v>#N/A</v>
      </c>
      <c r="Z10" s="114" t="str">
        <f t="shared" si="9"/>
        <v xml:space="preserve"> with: </v>
      </c>
      <c r="AA10" s="114" t="str">
        <f>_xlfn.CONCAT(
IF(AI10,VLOOKUP(N10,_Chiller!$N:$T,4,FALSE),""),
IF(AJ10,VLOOKUP($O$1,_Chiller!$N:$T,4,FALSE),""),
IF(AK10,VLOOKUP($P$1,_Chiller!$N:$T,4,FALSE),""),
IF(AL10,VLOOKUP($Q$1,_Chiller!$N:$T,4,FALSE),""),
IF(AM10,VLOOKUP($R$1,_Chiller!$N:$T,4,FALSE),""))</f>
        <v/>
      </c>
      <c r="AB10" s="114" t="str">
        <f t="shared" si="10"/>
        <v>from MSSB Power Supply</v>
      </c>
      <c r="AC10" s="114" t="e">
        <f t="shared" si="20"/>
        <v>#N/A</v>
      </c>
      <c r="AD10" s="114" t="str">
        <f t="shared" si="11"/>
        <v>0.1 - This includes supply and install of power and controls.</v>
      </c>
      <c r="AE10" s="114" t="e">
        <f>_xlfn.CONCAT(W10,".2 - Power for system includes: CB and cabling to ",VLOOKUP(M10,_Chiller!$A$18:$D$22,4,FALSE)," from MSSB, and local isolator,")</f>
        <v>#N/A</v>
      </c>
      <c r="AF10" s="114" t="str">
        <f t="shared" si="19"/>
        <v xml:space="preserve">0.3 - Controls for system includes: { CONTROLS FOR: 0}, { CONTROLS FOR: 0}, </v>
      </c>
      <c r="AG10" s="114" t="str">
        <f>_xlfn.CONCAT(VLOOKUP(M10,_Chiller!AF:AG,2,FALSE),
IF(AI10,VLOOKUP(N10,_Chiller!AF:AG,2,FALSE),""),
IF(AJ10,VLOOKUP($AJ$1,_Chiller!AF:AG,2,FALSE),""),
IF(AK10,VLOOKUP($AK$1,_Chiller!AF:AG,2,FALSE),""),
IF(AL10,VLOOKUP($AL$1,_Chiller!AF:AG,2,FALSE),""),
IF(AM10,VLOOKUP($AM$1,_Chiller!AF:AG,2,FALSE),""),
IF(AN10,VLOOKUP($AN$1,_Chiller!AF:AG,2,FALSE),""),
IF(AO10,VLOOKUP($AO$1,_Chiller!AF:AG,2,FALSE),""),
IF(AP10,VLOOKUP($AP$1,_Chiller!AF:AG,2,FALSE),""),
)</f>
        <v xml:space="preserve">{ CONTROLS FOR: 0}, { CONTROLS FOR: 0}, </v>
      </c>
      <c r="AI10" s="114" t="b">
        <f t="shared" si="12"/>
        <v>1</v>
      </c>
      <c r="AJ10" s="114" t="b">
        <f t="shared" si="13"/>
        <v>0</v>
      </c>
      <c r="AK10" s="114" t="b">
        <f t="shared" si="14"/>
        <v>0</v>
      </c>
      <c r="AL10" s="114" t="b">
        <f t="shared" si="15"/>
        <v>0</v>
      </c>
      <c r="AM10" s="114" t="b">
        <v>0</v>
      </c>
      <c r="AN10" s="114" t="b">
        <f t="shared" si="16"/>
        <v>0</v>
      </c>
      <c r="AO10" s="114" t="b">
        <f t="shared" si="17"/>
        <v>0</v>
      </c>
      <c r="AP10" s="114" t="b">
        <f t="shared" si="18"/>
        <v>0</v>
      </c>
      <c r="AS10" s="114" t="e">
        <f>_xlfn.CONCAT(VLOOKUP(M10,_Chiller!$A$18:$D$22,2,FALSE),Z10,AA10)</f>
        <v>#N/A</v>
      </c>
    </row>
    <row r="11" spans="1:45" x14ac:dyDescent="0.4">
      <c r="A11" s="429" t="str">
        <f t="shared" si="1"/>
        <v>INVALID</v>
      </c>
      <c r="B11" s="430" t="str">
        <f t="shared" si="5"/>
        <v>CH 10</v>
      </c>
      <c r="C11" s="431">
        <f t="shared" si="6"/>
        <v>0</v>
      </c>
      <c r="D11" s="430">
        <f t="shared" si="7"/>
        <v>0</v>
      </c>
      <c r="E11" s="430"/>
      <c r="F11" s="430">
        <f t="shared" si="8"/>
        <v>20</v>
      </c>
      <c r="G11" s="430"/>
      <c r="H11" s="430"/>
      <c r="I11" s="430" t="e">
        <f>IF(M11="EDH",VLOOKUP("EDH",_Chiller!N:P,2,FALSE),
IF(M11="Chilled Water AHU",VLOOKUP("Chilled Water AHU",_Chiller!N:P,2,FALSE)+VLOOKUP(N11,_Chiller!N:P,2,FALSE)*IF(O11="Yes",2,1),
IF(M11="Chilled Water FCU",VLOOKUP("Chilled Water FCU",_Chiller!N:P,2,FALSE),
IF(M11="Pump",VLOOKUP("Pump",_Chiller!N:P,2,FALSE)+IF(Q11="Yes",0,VLOOKUP(N11,_Chiller!N:P,2,FALSE)),
IF(M11="Air Cooled Chiller",VLOOKUP("Air Cooled Chiller",_Chiller!N:P,2,FALSE),"NOT")))))
+
IF(M11="Pump",F11*(VLOOKUP("2.5mm Twin and Earth",'Part List'!A:G,3,FALSE)+VLOOKUP("Switchboard Cable 1mm",'Part List'!A:G,3,FALSE)),
IF(M11="Air Cooled Chiller",777000,
F11*(VLOOKUP("7030 2 pair TCAS7302P",'Part List'!A:G,3,FALSE)+VLOOKUP("4mm Cable 3 core and Earth",'Part List'!A:G,3,FALSE))))</f>
        <v>#VALUE!</v>
      </c>
      <c r="J11" s="430" t="e">
        <f>IF(M11="EDH",VLOOKUP("EDH",_Chiller!N:P,3,FALSE),
IF(M11="Chilled Water AHU",VLOOKUP("Chilled Water AHU",_Chiller!N:P,3,FALSE)+(VLOOKUP(N11,_Chiller!N:P,3,FALSE)*IF(O11="Yes",2,1)),
IF(M11="Chilled Water FCU",VLOOKUP("Chilled Water FCU",_Chiller!N:P,3,FALSE),
IF(M11="Pump",VLOOKUP("Pump",_Chiller!N:P,3,FALSE)+IF(Q11="Yes",0,VLOOKUP(N11,_Chiller!N:P,3,FALSE)),
IF(M11="Air Cooled Chiller",VLOOKUP("Air Cooled Chiller",_Chiller!N:P,3,FALSE),"NOT")))))
+
IF(M11="Pump",F11*(VLOOKUP("2.5mm Twin and Earth",'Part List'!A:G,5,FALSE)+VLOOKUP("Switchboard Cable 1mm",'Part List'!A:G,5,FALSE)),
IF(M11="Air Cooled Chiller",777000,
F11*(VLOOKUP("7030 2 pair TCAS7302P",'Part List'!A:G,5,FALSE)+VLOOKUP("4mm Cable 3 core and Earth",'Part List'!A:G,5,FALSE))))</f>
        <v>#VALUE!</v>
      </c>
      <c r="K11" s="430" t="b">
        <f>IF(COUNTBLANK(L11:R11)=0,
IF(M11="Chilled Water FCU",VLOOKUP(M11,_Chiller!$A$18:$D$25,3,FALSE),
IF(M11="Chilled Water AHU",_xlfn.CONCAT(VLOOKUP(M11,_Chiller!$A$18:$D$25,3,FALSE), VLOOKUP(N11,_Chiller!$A$25:$B$27,2,FALSE),IF(O11="Yes","D",""),IF(P11="Yes","F","")),
IF(M11="Pump",_xlfn.CONCAT(VLOOKUP(M11,_Chiller!$A$18:$D$25,3,FALSE),IF(Q11="Yes", "D", VLOOKUP(N11,_Chiller!$A$25:$B$27,2,FALSE))),
IF(M11="EDH",VLOOKUP(M11,_Chiller!$A$18:$D$25,3,FALSE),
IF(M11="Air Cooled Chiller",VLOOKUP(M11,_Chiller!$A$18:$D$25,3,FALSE),
"INVALID"))))))</f>
        <v>0</v>
      </c>
      <c r="L11" s="430" t="s">
        <v>678</v>
      </c>
      <c r="M11" s="430"/>
      <c r="N11" s="430"/>
      <c r="O11" s="430"/>
      <c r="P11" s="430"/>
      <c r="Q11" s="430"/>
      <c r="R11" s="430"/>
      <c r="S11" s="430"/>
      <c r="T11" s="430"/>
      <c r="U11" s="430"/>
      <c r="V11" s="432" t="str">
        <f t="shared" ref="V11:V22" si="21">IF(A11="VALID",_xlfn.CONCAT("
",AC11,"
",REPT(" ",8),AD11,"
",REPT(" ",8),AE11,"
",REPT(" ", 8),AF11, "
"),"")</f>
        <v/>
      </c>
      <c r="W11" s="114">
        <f t="shared" si="3"/>
        <v>0</v>
      </c>
      <c r="X11" s="114" t="str">
        <f>_xlfn.CONCAT(E11," (",VLOOKUP(E11,[1]Backend!C:D,2,FALSE),")")</f>
        <v xml:space="preserve"> (Zero)</v>
      </c>
      <c r="Y11" s="114" t="e">
        <f>_xlfn.CONCAT(W11," - Electrical power supply and controls to ",X11,VLOOKUP(M11,_Chiller!$A$18:$D$22,2,FALSE))</f>
        <v>#N/A</v>
      </c>
      <c r="Z11" s="114" t="str">
        <f t="shared" si="9"/>
        <v xml:space="preserve"> with: </v>
      </c>
      <c r="AA11" s="114" t="str">
        <f>_xlfn.CONCAT(
IF(AI11,VLOOKUP(N11,_Chiller!$N:$T,4,FALSE),""),
IF(AJ11,VLOOKUP($O$1,_Chiller!$N:$T,4,FALSE),""),
IF(AK11,VLOOKUP($P$1,_Chiller!$N:$T,4,FALSE),""),
IF(AL11,VLOOKUP($Q$1,_Chiller!$N:$T,4,FALSE),""),
IF(AM11,VLOOKUP($R$1,_Chiller!$N:$T,4,FALSE),""))</f>
        <v/>
      </c>
      <c r="AB11" s="114" t="str">
        <f t="shared" si="10"/>
        <v>from MSSB Power Supply</v>
      </c>
      <c r="AC11" s="114" t="e">
        <f t="shared" si="20"/>
        <v>#N/A</v>
      </c>
      <c r="AD11" s="114" t="str">
        <f t="shared" si="11"/>
        <v>0.1 - This includes supply and install of power and controls.</v>
      </c>
      <c r="AE11" s="114" t="e">
        <f>_xlfn.CONCAT(W11,".2 - Power for system includes: CB and cabling to ",VLOOKUP(M11,_Chiller!$A$18:$D$22,4,FALSE)," from MSSB, and local isolator,")</f>
        <v>#N/A</v>
      </c>
      <c r="AF11" s="114" t="str">
        <f t="shared" si="19"/>
        <v xml:space="preserve">0.3 - Controls for system includes: { CONTROLS FOR: 0}, { CONTROLS FOR: 0}, </v>
      </c>
      <c r="AG11" s="114" t="str">
        <f>_xlfn.CONCAT(VLOOKUP(M11,_Chiller!AF:AG,2,FALSE),
IF(AI11,VLOOKUP(N11,_Chiller!AF:AG,2,FALSE),""),
IF(AJ11,VLOOKUP($AJ$1,_Chiller!AF:AG,2,FALSE),""),
IF(AK11,VLOOKUP($AK$1,_Chiller!AF:AG,2,FALSE),""),
IF(AL11,VLOOKUP($AL$1,_Chiller!AF:AG,2,FALSE),""),
IF(AM11,VLOOKUP($AM$1,_Chiller!AF:AG,2,FALSE),""),
IF(AN11,VLOOKUP($AN$1,_Chiller!AF:AG,2,FALSE),""),
IF(AO11,VLOOKUP($AO$1,_Chiller!AF:AG,2,FALSE),""),
IF(AP11,VLOOKUP($AP$1,_Chiller!AF:AG,2,FALSE),""),
)</f>
        <v xml:space="preserve">{ CONTROLS FOR: 0}, { CONTROLS FOR: 0}, </v>
      </c>
      <c r="AI11" s="114" t="b">
        <f t="shared" si="12"/>
        <v>1</v>
      </c>
      <c r="AJ11" s="114" t="b">
        <f t="shared" si="13"/>
        <v>0</v>
      </c>
      <c r="AK11" s="114" t="b">
        <f t="shared" si="14"/>
        <v>0</v>
      </c>
      <c r="AL11" s="114" t="b">
        <f t="shared" si="15"/>
        <v>0</v>
      </c>
      <c r="AM11" s="114" t="b">
        <v>0</v>
      </c>
      <c r="AN11" s="114" t="b">
        <f t="shared" si="16"/>
        <v>0</v>
      </c>
      <c r="AO11" s="114" t="b">
        <f t="shared" si="17"/>
        <v>0</v>
      </c>
      <c r="AP11" s="114" t="b">
        <f t="shared" si="18"/>
        <v>0</v>
      </c>
      <c r="AS11" s="114" t="e">
        <f>_xlfn.CONCAT(VLOOKUP(M11,_Chiller!$A$18:$D$22,2,FALSE),Z11,AA11)</f>
        <v>#N/A</v>
      </c>
    </row>
    <row r="12" spans="1:45" x14ac:dyDescent="0.4">
      <c r="A12" s="429" t="str">
        <f t="shared" si="1"/>
        <v>INVALID</v>
      </c>
      <c r="B12" s="430" t="str">
        <f t="shared" si="5"/>
        <v>CH 11</v>
      </c>
      <c r="C12" s="431">
        <f t="shared" si="6"/>
        <v>0</v>
      </c>
      <c r="D12" s="430">
        <f t="shared" si="7"/>
        <v>0</v>
      </c>
      <c r="E12" s="430"/>
      <c r="F12" s="430">
        <f t="shared" si="8"/>
        <v>20</v>
      </c>
      <c r="G12" s="430"/>
      <c r="H12" s="430"/>
      <c r="I12" s="430" t="e">
        <f>IF(M12="EDH",VLOOKUP("EDH",_Chiller!N:P,2,FALSE),
IF(M12="Chilled Water AHU",VLOOKUP("Chilled Water AHU",_Chiller!N:P,2,FALSE)+VLOOKUP(N12,_Chiller!N:P,2,FALSE)*IF(O12="Yes",2,1),
IF(M12="Chilled Water FCU",VLOOKUP("Chilled Water FCU",_Chiller!N:P,2,FALSE),
IF(M12="Pump",VLOOKUP("Pump",_Chiller!N:P,2,FALSE)+IF(Q12="Yes",0,VLOOKUP(N12,_Chiller!N:P,2,FALSE)),
IF(M12="Air Cooled Chiller",VLOOKUP("Air Cooled Chiller",_Chiller!N:P,2,FALSE),"NOT")))))
+
IF(M12="Pump",F12*(VLOOKUP("2.5mm Twin and Earth",'Part List'!A:G,3,FALSE)+VLOOKUP("Switchboard Cable 1mm",'Part List'!A:G,3,FALSE)),
IF(M12="Air Cooled Chiller",777000,
F12*(VLOOKUP("7030 2 pair TCAS7302P",'Part List'!A:G,3,FALSE)+VLOOKUP("4mm Cable 3 core and Earth",'Part List'!A:G,3,FALSE))))</f>
        <v>#VALUE!</v>
      </c>
      <c r="J12" s="430" t="e">
        <f>IF(M12="EDH",VLOOKUP("EDH",_Chiller!N:P,3,FALSE),
IF(M12="Chilled Water AHU",VLOOKUP("Chilled Water AHU",_Chiller!N:P,3,FALSE)+(VLOOKUP(N12,_Chiller!N:P,3,FALSE)*IF(O12="Yes",2,1)),
IF(M12="Chilled Water FCU",VLOOKUP("Chilled Water FCU",_Chiller!N:P,3,FALSE),
IF(M12="Pump",VLOOKUP("Pump",_Chiller!N:P,3,FALSE)+IF(Q12="Yes",0,VLOOKUP(N12,_Chiller!N:P,3,FALSE)),
IF(M12="Air Cooled Chiller",VLOOKUP("Air Cooled Chiller",_Chiller!N:P,3,FALSE),"NOT")))))
+
IF(M12="Pump",F12*(VLOOKUP("2.5mm Twin and Earth",'Part List'!A:G,5,FALSE)+VLOOKUP("Switchboard Cable 1mm",'Part List'!A:G,5,FALSE)),
IF(M12="Air Cooled Chiller",777000,
F12*(VLOOKUP("7030 2 pair TCAS7302P",'Part List'!A:G,5,FALSE)+VLOOKUP("4mm Cable 3 core and Earth",'Part List'!A:G,5,FALSE))))</f>
        <v>#VALUE!</v>
      </c>
      <c r="K12" s="430" t="b">
        <f>IF(COUNTBLANK(L12:R12)=0,
IF(M12="Chilled Water FCU",VLOOKUP(M12,_Chiller!$A$18:$D$25,3,FALSE),
IF(M12="Chilled Water AHU",_xlfn.CONCAT(VLOOKUP(M12,_Chiller!$A$18:$D$25,3,FALSE), VLOOKUP(N12,_Chiller!$A$25:$B$27,2,FALSE),IF(O12="Yes","D",""),IF(P12="Yes","F","")),
IF(M12="Pump",_xlfn.CONCAT(VLOOKUP(M12,_Chiller!$A$18:$D$25,3,FALSE),IF(Q12="Yes", "D", VLOOKUP(N12,_Chiller!$A$25:$B$27,2,FALSE))),
IF(M12="EDH",VLOOKUP(M12,_Chiller!$A$18:$D$25,3,FALSE),
IF(M12="Air Cooled Chiller",VLOOKUP(M12,_Chiller!$A$18:$D$25,3,FALSE),
"INVALID"))))))</f>
        <v>0</v>
      </c>
      <c r="L12" s="430" t="s">
        <v>678</v>
      </c>
      <c r="M12" s="430"/>
      <c r="N12" s="430"/>
      <c r="O12" s="430"/>
      <c r="P12" s="430"/>
      <c r="Q12" s="430"/>
      <c r="R12" s="430"/>
      <c r="S12" s="430"/>
      <c r="T12" s="430"/>
      <c r="U12" s="430"/>
      <c r="V12" s="432" t="str">
        <f t="shared" si="21"/>
        <v/>
      </c>
      <c r="W12" s="114">
        <f t="shared" si="3"/>
        <v>0</v>
      </c>
      <c r="X12" s="114" t="str">
        <f>_xlfn.CONCAT(E12," (",VLOOKUP(E12,[1]Backend!C:D,2,FALSE),")")</f>
        <v xml:space="preserve"> (Zero)</v>
      </c>
      <c r="Y12" s="114" t="e">
        <f>_xlfn.CONCAT(W12," - Electrical power supply and controls to ",X12,VLOOKUP(M12,_Chiller!$A$18:$D$22,2,FALSE))</f>
        <v>#N/A</v>
      </c>
      <c r="Z12" s="114" t="str">
        <f t="shared" si="9"/>
        <v xml:space="preserve"> with: </v>
      </c>
      <c r="AA12" s="114" t="str">
        <f>_xlfn.CONCAT(
IF(AI12,VLOOKUP(N12,_Chiller!$N:$T,4,FALSE),""),
IF(AJ12,VLOOKUP($O$1,_Chiller!$N:$T,4,FALSE),""),
IF(AK12,VLOOKUP($P$1,_Chiller!$N:$T,4,FALSE),""),
IF(AL12,VLOOKUP($Q$1,_Chiller!$N:$T,4,FALSE),""),
IF(AM12,VLOOKUP($R$1,_Chiller!$N:$T,4,FALSE),""))</f>
        <v/>
      </c>
      <c r="AB12" s="114" t="str">
        <f t="shared" si="10"/>
        <v>from MSSB Power Supply</v>
      </c>
      <c r="AC12" s="114" t="e">
        <f t="shared" si="20"/>
        <v>#N/A</v>
      </c>
      <c r="AD12" s="114" t="str">
        <f t="shared" si="11"/>
        <v>0.1 - This includes supply and install of power and controls.</v>
      </c>
      <c r="AE12" s="114" t="e">
        <f>_xlfn.CONCAT(W12,".2 - Power for system includes: CB and cabling to ",VLOOKUP(M12,_Chiller!$A$18:$D$22,4,FALSE)," from MSSB, and local isolator,")</f>
        <v>#N/A</v>
      </c>
      <c r="AF12" s="114" t="str">
        <f t="shared" si="19"/>
        <v xml:space="preserve">0.3 - Controls for system includes: { CONTROLS FOR: 0}, { CONTROLS FOR: 0}, </v>
      </c>
      <c r="AG12" s="114" t="str">
        <f>_xlfn.CONCAT(VLOOKUP(M12,_Chiller!AF:AG,2,FALSE),
IF(AI12,VLOOKUP(N12,_Chiller!AF:AG,2,FALSE),""),
IF(AJ12,VLOOKUP($AJ$1,_Chiller!AF:AG,2,FALSE),""),
IF(AK12,VLOOKUP($AK$1,_Chiller!AF:AG,2,FALSE),""),
IF(AL12,VLOOKUP($AL$1,_Chiller!AF:AG,2,FALSE),""),
IF(AM12,VLOOKUP($AM$1,_Chiller!AF:AG,2,FALSE),""),
IF(AN12,VLOOKUP($AN$1,_Chiller!AF:AG,2,FALSE),""),
IF(AO12,VLOOKUP($AO$1,_Chiller!AF:AG,2,FALSE),""),
IF(AP12,VLOOKUP($AP$1,_Chiller!AF:AG,2,FALSE),""),
)</f>
        <v xml:space="preserve">{ CONTROLS FOR: 0}, { CONTROLS FOR: 0}, </v>
      </c>
      <c r="AI12" s="114" t="b">
        <f t="shared" si="12"/>
        <v>1</v>
      </c>
      <c r="AJ12" s="114" t="b">
        <f t="shared" si="13"/>
        <v>0</v>
      </c>
      <c r="AK12" s="114" t="b">
        <f t="shared" si="14"/>
        <v>0</v>
      </c>
      <c r="AL12" s="114" t="b">
        <f t="shared" si="15"/>
        <v>0</v>
      </c>
      <c r="AM12" s="114" t="b">
        <v>0</v>
      </c>
      <c r="AN12" s="114" t="b">
        <f t="shared" si="16"/>
        <v>0</v>
      </c>
      <c r="AO12" s="114" t="b">
        <f t="shared" si="17"/>
        <v>0</v>
      </c>
      <c r="AP12" s="114" t="b">
        <f t="shared" si="18"/>
        <v>0</v>
      </c>
      <c r="AS12" s="114" t="e">
        <f>_xlfn.CONCAT(VLOOKUP(M12,_Chiller!$A$18:$D$22,2,FALSE),Z12,AA12)</f>
        <v>#N/A</v>
      </c>
    </row>
    <row r="13" spans="1:45" x14ac:dyDescent="0.4">
      <c r="A13" s="429" t="str">
        <f t="shared" si="1"/>
        <v>INVALID</v>
      </c>
      <c r="B13" s="430" t="str">
        <f t="shared" si="5"/>
        <v>CH 12</v>
      </c>
      <c r="C13" s="431">
        <f t="shared" si="6"/>
        <v>0</v>
      </c>
      <c r="D13" s="430">
        <f t="shared" si="7"/>
        <v>0</v>
      </c>
      <c r="E13" s="430"/>
      <c r="F13" s="430">
        <f t="shared" si="8"/>
        <v>20</v>
      </c>
      <c r="G13" s="430"/>
      <c r="H13" s="430"/>
      <c r="I13" s="430" t="e">
        <f>IF(M13="EDH",VLOOKUP("EDH",_Chiller!N:P,2,FALSE),
IF(M13="Chilled Water AHU",VLOOKUP("Chilled Water AHU",_Chiller!N:P,2,FALSE)+VLOOKUP(N13,_Chiller!N:P,2,FALSE)*IF(O13="Yes",2,1),
IF(M13="Chilled Water FCU",VLOOKUP("Chilled Water FCU",_Chiller!N:P,2,FALSE),
IF(M13="Pump",VLOOKUP("Pump",_Chiller!N:P,2,FALSE)+IF(Q13="Yes",0,VLOOKUP(N13,_Chiller!N:P,2,FALSE)),
IF(M13="Air Cooled Chiller",VLOOKUP("Air Cooled Chiller",_Chiller!N:P,2,FALSE),"NOT")))))
+
IF(M13="Pump",F13*(VLOOKUP("2.5mm Twin and Earth",'Part List'!A:G,3,FALSE)+VLOOKUP("Switchboard Cable 1mm",'Part List'!A:G,3,FALSE)),
IF(M13="Air Cooled Chiller",777000,
F13*(VLOOKUP("7030 2 pair TCAS7302P",'Part List'!A:G,3,FALSE)+VLOOKUP("4mm Cable 3 core and Earth",'Part List'!A:G,3,FALSE))))</f>
        <v>#VALUE!</v>
      </c>
      <c r="J13" s="430" t="e">
        <f>IF(M13="EDH",VLOOKUP("EDH",_Chiller!N:P,3,FALSE),
IF(M13="Chilled Water AHU",VLOOKUP("Chilled Water AHU",_Chiller!N:P,3,FALSE)+(VLOOKUP(N13,_Chiller!N:P,3,FALSE)*IF(O13="Yes",2,1)),
IF(M13="Chilled Water FCU",VLOOKUP("Chilled Water FCU",_Chiller!N:P,3,FALSE),
IF(M13="Pump",VLOOKUP("Pump",_Chiller!N:P,3,FALSE)+IF(Q13="Yes",0,VLOOKUP(N13,_Chiller!N:P,3,FALSE)),
IF(M13="Air Cooled Chiller",VLOOKUP("Air Cooled Chiller",_Chiller!N:P,3,FALSE),"NOT")))))
+
IF(M13="Pump",F13*(VLOOKUP("2.5mm Twin and Earth",'Part List'!A:G,5,FALSE)+VLOOKUP("Switchboard Cable 1mm",'Part List'!A:G,5,FALSE)),
IF(M13="Air Cooled Chiller",777000,
F13*(VLOOKUP("7030 2 pair TCAS7302P",'Part List'!A:G,5,FALSE)+VLOOKUP("4mm Cable 3 core and Earth",'Part List'!A:G,5,FALSE))))</f>
        <v>#VALUE!</v>
      </c>
      <c r="K13" s="430" t="b">
        <f>IF(COUNTBLANK(L13:R13)=0,
IF(M13="Chilled Water FCU",VLOOKUP(M13,_Chiller!$A$18:$D$25,3,FALSE),
IF(M13="Chilled Water AHU",_xlfn.CONCAT(VLOOKUP(M13,_Chiller!$A$18:$D$25,3,FALSE), VLOOKUP(N13,_Chiller!$A$25:$B$27,2,FALSE),IF(O13="Yes","D",""),IF(P13="Yes","F","")),
IF(M13="Pump",_xlfn.CONCAT(VLOOKUP(M13,_Chiller!$A$18:$D$25,3,FALSE),IF(Q13="Yes", "D", VLOOKUP(N13,_Chiller!$A$25:$B$27,2,FALSE))),
IF(M13="EDH",VLOOKUP(M13,_Chiller!$A$18:$D$25,3,FALSE),
IF(M13="Air Cooled Chiller",VLOOKUP(M13,_Chiller!$A$18:$D$25,3,FALSE),
"INVALID"))))))</f>
        <v>0</v>
      </c>
      <c r="L13" s="430" t="s">
        <v>678</v>
      </c>
      <c r="M13" s="430"/>
      <c r="N13" s="430"/>
      <c r="O13" s="430"/>
      <c r="P13" s="430"/>
      <c r="Q13" s="430"/>
      <c r="R13" s="430"/>
      <c r="S13" s="430"/>
      <c r="T13" s="430"/>
      <c r="U13" s="430"/>
      <c r="V13" s="432" t="str">
        <f t="shared" si="21"/>
        <v/>
      </c>
      <c r="W13" s="114">
        <f t="shared" si="3"/>
        <v>0</v>
      </c>
      <c r="X13" s="114" t="str">
        <f>_xlfn.CONCAT(E13," (",VLOOKUP(E13,[1]Backend!C:D,2,FALSE),")")</f>
        <v xml:space="preserve"> (Zero)</v>
      </c>
      <c r="Y13" s="114" t="e">
        <f>_xlfn.CONCAT(W13," - Electrical power supply and controls to ",X13,VLOOKUP(M13,_Chiller!$A$18:$D$22,2,FALSE))</f>
        <v>#N/A</v>
      </c>
      <c r="Z13" s="114" t="str">
        <f t="shared" si="9"/>
        <v xml:space="preserve"> with: </v>
      </c>
      <c r="AA13" s="114" t="str">
        <f>_xlfn.CONCAT(
IF(AI13,VLOOKUP(N13,_Chiller!$N:$T,4,FALSE),""),
IF(AJ13,VLOOKUP($O$1,_Chiller!$N:$T,4,FALSE),""),
IF(AK13,VLOOKUP($P$1,_Chiller!$N:$T,4,FALSE),""),
IF(AL13,VLOOKUP($Q$1,_Chiller!$N:$T,4,FALSE),""),
IF(AM13,VLOOKUP($R$1,_Chiller!$N:$T,4,FALSE),""))</f>
        <v/>
      </c>
      <c r="AB13" s="114" t="str">
        <f t="shared" si="10"/>
        <v>from MSSB Power Supply</v>
      </c>
      <c r="AC13" s="114" t="e">
        <f t="shared" si="20"/>
        <v>#N/A</v>
      </c>
      <c r="AD13" s="114" t="str">
        <f t="shared" si="11"/>
        <v>0.1 - This includes supply and install of power and controls.</v>
      </c>
      <c r="AE13" s="114" t="e">
        <f>_xlfn.CONCAT(W13,".2 - Power for system includes: CB and cabling to ",VLOOKUP(M13,_Chiller!$A$18:$D$22,4,FALSE)," from MSSB, and local isolator,")</f>
        <v>#N/A</v>
      </c>
      <c r="AF13" s="114" t="str">
        <f t="shared" si="19"/>
        <v xml:space="preserve">0.3 - Controls for system includes: { CONTROLS FOR: 0}, { CONTROLS FOR: 0}, </v>
      </c>
      <c r="AG13" s="114" t="str">
        <f>_xlfn.CONCAT(VLOOKUP(M13,_Chiller!AF:AG,2,FALSE),
IF(AI13,VLOOKUP(N13,_Chiller!AF:AG,2,FALSE),""),
IF(AJ13,VLOOKUP($AJ$1,_Chiller!AF:AG,2,FALSE),""),
IF(AK13,VLOOKUP($AK$1,_Chiller!AF:AG,2,FALSE),""),
IF(AL13,VLOOKUP($AL$1,_Chiller!AF:AG,2,FALSE),""),
IF(AM13,VLOOKUP($AM$1,_Chiller!AF:AG,2,FALSE),""),
IF(AN13,VLOOKUP($AN$1,_Chiller!AF:AG,2,FALSE),""),
IF(AO13,VLOOKUP($AO$1,_Chiller!AF:AG,2,FALSE),""),
IF(AP13,VLOOKUP($AP$1,_Chiller!AF:AG,2,FALSE),""),
)</f>
        <v xml:space="preserve">{ CONTROLS FOR: 0}, { CONTROLS FOR: 0}, </v>
      </c>
      <c r="AI13" s="114" t="b">
        <f t="shared" si="12"/>
        <v>1</v>
      </c>
      <c r="AJ13" s="114" t="b">
        <f t="shared" si="13"/>
        <v>0</v>
      </c>
      <c r="AK13" s="114" t="b">
        <f t="shared" si="14"/>
        <v>0</v>
      </c>
      <c r="AL13" s="114" t="b">
        <f t="shared" si="15"/>
        <v>0</v>
      </c>
      <c r="AM13" s="114" t="b">
        <v>0</v>
      </c>
      <c r="AN13" s="114" t="b">
        <f t="shared" si="16"/>
        <v>0</v>
      </c>
      <c r="AO13" s="114" t="b">
        <f t="shared" si="17"/>
        <v>0</v>
      </c>
      <c r="AP13" s="114" t="b">
        <f t="shared" si="18"/>
        <v>0</v>
      </c>
      <c r="AS13" s="114" t="e">
        <f>_xlfn.CONCAT(VLOOKUP(M13,_Chiller!$A$18:$D$22,2,FALSE),Z13,AA13)</f>
        <v>#N/A</v>
      </c>
    </row>
    <row r="14" spans="1:45" x14ac:dyDescent="0.4">
      <c r="A14" s="429" t="str">
        <f t="shared" si="1"/>
        <v>INVALID</v>
      </c>
      <c r="B14" s="430" t="str">
        <f t="shared" si="5"/>
        <v>CH 13</v>
      </c>
      <c r="C14" s="431">
        <f t="shared" si="6"/>
        <v>0</v>
      </c>
      <c r="D14" s="430">
        <f t="shared" si="7"/>
        <v>0</v>
      </c>
      <c r="E14" s="430"/>
      <c r="F14" s="430">
        <f t="shared" si="8"/>
        <v>20</v>
      </c>
      <c r="G14" s="430"/>
      <c r="H14" s="430"/>
      <c r="I14" s="430" t="e">
        <f>IF(M14="EDH",VLOOKUP("EDH",_Chiller!N:P,2,FALSE),
IF(M14="Chilled Water AHU",VLOOKUP("Chilled Water AHU",_Chiller!N:P,2,FALSE)+VLOOKUP(N14,_Chiller!N:P,2,FALSE)*IF(O14="Yes",2,1),
IF(M14="Chilled Water FCU",VLOOKUP("Chilled Water FCU",_Chiller!N:P,2,FALSE),
IF(M14="Pump",VLOOKUP("Pump",_Chiller!N:P,2,FALSE)+IF(Q14="Yes",0,VLOOKUP(N14,_Chiller!N:P,2,FALSE)),
IF(M14="Air Cooled Chiller",VLOOKUP("Air Cooled Chiller",_Chiller!N:P,2,FALSE),"NOT")))))
+
IF(M14="Pump",F14*(VLOOKUP("2.5mm Twin and Earth",'Part List'!A:G,3,FALSE)+VLOOKUP("Switchboard Cable 1mm",'Part List'!A:G,3,FALSE)),
IF(M14="Air Cooled Chiller",777000,
F14*(VLOOKUP("7030 2 pair TCAS7302P",'Part List'!A:G,3,FALSE)+VLOOKUP("4mm Cable 3 core and Earth",'Part List'!A:G,3,FALSE))))</f>
        <v>#VALUE!</v>
      </c>
      <c r="J14" s="430" t="e">
        <f>IF(M14="EDH",VLOOKUP("EDH",_Chiller!N:P,3,FALSE),
IF(M14="Chilled Water AHU",VLOOKUP("Chilled Water AHU",_Chiller!N:P,3,FALSE)+(VLOOKUP(N14,_Chiller!N:P,3,FALSE)*IF(O14="Yes",2,1)),
IF(M14="Chilled Water FCU",VLOOKUP("Chilled Water FCU",_Chiller!N:P,3,FALSE),
IF(M14="Pump",VLOOKUP("Pump",_Chiller!N:P,3,FALSE)+IF(Q14="Yes",0,VLOOKUP(N14,_Chiller!N:P,3,FALSE)),
IF(M14="Air Cooled Chiller",VLOOKUP("Air Cooled Chiller",_Chiller!N:P,3,FALSE),"NOT")))))
+
IF(M14="Pump",F14*(VLOOKUP("2.5mm Twin and Earth",'Part List'!A:G,5,FALSE)+VLOOKUP("Switchboard Cable 1mm",'Part List'!A:G,5,FALSE)),
IF(M14="Air Cooled Chiller",777000,
F14*(VLOOKUP("7030 2 pair TCAS7302P",'Part List'!A:G,5,FALSE)+VLOOKUP("4mm Cable 3 core and Earth",'Part List'!A:G,5,FALSE))))</f>
        <v>#VALUE!</v>
      </c>
      <c r="K14" s="430" t="b">
        <f>IF(COUNTBLANK(L14:R14)=0,
IF(M14="Chilled Water FCU",VLOOKUP(M14,_Chiller!$A$18:$D$25,3,FALSE),
IF(M14="Chilled Water AHU",_xlfn.CONCAT(VLOOKUP(M14,_Chiller!$A$18:$D$25,3,FALSE), VLOOKUP(N14,_Chiller!$A$25:$B$27,2,FALSE),IF(O14="Yes","D",""),IF(P14="Yes","F","")),
IF(M14="Pump",_xlfn.CONCAT(VLOOKUP(M14,_Chiller!$A$18:$D$25,3,FALSE),IF(Q14="Yes", "D", VLOOKUP(N14,_Chiller!$A$25:$B$27,2,FALSE))),
IF(M14="EDH",VLOOKUP(M14,_Chiller!$A$18:$D$25,3,FALSE),
IF(M14="Air Cooled Chiller",VLOOKUP(M14,_Chiller!$A$18:$D$25,3,FALSE),
"INVALID"))))))</f>
        <v>0</v>
      </c>
      <c r="L14" s="430" t="s">
        <v>678</v>
      </c>
      <c r="M14" s="430"/>
      <c r="N14" s="430"/>
      <c r="O14" s="430"/>
      <c r="P14" s="430"/>
      <c r="Q14" s="430"/>
      <c r="R14" s="430"/>
      <c r="S14" s="430"/>
      <c r="T14" s="430"/>
      <c r="U14" s="430"/>
      <c r="V14" s="432" t="str">
        <f t="shared" si="21"/>
        <v/>
      </c>
      <c r="W14" s="114">
        <f t="shared" si="3"/>
        <v>0</v>
      </c>
      <c r="X14" s="114" t="str">
        <f>_xlfn.CONCAT(E14," (",VLOOKUP(E14,[1]Backend!C:D,2,FALSE),")")</f>
        <v xml:space="preserve"> (Zero)</v>
      </c>
      <c r="Y14" s="114" t="e">
        <f>_xlfn.CONCAT(W14," - Electrical power supply and controls to ",X14,VLOOKUP(M14,_Chiller!$A$18:$D$22,2,FALSE))</f>
        <v>#N/A</v>
      </c>
      <c r="Z14" s="114" t="str">
        <f t="shared" si="9"/>
        <v xml:space="preserve"> with: </v>
      </c>
      <c r="AA14" s="114" t="str">
        <f>_xlfn.CONCAT(
IF(AI14,VLOOKUP(N14,_Chiller!$N:$T,4,FALSE),""),
IF(AJ14,VLOOKUP($O$1,_Chiller!$N:$T,4,FALSE),""),
IF(AK14,VLOOKUP($P$1,_Chiller!$N:$T,4,FALSE),""),
IF(AL14,VLOOKUP($Q$1,_Chiller!$N:$T,4,FALSE),""),
IF(AM14,VLOOKUP($R$1,_Chiller!$N:$T,4,FALSE),""))</f>
        <v/>
      </c>
      <c r="AB14" s="114" t="str">
        <f t="shared" si="10"/>
        <v>from MSSB Power Supply</v>
      </c>
      <c r="AC14" s="114" t="e">
        <f t="shared" si="20"/>
        <v>#N/A</v>
      </c>
      <c r="AD14" s="114" t="str">
        <f t="shared" si="11"/>
        <v>0.1 - This includes supply and install of power and controls.</v>
      </c>
      <c r="AE14" s="114" t="e">
        <f>_xlfn.CONCAT(W14,".2 - Power for system includes: CB and cabling to ",VLOOKUP(M14,_Chiller!$A$18:$D$22,4,FALSE)," from MSSB, and local isolator,")</f>
        <v>#N/A</v>
      </c>
      <c r="AF14" s="114" t="str">
        <f t="shared" si="19"/>
        <v xml:space="preserve">0.3 - Controls for system includes: { CONTROLS FOR: 0}, { CONTROLS FOR: 0}, </v>
      </c>
      <c r="AG14" s="114" t="str">
        <f>_xlfn.CONCAT(VLOOKUP(M14,_Chiller!AF:AG,2,FALSE),
IF(AI14,VLOOKUP(N14,_Chiller!AF:AG,2,FALSE),""),
IF(AJ14,VLOOKUP($AJ$1,_Chiller!AF:AG,2,FALSE),""),
IF(AK14,VLOOKUP($AK$1,_Chiller!AF:AG,2,FALSE),""),
IF(AL14,VLOOKUP($AL$1,_Chiller!AF:AG,2,FALSE),""),
IF(AM14,VLOOKUP($AM$1,_Chiller!AF:AG,2,FALSE),""),
IF(AN14,VLOOKUP($AN$1,_Chiller!AF:AG,2,FALSE),""),
IF(AO14,VLOOKUP($AO$1,_Chiller!AF:AG,2,FALSE),""),
IF(AP14,VLOOKUP($AP$1,_Chiller!AF:AG,2,FALSE),""),
)</f>
        <v xml:space="preserve">{ CONTROLS FOR: 0}, { CONTROLS FOR: 0}, </v>
      </c>
      <c r="AI14" s="114" t="b">
        <f t="shared" si="12"/>
        <v>1</v>
      </c>
      <c r="AJ14" s="114" t="b">
        <f t="shared" si="13"/>
        <v>0</v>
      </c>
      <c r="AK14" s="114" t="b">
        <f t="shared" si="14"/>
        <v>0</v>
      </c>
      <c r="AL14" s="114" t="b">
        <f t="shared" si="15"/>
        <v>0</v>
      </c>
      <c r="AM14" s="114" t="b">
        <v>0</v>
      </c>
      <c r="AN14" s="114" t="b">
        <f t="shared" si="16"/>
        <v>0</v>
      </c>
      <c r="AO14" s="114" t="b">
        <f t="shared" si="17"/>
        <v>0</v>
      </c>
      <c r="AP14" s="114" t="b">
        <f t="shared" si="18"/>
        <v>0</v>
      </c>
      <c r="AS14" s="114" t="e">
        <f>_xlfn.CONCAT(VLOOKUP(M14,_Chiller!$A$18:$D$22,2,FALSE),Z14,AA14)</f>
        <v>#N/A</v>
      </c>
    </row>
    <row r="15" spans="1:45" x14ac:dyDescent="0.4">
      <c r="A15" s="429" t="str">
        <f t="shared" si="1"/>
        <v>INVALID</v>
      </c>
      <c r="B15" s="430" t="str">
        <f t="shared" si="5"/>
        <v>CH 14</v>
      </c>
      <c r="C15" s="431">
        <f t="shared" si="6"/>
        <v>0</v>
      </c>
      <c r="D15" s="430">
        <f t="shared" si="7"/>
        <v>0</v>
      </c>
      <c r="E15" s="430"/>
      <c r="F15" s="430">
        <f t="shared" si="8"/>
        <v>20</v>
      </c>
      <c r="G15" s="430"/>
      <c r="H15" s="430"/>
      <c r="I15" s="430" t="e">
        <f>IF(M15="EDH",VLOOKUP("EDH",_Chiller!N:P,2,FALSE),
IF(M15="Chilled Water AHU",VLOOKUP("Chilled Water AHU",_Chiller!N:P,2,FALSE)+VLOOKUP(N15,_Chiller!N:P,2,FALSE)*IF(O15="Yes",2,1),
IF(M15="Chilled Water FCU",VLOOKUP("Chilled Water FCU",_Chiller!N:P,2,FALSE),
IF(M15="Pump",VLOOKUP("Pump",_Chiller!N:P,2,FALSE)+IF(Q15="Yes",0,VLOOKUP(N15,_Chiller!N:P,2,FALSE)),
IF(M15="Air Cooled Chiller",VLOOKUP("Air Cooled Chiller",_Chiller!N:P,2,FALSE),"NOT")))))
+
IF(M15="Pump",F15*(VLOOKUP("2.5mm Twin and Earth",'Part List'!A:G,3,FALSE)+VLOOKUP("Switchboard Cable 1mm",'Part List'!A:G,3,FALSE)),
IF(M15="Air Cooled Chiller",777000,
F15*(VLOOKUP("7030 2 pair TCAS7302P",'Part List'!A:G,3,FALSE)+VLOOKUP("4mm Cable 3 core and Earth",'Part List'!A:G,3,FALSE))))</f>
        <v>#VALUE!</v>
      </c>
      <c r="J15" s="430" t="e">
        <f>IF(M15="EDH",VLOOKUP("EDH",_Chiller!N:P,3,FALSE),
IF(M15="Chilled Water AHU",VLOOKUP("Chilled Water AHU",_Chiller!N:P,3,FALSE)+(VLOOKUP(N15,_Chiller!N:P,3,FALSE)*IF(O15="Yes",2,1)),
IF(M15="Chilled Water FCU",VLOOKUP("Chilled Water FCU",_Chiller!N:P,3,FALSE),
IF(M15="Pump",VLOOKUP("Pump",_Chiller!N:P,3,FALSE)+IF(Q15="Yes",0,VLOOKUP(N15,_Chiller!N:P,3,FALSE)),
IF(M15="Air Cooled Chiller",VLOOKUP("Air Cooled Chiller",_Chiller!N:P,3,FALSE),"NOT")))))
+
IF(M15="Pump",F15*(VLOOKUP("2.5mm Twin and Earth",'Part List'!A:G,5,FALSE)+VLOOKUP("Switchboard Cable 1mm",'Part List'!A:G,5,FALSE)),
IF(M15="Air Cooled Chiller",777000,
F15*(VLOOKUP("7030 2 pair TCAS7302P",'Part List'!A:G,5,FALSE)+VLOOKUP("4mm Cable 3 core and Earth",'Part List'!A:G,5,FALSE))))</f>
        <v>#VALUE!</v>
      </c>
      <c r="K15" s="430" t="b">
        <f>IF(COUNTBLANK(L15:R15)=0,
IF(M15="Chilled Water FCU",VLOOKUP(M15,_Chiller!$A$18:$D$25,3,FALSE),
IF(M15="Chilled Water AHU",_xlfn.CONCAT(VLOOKUP(M15,_Chiller!$A$18:$D$25,3,FALSE), VLOOKUP(N15,_Chiller!$A$25:$B$27,2,FALSE),IF(O15="Yes","D",""),IF(P15="Yes","F","")),
IF(M15="Pump",_xlfn.CONCAT(VLOOKUP(M15,_Chiller!$A$18:$D$25,3,FALSE),IF(Q15="Yes", "D", VLOOKUP(N15,_Chiller!$A$25:$B$27,2,FALSE))),
IF(M15="EDH",VLOOKUP(M15,_Chiller!$A$18:$D$25,3,FALSE),
IF(M15="Air Cooled Chiller",VLOOKUP(M15,_Chiller!$A$18:$D$25,3,FALSE),
"INVALID"))))))</f>
        <v>0</v>
      </c>
      <c r="L15" s="430" t="s">
        <v>678</v>
      </c>
      <c r="M15" s="430"/>
      <c r="N15" s="430"/>
      <c r="O15" s="430"/>
      <c r="P15" s="430"/>
      <c r="Q15" s="430"/>
      <c r="R15" s="430"/>
      <c r="S15" s="430"/>
      <c r="T15" s="430"/>
      <c r="U15" s="430"/>
      <c r="V15" s="432" t="str">
        <f t="shared" si="21"/>
        <v/>
      </c>
      <c r="W15" s="114">
        <f t="shared" si="3"/>
        <v>0</v>
      </c>
      <c r="X15" s="114" t="str">
        <f>_xlfn.CONCAT(E15," (",VLOOKUP(E15,[1]Backend!C:D,2,FALSE),")")</f>
        <v xml:space="preserve"> (Zero)</v>
      </c>
      <c r="Y15" s="114" t="e">
        <f>_xlfn.CONCAT(W15," - Electrical power supply and controls to ",X15,VLOOKUP(M15,_Chiller!$A$18:$D$22,2,FALSE))</f>
        <v>#N/A</v>
      </c>
      <c r="Z15" s="114" t="str">
        <f t="shared" si="9"/>
        <v xml:space="preserve"> with: </v>
      </c>
      <c r="AA15" s="114" t="str">
        <f>_xlfn.CONCAT(
IF(AI15,VLOOKUP(N15,_Chiller!$N:$T,4,FALSE),""),
IF(AJ15,VLOOKUP($O$1,_Chiller!$N:$T,4,FALSE),""),
IF(AK15,VLOOKUP($P$1,_Chiller!$N:$T,4,FALSE),""),
IF(AL15,VLOOKUP($Q$1,_Chiller!$N:$T,4,FALSE),""),
IF(AM15,VLOOKUP($R$1,_Chiller!$N:$T,4,FALSE),""))</f>
        <v/>
      </c>
      <c r="AB15" s="114" t="str">
        <f t="shared" si="10"/>
        <v>from MSSB Power Supply</v>
      </c>
      <c r="AC15" s="114" t="e">
        <f t="shared" si="20"/>
        <v>#N/A</v>
      </c>
      <c r="AD15" s="114" t="str">
        <f t="shared" si="11"/>
        <v>0.1 - This includes supply and install of power and controls.</v>
      </c>
      <c r="AE15" s="114" t="e">
        <f>_xlfn.CONCAT(W15,".2 - Power for system includes: CB and cabling to ",VLOOKUP(M15,_Chiller!$A$18:$D$22,4,FALSE)," from MSSB, and local isolator,")</f>
        <v>#N/A</v>
      </c>
      <c r="AF15" s="114" t="str">
        <f t="shared" si="19"/>
        <v xml:space="preserve">0.3 - Controls for system includes: { CONTROLS FOR: 0}, { CONTROLS FOR: 0}, </v>
      </c>
      <c r="AG15" s="114" t="str">
        <f>_xlfn.CONCAT(VLOOKUP(M15,_Chiller!AF:AG,2,FALSE),
IF(AI15,VLOOKUP(N15,_Chiller!AF:AG,2,FALSE),""),
IF(AJ15,VLOOKUP($AJ$1,_Chiller!AF:AG,2,FALSE),""),
IF(AK15,VLOOKUP($AK$1,_Chiller!AF:AG,2,FALSE),""),
IF(AL15,VLOOKUP($AL$1,_Chiller!AF:AG,2,FALSE),""),
IF(AM15,VLOOKUP($AM$1,_Chiller!AF:AG,2,FALSE),""),
IF(AN15,VLOOKUP($AN$1,_Chiller!AF:AG,2,FALSE),""),
IF(AO15,VLOOKUP($AO$1,_Chiller!AF:AG,2,FALSE),""),
IF(AP15,VLOOKUP($AP$1,_Chiller!AF:AG,2,FALSE),""),
)</f>
        <v xml:space="preserve">{ CONTROLS FOR: 0}, { CONTROLS FOR: 0}, </v>
      </c>
      <c r="AI15" s="114" t="b">
        <f t="shared" si="12"/>
        <v>1</v>
      </c>
      <c r="AJ15" s="114" t="b">
        <f t="shared" si="13"/>
        <v>0</v>
      </c>
      <c r="AK15" s="114" t="b">
        <f t="shared" si="14"/>
        <v>0</v>
      </c>
      <c r="AL15" s="114" t="b">
        <f t="shared" si="15"/>
        <v>0</v>
      </c>
      <c r="AM15" s="114" t="b">
        <v>0</v>
      </c>
      <c r="AN15" s="114" t="b">
        <f t="shared" si="16"/>
        <v>0</v>
      </c>
      <c r="AO15" s="114" t="b">
        <f t="shared" si="17"/>
        <v>0</v>
      </c>
      <c r="AP15" s="114" t="b">
        <f t="shared" si="18"/>
        <v>0</v>
      </c>
      <c r="AS15" s="114" t="e">
        <f>_xlfn.CONCAT(VLOOKUP(M15,_Chiller!$A$18:$D$22,2,FALSE),Z15,AA15)</f>
        <v>#N/A</v>
      </c>
    </row>
    <row r="16" spans="1:45" x14ac:dyDescent="0.4">
      <c r="A16" s="429" t="str">
        <f t="shared" si="1"/>
        <v>INVALID</v>
      </c>
      <c r="B16" s="430" t="str">
        <f t="shared" si="5"/>
        <v>CH 15</v>
      </c>
      <c r="C16" s="431">
        <f t="shared" si="6"/>
        <v>0</v>
      </c>
      <c r="D16" s="430">
        <f t="shared" si="7"/>
        <v>0</v>
      </c>
      <c r="E16" s="430"/>
      <c r="F16" s="430">
        <f t="shared" si="8"/>
        <v>20</v>
      </c>
      <c r="G16" s="430"/>
      <c r="H16" s="430"/>
      <c r="I16" s="430" t="e">
        <f>IF(M16="EDH",VLOOKUP("EDH",_Chiller!N:P,2,FALSE),
IF(M16="Chilled Water AHU",VLOOKUP("Chilled Water AHU",_Chiller!N:P,2,FALSE)+VLOOKUP(N16,_Chiller!N:P,2,FALSE)*IF(O16="Yes",2,1),
IF(M16="Chilled Water FCU",VLOOKUP("Chilled Water FCU",_Chiller!N:P,2,FALSE),
IF(M16="Pump",VLOOKUP("Pump",_Chiller!N:P,2,FALSE)+IF(Q16="Yes",0,VLOOKUP(N16,_Chiller!N:P,2,FALSE)),
IF(M16="Air Cooled Chiller",VLOOKUP("Air Cooled Chiller",_Chiller!N:P,2,FALSE),"NOT")))))
+
IF(M16="Pump",F16*(VLOOKUP("2.5mm Twin and Earth",'Part List'!A:G,3,FALSE)+VLOOKUP("Switchboard Cable 1mm",'Part List'!A:G,3,FALSE)),
IF(M16="Air Cooled Chiller",777000,
F16*(VLOOKUP("7030 2 pair TCAS7302P",'Part List'!A:G,3,FALSE)+VLOOKUP("4mm Cable 3 core and Earth",'Part List'!A:G,3,FALSE))))</f>
        <v>#VALUE!</v>
      </c>
      <c r="J16" s="430" t="e">
        <f>IF(M16="EDH",VLOOKUP("EDH",_Chiller!N:P,3,FALSE),
IF(M16="Chilled Water AHU",VLOOKUP("Chilled Water AHU",_Chiller!N:P,3,FALSE)+(VLOOKUP(N16,_Chiller!N:P,3,FALSE)*IF(O16="Yes",2,1)),
IF(M16="Chilled Water FCU",VLOOKUP("Chilled Water FCU",_Chiller!N:P,3,FALSE),
IF(M16="Pump",VLOOKUP("Pump",_Chiller!N:P,3,FALSE)+IF(Q16="Yes",0,VLOOKUP(N16,_Chiller!N:P,3,FALSE)),
IF(M16="Air Cooled Chiller",VLOOKUP("Air Cooled Chiller",_Chiller!N:P,3,FALSE),"NOT")))))
+
IF(M16="Pump",F16*(VLOOKUP("2.5mm Twin and Earth",'Part List'!A:G,5,FALSE)+VLOOKUP("Switchboard Cable 1mm",'Part List'!A:G,5,FALSE)),
IF(M16="Air Cooled Chiller",777000,
F16*(VLOOKUP("7030 2 pair TCAS7302P",'Part List'!A:G,5,FALSE)+VLOOKUP("4mm Cable 3 core and Earth",'Part List'!A:G,5,FALSE))))</f>
        <v>#VALUE!</v>
      </c>
      <c r="K16" s="430" t="b">
        <f>IF(COUNTBLANK(L16:R16)=0,
IF(M16="Chilled Water FCU",VLOOKUP(M16,_Chiller!$A$18:$D$25,3,FALSE),
IF(M16="Chilled Water AHU",_xlfn.CONCAT(VLOOKUP(M16,_Chiller!$A$18:$D$25,3,FALSE), VLOOKUP(N16,_Chiller!$A$25:$B$27,2,FALSE),IF(O16="Yes","D",""),IF(P16="Yes","F","")),
IF(M16="Pump",_xlfn.CONCAT(VLOOKUP(M16,_Chiller!$A$18:$D$25,3,FALSE),IF(Q16="Yes", "D", VLOOKUP(N16,_Chiller!$A$25:$B$27,2,FALSE))),
IF(M16="EDH",VLOOKUP(M16,_Chiller!$A$18:$D$25,3,FALSE),
IF(M16="Air Cooled Chiller",VLOOKUP(M16,_Chiller!$A$18:$D$25,3,FALSE),
"INVALID"))))))</f>
        <v>0</v>
      </c>
      <c r="L16" s="430" t="s">
        <v>678</v>
      </c>
      <c r="M16" s="430"/>
      <c r="N16" s="430"/>
      <c r="O16" s="430"/>
      <c r="P16" s="430"/>
      <c r="Q16" s="430"/>
      <c r="R16" s="430"/>
      <c r="S16" s="430"/>
      <c r="T16" s="430"/>
      <c r="U16" s="430"/>
      <c r="V16" s="432" t="str">
        <f t="shared" si="21"/>
        <v/>
      </c>
      <c r="W16" s="114">
        <f t="shared" si="3"/>
        <v>0</v>
      </c>
      <c r="X16" s="114" t="str">
        <f>_xlfn.CONCAT(E16," (",VLOOKUP(E16,[1]Backend!C:D,2,FALSE),")")</f>
        <v xml:space="preserve"> (Zero)</v>
      </c>
      <c r="Y16" s="114" t="e">
        <f>_xlfn.CONCAT(W16," - Electrical power supply and controls to ",X16,VLOOKUP(M16,_Chiller!$A$18:$D$22,2,FALSE))</f>
        <v>#N/A</v>
      </c>
      <c r="Z16" s="114" t="str">
        <f t="shared" si="9"/>
        <v xml:space="preserve"> with: </v>
      </c>
      <c r="AA16" s="114" t="str">
        <f>_xlfn.CONCAT(
IF(AI16,VLOOKUP(N16,_Chiller!$N:$T,4,FALSE),""),
IF(AJ16,VLOOKUP($O$1,_Chiller!$N:$T,4,FALSE),""),
IF(AK16,VLOOKUP($P$1,_Chiller!$N:$T,4,FALSE),""),
IF(AL16,VLOOKUP($Q$1,_Chiller!$N:$T,4,FALSE),""),
IF(AM16,VLOOKUP($R$1,_Chiller!$N:$T,4,FALSE),""))</f>
        <v/>
      </c>
      <c r="AB16" s="114" t="str">
        <f t="shared" si="10"/>
        <v>from MSSB Power Supply</v>
      </c>
      <c r="AC16" s="114" t="e">
        <f t="shared" si="20"/>
        <v>#N/A</v>
      </c>
      <c r="AD16" s="114" t="str">
        <f t="shared" si="11"/>
        <v>0.1 - This includes supply and install of power and controls.</v>
      </c>
      <c r="AE16" s="114" t="e">
        <f>_xlfn.CONCAT(W16,".2 - Power for system includes: CB and cabling to ",VLOOKUP(M16,_Chiller!$A$18:$D$22,4,FALSE)," from MSSB, and local isolator,")</f>
        <v>#N/A</v>
      </c>
      <c r="AF16" s="114" t="str">
        <f t="shared" si="19"/>
        <v xml:space="preserve">0.3 - Controls for system includes: { CONTROLS FOR: 0}, { CONTROLS FOR: 0}, </v>
      </c>
      <c r="AG16" s="114" t="str">
        <f>_xlfn.CONCAT(VLOOKUP(M16,_Chiller!AF:AG,2,FALSE),
IF(AI16,VLOOKUP(N16,_Chiller!AF:AG,2,FALSE),""),
IF(AJ16,VLOOKUP($AJ$1,_Chiller!AF:AG,2,FALSE),""),
IF(AK16,VLOOKUP($AK$1,_Chiller!AF:AG,2,FALSE),""),
IF(AL16,VLOOKUP($AL$1,_Chiller!AF:AG,2,FALSE),""),
IF(AM16,VLOOKUP($AM$1,_Chiller!AF:AG,2,FALSE),""),
IF(AN16,VLOOKUP($AN$1,_Chiller!AF:AG,2,FALSE),""),
IF(AO16,VLOOKUP($AO$1,_Chiller!AF:AG,2,FALSE),""),
IF(AP16,VLOOKUP($AP$1,_Chiller!AF:AG,2,FALSE),""),
)</f>
        <v xml:space="preserve">{ CONTROLS FOR: 0}, { CONTROLS FOR: 0}, </v>
      </c>
      <c r="AI16" s="114" t="b">
        <f t="shared" si="12"/>
        <v>1</v>
      </c>
      <c r="AJ16" s="114" t="b">
        <f t="shared" si="13"/>
        <v>0</v>
      </c>
      <c r="AK16" s="114" t="b">
        <f t="shared" si="14"/>
        <v>0</v>
      </c>
      <c r="AL16" s="114" t="b">
        <f t="shared" si="15"/>
        <v>0</v>
      </c>
      <c r="AM16" s="114" t="b">
        <v>0</v>
      </c>
      <c r="AN16" s="114" t="b">
        <f t="shared" si="16"/>
        <v>0</v>
      </c>
      <c r="AO16" s="114" t="b">
        <f t="shared" si="17"/>
        <v>0</v>
      </c>
      <c r="AP16" s="114" t="b">
        <f t="shared" si="18"/>
        <v>0</v>
      </c>
      <c r="AS16" s="114" t="e">
        <f>_xlfn.CONCAT(VLOOKUP(M16,_Chiller!$A$18:$D$22,2,FALSE),Z16,AA16)</f>
        <v>#N/A</v>
      </c>
    </row>
    <row r="17" spans="1:45" x14ac:dyDescent="0.4">
      <c r="A17" s="429" t="str">
        <f t="shared" si="1"/>
        <v>INVALID</v>
      </c>
      <c r="B17" s="430" t="str">
        <f t="shared" si="5"/>
        <v>CH 16</v>
      </c>
      <c r="C17" s="431">
        <f t="shared" si="6"/>
        <v>0</v>
      </c>
      <c r="D17" s="430">
        <f t="shared" si="7"/>
        <v>0</v>
      </c>
      <c r="E17" s="430"/>
      <c r="F17" s="430">
        <f t="shared" si="8"/>
        <v>20</v>
      </c>
      <c r="G17" s="430"/>
      <c r="H17" s="430"/>
      <c r="I17" s="430" t="e">
        <f>IF(M17="EDH",VLOOKUP("EDH",_Chiller!N:P,2,FALSE),
IF(M17="Chilled Water AHU",VLOOKUP("Chilled Water AHU",_Chiller!N:P,2,FALSE)+VLOOKUP(N17,_Chiller!N:P,2,FALSE)*IF(O17="Yes",2,1),
IF(M17="Chilled Water FCU",VLOOKUP("Chilled Water FCU",_Chiller!N:P,2,FALSE),
IF(M17="Pump",VLOOKUP("Pump",_Chiller!N:P,2,FALSE)+IF(Q17="Yes",0,VLOOKUP(N17,_Chiller!N:P,2,FALSE)),
IF(M17="Air Cooled Chiller",VLOOKUP("Air Cooled Chiller",_Chiller!N:P,2,FALSE),"NOT")))))
+
IF(M17="Pump",F17*(VLOOKUP("2.5mm Twin and Earth",'Part List'!A:G,3,FALSE)+VLOOKUP("Switchboard Cable 1mm",'Part List'!A:G,3,FALSE)),
IF(M17="Air Cooled Chiller",777000,
F17*(VLOOKUP("7030 2 pair TCAS7302P",'Part List'!A:G,3,FALSE)+VLOOKUP("4mm Cable 3 core and Earth",'Part List'!A:G,3,FALSE))))</f>
        <v>#VALUE!</v>
      </c>
      <c r="J17" s="430" t="e">
        <f>IF(M17="EDH",VLOOKUP("EDH",_Chiller!N:P,3,FALSE),
IF(M17="Chilled Water AHU",VLOOKUP("Chilled Water AHU",_Chiller!N:P,3,FALSE)+(VLOOKUP(N17,_Chiller!N:P,3,FALSE)*IF(O17="Yes",2,1)),
IF(M17="Chilled Water FCU",VLOOKUP("Chilled Water FCU",_Chiller!N:P,3,FALSE),
IF(M17="Pump",VLOOKUP("Pump",_Chiller!N:P,3,FALSE)+IF(Q17="Yes",0,VLOOKUP(N17,_Chiller!N:P,3,FALSE)),
IF(M17="Air Cooled Chiller",VLOOKUP("Air Cooled Chiller",_Chiller!N:P,3,FALSE),"NOT")))))
+
IF(M17="Pump",F17*(VLOOKUP("2.5mm Twin and Earth",'Part List'!A:G,5,FALSE)+VLOOKUP("Switchboard Cable 1mm",'Part List'!A:G,5,FALSE)),
IF(M17="Air Cooled Chiller",777000,
F17*(VLOOKUP("7030 2 pair TCAS7302P",'Part List'!A:G,5,FALSE)+VLOOKUP("4mm Cable 3 core and Earth",'Part List'!A:G,5,FALSE))))</f>
        <v>#VALUE!</v>
      </c>
      <c r="K17" s="430" t="b">
        <f>IF(COUNTBLANK(L17:R17)=0,
IF(M17="Chilled Water FCU",VLOOKUP(M17,_Chiller!$A$18:$D$25,3,FALSE),
IF(M17="Chilled Water AHU",_xlfn.CONCAT(VLOOKUP(M17,_Chiller!$A$18:$D$25,3,FALSE), VLOOKUP(N17,_Chiller!$A$25:$B$27,2,FALSE),IF(O17="Yes","D",""),IF(P17="Yes","F","")),
IF(M17="Pump",_xlfn.CONCAT(VLOOKUP(M17,_Chiller!$A$18:$D$25,3,FALSE),IF(Q17="Yes", "D", VLOOKUP(N17,_Chiller!$A$25:$B$27,2,FALSE))),
IF(M17="EDH",VLOOKUP(M17,_Chiller!$A$18:$D$25,3,FALSE),
IF(M17="Air Cooled Chiller",VLOOKUP(M17,_Chiller!$A$18:$D$25,3,FALSE),
"INVALID"))))))</f>
        <v>0</v>
      </c>
      <c r="L17" s="430" t="s">
        <v>678</v>
      </c>
      <c r="M17" s="430"/>
      <c r="N17" s="430"/>
      <c r="O17" s="430"/>
      <c r="P17" s="430"/>
      <c r="Q17" s="430"/>
      <c r="R17" s="430"/>
      <c r="S17" s="430"/>
      <c r="T17" s="430"/>
      <c r="U17" s="430"/>
      <c r="V17" s="432" t="str">
        <f t="shared" si="21"/>
        <v/>
      </c>
      <c r="W17" s="114">
        <f t="shared" si="3"/>
        <v>0</v>
      </c>
      <c r="X17" s="114" t="str">
        <f>_xlfn.CONCAT(E17," (",VLOOKUP(E17,[1]Backend!C:D,2,FALSE),")")</f>
        <v xml:space="preserve"> (Zero)</v>
      </c>
      <c r="Y17" s="114" t="e">
        <f>_xlfn.CONCAT(W17," - Electrical power supply and controls to ",X17,VLOOKUP(M17,_Chiller!$A$18:$D$22,2,FALSE))</f>
        <v>#N/A</v>
      </c>
      <c r="Z17" s="114" t="str">
        <f t="shared" si="9"/>
        <v xml:space="preserve"> with: </v>
      </c>
      <c r="AA17" s="114" t="str">
        <f>_xlfn.CONCAT(
IF(AI17,VLOOKUP(N17,_Chiller!$N:$T,4,FALSE),""),
IF(AJ17,VLOOKUP($O$1,_Chiller!$N:$T,4,FALSE),""),
IF(AK17,VLOOKUP($P$1,_Chiller!$N:$T,4,FALSE),""),
IF(AL17,VLOOKUP($Q$1,_Chiller!$N:$T,4,FALSE),""),
IF(AM17,VLOOKUP($R$1,_Chiller!$N:$T,4,FALSE),""))</f>
        <v/>
      </c>
      <c r="AB17" s="114" t="str">
        <f t="shared" si="10"/>
        <v>from MSSB Power Supply</v>
      </c>
      <c r="AC17" s="114" t="e">
        <f t="shared" si="20"/>
        <v>#N/A</v>
      </c>
      <c r="AD17" s="114" t="str">
        <f t="shared" si="11"/>
        <v>0.1 - This includes supply and install of power and controls.</v>
      </c>
      <c r="AE17" s="114" t="e">
        <f>_xlfn.CONCAT(W17,".2 - Power for system includes: CB and cabling to ",VLOOKUP(M17,_Chiller!$A$18:$D$22,4,FALSE)," from MSSB, and local isolator,")</f>
        <v>#N/A</v>
      </c>
      <c r="AF17" s="114" t="str">
        <f t="shared" si="19"/>
        <v xml:space="preserve">0.3 - Controls for system includes: { CONTROLS FOR: 0}, { CONTROLS FOR: 0}, </v>
      </c>
      <c r="AG17" s="114" t="str">
        <f>_xlfn.CONCAT(VLOOKUP(M17,_Chiller!AF:AG,2,FALSE),
IF(AI17,VLOOKUP(N17,_Chiller!AF:AG,2,FALSE),""),
IF(AJ17,VLOOKUP($AJ$1,_Chiller!AF:AG,2,FALSE),""),
IF(AK17,VLOOKUP($AK$1,_Chiller!AF:AG,2,FALSE),""),
IF(AL17,VLOOKUP($AL$1,_Chiller!AF:AG,2,FALSE),""),
IF(AM17,VLOOKUP($AM$1,_Chiller!AF:AG,2,FALSE),""),
IF(AN17,VLOOKUP($AN$1,_Chiller!AF:AG,2,FALSE),""),
IF(AO17,VLOOKUP($AO$1,_Chiller!AF:AG,2,FALSE),""),
IF(AP17,VLOOKUP($AP$1,_Chiller!AF:AG,2,FALSE),""),
)</f>
        <v xml:space="preserve">{ CONTROLS FOR: 0}, { CONTROLS FOR: 0}, </v>
      </c>
      <c r="AI17" s="114" t="b">
        <f t="shared" si="12"/>
        <v>1</v>
      </c>
      <c r="AJ17" s="114" t="b">
        <f t="shared" si="13"/>
        <v>0</v>
      </c>
      <c r="AK17" s="114" t="b">
        <f t="shared" si="14"/>
        <v>0</v>
      </c>
      <c r="AL17" s="114" t="b">
        <f t="shared" si="15"/>
        <v>0</v>
      </c>
      <c r="AM17" s="114" t="b">
        <v>0</v>
      </c>
      <c r="AN17" s="114" t="b">
        <f t="shared" si="16"/>
        <v>0</v>
      </c>
      <c r="AO17" s="114" t="b">
        <f t="shared" si="17"/>
        <v>0</v>
      </c>
      <c r="AP17" s="114" t="b">
        <f t="shared" si="18"/>
        <v>0</v>
      </c>
      <c r="AS17" s="114" t="e">
        <f>_xlfn.CONCAT(VLOOKUP(M17,_Chiller!$A$18:$D$22,2,FALSE),Z17,AA17)</f>
        <v>#N/A</v>
      </c>
    </row>
    <row r="18" spans="1:45" x14ac:dyDescent="0.4">
      <c r="A18" s="429" t="str">
        <f t="shared" si="1"/>
        <v>INVALID</v>
      </c>
      <c r="B18" s="430" t="str">
        <f t="shared" si="5"/>
        <v>CH 17</v>
      </c>
      <c r="C18" s="431">
        <f t="shared" si="6"/>
        <v>0</v>
      </c>
      <c r="D18" s="430">
        <f t="shared" si="7"/>
        <v>0</v>
      </c>
      <c r="E18" s="430"/>
      <c r="F18" s="430">
        <f t="shared" si="8"/>
        <v>20</v>
      </c>
      <c r="G18" s="430"/>
      <c r="H18" s="430"/>
      <c r="I18" s="430" t="e">
        <f>IF(M18="EDH",VLOOKUP("EDH",_Chiller!N:P,2,FALSE),
IF(M18="Chilled Water AHU",VLOOKUP("Chilled Water AHU",_Chiller!N:P,2,FALSE)+VLOOKUP(N18,_Chiller!N:P,2,FALSE)*IF(O18="Yes",2,1),
IF(M18="Chilled Water FCU",VLOOKUP("Chilled Water FCU",_Chiller!N:P,2,FALSE),
IF(M18="Pump",VLOOKUP("Pump",_Chiller!N:P,2,FALSE)+IF(Q18="Yes",0,VLOOKUP(N18,_Chiller!N:P,2,FALSE)),
IF(M18="Air Cooled Chiller",VLOOKUP("Air Cooled Chiller",_Chiller!N:P,2,FALSE),"NOT")))))
+
IF(M18="Pump",F18*(VLOOKUP("2.5mm Twin and Earth",'Part List'!A:G,3,FALSE)+VLOOKUP("Switchboard Cable 1mm",'Part List'!A:G,3,FALSE)),
IF(M18="Air Cooled Chiller",777000,
F18*(VLOOKUP("7030 2 pair TCAS7302P",'Part List'!A:G,3,FALSE)+VLOOKUP("4mm Cable 3 core and Earth",'Part List'!A:G,3,FALSE))))</f>
        <v>#VALUE!</v>
      </c>
      <c r="J18" s="430" t="e">
        <f>IF(M18="EDH",VLOOKUP("EDH",_Chiller!N:P,3,FALSE),
IF(M18="Chilled Water AHU",VLOOKUP("Chilled Water AHU",_Chiller!N:P,3,FALSE)+(VLOOKUP(N18,_Chiller!N:P,3,FALSE)*IF(O18="Yes",2,1)),
IF(M18="Chilled Water FCU",VLOOKUP("Chilled Water FCU",_Chiller!N:P,3,FALSE),
IF(M18="Pump",VLOOKUP("Pump",_Chiller!N:P,3,FALSE)+IF(Q18="Yes",0,VLOOKUP(N18,_Chiller!N:P,3,FALSE)),
IF(M18="Air Cooled Chiller",VLOOKUP("Air Cooled Chiller",_Chiller!N:P,3,FALSE),"NOT")))))
+
IF(M18="Pump",F18*(VLOOKUP("2.5mm Twin and Earth",'Part List'!A:G,5,FALSE)+VLOOKUP("Switchboard Cable 1mm",'Part List'!A:G,5,FALSE)),
IF(M18="Air Cooled Chiller",777000,
F18*(VLOOKUP("7030 2 pair TCAS7302P",'Part List'!A:G,5,FALSE)+VLOOKUP("4mm Cable 3 core and Earth",'Part List'!A:G,5,FALSE))))</f>
        <v>#VALUE!</v>
      </c>
      <c r="K18" s="430" t="b">
        <f>IF(COUNTBLANK(L18:R18)=0,
IF(M18="Chilled Water FCU",VLOOKUP(M18,_Chiller!$A$18:$D$25,3,FALSE),
IF(M18="Chilled Water AHU",_xlfn.CONCAT(VLOOKUP(M18,_Chiller!$A$18:$D$25,3,FALSE), VLOOKUP(N18,_Chiller!$A$25:$B$27,2,FALSE),IF(O18="Yes","D",""),IF(P18="Yes","F","")),
IF(M18="Pump",_xlfn.CONCAT(VLOOKUP(M18,_Chiller!$A$18:$D$25,3,FALSE),IF(Q18="Yes", "D", VLOOKUP(N18,_Chiller!$A$25:$B$27,2,FALSE))),
IF(M18="EDH",VLOOKUP(M18,_Chiller!$A$18:$D$25,3,FALSE),
IF(M18="Air Cooled Chiller",VLOOKUP(M18,_Chiller!$A$18:$D$25,3,FALSE),
"INVALID"))))))</f>
        <v>0</v>
      </c>
      <c r="L18" s="430" t="s">
        <v>678</v>
      </c>
      <c r="M18" s="430"/>
      <c r="N18" s="430"/>
      <c r="O18" s="430"/>
      <c r="P18" s="430"/>
      <c r="Q18" s="430"/>
      <c r="R18" s="430"/>
      <c r="S18" s="430"/>
      <c r="T18" s="430"/>
      <c r="U18" s="430"/>
      <c r="V18" s="432" t="str">
        <f t="shared" si="21"/>
        <v/>
      </c>
      <c r="W18" s="114">
        <f t="shared" si="3"/>
        <v>0</v>
      </c>
      <c r="X18" s="114" t="str">
        <f>_xlfn.CONCAT(E18," (",VLOOKUP(E18,[1]Backend!C:D,2,FALSE),")")</f>
        <v xml:space="preserve"> (Zero)</v>
      </c>
      <c r="Y18" s="114" t="e">
        <f>_xlfn.CONCAT(W18," - Electrical power supply and controls to ",X18,VLOOKUP(M18,_Chiller!$A$18:$D$22,2,FALSE))</f>
        <v>#N/A</v>
      </c>
      <c r="Z18" s="114" t="str">
        <f t="shared" si="9"/>
        <v xml:space="preserve"> with: </v>
      </c>
      <c r="AA18" s="114" t="str">
        <f>_xlfn.CONCAT(
IF(AI18,VLOOKUP(N18,_Chiller!$N:$T,4,FALSE),""),
IF(AJ18,VLOOKUP($O$1,_Chiller!$N:$T,4,FALSE),""),
IF(AK18,VLOOKUP($P$1,_Chiller!$N:$T,4,FALSE),""),
IF(AL18,VLOOKUP($Q$1,_Chiller!$N:$T,4,FALSE),""),
IF(AM18,VLOOKUP($R$1,_Chiller!$N:$T,4,FALSE),""))</f>
        <v/>
      </c>
      <c r="AB18" s="114" t="str">
        <f t="shared" si="10"/>
        <v>from MSSB Power Supply</v>
      </c>
      <c r="AC18" s="114" t="e">
        <f t="shared" si="20"/>
        <v>#N/A</v>
      </c>
      <c r="AD18" s="114" t="str">
        <f t="shared" si="11"/>
        <v>0.1 - This includes supply and install of power and controls.</v>
      </c>
      <c r="AE18" s="114" t="e">
        <f>_xlfn.CONCAT(W18,".2 - Power for system includes: CB and cabling to ",VLOOKUP(M18,_Chiller!$A$18:$D$22,4,FALSE)," from MSSB, and local isolator,")</f>
        <v>#N/A</v>
      </c>
      <c r="AF18" s="114" t="str">
        <f t="shared" si="19"/>
        <v xml:space="preserve">0.3 - Controls for system includes: { CONTROLS FOR: 0}, { CONTROLS FOR: 0}, </v>
      </c>
      <c r="AG18" s="114" t="str">
        <f>_xlfn.CONCAT(VLOOKUP(M18,_Chiller!AF:AG,2,FALSE),
IF(AI18,VLOOKUP(N18,_Chiller!AF:AG,2,FALSE),""),
IF(AJ18,VLOOKUP($AJ$1,_Chiller!AF:AG,2,FALSE),""),
IF(AK18,VLOOKUP($AK$1,_Chiller!AF:AG,2,FALSE),""),
IF(AL18,VLOOKUP($AL$1,_Chiller!AF:AG,2,FALSE),""),
IF(AM18,VLOOKUP($AM$1,_Chiller!AF:AG,2,FALSE),""),
IF(AN18,VLOOKUP($AN$1,_Chiller!AF:AG,2,FALSE),""),
IF(AO18,VLOOKUP($AO$1,_Chiller!AF:AG,2,FALSE),""),
IF(AP18,VLOOKUP($AP$1,_Chiller!AF:AG,2,FALSE),""),
)</f>
        <v xml:space="preserve">{ CONTROLS FOR: 0}, { CONTROLS FOR: 0}, </v>
      </c>
      <c r="AI18" s="114" t="b">
        <f t="shared" si="12"/>
        <v>1</v>
      </c>
      <c r="AJ18" s="114" t="b">
        <f t="shared" si="13"/>
        <v>0</v>
      </c>
      <c r="AK18" s="114" t="b">
        <f t="shared" si="14"/>
        <v>0</v>
      </c>
      <c r="AL18" s="114" t="b">
        <f t="shared" si="15"/>
        <v>0</v>
      </c>
      <c r="AM18" s="114" t="b">
        <v>0</v>
      </c>
      <c r="AN18" s="114" t="b">
        <f t="shared" si="16"/>
        <v>0</v>
      </c>
      <c r="AO18" s="114" t="b">
        <f t="shared" si="17"/>
        <v>0</v>
      </c>
      <c r="AP18" s="114" t="b">
        <f t="shared" si="18"/>
        <v>0</v>
      </c>
      <c r="AS18" s="114" t="e">
        <f>_xlfn.CONCAT(VLOOKUP(M18,_Chiller!$A$18:$D$22,2,FALSE),Z18,AA18)</f>
        <v>#N/A</v>
      </c>
    </row>
    <row r="19" spans="1:45" x14ac:dyDescent="0.4">
      <c r="A19" s="429" t="str">
        <f t="shared" si="1"/>
        <v>INVALID</v>
      </c>
      <c r="B19" s="430" t="str">
        <f t="shared" si="5"/>
        <v>CH 18</v>
      </c>
      <c r="C19" s="431">
        <f t="shared" si="6"/>
        <v>0</v>
      </c>
      <c r="D19" s="430">
        <f t="shared" si="7"/>
        <v>0</v>
      </c>
      <c r="E19" s="430"/>
      <c r="F19" s="430">
        <f t="shared" si="8"/>
        <v>20</v>
      </c>
      <c r="G19" s="430"/>
      <c r="H19" s="430"/>
      <c r="I19" s="430" t="e">
        <f>IF(M19="EDH",VLOOKUP("EDH",_Chiller!N:P,2,FALSE),
IF(M19="Chilled Water AHU",VLOOKUP("Chilled Water AHU",_Chiller!N:P,2,FALSE)+VLOOKUP(N19,_Chiller!N:P,2,FALSE)*IF(O19="Yes",2,1),
IF(M19="Chilled Water FCU",VLOOKUP("Chilled Water FCU",_Chiller!N:P,2,FALSE),
IF(M19="Pump",VLOOKUP("Pump",_Chiller!N:P,2,FALSE)+IF(Q19="Yes",0,VLOOKUP(N19,_Chiller!N:P,2,FALSE)),
IF(M19="Air Cooled Chiller",VLOOKUP("Air Cooled Chiller",_Chiller!N:P,2,FALSE),"NOT")))))
+
IF(M19="Pump",F19*(VLOOKUP("2.5mm Twin and Earth",'Part List'!A:G,3,FALSE)+VLOOKUP("Switchboard Cable 1mm",'Part List'!A:G,3,FALSE)),
IF(M19="Air Cooled Chiller",777000,
F19*(VLOOKUP("7030 2 pair TCAS7302P",'Part List'!A:G,3,FALSE)+VLOOKUP("4mm Cable 3 core and Earth",'Part List'!A:G,3,FALSE))))</f>
        <v>#VALUE!</v>
      </c>
      <c r="J19" s="430" t="e">
        <f>IF(M19="EDH",VLOOKUP("EDH",_Chiller!N:P,3,FALSE),
IF(M19="Chilled Water AHU",VLOOKUP("Chilled Water AHU",_Chiller!N:P,3,FALSE)+(VLOOKUP(N19,_Chiller!N:P,3,FALSE)*IF(O19="Yes",2,1)),
IF(M19="Chilled Water FCU",VLOOKUP("Chilled Water FCU",_Chiller!N:P,3,FALSE),
IF(M19="Pump",VLOOKUP("Pump",_Chiller!N:P,3,FALSE)+IF(Q19="Yes",0,VLOOKUP(N19,_Chiller!N:P,3,FALSE)),
IF(M19="Air Cooled Chiller",VLOOKUP("Air Cooled Chiller",_Chiller!N:P,3,FALSE),"NOT")))))
+
IF(M19="Pump",F19*(VLOOKUP("2.5mm Twin and Earth",'Part List'!A:G,5,FALSE)+VLOOKUP("Switchboard Cable 1mm",'Part List'!A:G,5,FALSE)),
IF(M19="Air Cooled Chiller",777000,
F19*(VLOOKUP("7030 2 pair TCAS7302P",'Part List'!A:G,5,FALSE)+VLOOKUP("4mm Cable 3 core and Earth",'Part List'!A:G,5,FALSE))))</f>
        <v>#VALUE!</v>
      </c>
      <c r="K19" s="430" t="b">
        <f>IF(COUNTBLANK(L19:R19)=0,
IF(M19="Chilled Water FCU",VLOOKUP(M19,_Chiller!$A$18:$D$25,3,FALSE),
IF(M19="Chilled Water AHU",_xlfn.CONCAT(VLOOKUP(M19,_Chiller!$A$18:$D$25,3,FALSE), VLOOKUP(N19,_Chiller!$A$25:$B$27,2,FALSE),IF(O19="Yes","D",""),IF(P19="Yes","F","")),
IF(M19="Pump",_xlfn.CONCAT(VLOOKUP(M19,_Chiller!$A$18:$D$25,3,FALSE),IF(Q19="Yes", "D", VLOOKUP(N19,_Chiller!$A$25:$B$27,2,FALSE))),
IF(M19="EDH",VLOOKUP(M19,_Chiller!$A$18:$D$25,3,FALSE),
IF(M19="Air Cooled Chiller",VLOOKUP(M19,_Chiller!$A$18:$D$25,3,FALSE),
"INVALID"))))))</f>
        <v>0</v>
      </c>
      <c r="L19" s="430" t="s">
        <v>678</v>
      </c>
      <c r="M19" s="430"/>
      <c r="N19" s="430"/>
      <c r="O19" s="430"/>
      <c r="P19" s="430"/>
      <c r="Q19" s="430"/>
      <c r="R19" s="430"/>
      <c r="S19" s="430"/>
      <c r="T19" s="430"/>
      <c r="U19" s="430"/>
      <c r="V19" s="432" t="str">
        <f t="shared" si="21"/>
        <v/>
      </c>
      <c r="W19" s="114">
        <f t="shared" si="3"/>
        <v>0</v>
      </c>
      <c r="X19" s="114" t="str">
        <f>_xlfn.CONCAT(E19," (",VLOOKUP(E19,[1]Backend!C:D,2,FALSE),")")</f>
        <v xml:space="preserve"> (Zero)</v>
      </c>
      <c r="Y19" s="114" t="e">
        <f>_xlfn.CONCAT(W19," - Electrical power supply and controls to ",X19,VLOOKUP(M19,_Chiller!$A$18:$D$22,2,FALSE))</f>
        <v>#N/A</v>
      </c>
      <c r="Z19" s="114" t="str">
        <f t="shared" si="9"/>
        <v xml:space="preserve"> with: </v>
      </c>
      <c r="AA19" s="114" t="str">
        <f>_xlfn.CONCAT(
IF(AI19,VLOOKUP(N19,_Chiller!$N:$T,4,FALSE),""),
IF(AJ19,VLOOKUP($O$1,_Chiller!$N:$T,4,FALSE),""),
IF(AK19,VLOOKUP($P$1,_Chiller!$N:$T,4,FALSE),""),
IF(AL19,VLOOKUP($Q$1,_Chiller!$N:$T,4,FALSE),""),
IF(AM19,VLOOKUP($R$1,_Chiller!$N:$T,4,FALSE),""))</f>
        <v/>
      </c>
      <c r="AB19" s="114" t="str">
        <f t="shared" si="10"/>
        <v>from MSSB Power Supply</v>
      </c>
      <c r="AC19" s="114" t="e">
        <f t="shared" si="20"/>
        <v>#N/A</v>
      </c>
      <c r="AD19" s="114" t="str">
        <f t="shared" si="11"/>
        <v>0.1 - This includes supply and install of power and controls.</v>
      </c>
      <c r="AE19" s="114" t="e">
        <f>_xlfn.CONCAT(W19,".2 - Power for system includes: CB and cabling to ",VLOOKUP(M19,_Chiller!$A$18:$D$22,4,FALSE)," from MSSB, and local isolator,")</f>
        <v>#N/A</v>
      </c>
      <c r="AF19" s="114" t="str">
        <f t="shared" si="19"/>
        <v xml:space="preserve">0.3 - Controls for system includes: { CONTROLS FOR: 0}, { CONTROLS FOR: 0}, </v>
      </c>
      <c r="AG19" s="114" t="str">
        <f>_xlfn.CONCAT(VLOOKUP(M19,_Chiller!AF:AG,2,FALSE),
IF(AI19,VLOOKUP(N19,_Chiller!AF:AG,2,FALSE),""),
IF(AJ19,VLOOKUP($AJ$1,_Chiller!AF:AG,2,FALSE),""),
IF(AK19,VLOOKUP($AK$1,_Chiller!AF:AG,2,FALSE),""),
IF(AL19,VLOOKUP($AL$1,_Chiller!AF:AG,2,FALSE),""),
IF(AM19,VLOOKUP($AM$1,_Chiller!AF:AG,2,FALSE),""),
IF(AN19,VLOOKUP($AN$1,_Chiller!AF:AG,2,FALSE),""),
IF(AO19,VLOOKUP($AO$1,_Chiller!AF:AG,2,FALSE),""),
IF(AP19,VLOOKUP($AP$1,_Chiller!AF:AG,2,FALSE),""),
)</f>
        <v xml:space="preserve">{ CONTROLS FOR: 0}, { CONTROLS FOR: 0}, </v>
      </c>
      <c r="AI19" s="114" t="b">
        <f t="shared" si="12"/>
        <v>1</v>
      </c>
      <c r="AJ19" s="114" t="b">
        <f t="shared" si="13"/>
        <v>0</v>
      </c>
      <c r="AK19" s="114" t="b">
        <f t="shared" si="14"/>
        <v>0</v>
      </c>
      <c r="AL19" s="114" t="b">
        <f t="shared" si="15"/>
        <v>0</v>
      </c>
      <c r="AM19" s="114" t="b">
        <v>0</v>
      </c>
      <c r="AN19" s="114" t="b">
        <f t="shared" si="16"/>
        <v>0</v>
      </c>
      <c r="AO19" s="114" t="b">
        <f t="shared" si="17"/>
        <v>0</v>
      </c>
      <c r="AP19" s="114" t="b">
        <f t="shared" si="18"/>
        <v>0</v>
      </c>
      <c r="AS19" s="114" t="e">
        <f>_xlfn.CONCAT(VLOOKUP(M19,_Chiller!$A$18:$D$22,2,FALSE),Z19,AA19)</f>
        <v>#N/A</v>
      </c>
    </row>
    <row r="20" spans="1:45" x14ac:dyDescent="0.4">
      <c r="A20" s="429" t="str">
        <f t="shared" si="1"/>
        <v>INVALID</v>
      </c>
      <c r="B20" s="430" t="str">
        <f t="shared" si="5"/>
        <v>CH 19</v>
      </c>
      <c r="C20" s="431">
        <f t="shared" si="6"/>
        <v>0</v>
      </c>
      <c r="D20" s="430">
        <f t="shared" si="7"/>
        <v>0</v>
      </c>
      <c r="E20" s="430"/>
      <c r="F20" s="430">
        <f t="shared" si="8"/>
        <v>20</v>
      </c>
      <c r="G20" s="430"/>
      <c r="H20" s="430"/>
      <c r="I20" s="430" t="e">
        <f>IF(M20="EDH",VLOOKUP("EDH",_Chiller!N:P,2,FALSE),
IF(M20="Chilled Water AHU",VLOOKUP("Chilled Water AHU",_Chiller!N:P,2,FALSE)+VLOOKUP(N20,_Chiller!N:P,2,FALSE)*IF(O20="Yes",2,1),
IF(M20="Chilled Water FCU",VLOOKUP("Chilled Water FCU",_Chiller!N:P,2,FALSE),
IF(M20="Pump",VLOOKUP("Pump",_Chiller!N:P,2,FALSE)+IF(Q20="Yes",0,VLOOKUP(N20,_Chiller!N:P,2,FALSE)),
IF(M20="Air Cooled Chiller",VLOOKUP("Air Cooled Chiller",_Chiller!N:P,2,FALSE),"NOT")))))
+
IF(M20="Pump",F20*(VLOOKUP("2.5mm Twin and Earth",'Part List'!A:G,3,FALSE)+VLOOKUP("Switchboard Cable 1mm",'Part List'!A:G,3,FALSE)),
IF(M20="Air Cooled Chiller",777000,
F20*(VLOOKUP("7030 2 pair TCAS7302P",'Part List'!A:G,3,FALSE)+VLOOKUP("4mm Cable 3 core and Earth",'Part List'!A:G,3,FALSE))))</f>
        <v>#VALUE!</v>
      </c>
      <c r="J20" s="430" t="e">
        <f>IF(M20="EDH",VLOOKUP("EDH",_Chiller!N:P,3,FALSE),
IF(M20="Chilled Water AHU",VLOOKUP("Chilled Water AHU",_Chiller!N:P,3,FALSE)+(VLOOKUP(N20,_Chiller!N:P,3,FALSE)*IF(O20="Yes",2,1)),
IF(M20="Chilled Water FCU",VLOOKUP("Chilled Water FCU",_Chiller!N:P,3,FALSE),
IF(M20="Pump",VLOOKUP("Pump",_Chiller!N:P,3,FALSE)+IF(Q20="Yes",0,VLOOKUP(N20,_Chiller!N:P,3,FALSE)),
IF(M20="Air Cooled Chiller",VLOOKUP("Air Cooled Chiller",_Chiller!N:P,3,FALSE),"NOT")))))
+
IF(M20="Pump",F20*(VLOOKUP("2.5mm Twin and Earth",'Part List'!A:G,5,FALSE)+VLOOKUP("Switchboard Cable 1mm",'Part List'!A:G,5,FALSE)),
IF(M20="Air Cooled Chiller",777000,
F20*(VLOOKUP("7030 2 pair TCAS7302P",'Part List'!A:G,5,FALSE)+VLOOKUP("4mm Cable 3 core and Earth",'Part List'!A:G,5,FALSE))))</f>
        <v>#VALUE!</v>
      </c>
      <c r="K20" s="430" t="b">
        <f>IF(COUNTBLANK(L20:R20)=0,
IF(M20="Chilled Water FCU",VLOOKUP(M20,_Chiller!$A$18:$D$25,3,FALSE),
IF(M20="Chilled Water AHU",_xlfn.CONCAT(VLOOKUP(M20,_Chiller!$A$18:$D$25,3,FALSE), VLOOKUP(N20,_Chiller!$A$25:$B$27,2,FALSE),IF(O20="Yes","D",""),IF(P20="Yes","F","")),
IF(M20="Pump",_xlfn.CONCAT(VLOOKUP(M20,_Chiller!$A$18:$D$25,3,FALSE),IF(Q20="Yes", "D", VLOOKUP(N20,_Chiller!$A$25:$B$27,2,FALSE))),
IF(M20="EDH",VLOOKUP(M20,_Chiller!$A$18:$D$25,3,FALSE),
IF(M20="Air Cooled Chiller",VLOOKUP(M20,_Chiller!$A$18:$D$25,3,FALSE),
"INVALID"))))))</f>
        <v>0</v>
      </c>
      <c r="L20" s="430" t="s">
        <v>678</v>
      </c>
      <c r="M20" s="430"/>
      <c r="N20" s="430"/>
      <c r="O20" s="430"/>
      <c r="P20" s="430"/>
      <c r="Q20" s="430"/>
      <c r="R20" s="430"/>
      <c r="S20" s="430"/>
      <c r="T20" s="430"/>
      <c r="U20" s="430"/>
      <c r="V20" s="432" t="str">
        <f t="shared" si="21"/>
        <v/>
      </c>
      <c r="W20" s="114">
        <f t="shared" si="3"/>
        <v>0</v>
      </c>
      <c r="X20" s="114" t="str">
        <f>_xlfn.CONCAT(E20," (",VLOOKUP(E20,[1]Backend!C:D,2,FALSE),")")</f>
        <v xml:space="preserve"> (Zero)</v>
      </c>
      <c r="Y20" s="114" t="e">
        <f>_xlfn.CONCAT(W20," - Electrical power supply and controls to ",X20,VLOOKUP(M20,_Chiller!$A$18:$D$22,2,FALSE))</f>
        <v>#N/A</v>
      </c>
      <c r="Z20" s="114" t="str">
        <f t="shared" si="9"/>
        <v xml:space="preserve"> with: </v>
      </c>
      <c r="AA20" s="114" t="str">
        <f>_xlfn.CONCAT(
IF(AI20,VLOOKUP(N20,_Chiller!$N:$T,4,FALSE),""),
IF(AJ20,VLOOKUP($O$1,_Chiller!$N:$T,4,FALSE),""),
IF(AK20,VLOOKUP($P$1,_Chiller!$N:$T,4,FALSE),""),
IF(AL20,VLOOKUP($Q$1,_Chiller!$N:$T,4,FALSE),""),
IF(AM20,VLOOKUP($R$1,_Chiller!$N:$T,4,FALSE),""))</f>
        <v/>
      </c>
      <c r="AB20" s="114" t="str">
        <f t="shared" si="10"/>
        <v>from MSSB Power Supply</v>
      </c>
      <c r="AC20" s="114" t="e">
        <f t="shared" si="20"/>
        <v>#N/A</v>
      </c>
      <c r="AD20" s="114" t="str">
        <f t="shared" si="11"/>
        <v>0.1 - This includes supply and install of power and controls.</v>
      </c>
      <c r="AE20" s="114" t="e">
        <f>_xlfn.CONCAT(W20,".2 - Power for system includes: CB and cabling to ",VLOOKUP(M20,_Chiller!$A$18:$D$22,4,FALSE)," from MSSB, and local isolator,")</f>
        <v>#N/A</v>
      </c>
      <c r="AF20" s="114" t="str">
        <f t="shared" si="19"/>
        <v xml:space="preserve">0.3 - Controls for system includes: { CONTROLS FOR: 0}, { CONTROLS FOR: 0}, </v>
      </c>
      <c r="AG20" s="114" t="str">
        <f>_xlfn.CONCAT(VLOOKUP(M20,_Chiller!AF:AG,2,FALSE),
IF(AI20,VLOOKUP(N20,_Chiller!AF:AG,2,FALSE),""),
IF(AJ20,VLOOKUP($AJ$1,_Chiller!AF:AG,2,FALSE),""),
IF(AK20,VLOOKUP($AK$1,_Chiller!AF:AG,2,FALSE),""),
IF(AL20,VLOOKUP($AL$1,_Chiller!AF:AG,2,FALSE),""),
IF(AM20,VLOOKUP($AM$1,_Chiller!AF:AG,2,FALSE),""),
IF(AN20,VLOOKUP($AN$1,_Chiller!AF:AG,2,FALSE),""),
IF(AO20,VLOOKUP($AO$1,_Chiller!AF:AG,2,FALSE),""),
IF(AP20,VLOOKUP($AP$1,_Chiller!AF:AG,2,FALSE),""),
)</f>
        <v xml:space="preserve">{ CONTROLS FOR: 0}, { CONTROLS FOR: 0}, </v>
      </c>
      <c r="AI20" s="114" t="b">
        <f t="shared" si="12"/>
        <v>1</v>
      </c>
      <c r="AJ20" s="114" t="b">
        <f t="shared" si="13"/>
        <v>0</v>
      </c>
      <c r="AK20" s="114" t="b">
        <f t="shared" si="14"/>
        <v>0</v>
      </c>
      <c r="AL20" s="114" t="b">
        <f t="shared" si="15"/>
        <v>0</v>
      </c>
      <c r="AM20" s="114" t="b">
        <v>0</v>
      </c>
      <c r="AN20" s="114" t="b">
        <f t="shared" si="16"/>
        <v>0</v>
      </c>
      <c r="AO20" s="114" t="b">
        <f t="shared" si="17"/>
        <v>0</v>
      </c>
      <c r="AP20" s="114" t="b">
        <f t="shared" si="18"/>
        <v>0</v>
      </c>
      <c r="AS20" s="114" t="e">
        <f>_xlfn.CONCAT(VLOOKUP(M20,_Chiller!$A$18:$D$22,2,FALSE),Z20,AA20)</f>
        <v>#N/A</v>
      </c>
    </row>
    <row r="21" spans="1:45" x14ac:dyDescent="0.4">
      <c r="A21" s="429" t="str">
        <f t="shared" si="1"/>
        <v>INVALID</v>
      </c>
      <c r="B21" s="430" t="str">
        <f t="shared" si="5"/>
        <v>CH 20</v>
      </c>
      <c r="C21" s="431">
        <f t="shared" si="6"/>
        <v>0</v>
      </c>
      <c r="D21" s="430">
        <f t="shared" si="7"/>
        <v>0</v>
      </c>
      <c r="E21" s="430"/>
      <c r="F21" s="430">
        <f t="shared" si="8"/>
        <v>20</v>
      </c>
      <c r="G21" s="430"/>
      <c r="H21" s="430"/>
      <c r="I21" s="430" t="e">
        <f>IF(M21="EDH",VLOOKUP("EDH",_Chiller!N:P,2,FALSE),
IF(M21="Chilled Water AHU",VLOOKUP("Chilled Water AHU",_Chiller!N:P,2,FALSE)+VLOOKUP(N21,_Chiller!N:P,2,FALSE)*IF(O21="Yes",2,1),
IF(M21="Chilled Water FCU",VLOOKUP("Chilled Water FCU",_Chiller!N:P,2,FALSE),
IF(M21="Pump",VLOOKUP("Pump",_Chiller!N:P,2,FALSE)+IF(Q21="Yes",0,VLOOKUP(N21,_Chiller!N:P,2,FALSE)),
IF(M21="Air Cooled Chiller",VLOOKUP("Air Cooled Chiller",_Chiller!N:P,2,FALSE),"NOT")))))
+
IF(M21="Pump",F21*(VLOOKUP("2.5mm Twin and Earth",'Part List'!A:G,3,FALSE)+VLOOKUP("Switchboard Cable 1mm",'Part List'!A:G,3,FALSE)),
IF(M21="Air Cooled Chiller",777000,
F21*(VLOOKUP("7030 2 pair TCAS7302P",'Part List'!A:G,3,FALSE)+VLOOKUP("4mm Cable 3 core and Earth",'Part List'!A:G,3,FALSE))))</f>
        <v>#VALUE!</v>
      </c>
      <c r="J21" s="430" t="e">
        <f>IF(M21="EDH",VLOOKUP("EDH",_Chiller!N:P,3,FALSE),
IF(M21="Chilled Water AHU",VLOOKUP("Chilled Water AHU",_Chiller!N:P,3,FALSE)+(VLOOKUP(N21,_Chiller!N:P,3,FALSE)*IF(O21="Yes",2,1)),
IF(M21="Chilled Water FCU",VLOOKUP("Chilled Water FCU",_Chiller!N:P,3,FALSE),
IF(M21="Pump",VLOOKUP("Pump",_Chiller!N:P,3,FALSE)+IF(Q21="Yes",0,VLOOKUP(N21,_Chiller!N:P,3,FALSE)),
IF(M21="Air Cooled Chiller",VLOOKUP("Air Cooled Chiller",_Chiller!N:P,3,FALSE),"NOT")))))
+
IF(M21="Pump",F21*(VLOOKUP("2.5mm Twin and Earth",'Part List'!A:G,5,FALSE)+VLOOKUP("Switchboard Cable 1mm",'Part List'!A:G,5,FALSE)),
IF(M21="Air Cooled Chiller",777000,
F21*(VLOOKUP("7030 2 pair TCAS7302P",'Part List'!A:G,5,FALSE)+VLOOKUP("4mm Cable 3 core and Earth",'Part List'!A:G,5,FALSE))))</f>
        <v>#VALUE!</v>
      </c>
      <c r="K21" s="430" t="b">
        <f>IF(COUNTBLANK(L21:R21)=0,
IF(M21="Chilled Water FCU",VLOOKUP(M21,_Chiller!$A$18:$D$25,3,FALSE),
IF(M21="Chilled Water AHU",_xlfn.CONCAT(VLOOKUP(M21,_Chiller!$A$18:$D$25,3,FALSE), VLOOKUP(N21,_Chiller!$A$25:$B$27,2,FALSE),IF(O21="Yes","D",""),IF(P21="Yes","F","")),
IF(M21="Pump",_xlfn.CONCAT(VLOOKUP(M21,_Chiller!$A$18:$D$25,3,FALSE),IF(Q21="Yes", "D", VLOOKUP(N21,_Chiller!$A$25:$B$27,2,FALSE))),
IF(M21="EDH",VLOOKUP(M21,_Chiller!$A$18:$D$25,3,FALSE),
IF(M21="Air Cooled Chiller",VLOOKUP(M21,_Chiller!$A$18:$D$25,3,FALSE),
"INVALID"))))))</f>
        <v>0</v>
      </c>
      <c r="L21" s="430" t="s">
        <v>678</v>
      </c>
      <c r="M21" s="430"/>
      <c r="N21" s="430"/>
      <c r="O21" s="430"/>
      <c r="P21" s="430"/>
      <c r="Q21" s="430"/>
      <c r="R21" s="430"/>
      <c r="S21" s="430"/>
      <c r="T21" s="430"/>
      <c r="U21" s="430"/>
      <c r="V21" s="432" t="str">
        <f t="shared" si="21"/>
        <v/>
      </c>
      <c r="W21" s="114">
        <f t="shared" si="3"/>
        <v>0</v>
      </c>
      <c r="X21" s="114" t="str">
        <f>_xlfn.CONCAT(E21," (",VLOOKUP(E21,[1]Backend!C:D,2,FALSE),")")</f>
        <v xml:space="preserve"> (Zero)</v>
      </c>
      <c r="Y21" s="114" t="e">
        <f>_xlfn.CONCAT(W21," - Electrical power supply and controls to ",X21,VLOOKUP(M21,_Chiller!$A$18:$D$22,2,FALSE))</f>
        <v>#N/A</v>
      </c>
      <c r="Z21" s="114" t="str">
        <f t="shared" si="9"/>
        <v xml:space="preserve"> with: </v>
      </c>
      <c r="AA21" s="114" t="str">
        <f>_xlfn.CONCAT(
IF(AI21,VLOOKUP(N21,_Chiller!$N:$T,4,FALSE),""),
IF(AJ21,VLOOKUP($O$1,_Chiller!$N:$T,4,FALSE),""),
IF(AK21,VLOOKUP($P$1,_Chiller!$N:$T,4,FALSE),""),
IF(AL21,VLOOKUP($Q$1,_Chiller!$N:$T,4,FALSE),""),
IF(AM21,VLOOKUP($R$1,_Chiller!$N:$T,4,FALSE),""))</f>
        <v/>
      </c>
      <c r="AB21" s="114" t="str">
        <f t="shared" si="10"/>
        <v>from MSSB Power Supply</v>
      </c>
      <c r="AC21" s="114" t="e">
        <f t="shared" si="20"/>
        <v>#N/A</v>
      </c>
      <c r="AD21" s="114" t="str">
        <f t="shared" si="11"/>
        <v>0.1 - This includes supply and install of power and controls.</v>
      </c>
      <c r="AE21" s="114" t="e">
        <f>_xlfn.CONCAT(W21,".2 - Power for system includes: CB and cabling to ",VLOOKUP(M21,_Chiller!$A$18:$D$22,4,FALSE)," from MSSB, and local isolator,")</f>
        <v>#N/A</v>
      </c>
      <c r="AF21" s="114" t="str">
        <f t="shared" si="19"/>
        <v xml:space="preserve">0.3 - Controls for system includes: { CONTROLS FOR: 0}, { CONTROLS FOR: 0}, </v>
      </c>
      <c r="AG21" s="114" t="str">
        <f>_xlfn.CONCAT(VLOOKUP(M21,_Chiller!AF:AG,2,FALSE),
IF(AI21,VLOOKUP(N21,_Chiller!AF:AG,2,FALSE),""),
IF(AJ21,VLOOKUP($AJ$1,_Chiller!AF:AG,2,FALSE),""),
IF(AK21,VLOOKUP($AK$1,_Chiller!AF:AG,2,FALSE),""),
IF(AL21,VLOOKUP($AL$1,_Chiller!AF:AG,2,FALSE),""),
IF(AM21,VLOOKUP($AM$1,_Chiller!AF:AG,2,FALSE),""),
IF(AN21,VLOOKUP($AN$1,_Chiller!AF:AG,2,FALSE),""),
IF(AO21,VLOOKUP($AO$1,_Chiller!AF:AG,2,FALSE),""),
IF(AP21,VLOOKUP($AP$1,_Chiller!AF:AG,2,FALSE),""),
)</f>
        <v xml:space="preserve">{ CONTROLS FOR: 0}, { CONTROLS FOR: 0}, </v>
      </c>
      <c r="AI21" s="114" t="b">
        <f t="shared" si="12"/>
        <v>1</v>
      </c>
      <c r="AJ21" s="114" t="b">
        <f t="shared" si="13"/>
        <v>0</v>
      </c>
      <c r="AK21" s="114" t="b">
        <f t="shared" si="14"/>
        <v>0</v>
      </c>
      <c r="AL21" s="114" t="b">
        <f t="shared" si="15"/>
        <v>0</v>
      </c>
      <c r="AM21" s="114" t="b">
        <v>0</v>
      </c>
      <c r="AN21" s="114" t="b">
        <f t="shared" si="16"/>
        <v>0</v>
      </c>
      <c r="AO21" s="114" t="b">
        <f t="shared" si="17"/>
        <v>0</v>
      </c>
      <c r="AP21" s="114" t="b">
        <f t="shared" si="18"/>
        <v>0</v>
      </c>
      <c r="AS21" s="114" t="e">
        <f>_xlfn.CONCAT(VLOOKUP(M21,_Chiller!$A$18:$D$22,2,FALSE),Z21,AA21)</f>
        <v>#N/A</v>
      </c>
    </row>
    <row r="22" spans="1:45" x14ac:dyDescent="0.4">
      <c r="A22" s="429" t="str">
        <f t="shared" si="1"/>
        <v>INVALID</v>
      </c>
      <c r="B22" s="430" t="str">
        <f t="shared" si="5"/>
        <v>CH 21</v>
      </c>
      <c r="C22" s="431">
        <f t="shared" si="6"/>
        <v>0</v>
      </c>
      <c r="D22" s="430">
        <f t="shared" si="7"/>
        <v>0</v>
      </c>
      <c r="E22" s="430"/>
      <c r="F22" s="430">
        <f t="shared" si="8"/>
        <v>20</v>
      </c>
      <c r="G22" s="430"/>
      <c r="H22" s="430"/>
      <c r="I22" s="430" t="e">
        <f>IF(M22="EDH",VLOOKUP("EDH",_Chiller!N:P,2,FALSE),
IF(M22="Chilled Water AHU",VLOOKUP("Chilled Water AHU",_Chiller!N:P,2,FALSE)+VLOOKUP(N22,_Chiller!N:P,2,FALSE)*IF(O22="Yes",2,1),
IF(M22="Chilled Water FCU",VLOOKUP("Chilled Water FCU",_Chiller!N:P,2,FALSE),
IF(M22="Pump",VLOOKUP("Pump",_Chiller!N:P,2,FALSE)+IF(Q22="Yes",0,VLOOKUP(N22,_Chiller!N:P,2,FALSE)),
IF(M22="Air Cooled Chiller",VLOOKUP("Air Cooled Chiller",_Chiller!N:P,2,FALSE),"NOT")))))
+
IF(M22="Pump",F22*(VLOOKUP("2.5mm Twin and Earth",'Part List'!A:G,3,FALSE)+VLOOKUP("Switchboard Cable 1mm",'Part List'!A:G,3,FALSE)),
IF(M22="Air Cooled Chiller",777000,
F22*(VLOOKUP("7030 2 pair TCAS7302P",'Part List'!A:G,3,FALSE)+VLOOKUP("4mm Cable 3 core and Earth",'Part List'!A:G,3,FALSE))))</f>
        <v>#VALUE!</v>
      </c>
      <c r="J22" s="430" t="e">
        <f>IF(M22="EDH",VLOOKUP("EDH",_Chiller!N:P,3,FALSE),
IF(M22="Chilled Water AHU",VLOOKUP("Chilled Water AHU",_Chiller!N:P,3,FALSE)+(VLOOKUP(N22,_Chiller!N:P,3,FALSE)*IF(O22="Yes",2,1)),
IF(M22="Chilled Water FCU",VLOOKUP("Chilled Water FCU",_Chiller!N:P,3,FALSE),
IF(M22="Pump",VLOOKUP("Pump",_Chiller!N:P,3,FALSE)+IF(Q22="Yes",0,VLOOKUP(N22,_Chiller!N:P,3,FALSE)),
IF(M22="Air Cooled Chiller",VLOOKUP("Air Cooled Chiller",_Chiller!N:P,3,FALSE),"NOT")))))
+
IF(M22="Pump",F22*(VLOOKUP("2.5mm Twin and Earth",'Part List'!A:G,5,FALSE)+VLOOKUP("Switchboard Cable 1mm",'Part List'!A:G,5,FALSE)),
IF(M22="Air Cooled Chiller",777000,
F22*(VLOOKUP("7030 2 pair TCAS7302P",'Part List'!A:G,5,FALSE)+VLOOKUP("4mm Cable 3 core and Earth",'Part List'!A:G,5,FALSE))))</f>
        <v>#VALUE!</v>
      </c>
      <c r="K22" s="430" t="b">
        <f>IF(COUNTBLANK(L22:R22)=0,
IF(M22="Chilled Water FCU",VLOOKUP(M22,_Chiller!$A$18:$D$25,3,FALSE),
IF(M22="Chilled Water AHU",_xlfn.CONCAT(VLOOKUP(M22,_Chiller!$A$18:$D$25,3,FALSE), VLOOKUP(N22,_Chiller!$A$25:$B$27,2,FALSE),IF(O22="Yes","D",""),IF(P22="Yes","F","")),
IF(M22="Pump",_xlfn.CONCAT(VLOOKUP(M22,_Chiller!$A$18:$D$25,3,FALSE),IF(Q22="Yes", "D", VLOOKUP(N22,_Chiller!$A$25:$B$27,2,FALSE))),
IF(M22="EDH",VLOOKUP(M22,_Chiller!$A$18:$D$25,3,FALSE),
IF(M22="Air Cooled Chiller",VLOOKUP(M22,_Chiller!$A$18:$D$25,3,FALSE),
"INVALID"))))))</f>
        <v>0</v>
      </c>
      <c r="L22" s="430" t="s">
        <v>678</v>
      </c>
      <c r="M22" s="430"/>
      <c r="N22" s="430"/>
      <c r="O22" s="430"/>
      <c r="P22" s="430"/>
      <c r="Q22" s="430"/>
      <c r="R22" s="430"/>
      <c r="S22" s="430"/>
      <c r="T22" s="430"/>
      <c r="U22" s="430"/>
      <c r="V22" s="432" t="str">
        <f t="shared" si="21"/>
        <v/>
      </c>
      <c r="W22" s="114">
        <f t="shared" si="3"/>
        <v>0</v>
      </c>
      <c r="X22" s="114" t="str">
        <f>_xlfn.CONCAT(E22," (",VLOOKUP(E22,[1]Backend!C:D,2,FALSE),")")</f>
        <v xml:space="preserve"> (Zero)</v>
      </c>
      <c r="Y22" s="114" t="e">
        <f>_xlfn.CONCAT(W22," - Electrical power supply and controls to ",X22,VLOOKUP(M22,_Chiller!$A$18:$D$22,2,FALSE))</f>
        <v>#N/A</v>
      </c>
      <c r="Z22" s="114" t="str">
        <f t="shared" si="9"/>
        <v xml:space="preserve"> with: </v>
      </c>
      <c r="AA22" s="114" t="str">
        <f>_xlfn.CONCAT(
IF(AI22,VLOOKUP(N22,_Chiller!$N:$T,4,FALSE),""),
IF(AJ22,VLOOKUP($O$1,_Chiller!$N:$T,4,FALSE),""),
IF(AK22,VLOOKUP($P$1,_Chiller!$N:$T,4,FALSE),""),
IF(AL22,VLOOKUP($Q$1,_Chiller!$N:$T,4,FALSE),""),
IF(AM22,VLOOKUP($R$1,_Chiller!$N:$T,4,FALSE),""))</f>
        <v/>
      </c>
      <c r="AB22" s="114" t="str">
        <f t="shared" si="10"/>
        <v>from MSSB Power Supply</v>
      </c>
      <c r="AC22" s="114" t="e">
        <f t="shared" si="20"/>
        <v>#N/A</v>
      </c>
      <c r="AD22" s="114" t="str">
        <f t="shared" si="11"/>
        <v>0.1 - This includes supply and install of power and controls.</v>
      </c>
      <c r="AE22" s="114" t="e">
        <f>_xlfn.CONCAT(W22,".2 - Power for system includes: CB and cabling to ",VLOOKUP(M22,_Chiller!$A$18:$D$22,4,FALSE)," from MSSB, and local isolator,")</f>
        <v>#N/A</v>
      </c>
      <c r="AF22" s="114" t="str">
        <f t="shared" si="19"/>
        <v xml:space="preserve">0.3 - Controls for system includes: { CONTROLS FOR: 0}, { CONTROLS FOR: 0}, </v>
      </c>
      <c r="AG22" s="114" t="str">
        <f>_xlfn.CONCAT(VLOOKUP(M22,_Chiller!AF:AG,2,FALSE),
IF(AI22,VLOOKUP(N22,_Chiller!AF:AG,2,FALSE),""),
IF(AJ22,VLOOKUP($AJ$1,_Chiller!AF:AG,2,FALSE),""),
IF(AK22,VLOOKUP($AK$1,_Chiller!AF:AG,2,FALSE),""),
IF(AL22,VLOOKUP($AL$1,_Chiller!AF:AG,2,FALSE),""),
IF(AM22,VLOOKUP($AM$1,_Chiller!AF:AG,2,FALSE),""),
IF(AN22,VLOOKUP($AN$1,_Chiller!AF:AG,2,FALSE),""),
IF(AO22,VLOOKUP($AO$1,_Chiller!AF:AG,2,FALSE),""),
IF(AP22,VLOOKUP($AP$1,_Chiller!AF:AG,2,FALSE),""),
)</f>
        <v xml:space="preserve">{ CONTROLS FOR: 0}, { CONTROLS FOR: 0}, </v>
      </c>
      <c r="AI22" s="114" t="b">
        <f t="shared" si="12"/>
        <v>1</v>
      </c>
      <c r="AJ22" s="114" t="b">
        <f t="shared" si="13"/>
        <v>0</v>
      </c>
      <c r="AK22" s="114" t="b">
        <f t="shared" si="14"/>
        <v>0</v>
      </c>
      <c r="AL22" s="114" t="b">
        <f t="shared" si="15"/>
        <v>0</v>
      </c>
      <c r="AM22" s="114" t="b">
        <v>0</v>
      </c>
      <c r="AN22" s="114" t="b">
        <f t="shared" si="16"/>
        <v>0</v>
      </c>
      <c r="AO22" s="114" t="b">
        <f t="shared" si="17"/>
        <v>0</v>
      </c>
      <c r="AP22" s="114" t="b">
        <f t="shared" si="18"/>
        <v>0</v>
      </c>
      <c r="AS22" s="114" t="e">
        <f>_xlfn.CONCAT(VLOOKUP(M22,_Chiller!$A$18:$D$22,2,FALSE),Z22,AA22)</f>
        <v>#N/A</v>
      </c>
    </row>
    <row r="23" spans="1:45" x14ac:dyDescent="0.4">
      <c r="B23" s="296"/>
      <c r="F23" s="430"/>
    </row>
    <row r="24" spans="1:45" x14ac:dyDescent="0.4">
      <c r="B24" s="296"/>
      <c r="F24" s="430"/>
    </row>
    <row r="25" spans="1:45" x14ac:dyDescent="0.4">
      <c r="B25" s="296"/>
    </row>
  </sheetData>
  <conditionalFormatting sqref="A2:A22">
    <cfRule type="cellIs" dxfId="151" priority="13" operator="equal">
      <formula>"INVALID"</formula>
    </cfRule>
    <cfRule type="cellIs" dxfId="150" priority="14" operator="equal">
      <formula>"VALID"</formula>
    </cfRule>
  </conditionalFormatting>
  <conditionalFormatting sqref="L2:U22">
    <cfRule type="cellIs" dxfId="149" priority="12" operator="equal">
      <formula>$ZO$2</formula>
    </cfRule>
  </conditionalFormatting>
  <conditionalFormatting sqref="AF1:AF1048576">
    <cfRule type="colorScale" priority="11">
      <colorScale>
        <cfvo type="min"/>
        <cfvo type="max"/>
        <color rgb="FF63BE7B"/>
        <color rgb="FFFCFCFF"/>
      </colorScale>
    </cfRule>
  </conditionalFormatting>
  <dataValidations count="1">
    <dataValidation type="decimal" operator="greaterThanOrEqual" allowBlank="1" showInputMessage="1" showErrorMessage="1" promptTitle="[OVERRIDE] Hours" prompt="Override the default hours for the unit_x000a_" sqref="J2:J22" xr:uid="{6CCF0343-E912-43EB-BFCD-8B77329300A0}">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30817D58-5227-4936-BF27-0B0454750C3E}">
          <x14:formula1>
            <xm:f>_Fan!A$2:A$3</xm:f>
          </x14:formula1>
          <xm:sqref>L2:L22</xm:sqref>
        </x14:dataValidation>
        <x14:dataValidation type="list" allowBlank="1" showInputMessage="1" showErrorMessage="1" xr:uid="{D28A7F3B-F6D4-4A91-9377-9E1AD4BBCE1E}">
          <x14:formula1>
            <xm:f>_Chiller!B$2:B$6</xm:f>
          </x14:formula1>
          <xm:sqref>M2:U22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A2126A-FE96-4A8B-8E24-6BB1BFE9A14A}">
  <dimension ref="A1:AG38"/>
  <sheetViews>
    <sheetView topLeftCell="Q1"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ht="29.15" x14ac:dyDescent="0.4">
      <c r="A1" s="418" t="s">
        <v>676</v>
      </c>
      <c r="B1" s="418" t="str">
        <f>'@Chiller'!M1</f>
        <v>Type</v>
      </c>
      <c r="C1" s="418" t="str">
        <f>'@Chiller'!N1</f>
        <v>Size</v>
      </c>
      <c r="D1" s="418" t="str">
        <f>'@Chiller'!O1</f>
        <v>Dual Fan [CW AHU]</v>
      </c>
      <c r="E1" s="418" t="str">
        <f>'@Chiller'!P1</f>
        <v>Fire Ess. [CW AHU]</v>
      </c>
      <c r="F1" s="418" t="str">
        <f>'@Chiller'!Q1</f>
        <v>DOL
[PUMP]</v>
      </c>
      <c r="G1" s="418" t="str">
        <f>'@Chiller'!R1</f>
        <v>Precision Cooling</v>
      </c>
      <c r="H1" s="418" t="str">
        <f>'@Chiller'!S1</f>
        <v>Run On Timer</v>
      </c>
      <c r="I1" s="418" t="str">
        <f>'@Chiller'!T1</f>
        <v>Push Button</v>
      </c>
      <c r="J1" s="418" t="str">
        <f>'@Chiller'!U1</f>
        <v>Run Status Light</v>
      </c>
      <c r="N1" s="418" t="s">
        <v>995</v>
      </c>
      <c r="O1" s="418" t="s">
        <v>996</v>
      </c>
      <c r="P1" s="418" t="s">
        <v>997</v>
      </c>
      <c r="AG1" s="418" t="s">
        <v>1328</v>
      </c>
    </row>
    <row r="2" spans="1:33" x14ac:dyDescent="0.4">
      <c r="A2" s="114" t="s">
        <v>991</v>
      </c>
      <c r="B2" s="114" t="s">
        <v>1300</v>
      </c>
      <c r="C2" s="114" t="s">
        <v>1304</v>
      </c>
      <c r="D2" s="114" t="s">
        <v>886</v>
      </c>
      <c r="E2" s="114" t="s">
        <v>886</v>
      </c>
      <c r="F2" s="114" t="s">
        <v>886</v>
      </c>
      <c r="G2" s="114" t="s">
        <v>886</v>
      </c>
      <c r="H2" s="114" t="s">
        <v>886</v>
      </c>
      <c r="I2" s="114" t="s">
        <v>886</v>
      </c>
      <c r="J2" s="114" t="s">
        <v>886</v>
      </c>
      <c r="N2" s="114" t="str">
        <f>A2</f>
        <v>Local</v>
      </c>
      <c r="O2" s="114">
        <f>IFERROR(R3*VLOOKUP(R2,'Part List'!A:G,3,FALSE),0)
+IFERROR(S3*VLOOKUP(S2,'Part List'!A:G,3,FALSE),0)
+IFERROR(T3*VLOOKUP(T2,'Part List'!A:G,3,FALSE),0)
+IFERROR(U3*VLOOKUP(U2,'Part List'!A:G,3,FALSE),0)
+IFERROR(V3*VLOOKUP(V2,'Part List'!A:G,3,FALSE),0)
+IFERROR(W3*VLOOKUP(W2,'Part List'!A:G,3,FALSE),0)
+IFERROR(X3*VLOOKUP(X2,'Part List'!A:G,3,FALSE),0)
+IFERROR(Y3*VLOOKUP(Y2,'Part List'!A:G,3,FALSE),0)
+IFERROR(Z3*VLOOKUP(Z2,'Part List'!A:G,3,FALSE),0)
+IFERROR(AA3*VLOOKUP(AA2,'Part List'!A:G,3,FALSE),0)
+IFERROR(AB3*VLOOKUP(AB2,'Part List'!A:G,3,FALSE),0)
+IFERROR(AC3*VLOOKUP(AC2,'Part List'!A:G,3,FALSE),0)</f>
        <v>88.25</v>
      </c>
      <c r="P2" s="114">
        <f>IFERROR(R3*VLOOKUP(R2,'Part List'!A:G,5,FALSE),0)
+IFERROR(S3*VLOOKUP(S2,'Part List'!A:G,5,FALSE),0)
+IFERROR(T3*VLOOKUP(T2,'Part List'!A:G,5,FALSE),0)
+IFERROR(U3*VLOOKUP(U2,'Part List'!A:G,5,FALSE),0)
+IFERROR(V3*VLOOKUP(V2,'Part List'!A:G,5,FALSE),0)
+IFERROR(W3*VLOOKUP(W2,'Part List'!A:G,5,FALSE),0)
+IFERROR(X3*VLOOKUP(X2,'Part List'!A:G,5,FALSE),0)
+IFERROR(Y3*VLOOKUP(Y2,'Part List'!A:G,5,FALSE),0)
+IFERROR(Z3*VLOOKUP(Z2,'Part List'!A:G,5,FALSE),0)
+IFERROR(AA3*VLOOKUP(AA2,'Part List'!A:G,5,FALSE),0)
+IFERROR(AB3*VLOOKUP(AB2,'Part List'!A:G,5,FALSE),0)
+IFERROR(AC3*VLOOKUP(AC2,'Part List'!A:G,5,FALSE),0)</f>
        <v>1</v>
      </c>
      <c r="Q2" s="114" t="s">
        <v>998</v>
      </c>
      <c r="R2" s="114" t="s">
        <v>253</v>
      </c>
      <c r="S2" s="114" t="s">
        <v>999</v>
      </c>
      <c r="T2" s="114" t="s">
        <v>268</v>
      </c>
      <c r="U2" s="114" t="s">
        <v>1000</v>
      </c>
      <c r="V2" s="114" t="s">
        <v>1001</v>
      </c>
      <c r="AF2" s="114" t="str">
        <f>N2</f>
        <v>Local</v>
      </c>
    </row>
    <row r="3" spans="1:33" x14ac:dyDescent="0.4">
      <c r="A3" s="114" t="s">
        <v>678</v>
      </c>
      <c r="B3" s="114" t="s">
        <v>1299</v>
      </c>
      <c r="C3" s="114" t="s">
        <v>1305</v>
      </c>
      <c r="D3" s="114" t="s">
        <v>887</v>
      </c>
      <c r="E3" s="114" t="s">
        <v>887</v>
      </c>
      <c r="F3" s="114" t="s">
        <v>887</v>
      </c>
      <c r="G3" s="114" t="s">
        <v>887</v>
      </c>
      <c r="H3" s="114" t="s">
        <v>887</v>
      </c>
      <c r="I3" s="114" t="s">
        <v>887</v>
      </c>
      <c r="J3" s="114" t="s">
        <v>887</v>
      </c>
      <c r="R3" s="114">
        <v>1</v>
      </c>
      <c r="S3" s="114">
        <v>1</v>
      </c>
      <c r="T3" s="114" t="s">
        <v>1002</v>
      </c>
      <c r="U3" s="114">
        <v>1</v>
      </c>
      <c r="V3" s="114">
        <v>1</v>
      </c>
    </row>
    <row r="4" spans="1:33" x14ac:dyDescent="0.4">
      <c r="B4" s="114" t="s">
        <v>1301</v>
      </c>
      <c r="C4" s="114" t="s">
        <v>1306</v>
      </c>
      <c r="N4" s="114" t="str">
        <f>A3</f>
        <v>MSSB</v>
      </c>
      <c r="O4" s="114">
        <f>IFERROR(R5*VLOOKUP(R4,'Part List'!A:G,3,FALSE),0)
+IFERROR(S5*VLOOKUP(S4,'Part List'!A:G,3,FALSE),0)
+IFERROR(T5*VLOOKUP(T4,'Part List'!A:G,3,FALSE),0)
+IFERROR(U5*VLOOKUP(U4,'Part List'!A:G,3,FALSE),0)
+IFERROR(V5*VLOOKUP(V4,'Part List'!A:G,3,FALSE),0)
+IFERROR(W5*VLOOKUP(W4,'Part List'!A:G,3,FALSE),0)
+IFERROR(X5*VLOOKUP(X4,'Part List'!A:G,3,FALSE),0)
+IFERROR(Y5*VLOOKUP(Y4,'Part List'!A:G,3,FALSE),0)
+IFERROR(Z5*VLOOKUP(Z4,'Part List'!A:G,3,FALSE),0)
+IFERROR(AA5*VLOOKUP(AA4,'Part List'!A:G,3,FALSE),0)
+IFERROR(AB5*VLOOKUP(AB4,'Part List'!A:G,3,FALSE),0)
+IFERROR(AC5*VLOOKUP(AC4,'Part List'!A:G,3,FALSE),0)</f>
        <v>553.25</v>
      </c>
      <c r="P4" s="114">
        <f>IFERROR(R5*VLOOKUP(R4,'Part List'!A:G,5,FALSE),0)
+IFERROR(S5*VLOOKUP(S4,'Part List'!A:G,5,FALSE),0)
+IFERROR(T5*VLOOKUP(T4,'Part List'!A:G,5,FALSE),0)
+IFERROR(U5*VLOOKUP(U4,'Part List'!A:G,5,FALSE),0)
+IFERROR(V5*VLOOKUP(V4,'Part List'!A:G,5,FALSE),0)
+IFERROR(W5*VLOOKUP(W4,'Part List'!A:G,5,FALSE),0)
+IFERROR(X5*VLOOKUP(X4,'Part List'!A:G,5,FALSE),0)
+IFERROR(Y5*VLOOKUP(Y4,'Part List'!A:G,5,FALSE),0)
+IFERROR(Z5*VLOOKUP(Z4,'Part List'!A:G,5,FALSE),0)
+IFERROR(AA5*VLOOKUP(AA4,'Part List'!A:G,5,FALSE),0)
+IFERROR(AB5*VLOOKUP(AB4,'Part List'!A:G,5,FALSE),0)
+IFERROR(AC5*VLOOKUP(AC4,'Part List'!A:G,5,FALSE),0)</f>
        <v>2</v>
      </c>
      <c r="Q4" s="114" t="s">
        <v>1035</v>
      </c>
      <c r="R4" s="114" t="s">
        <v>253</v>
      </c>
      <c r="S4" s="114" t="s">
        <v>999</v>
      </c>
      <c r="T4" s="114" t="s">
        <v>268</v>
      </c>
      <c r="U4" s="114" t="s">
        <v>304</v>
      </c>
      <c r="V4" s="114" t="s">
        <v>1345</v>
      </c>
      <c r="W4" s="114" t="s">
        <v>1004</v>
      </c>
      <c r="X4" s="114" t="s">
        <v>1005</v>
      </c>
      <c r="Y4" s="114" t="s">
        <v>1001</v>
      </c>
      <c r="AF4" s="114" t="str">
        <f t="shared" ref="AF4:AF38" si="0">N4</f>
        <v>MSSB</v>
      </c>
    </row>
    <row r="5" spans="1:33" x14ac:dyDescent="0.4">
      <c r="B5" s="114" t="s">
        <v>1302</v>
      </c>
      <c r="C5" s="482" t="s">
        <v>887</v>
      </c>
      <c r="R5" s="114">
        <v>1</v>
      </c>
      <c r="S5" s="114">
        <v>1</v>
      </c>
      <c r="T5" s="114" t="s">
        <v>1002</v>
      </c>
      <c r="U5" s="114">
        <v>1</v>
      </c>
      <c r="V5" s="114">
        <v>1</v>
      </c>
      <c r="W5" s="114">
        <v>1</v>
      </c>
      <c r="X5" s="114">
        <v>1</v>
      </c>
      <c r="Y5" s="114">
        <v>1</v>
      </c>
      <c r="Z5" s="114">
        <v>1</v>
      </c>
    </row>
    <row r="6" spans="1:33" x14ac:dyDescent="0.4">
      <c r="B6" s="114" t="s">
        <v>1303</v>
      </c>
      <c r="N6" s="114" t="s">
        <v>1303</v>
      </c>
      <c r="O6" s="114">
        <f>IFERROR(R7*VLOOKUP(R6,'Part List'!A:G,3,FALSE),0)
+IFERROR(S7*VLOOKUP(S6,'Part List'!A:G,3,FALSE),0)
+IFERROR(T7*VLOOKUP(T6,'Part List'!A:G,3,FALSE),0)
+IFERROR(U7*VLOOKUP(U6,'Part List'!A:G,3,FALSE),0)
+IFERROR(V7*VLOOKUP(V6,'Part List'!A:G,3,FALSE),0)
+IFERROR(W7*VLOOKUP(W6,'Part List'!A:G,3,FALSE),0)
+IFERROR(X7*VLOOKUP(X6,'Part List'!A:G,3,FALSE),0)
+IFERROR(Y7*VLOOKUP(Y6,'Part List'!A:G,3,FALSE),0)
+IFERROR(Z7*VLOOKUP(Z6,'Part List'!A:G,3,FALSE),0)
+IFERROR(AA7*VLOOKUP(AA6,'Part List'!A:G,3,FALSE),0)
+IFERROR(AB7*VLOOKUP(AB6,'Part List'!A:G,3,FALSE),0)
+IFERROR(AC7*VLOOKUP(AC6,'Part List'!A:G,3,FALSE),0)</f>
        <v>1076.95</v>
      </c>
      <c r="P6" s="114">
        <f>2+
IFERROR(R7*VLOOKUP(R6,'Part List'!A:G,5,FALSE),0)
+IFERROR(S7*VLOOKUP(S6,'Part List'!A:G,5,FALSE),0)
+IFERROR(T7*VLOOKUP(T6,'Part List'!A:G,5,FALSE),0)
+IFERROR(U7*VLOOKUP(U6,'Part List'!A:G,5,FALSE),0)
+IFERROR(V7*VLOOKUP(V6,'Part List'!A:G,5,FALSE),0)
+IFERROR(W7*VLOOKUP(W6,'Part List'!A:G,5,FALSE),0)
+IFERROR(X7*VLOOKUP(X6,'Part List'!A:G,5,FALSE),0)
+IFERROR(Y7*VLOOKUP(Y6,'Part List'!A:G,5,FALSE),0)
+IFERROR(Z7*VLOOKUP(Z6,'Part List'!A:G,5,FALSE),0)
+IFERROR(AA7*VLOOKUP(AA6,'Part List'!A:G,5,FALSE),0)
+IFERROR(AB7*VLOOKUP(AB6,'Part List'!A:G,5,FALSE),0)
+IFERROR(AC7*VLOOKUP(AC6,'Part List'!A:G,5,FALSE),0)</f>
        <v>2</v>
      </c>
      <c r="Q6" s="114" t="str">
        <f>IF(N6=M6,"",_xlfn.CONCAT("[",N6,"]"))</f>
        <v>[EDH]</v>
      </c>
      <c r="R6" s="114" t="s">
        <v>1040</v>
      </c>
      <c r="S6" s="114" t="s">
        <v>1041</v>
      </c>
      <c r="T6" s="114" t="s">
        <v>1005</v>
      </c>
      <c r="U6" s="114" t="s">
        <v>476</v>
      </c>
      <c r="V6" s="114" t="s">
        <v>477</v>
      </c>
      <c r="W6" s="114" t="s">
        <v>1345</v>
      </c>
      <c r="X6" s="114" t="s">
        <v>1004</v>
      </c>
      <c r="Y6" s="114" t="s">
        <v>322</v>
      </c>
      <c r="Z6" s="443" t="s">
        <v>269</v>
      </c>
      <c r="AA6" s="114" t="s">
        <v>267</v>
      </c>
      <c r="AF6" s="114" t="str">
        <f t="shared" si="0"/>
        <v>EDH</v>
      </c>
      <c r="AG6" s="114" t="str">
        <f>_xlfn.CONCAT(T6,", ",U6,", ",V6,", ",W6,", ",X6,", ",Y6,", ",Z6,", ",AA6,", ")</f>
        <v xml:space="preserve">Traffolyte Labelling, SSR (3 phase), HPT, Contactors &amp; Overloads, Run &amp; Fault LEDs, Interface for fire trade fan control, 7030 2 pair TCAS7302P, 4mm Cable 3 core and Earth, </v>
      </c>
    </row>
    <row r="7" spans="1:33" x14ac:dyDescent="0.4">
      <c r="Q7" s="114" t="str">
        <f t="shared" ref="Q7:Q28" si="1">IF(N7=M7,"",_xlfn.CONCAT("[",N7,"]"))</f>
        <v/>
      </c>
      <c r="R7" s="114">
        <v>1</v>
      </c>
      <c r="S7" s="114">
        <v>1</v>
      </c>
      <c r="T7" s="114">
        <v>1</v>
      </c>
      <c r="U7" s="114">
        <v>1</v>
      </c>
      <c r="V7" s="114">
        <v>1</v>
      </c>
      <c r="W7" s="114">
        <v>1</v>
      </c>
      <c r="X7" s="114">
        <v>2</v>
      </c>
      <c r="Y7" s="114">
        <v>1</v>
      </c>
      <c r="Z7" s="114" t="s">
        <v>1002</v>
      </c>
      <c r="AA7" s="114" t="s">
        <v>1002</v>
      </c>
    </row>
    <row r="8" spans="1:33" x14ac:dyDescent="0.4">
      <c r="N8" s="114" t="s">
        <v>1300</v>
      </c>
      <c r="O8" s="114">
        <f>IFERROR(R9*VLOOKUP(R8,'Part List'!A:G,3,FALSE),0)
+IFERROR(S9*VLOOKUP(S8,'Part List'!A:G,3,FALSE),0)
+IFERROR(T9*VLOOKUP(T8,'Part List'!A:G,3,FALSE),0)
+IFERROR(U9*VLOOKUP(U8,'Part List'!A:G,3,FALSE),0)
+IFERROR(V9*VLOOKUP(V8,'Part List'!A:G,3,FALSE),0)
+IFERROR(W9*VLOOKUP(W8,'Part List'!A:G,3,FALSE),0)
+IFERROR(X9*VLOOKUP(X8,'Part List'!A:G,3,FALSE),0)
+IFERROR(Y9*VLOOKUP(Y8,'Part List'!A:G,3,FALSE),0)
+IFERROR(Z9*VLOOKUP(Z8,'Part List'!A:G,3,FALSE),0)
+IFERROR(AA9*VLOOKUP(AA8,'Part List'!A:G,3,FALSE),0)
+IFERROR(AB9*VLOOKUP(AB8,'Part List'!A:G,3,FALSE),0)
+IFERROR(AC9*VLOOKUP(AC8,'Part List'!A:G,3,FALSE),0)</f>
        <v>726.90000000000009</v>
      </c>
      <c r="P8" s="114">
        <f>IFERROR(R9*VLOOKUP(R8,'Part List'!A:G,5,FALSE),0)
+IFERROR(S9*VLOOKUP(S8,'Part List'!A:G,5,FALSE),0)
+IFERROR(T9*VLOOKUP(T8,'Part List'!A:G,5,FALSE),0)
+IFERROR(U9*VLOOKUP(U8,'Part List'!A:G,5,FALSE),0)
+IFERROR(V9*VLOOKUP(V8,'Part List'!A:G,5,FALSE),0)
+IFERROR(W9*VLOOKUP(W8,'Part List'!A:G,5,FALSE),0)
+IFERROR(X9*VLOOKUP(X8,'Part List'!A:G,5,FALSE),0)
+IFERROR(Y9*VLOOKUP(Y8,'Part List'!A:G,5,FALSE),0)
+IFERROR(Z9*VLOOKUP(Z8,'Part List'!A:G,5,FALSE),0)
+IFERROR(AA9*VLOOKUP(AA8,'Part List'!A:G,5,FALSE),0)
+IFERROR(AB9*VLOOKUP(AB8,'Part List'!A:G,5,FALSE),0)
+IFERROR(AC9*VLOOKUP(AC8,'Part List'!A:G,5,FALSE),0)</f>
        <v>1</v>
      </c>
      <c r="Q8" s="114" t="str">
        <f t="shared" si="1"/>
        <v>[Chilled Water FCU]</v>
      </c>
      <c r="R8" s="114" t="s">
        <v>1040</v>
      </c>
      <c r="S8" s="114" t="s">
        <v>1041</v>
      </c>
      <c r="T8" s="114" t="s">
        <v>304</v>
      </c>
      <c r="U8" s="114" t="s">
        <v>1345</v>
      </c>
      <c r="V8" s="114" t="s">
        <v>1004</v>
      </c>
      <c r="W8" s="114" t="s">
        <v>1005</v>
      </c>
      <c r="X8" s="114" t="s">
        <v>1254</v>
      </c>
      <c r="Y8" s="114" t="s">
        <v>322</v>
      </c>
      <c r="Z8" s="114" t="s">
        <v>278</v>
      </c>
      <c r="AA8" s="114" t="s">
        <v>267</v>
      </c>
      <c r="AF8" s="114" t="str">
        <f t="shared" si="0"/>
        <v>Chilled Water FCU</v>
      </c>
      <c r="AG8" s="114" t="str">
        <f>_xlfn.CONCAT(T8,", ",U8,", ",V8,", ",W8,", ",X8,", ",Y8,", ",Z8,", ",AA8,", ")</f>
        <v xml:space="preserve">Auto/Off/On switch, Contactors &amp; Overloads, Run &amp; Fault LEDs, Traffolyte Labelling, Air Pressure Switch, Interface for fire trade fan control, 003 Keyed Padlocks, 4mm Cable 3 core and Earth, </v>
      </c>
    </row>
    <row r="9" spans="1:33" x14ac:dyDescent="0.4">
      <c r="Q9" s="114" t="str">
        <f t="shared" si="1"/>
        <v/>
      </c>
      <c r="R9" s="114">
        <v>1</v>
      </c>
      <c r="S9" s="114">
        <v>1</v>
      </c>
      <c r="T9" s="114">
        <v>1</v>
      </c>
      <c r="U9" s="114">
        <v>1</v>
      </c>
      <c r="V9" s="114">
        <v>2</v>
      </c>
      <c r="W9" s="114">
        <v>1</v>
      </c>
      <c r="X9" s="114">
        <v>1</v>
      </c>
      <c r="Y9" s="114">
        <v>1</v>
      </c>
      <c r="Z9" s="114">
        <v>1</v>
      </c>
      <c r="AA9" s="114" t="s">
        <v>1002</v>
      </c>
      <c r="AB9" s="114" t="s">
        <v>1002</v>
      </c>
    </row>
    <row r="10" spans="1:33" x14ac:dyDescent="0.4">
      <c r="N10" s="114" t="s">
        <v>1299</v>
      </c>
      <c r="O10" s="114">
        <f>IFERROR(R11*VLOOKUP(R10,'Part List'!A:G,3,FALSE),0)
+IFERROR(S11*VLOOKUP(S10,'Part List'!A:G,3,FALSE),0)
+IFERROR(T11*VLOOKUP(T10,'Part List'!A:G,3,FALSE),0)
+IFERROR(U11*VLOOKUP(U10,'Part List'!A:G,3,FALSE),0)
+IFERROR(V11*VLOOKUP(V10,'Part List'!A:G,3,FALSE),0)
+IFERROR(W11*VLOOKUP(W10,'Part List'!A:G,3,FALSE),0)
+IFERROR(X11*VLOOKUP(X10,'Part List'!A:G,3,FALSE),0)
+IFERROR(Y11*VLOOKUP(Y10,'Part List'!A:G,3,FALSE),0)
+IFERROR(Z11*VLOOKUP(Z10,'Part List'!A:G,3,FALSE),0)
+IFERROR(AA11*VLOOKUP(AA10,'Part List'!A:G,3,FALSE),0)
+IFERROR(AB11*VLOOKUP(AB10,'Part List'!A:G,3,FALSE),0)
+IFERROR(AC11*VLOOKUP(AC10,'Part List'!A:G,3,FALSE),0)</f>
        <v>644.44000000000005</v>
      </c>
      <c r="P10" s="114">
        <f>IFERROR(R11*VLOOKUP(R10,'Part List'!A:G,5,FALSE),0)
+IFERROR(S11*VLOOKUP(S10,'Part List'!A:G,5,FALSE),0)
+IFERROR(T11*VLOOKUP(T10,'Part List'!A:G,5,FALSE),0)
+IFERROR(U11*VLOOKUP(U10,'Part List'!A:G,5,FALSE),0)
+IFERROR(V11*VLOOKUP(V10,'Part List'!A:G,5,FALSE),0)
+IFERROR(W11*VLOOKUP(W10,'Part List'!A:G,5,FALSE),0)
+IFERROR(X11*VLOOKUP(X10,'Part List'!A:G,5,FALSE),0)
+IFERROR(Y11*VLOOKUP(Y10,'Part List'!A:G,5,FALSE),0)
+IFERROR(Z11*VLOOKUP(Z10,'Part List'!A:G,5,FALSE),0)
+IFERROR(AA11*VLOOKUP(AA10,'Part List'!A:G,5,FALSE),0)
+IFERROR(AB11*VLOOKUP(AB10,'Part List'!A:G,5,FALSE),0)
+IFERROR(AC11*VLOOKUP(AC10,'Part List'!A:G,5,FALSE),0)</f>
        <v>1</v>
      </c>
      <c r="Q10" s="114" t="str">
        <f t="shared" si="1"/>
        <v>[Chilled Water AHU]</v>
      </c>
      <c r="R10" s="114" t="s">
        <v>1310</v>
      </c>
      <c r="S10" s="114" t="s">
        <v>1041</v>
      </c>
      <c r="T10" s="114" t="s">
        <v>304</v>
      </c>
      <c r="U10" s="114" t="s">
        <v>1345</v>
      </c>
      <c r="V10" s="114" t="s">
        <v>1004</v>
      </c>
      <c r="W10" s="114" t="s">
        <v>1005</v>
      </c>
      <c r="X10" s="114" t="s">
        <v>1254</v>
      </c>
      <c r="Y10" s="114" t="s">
        <v>322</v>
      </c>
      <c r="Z10" s="443" t="s">
        <v>269</v>
      </c>
      <c r="AA10" s="114" t="s">
        <v>267</v>
      </c>
      <c r="AF10" s="114" t="str">
        <f t="shared" si="0"/>
        <v>Chilled Water AHU</v>
      </c>
      <c r="AG10" s="114" t="str">
        <f>_xlfn.CONCAT(T10,", ",U10,", ",V10,", ",W10,", ",X10,", ",Y10,", ",Z10,", ",AA10,", ")</f>
        <v xml:space="preserve">Auto/Off/On switch, Contactors &amp; Overloads, Run &amp; Fault LEDs, Traffolyte Labelling, Air Pressure Switch, Interface for fire trade fan control, 7030 2 pair TCAS7302P, 4mm Cable 3 core and Earth, </v>
      </c>
    </row>
    <row r="11" spans="1:33" x14ac:dyDescent="0.4">
      <c r="Q11" s="114" t="str">
        <f t="shared" si="1"/>
        <v/>
      </c>
      <c r="S11" s="114">
        <v>1</v>
      </c>
      <c r="T11" s="114">
        <v>1</v>
      </c>
      <c r="U11" s="114">
        <v>1</v>
      </c>
      <c r="V11" s="114">
        <v>2</v>
      </c>
      <c r="W11" s="114">
        <v>1</v>
      </c>
      <c r="X11" s="114">
        <v>1</v>
      </c>
      <c r="Y11" s="114">
        <v>1</v>
      </c>
      <c r="Z11" s="443" t="s">
        <v>1002</v>
      </c>
      <c r="AA11" s="114" t="s">
        <v>1002</v>
      </c>
    </row>
    <row r="12" spans="1:33" x14ac:dyDescent="0.4">
      <c r="N12" s="114" t="s">
        <v>1301</v>
      </c>
      <c r="O12" s="114">
        <f>9.99999999999999E+36 + IFERROR(R13*VLOOKUP(R12,'Part List'!A:G,3,FALSE),0)
+IFERROR(S13*VLOOKUP(S12,'Part List'!A:G,3,FALSE),0)
+IFERROR(T13*VLOOKUP(T12,'Part List'!A:G,3,FALSE),0)
+IFERROR(U13*VLOOKUP(U12,'Part List'!A:G,3,FALSE),0)
+IFERROR(V13*VLOOKUP(V12,'Part List'!A:G,3,FALSE),0)
+IFERROR(W13*VLOOKUP(W12,'Part List'!A:G,3,FALSE),0)
+IFERROR(X13*VLOOKUP(X12,'Part List'!A:G,3,FALSE),0)
+IFERROR(Y13*VLOOKUP(Y12,'Part List'!A:G,3,FALSE),0)
+IFERROR(Z13*VLOOKUP(Z12,'Part List'!A:G,3,FALSE),0)
+IFERROR(AA13*VLOOKUP(AA12,'Part List'!A:G,3,FALSE),0)
+IFERROR(AB13*VLOOKUP(AB12,'Part List'!A:G,3,FALSE),0)
+IFERROR(AC13*VLOOKUP(AC12,'Part List'!A:G,3,FALSE),0)</f>
        <v>9.9999999999999901E+36</v>
      </c>
      <c r="P12" s="114">
        <f>9.99999999999999E+27 + IFERROR(R13*VLOOKUP(R12,'Part List'!A:G,5,FALSE),0)
+IFERROR(S13*VLOOKUP(S12,'Part List'!A:G,5,FALSE),0)
+IFERROR(T13*VLOOKUP(T12,'Part List'!A:G,5,FALSE),0)
+IFERROR(U13*VLOOKUP(U12,'Part List'!A:G,5,FALSE),0)
+IFERROR(V13*VLOOKUP(V12,'Part List'!A:G,5,FALSE),0)
+IFERROR(W13*VLOOKUP(W12,'Part List'!A:G,5,FALSE),0)
+IFERROR(X13*VLOOKUP(X12,'Part List'!A:G,5,FALSE),0)
+IFERROR(Y13*VLOOKUP(Y12,'Part List'!A:G,5,FALSE),0)
+IFERROR(Z13*VLOOKUP(Z12,'Part List'!A:G,5,FALSE),0)
+IFERROR(AA13*VLOOKUP(AA12,'Part List'!A:G,5,FALSE),0)
+IFERROR(AB13*VLOOKUP(AB12,'Part List'!A:G,5,FALSE),0)
+IFERROR(AC13*VLOOKUP(AC12,'Part List'!A:G,5,FALSE),0)</f>
        <v>9.9999999999999908E+27</v>
      </c>
      <c r="Q12" s="114" t="str">
        <f t="shared" si="1"/>
        <v>[Air Cooled Chiller]</v>
      </c>
      <c r="S12" s="114" t="s">
        <v>1311</v>
      </c>
      <c r="AF12" s="114" t="str">
        <f t="shared" si="0"/>
        <v>Air Cooled Chiller</v>
      </c>
      <c r="AG12" s="114" t="s">
        <v>1344</v>
      </c>
    </row>
    <row r="13" spans="1:33" x14ac:dyDescent="0.4">
      <c r="Q13" s="114" t="str">
        <f t="shared" si="1"/>
        <v/>
      </c>
      <c r="S13" s="114">
        <v>1</v>
      </c>
    </row>
    <row r="14" spans="1:33" x14ac:dyDescent="0.4">
      <c r="A14" s="33" t="s">
        <v>975</v>
      </c>
      <c r="N14" s="114" t="s">
        <v>1302</v>
      </c>
      <c r="O14" s="114">
        <f>IFERROR(R15*VLOOKUP(R14,'Part List'!A:G,3,FALSE),0)
+IFERROR(S15*VLOOKUP(S14,'Part List'!A:G,3,FALSE),0)
+IFERROR(T15*VLOOKUP(T14,'Part List'!A:G,3,FALSE),0)
+IFERROR(U15*VLOOKUP(U14,'Part List'!A:G,3,FALSE),0)
+IFERROR(V15*VLOOKUP(V14,'Part List'!A:G,3,FALSE),0)
+IFERROR(W15*VLOOKUP(W14,'Part List'!A:G,3,FALSE),0)
+IFERROR(X15*VLOOKUP(X14,'Part List'!A:G,3,FALSE),0)
+IFERROR(Y15*VLOOKUP(Y14,'Part List'!A:G,3,FALSE),0)
+IFERROR(Z15*VLOOKUP(Z14,'Part List'!A:G,3,FALSE),0)
+IFERROR(AA15*VLOOKUP(AA14,'Part List'!A:G,3,FALSE),0)
+IFERROR(AB15*VLOOKUP(AB14,'Part List'!A:G,3,FALSE),0)
+IFERROR(AC15*VLOOKUP(AC14,'Part List'!A:G,3,FALSE),0)</f>
        <v>584.44000000000005</v>
      </c>
      <c r="P14" s="114">
        <f>IFERROR(R15*VLOOKUP(R14,'Part List'!A:G,5,FALSE),0)
+IFERROR(S15*VLOOKUP(S14,'Part List'!A:G,5,FALSE),0)
+IFERROR(T15*VLOOKUP(T14,'Part List'!A:G,5,FALSE),0)
+IFERROR(U15*VLOOKUP(U14,'Part List'!A:G,5,FALSE),0)
+IFERROR(V15*VLOOKUP(V14,'Part List'!A:G,5,FALSE),0)
+IFERROR(W15*VLOOKUP(W14,'Part List'!A:G,5,FALSE),0)
+IFERROR(X15*VLOOKUP(X14,'Part List'!A:G,5,FALSE),0)
+IFERROR(Y15*VLOOKUP(Y14,'Part List'!A:G,5,FALSE),0)
+IFERROR(Z15*VLOOKUP(Z14,'Part List'!A:G,5,FALSE),0)
+IFERROR(AA15*VLOOKUP(AA14,'Part List'!A:G,5,FALSE),0)
+IFERROR(AB15*VLOOKUP(AB14,'Part List'!A:G,5,FALSE),0)
+IFERROR(AC15*VLOOKUP(AC14,'Part List'!A:G,5,FALSE),0)</f>
        <v>1</v>
      </c>
      <c r="Q14" s="114" t="str">
        <f t="shared" si="1"/>
        <v>[Pump]</v>
      </c>
      <c r="S14" s="114" t="s">
        <v>1041</v>
      </c>
      <c r="T14" s="114" t="s">
        <v>304</v>
      </c>
      <c r="U14" s="114" t="s">
        <v>1345</v>
      </c>
      <c r="V14" s="114" t="s">
        <v>1004</v>
      </c>
      <c r="W14" s="114" t="s">
        <v>1005</v>
      </c>
      <c r="X14" s="114" t="s">
        <v>268</v>
      </c>
      <c r="Y14" s="114" t="s">
        <v>418</v>
      </c>
      <c r="AF14" s="114" t="str">
        <f t="shared" si="0"/>
        <v>Pump</v>
      </c>
      <c r="AG14" s="114" t="str">
        <f>_xlfn.CONCAT(T14,", ",U14,", ",V14,", ",W14,", ",X14,", ",Y14,", ")</f>
        <v xml:space="preserve">Auto/Off/On switch, Contactors &amp; Overloads, Run &amp; Fault LEDs, Traffolyte Labelling, 2.5mm Twin and Earth, Switchboard Cable 1mm, </v>
      </c>
    </row>
    <row r="15" spans="1:33" x14ac:dyDescent="0.4">
      <c r="A15" s="114" t="s">
        <v>965</v>
      </c>
      <c r="B15" s="114" t="s">
        <v>977</v>
      </c>
      <c r="Q15" s="114" t="str">
        <f t="shared" si="1"/>
        <v/>
      </c>
      <c r="S15" s="114">
        <v>1</v>
      </c>
      <c r="T15" s="114">
        <v>1</v>
      </c>
      <c r="U15" s="114">
        <v>1</v>
      </c>
      <c r="V15" s="114">
        <v>2</v>
      </c>
      <c r="W15" s="114">
        <v>1</v>
      </c>
      <c r="X15" s="114" t="s">
        <v>1002</v>
      </c>
      <c r="Y15" s="114" t="s">
        <v>1002</v>
      </c>
    </row>
    <row r="16" spans="1:33" x14ac:dyDescent="0.4">
      <c r="A16" s="114" t="s">
        <v>978</v>
      </c>
      <c r="B16" s="114" t="s">
        <v>979</v>
      </c>
      <c r="N16" s="114" t="str">
        <f>D1</f>
        <v>Dual Fan [CW AHU]</v>
      </c>
      <c r="O16" s="114">
        <f>IFERROR(R17*VLOOKUP(R16,'Part List'!A:G,3,FALSE),0)
+IFERROR(S17*VLOOKUP(S16,'Part List'!A:G,3,FALSE),0)
+IFERROR(T17*VLOOKUP(T16,'Part List'!A:G,3,FALSE),0)
+IFERROR(U17*VLOOKUP(U16,'Part List'!A:G,3,FALSE),0)
+IFERROR(V17*VLOOKUP(V16,'Part List'!A:G,3,FALSE),0)
+IFERROR(W17*VLOOKUP(W16,'Part List'!A:G,3,FALSE),0)
+IFERROR(X17*VLOOKUP(X16,'Part List'!A:G,3,FALSE),0)
+IFERROR(Y17*VLOOKUP(Y16,'Part List'!A:G,3,FALSE),0)
+IFERROR(Z17*VLOOKUP(Z16,'Part List'!A:G,3,FALSE),0)
+IFERROR(AA17*VLOOKUP(AA16,'Part List'!A:G,3,FALSE),0)
+IFERROR(AB17*VLOOKUP(AB16,'Part List'!A:G,3,FALSE),0)
+IFERROR(AC17*VLOOKUP(AC16,'Part List'!A:G,3,FALSE),0)</f>
        <v>0</v>
      </c>
      <c r="P16" s="114">
        <f>IFERROR(R17*VLOOKUP(R16,'Part List'!A:G,5,FALSE),0)
+IFERROR(S17*VLOOKUP(S16,'Part List'!A:G,5,FALSE),0)
+IFERROR(T17*VLOOKUP(T16,'Part List'!A:G,5,FALSE),0)
+IFERROR(U17*VLOOKUP(U16,'Part List'!A:G,5,FALSE),0)
+IFERROR(V17*VLOOKUP(V16,'Part List'!A:G,5,FALSE),0)
+IFERROR(W17*VLOOKUP(W16,'Part List'!A:G,5,FALSE),0)
+IFERROR(X17*VLOOKUP(X16,'Part List'!A:G,5,FALSE),0)
+IFERROR(Y17*VLOOKUP(Y16,'Part List'!A:G,5,FALSE),0)
+IFERROR(Z17*VLOOKUP(Z16,'Part List'!A:G,5,FALSE),0)
+IFERROR(AA17*VLOOKUP(AA16,'Part List'!A:G,5,FALSE),0)
+IFERROR(AB17*VLOOKUP(AB16,'Part List'!A:G,5,FALSE),0)
+IFERROR(AC17*VLOOKUP(AC16,'Part List'!A:G,5,FALSE),0)</f>
        <v>0</v>
      </c>
      <c r="Q16" s="114" t="str">
        <f t="shared" si="1"/>
        <v>[Dual Fan [CW AHU]]</v>
      </c>
      <c r="AF16" s="114" t="str">
        <f t="shared" si="0"/>
        <v>Dual Fan [CW AHU]</v>
      </c>
    </row>
    <row r="17" spans="1:33" x14ac:dyDescent="0.4">
      <c r="Q17" s="114" t="str">
        <f t="shared" si="1"/>
        <v/>
      </c>
    </row>
    <row r="18" spans="1:33" x14ac:dyDescent="0.4">
      <c r="A18" s="114" t="s">
        <v>1300</v>
      </c>
      <c r="B18" s="114" t="s">
        <v>1322</v>
      </c>
      <c r="C18" s="114" t="s">
        <v>1314</v>
      </c>
      <c r="D18" s="114" t="s">
        <v>1312</v>
      </c>
      <c r="N18" s="114" t="str">
        <f>E1</f>
        <v>Fire Ess. [CW AHU]</v>
      </c>
      <c r="O18" s="114">
        <f>IFERROR(R19*VLOOKUP(R18,'Part List'!A:G,3,FALSE),0)
+IFERROR(S19*VLOOKUP(S18,'Part List'!A:G,3,FALSE),0)
+IFERROR(T19*VLOOKUP(T18,'Part List'!A:G,3,FALSE),0)
+IFERROR(U19*VLOOKUP(U18,'Part List'!A:G,3,FALSE),0)
+IFERROR(V19*VLOOKUP(V18,'Part List'!A:G,3,FALSE),0)
+IFERROR(W19*VLOOKUP(W18,'Part List'!A:G,3,FALSE),0)
+IFERROR(X19*VLOOKUP(X18,'Part List'!A:G,3,FALSE),0)
+IFERROR(Y19*VLOOKUP(Y18,'Part List'!A:G,3,FALSE),0)
+IFERROR(Z19*VLOOKUP(Z18,'Part List'!A:G,3,FALSE),0)
+IFERROR(AA19*VLOOKUP(AA18,'Part List'!A:G,3,FALSE),0)
+IFERROR(AB19*VLOOKUP(AB18,'Part List'!A:G,3,FALSE),0)
+IFERROR(AC19*VLOOKUP(AC18,'Part List'!A:G,3,FALSE),0)</f>
        <v>276</v>
      </c>
      <c r="P18" s="114">
        <f>IFERROR(R19*VLOOKUP(R18,'Part List'!A:G,5,FALSE),0)
+IFERROR(S19*VLOOKUP(S18,'Part List'!A:G,5,FALSE),0)
+IFERROR(T19*VLOOKUP(T18,'Part List'!A:G,5,FALSE),0)
+IFERROR(U19*VLOOKUP(U18,'Part List'!A:G,5,FALSE),0)
+IFERROR(V19*VLOOKUP(V18,'Part List'!A:G,5,FALSE),0)
+IFERROR(W19*VLOOKUP(W18,'Part List'!A:G,5,FALSE),0)
+IFERROR(X19*VLOOKUP(X18,'Part List'!A:G,5,FALSE),0)
+IFERROR(Y19*VLOOKUP(Y18,'Part List'!A:G,5,FALSE),0)
+IFERROR(Z19*VLOOKUP(Z18,'Part List'!A:G,5,FALSE),0)
+IFERROR(AA19*VLOOKUP(AA18,'Part List'!A:G,5,FALSE),0)
+IFERROR(AB19*VLOOKUP(AB18,'Part List'!A:G,5,FALSE),0)
+IFERROR(AC19*VLOOKUP(AC18,'Part List'!A:G,5,FALSE),0)</f>
        <v>1</v>
      </c>
      <c r="Q18" s="114" t="str">
        <f t="shared" si="1"/>
        <v>[Fire Ess. [CW AHU]]</v>
      </c>
      <c r="R18" s="114" t="s">
        <v>325</v>
      </c>
      <c r="S18" s="114" t="s">
        <v>278</v>
      </c>
      <c r="AF18" s="114" t="str">
        <f t="shared" si="0"/>
        <v>Fire Ess. [CW AHU]</v>
      </c>
      <c r="AG18" s="114" t="str">
        <f>_xlfn.CONCAT(R18,", ",S18,", ")</f>
        <v xml:space="preserve">Spring return damper actuator, 003 Keyed Padlocks, </v>
      </c>
    </row>
    <row r="19" spans="1:33" x14ac:dyDescent="0.4">
      <c r="A19" s="114" t="s">
        <v>1299</v>
      </c>
      <c r="B19" s="114" t="s">
        <v>1323</v>
      </c>
      <c r="C19" s="114" t="s">
        <v>1315</v>
      </c>
      <c r="D19" s="114" t="s">
        <v>1313</v>
      </c>
      <c r="Q19" s="114" t="str">
        <f t="shared" si="1"/>
        <v/>
      </c>
      <c r="R19" s="114">
        <v>1</v>
      </c>
      <c r="S19" s="114">
        <v>1</v>
      </c>
    </row>
    <row r="20" spans="1:33" x14ac:dyDescent="0.4">
      <c r="A20" s="114" t="s">
        <v>1301</v>
      </c>
      <c r="B20" s="114" t="s">
        <v>1324</v>
      </c>
      <c r="C20" s="114" t="s">
        <v>1318</v>
      </c>
      <c r="D20" s="114" t="s">
        <v>1327</v>
      </c>
      <c r="N20" s="114" t="str">
        <f>F1</f>
        <v>DOL
[PUMP]</v>
      </c>
      <c r="O20" s="114">
        <f>IFERROR(R21*VLOOKUP(R20,'Part List'!A:G,3,FALSE),0)
+IFERROR(S21*VLOOKUP(S20,'Part List'!A:G,3,FALSE),0)
+IFERROR(T21*VLOOKUP(T20,'Part List'!A:G,3,FALSE),0)
+IFERROR(U21*VLOOKUP(U20,'Part List'!A:G,3,FALSE),0)
+IFERROR(V21*VLOOKUP(V20,'Part List'!A:G,3,FALSE),0)
+IFERROR(W21*VLOOKUP(W20,'Part List'!A:G,3,FALSE),0)
+IFERROR(X21*VLOOKUP(X20,'Part List'!A:G,3,FALSE),0)
+IFERROR(Y21*VLOOKUP(Y20,'Part List'!A:G,3,FALSE),0)
+IFERROR(Z21*VLOOKUP(Z20,'Part List'!A:G,3,FALSE),0)
+IFERROR(AA21*VLOOKUP(AA20,'Part List'!A:G,3,FALSE),0)
+IFERROR(AB21*VLOOKUP(AB20,'Part List'!A:G,3,FALSE),0)
+IFERROR(AC21*VLOOKUP(AC20,'Part List'!A:G,3,FALSE),0)</f>
        <v>0</v>
      </c>
      <c r="P20" s="114">
        <f>IFERROR(R21*VLOOKUP(R20,'Part List'!A:G,5,FALSE),0)
+IFERROR(S21*VLOOKUP(S20,'Part List'!A:G,5,FALSE),0)
+IFERROR(T21*VLOOKUP(T20,'Part List'!A:G,5,FALSE),0)
+IFERROR(U21*VLOOKUP(U20,'Part List'!A:G,5,FALSE),0)
+IFERROR(V21*VLOOKUP(V20,'Part List'!A:G,5,FALSE),0)
+IFERROR(W21*VLOOKUP(W20,'Part List'!A:G,5,FALSE),0)
+IFERROR(X21*VLOOKUP(X20,'Part List'!A:G,5,FALSE),0)
+IFERROR(Y21*VLOOKUP(Y20,'Part List'!A:G,5,FALSE),0)
+IFERROR(Z21*VLOOKUP(Z20,'Part List'!A:G,5,FALSE),0)
+IFERROR(AA21*VLOOKUP(AA20,'Part List'!A:G,5,FALSE),0)
+IFERROR(AB21*VLOOKUP(AB20,'Part List'!A:G,5,FALSE),0)
+IFERROR(AC21*VLOOKUP(AC20,'Part List'!A:G,5,FALSE),0)</f>
        <v>0</v>
      </c>
      <c r="Q20" s="114" t="str">
        <f t="shared" si="1"/>
        <v>[DOL
[PUMP]]</v>
      </c>
      <c r="AF20" s="114" t="str">
        <f t="shared" si="0"/>
        <v>DOL
[PUMP]</v>
      </c>
    </row>
    <row r="21" spans="1:33" x14ac:dyDescent="0.4">
      <c r="A21" s="114" t="s">
        <v>1302</v>
      </c>
      <c r="B21" s="114" t="s">
        <v>1325</v>
      </c>
      <c r="C21" s="114" t="s">
        <v>1316</v>
      </c>
      <c r="D21" s="114" t="s">
        <v>1302</v>
      </c>
      <c r="Q21" s="114" t="str">
        <f t="shared" si="1"/>
        <v/>
      </c>
    </row>
    <row r="22" spans="1:33" x14ac:dyDescent="0.4">
      <c r="A22" s="114" t="s">
        <v>1303</v>
      </c>
      <c r="B22" s="114" t="s">
        <v>1326</v>
      </c>
      <c r="C22" s="114" t="s">
        <v>1317</v>
      </c>
      <c r="D22" s="114" t="s">
        <v>1303</v>
      </c>
      <c r="N22" s="114" t="str">
        <f>G1</f>
        <v>Precision Cooling</v>
      </c>
      <c r="O22" s="114">
        <f>IFERROR(R23*VLOOKUP(R22,'Part List'!A:G,3,FALSE),0)
+IFERROR(S23*VLOOKUP(S22,'Part List'!A:G,3,FALSE),0)
+IFERROR(T23*VLOOKUP(T22,'Part List'!A:G,3,FALSE),0)
+IFERROR(U23*VLOOKUP(U22,'Part List'!A:G,3,FALSE),0)
+IFERROR(V23*VLOOKUP(V22,'Part List'!A:G,3,FALSE),0)
+IFERROR(W23*VLOOKUP(W22,'Part List'!A:G,3,FALSE),0)
+IFERROR(X23*VLOOKUP(X22,'Part List'!A:G,3,FALSE),0)
+IFERROR(Y23*VLOOKUP(Y22,'Part List'!A:G,3,FALSE),0)
+IFERROR(Z23*VLOOKUP(Z22,'Part List'!A:G,3,FALSE),0)
+IFERROR(AA23*VLOOKUP(AA22,'Part List'!A:G,3,FALSE),0)
+IFERROR(AB23*VLOOKUP(AB22,'Part List'!A:G,3,FALSE),0)
+IFERROR(AC23*VLOOKUP(AC22,'Part List'!A:G,3,FALSE),0)</f>
        <v>0</v>
      </c>
      <c r="P22" s="114">
        <f>IFERROR(R23*VLOOKUP(R22,'Part List'!A:G,5,FALSE),0)
+IFERROR(S23*VLOOKUP(S22,'Part List'!A:G,5,FALSE),0)
+IFERROR(T23*VLOOKUP(T22,'Part List'!A:G,5,FALSE),0)
+IFERROR(U23*VLOOKUP(U22,'Part List'!A:G,5,FALSE),0)
+IFERROR(V23*VLOOKUP(V22,'Part List'!A:G,5,FALSE),0)
+IFERROR(W23*VLOOKUP(W22,'Part List'!A:G,5,FALSE),0)
+IFERROR(X23*VLOOKUP(X22,'Part List'!A:G,5,FALSE),0)
+IFERROR(Y23*VLOOKUP(Y22,'Part List'!A:G,5,FALSE),0)
+IFERROR(Z23*VLOOKUP(Z22,'Part List'!A:G,5,FALSE),0)
+IFERROR(AA23*VLOOKUP(AA22,'Part List'!A:G,5,FALSE),0)
+IFERROR(AB23*VLOOKUP(AB22,'Part List'!A:G,5,FALSE),0)
+IFERROR(AC23*VLOOKUP(AC22,'Part List'!A:G,5,FALSE),0)</f>
        <v>0</v>
      </c>
      <c r="Q22" s="114" t="str">
        <f t="shared" si="1"/>
        <v>[Precision Cooling]</v>
      </c>
      <c r="AF22" s="114" t="str">
        <f t="shared" si="0"/>
        <v>Precision Cooling</v>
      </c>
      <c r="AG22" s="114" t="str">
        <f t="shared" ref="AG22:AG38" si="2">_xlfn.CONCAT("{ CONTROLS FOR: ",AF22,"}, ")</f>
        <v xml:space="preserve">{ CONTROLS FOR: Precision Cooling}, </v>
      </c>
    </row>
    <row r="23" spans="1:33" x14ac:dyDescent="0.4">
      <c r="Q23" s="114" t="str">
        <f t="shared" si="1"/>
        <v/>
      </c>
    </row>
    <row r="24" spans="1:33" x14ac:dyDescent="0.4">
      <c r="N24" s="114" t="str">
        <f>C2</f>
        <v>Small</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587.66000000000008</v>
      </c>
      <c r="P24" s="114">
        <v>5</v>
      </c>
      <c r="Q24" s="114" t="str">
        <f t="shared" si="1"/>
        <v>[Small]</v>
      </c>
      <c r="R24" s="114" t="s">
        <v>1307</v>
      </c>
      <c r="S24" s="114" t="s">
        <v>1040</v>
      </c>
      <c r="AF24" s="114" t="str">
        <f t="shared" si="0"/>
        <v>Small</v>
      </c>
      <c r="AG24" s="114" t="str">
        <f>_xlfn.CONCAT(R24,", ",S24,", ")</f>
        <v xml:space="preserve">VSD Small (2k2), 3 Phase Isolator, </v>
      </c>
    </row>
    <row r="25" spans="1:33" x14ac:dyDescent="0.4">
      <c r="A25" s="114" t="s">
        <v>1304</v>
      </c>
      <c r="B25" s="114" t="s">
        <v>1319</v>
      </c>
      <c r="Q25" s="114" t="str">
        <f t="shared" si="1"/>
        <v/>
      </c>
      <c r="R25" s="114">
        <v>1</v>
      </c>
      <c r="S25" s="114">
        <v>1</v>
      </c>
    </row>
    <row r="26" spans="1:33" x14ac:dyDescent="0.4">
      <c r="A26" s="114" t="s">
        <v>1305</v>
      </c>
      <c r="B26" s="114" t="s">
        <v>1320</v>
      </c>
      <c r="N26" s="114" t="str">
        <f>C3</f>
        <v>Medium</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768.06000000000006</v>
      </c>
      <c r="P26" s="114">
        <v>5</v>
      </c>
      <c r="Q26" s="114" t="str">
        <f t="shared" si="1"/>
        <v>[Medium]</v>
      </c>
      <c r="R26" s="114" t="s">
        <v>1308</v>
      </c>
      <c r="S26" s="114" t="s">
        <v>1040</v>
      </c>
      <c r="AF26" s="114" t="str">
        <f t="shared" si="0"/>
        <v>Medium</v>
      </c>
      <c r="AG26" s="114" t="str">
        <f>_xlfn.CONCAT(R26,", ",S26,", ")</f>
        <v xml:space="preserve">VSD Medium (5k5), 3 Phase Isolator, </v>
      </c>
    </row>
    <row r="27" spans="1:33" x14ac:dyDescent="0.4">
      <c r="A27" s="114" t="s">
        <v>1306</v>
      </c>
      <c r="B27" s="114" t="s">
        <v>1321</v>
      </c>
      <c r="Q27" s="114" t="str">
        <f t="shared" si="1"/>
        <v/>
      </c>
      <c r="R27" s="114">
        <v>1</v>
      </c>
      <c r="S27" s="114">
        <v>1</v>
      </c>
    </row>
    <row r="28" spans="1:33" x14ac:dyDescent="0.4">
      <c r="N28" s="114" t="str">
        <f>C4</f>
        <v>Large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1068.3599999999999</v>
      </c>
      <c r="P28" s="114">
        <v>5</v>
      </c>
      <c r="Q28" s="114" t="str">
        <f t="shared" si="1"/>
        <v>[Large]</v>
      </c>
      <c r="R28" s="114" t="s">
        <v>1309</v>
      </c>
      <c r="S28" s="114" t="s">
        <v>1040</v>
      </c>
      <c r="AF28" s="114" t="str">
        <f t="shared" si="0"/>
        <v>Large</v>
      </c>
      <c r="AG28" s="114" t="str">
        <f>_xlfn.CONCAT(R28,", ",S28,", ")</f>
        <v xml:space="preserve">VSD Large (11k), 3 Phase Isolator, </v>
      </c>
    </row>
    <row r="29" spans="1:33" x14ac:dyDescent="0.4">
      <c r="R29" s="114">
        <v>1</v>
      </c>
      <c r="S29" s="114">
        <v>1</v>
      </c>
    </row>
    <row r="30" spans="1:33" x14ac:dyDescent="0.4">
      <c r="N30" s="114">
        <v>0</v>
      </c>
      <c r="O30" s="114">
        <v>0</v>
      </c>
      <c r="P30" s="114">
        <v>0</v>
      </c>
      <c r="AF30" s="114">
        <f t="shared" si="0"/>
        <v>0</v>
      </c>
      <c r="AG30" s="114" t="str">
        <f t="shared" si="2"/>
        <v xml:space="preserve">{ CONTROLS FOR: 0}, </v>
      </c>
    </row>
    <row r="31" spans="1:33" x14ac:dyDescent="0.4">
      <c r="AF31" s="114">
        <f t="shared" si="0"/>
        <v>0</v>
      </c>
    </row>
    <row r="32" spans="1:33" x14ac:dyDescent="0.4">
      <c r="N32" s="114" t="s">
        <v>987</v>
      </c>
      <c r="O32" s="114">
        <f>IFERROR(R33*VLOOKUP(R32,'Part List'!A:G,3,FALSE),0)
+IFERROR(S33*VLOOKUP(S32,'Part List'!A:G,3,FALSE),0)
+IFERROR(T33*VLOOKUP(T32,'Part List'!A:G,3,FALSE),0)
+IFERROR(U33*VLOOKUP(U32,'Part List'!A:G,3,FALSE),0)
+IFERROR(V33*VLOOKUP(V32,'Part List'!A:G,3,FALSE),0)
+IFERROR(W33*VLOOKUP(W32,'Part List'!A:G,3,FALSE),0)
+IFERROR(X33*VLOOKUP(X32,'Part List'!A:G,3,FALSE),0)
+IFERROR(Y33*VLOOKUP(Y32,'Part List'!A:G,3,FALSE),0)
+IFERROR(Z33*VLOOKUP(Z32,'Part List'!A:G,3,FALSE),0)
+IFERROR(AA33*VLOOKUP(AA32,'Part List'!A:G,3,FALSE),0)
+IFERROR(AB33*VLOOKUP(AB32,'Part List'!A:G,3,FALSE),0)
+IFERROR(AC33*VLOOKUP(AC32,'Part List'!A:G,3,FALSE),0)</f>
        <v>60</v>
      </c>
      <c r="P32" s="114">
        <f>IFERROR(R33*VLOOKUP(R32,'Part List'!A:G,5,FALSE),0)
+IFERROR(S33*VLOOKUP(S32,'Part List'!A:G,5,FALSE),0)
+IFERROR(T33*VLOOKUP(T32,'Part List'!A:G,5,FALSE),0)
+IFERROR(U33*VLOOKUP(U32,'Part List'!A:G,5,FALSE),0)
+IFERROR(V33*VLOOKUP(V32,'Part List'!A:G,5,FALSE),0)
+IFERROR(W33*VLOOKUP(W32,'Part List'!A:G,5,FALSE),0)
+IFERROR(X33*VLOOKUP(X32,'Part List'!A:G,5,FALSE),0)
+IFERROR(Y33*VLOOKUP(Y32,'Part List'!A:G,5,FALSE),0)
+IFERROR(Z33*VLOOKUP(Z32,'Part List'!A:G,5,FALSE),0)
+IFERROR(AA33*VLOOKUP(AA32,'Part List'!A:G,5,FALSE),0)
+IFERROR(AB33*VLOOKUP(AB32,'Part List'!A:G,5,FALSE),0)
+IFERROR(AC33*VLOOKUP(AC32,'Part List'!A:G,5,FALSE),0)</f>
        <v>1</v>
      </c>
      <c r="Q32" s="114" t="s">
        <v>1014</v>
      </c>
      <c r="R32" s="114" t="s">
        <v>987</v>
      </c>
      <c r="X32" s="117"/>
      <c r="Z32" s="135"/>
      <c r="AF32" s="114" t="str">
        <f t="shared" si="0"/>
        <v>Run On Timer</v>
      </c>
      <c r="AG32" s="114" t="str">
        <f>_xlfn.CONCAT(R32,", ",)</f>
        <v xml:space="preserve">Run On Timer, </v>
      </c>
    </row>
    <row r="33" spans="14:33" x14ac:dyDescent="0.4">
      <c r="R33" s="114">
        <v>1</v>
      </c>
      <c r="W33" s="117"/>
      <c r="X33" s="448"/>
      <c r="Y33" s="448"/>
      <c r="Z33" s="448"/>
      <c r="AA33" s="448"/>
      <c r="AB33" s="448"/>
      <c r="AF33" s="114">
        <f t="shared" si="0"/>
        <v>0</v>
      </c>
    </row>
    <row r="34" spans="14:33" x14ac:dyDescent="0.4">
      <c r="N34" s="114" t="s">
        <v>1024</v>
      </c>
      <c r="O34" s="114">
        <f>IFERROR(R35*VLOOKUP(R34,'Part List'!A:G,3,FALSE),0)
+IFERROR(S35*VLOOKUP(S34,'Part List'!A:G,3,FALSE),0)
+IFERROR(T35*VLOOKUP(T34,'Part List'!A:G,3,FALSE),0)
+IFERROR(U35*VLOOKUP(U34,'Part List'!A:G,3,FALSE),0)
+IFERROR(V35*VLOOKUP(V34,'Part List'!A:G,3,FALSE),0)
+IFERROR(W35*VLOOKUP(W34,'Part List'!A:G,3,FALSE),0)
+IFERROR(X35*VLOOKUP(X34,'Part List'!A:G,3,FALSE),0)
+IFERROR(Y35*VLOOKUP(Y34,'Part List'!A:G,3,FALSE),0)
+IFERROR(Z35*VLOOKUP(Z34,'Part List'!A:G,3,FALSE),0)
+IFERROR(AA35*VLOOKUP(AA34,'Part List'!A:G,3,FALSE),0)
+IFERROR(AB35*VLOOKUP(AB34,'Part List'!A:G,3,FALSE),0)
+IFERROR(AC35*VLOOKUP(AC34,'Part List'!A:G,3,FALSE),0)</f>
        <v>15.71</v>
      </c>
      <c r="P34" s="114">
        <f>IFERROR(R35*VLOOKUP(R34,'Part List'!A:G,5,FALSE),0)
+IFERROR(S35*VLOOKUP(S34,'Part List'!A:G,5,FALSE),0)
+IFERROR(T35*VLOOKUP(T34,'Part List'!A:G,5,FALSE),0)
+IFERROR(U35*VLOOKUP(U34,'Part List'!A:G,5,FALSE),0)
+IFERROR(V35*VLOOKUP(V34,'Part List'!A:G,5,FALSE),0)
+IFERROR(W35*VLOOKUP(W34,'Part List'!A:G,5,FALSE),0)
+IFERROR(X35*VLOOKUP(X34,'Part List'!A:G,5,FALSE),0)
+IFERROR(Y35*VLOOKUP(Y34,'Part List'!A:G,5,FALSE),0)
+IFERROR(Z35*VLOOKUP(Z34,'Part List'!A:G,5,FALSE),0)
+IFERROR(AA35*VLOOKUP(AA34,'Part List'!A:G,5,FALSE),0)
+IFERROR(AB35*VLOOKUP(AB34,'Part List'!A:G,5,FALSE),0)
+IFERROR(AC35*VLOOKUP(AC34,'Part List'!A:G,5,FALSE),0)</f>
        <v>0.5</v>
      </c>
      <c r="Q34" s="114" t="s">
        <v>1048</v>
      </c>
      <c r="R34" s="114" t="s">
        <v>268</v>
      </c>
      <c r="S34" s="114" t="s">
        <v>1024</v>
      </c>
      <c r="AF34" s="114" t="str">
        <f t="shared" si="0"/>
        <v>Push Button</v>
      </c>
      <c r="AG34" s="114" t="str">
        <f>_xlfn.CONCAT(R34,", ",S34,", ")</f>
        <v xml:space="preserve">2.5mm Twin and Earth, Push Button, </v>
      </c>
    </row>
    <row r="35" spans="14:33" x14ac:dyDescent="0.4">
      <c r="R35" s="114">
        <v>5</v>
      </c>
      <c r="S35" s="114">
        <v>1</v>
      </c>
      <c r="AF35" s="114">
        <f t="shared" si="0"/>
        <v>0</v>
      </c>
    </row>
    <row r="36" spans="14:33" x14ac:dyDescent="0.4">
      <c r="N36" s="114" t="s">
        <v>990</v>
      </c>
      <c r="O36" s="114">
        <f>IFERROR(R37*VLOOKUP(R36,'Part List'!A:G,3,FALSE),0)
+IFERROR(S37*VLOOKUP(S36,'Part List'!A:G,3,FALSE),0)
+IFERROR(T37*VLOOKUP(T36,'Part List'!A:G,3,FALSE),0)
+IFERROR(U37*VLOOKUP(U36,'Part List'!A:G,3,FALSE),0)
+IFERROR(V37*VLOOKUP(V36,'Part List'!A:G,3,FALSE),0)
+IFERROR(W37*VLOOKUP(W36,'Part List'!A:G,3,FALSE),0)
+IFERROR(X37*VLOOKUP(X36,'Part List'!A:G,3,FALSE),0)
+IFERROR(Y37*VLOOKUP(Y36,'Part List'!A:G,3,FALSE),0)
+IFERROR(Z37*VLOOKUP(Z36,'Part List'!A:G,3,FALSE),0)
+IFERROR(AA37*VLOOKUP(AA36,'Part List'!A:G,3,FALSE),0)
+IFERROR(AB37*VLOOKUP(AB36,'Part List'!A:G,3,FALSE),0)
+IFERROR(AC37*VLOOKUP(AC36,'Part List'!A:G,3,FALSE),0)</f>
        <v>20.25</v>
      </c>
      <c r="P36" s="114">
        <f>IFERROR(R37*VLOOKUP(R36,'Part List'!A:G,5,FALSE),0)
+IFERROR(S37*VLOOKUP(S36,'Part List'!A:G,5,FALSE),0)
+IFERROR(T37*VLOOKUP(T36,'Part List'!A:G,5,FALSE),0)
+IFERROR(U37*VLOOKUP(U36,'Part List'!A:G,5,FALSE),0)
+IFERROR(V37*VLOOKUP(V36,'Part List'!A:G,5,FALSE),0)
+IFERROR(W37*VLOOKUP(W36,'Part List'!A:G,5,FALSE),0)
+IFERROR(X37*VLOOKUP(X36,'Part List'!A:G,5,FALSE),0)
+IFERROR(Y37*VLOOKUP(Y36,'Part List'!A:G,5,FALSE),0)
+IFERROR(Z37*VLOOKUP(Z36,'Part List'!A:G,5,FALSE),0)
+IFERROR(AA37*VLOOKUP(AA36,'Part List'!A:G,5,FALSE),0)
+IFERROR(AB37*VLOOKUP(AB36,'Part List'!A:G,5,FALSE),0)
+IFERROR(AC37*VLOOKUP(AC36,'Part List'!A:G,5,FALSE),0)</f>
        <v>0.5</v>
      </c>
      <c r="Q36" s="114" t="s">
        <v>1017</v>
      </c>
      <c r="R36" s="114" t="s">
        <v>268</v>
      </c>
      <c r="S36" s="114" t="s">
        <v>990</v>
      </c>
      <c r="AA36" s="117"/>
      <c r="AB36" s="448"/>
      <c r="AE36" s="448"/>
      <c r="AF36" s="114" t="str">
        <f t="shared" si="0"/>
        <v>Run Status Light</v>
      </c>
      <c r="AG36" s="114" t="str">
        <f>_xlfn.CONCAT(R36,", ",S36,", ")</f>
        <v xml:space="preserve">2.5mm Twin and Earth, Run Status Light, </v>
      </c>
    </row>
    <row r="37" spans="14:33" x14ac:dyDescent="0.4">
      <c r="R37" s="114">
        <v>5</v>
      </c>
      <c r="S37" s="114">
        <v>1</v>
      </c>
      <c r="AF37" s="114">
        <f t="shared" si="0"/>
        <v>0</v>
      </c>
    </row>
    <row r="38" spans="14:33" x14ac:dyDescent="0.4">
      <c r="AF38" s="114">
        <f t="shared" si="0"/>
        <v>0</v>
      </c>
      <c r="AG38" s="114" t="str">
        <f t="shared" si="2"/>
        <v xml:space="preserve">{ CONTROLS FOR: 0}, </v>
      </c>
    </row>
  </sheetData>
  <conditionalFormatting sqref="W33:AB33">
    <cfRule type="expression" dxfId="148" priority="4">
      <formula>IF(ROW() = ROW(), TRUE, FALSE)</formula>
    </cfRule>
  </conditionalFormatting>
  <conditionalFormatting sqref="X32">
    <cfRule type="expression" dxfId="147" priority="3">
      <formula>IF(ROW() = ROW(), TRUE, FALSE)</formula>
    </cfRule>
  </conditionalFormatting>
  <conditionalFormatting sqref="AA36:AB36">
    <cfRule type="expression" dxfId="146" priority="2">
      <formula>IF(ROW() = ROW(), TRUE, FALSE)</formula>
    </cfRule>
  </conditionalFormatting>
  <conditionalFormatting sqref="AE36">
    <cfRule type="expression" dxfId="14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6AD7595-B587-4F1A-AFD3-0C5837709C16}">
          <x14:formula1>
            <xm:f>'Part List'!$A:$A</xm:f>
          </x14:formula1>
          <xm:sqref>Y4 H23:H25 R6 F23:F25 R12 R16:S16 S26 R14 S28 R22 R20:T20 R8 S24 R32</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61C52-140D-455F-9CF6-842335801F18}">
  <dimension ref="A1:AE25"/>
  <sheetViews>
    <sheetView workbookViewId="0">
      <selection activeCell="AT18" sqref="AT18"/>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27.07421875" style="114" customWidth="1"/>
    <col min="12" max="12" width="19.61328125" style="114" customWidth="1"/>
    <col min="13" max="13" width="12.23046875" style="114" customWidth="1"/>
    <col min="14" max="14" width="12.3828125" style="424" hidden="1" customWidth="1"/>
    <col min="15" max="15" width="12.3828125" style="114" hidden="1" customWidth="1"/>
    <col min="16" max="16" width="16" style="114" hidden="1" customWidth="1"/>
    <col min="17" max="17" width="79.15234375" style="114" hidden="1" customWidth="1"/>
    <col min="18" max="18" width="9.23046875" style="114" hidden="1" customWidth="1"/>
    <col min="19" max="19" width="53.3046875" style="114" hidden="1" customWidth="1"/>
    <col min="20" max="20" width="28.3828125" style="114" hidden="1" customWidth="1"/>
    <col min="21" max="21" width="76.07421875" style="114" hidden="1" customWidth="1"/>
    <col min="22" max="22" width="87.23046875" style="114" hidden="1" customWidth="1"/>
    <col min="23" max="23" width="93.69140625" style="114" hidden="1" customWidth="1"/>
    <col min="24" max="24" width="86.84375" style="114" hidden="1" customWidth="1"/>
    <col min="25" max="25" width="79.61328125" style="114" hidden="1" customWidth="1"/>
    <col min="26" max="31" width="9.23046875" style="114" hidden="1" customWidth="1"/>
    <col min="32" max="33" width="0" style="114" hidden="1" customWidth="1"/>
    <col min="34" max="16384" width="9.23046875" style="114"/>
  </cols>
  <sheetData>
    <row r="1" spans="1:31" s="299" customFormat="1" ht="29.15" x14ac:dyDescent="0.4">
      <c r="A1" s="425" t="s">
        <v>931</v>
      </c>
      <c r="B1" s="425" t="s">
        <v>932</v>
      </c>
      <c r="C1" s="426" t="s">
        <v>933</v>
      </c>
      <c r="D1" s="425" t="s">
        <v>934</v>
      </c>
      <c r="E1" s="425" t="s">
        <v>844</v>
      </c>
      <c r="F1" s="425"/>
      <c r="G1" s="427" t="s">
        <v>980</v>
      </c>
      <c r="H1" s="427" t="s">
        <v>981</v>
      </c>
      <c r="I1" s="425" t="s">
        <v>936</v>
      </c>
      <c r="J1" s="425" t="s">
        <v>937</v>
      </c>
      <c r="K1" s="427" t="s">
        <v>982</v>
      </c>
      <c r="L1" s="427" t="str">
        <f>_Other!B1</f>
        <v>Type</v>
      </c>
      <c r="M1" s="427" t="str">
        <f>_Other!C1</f>
        <v>Phase</v>
      </c>
      <c r="N1" s="428"/>
      <c r="O1" s="299">
        <f>MAX('@Chiller'!W:W)</f>
        <v>0</v>
      </c>
      <c r="AA1" s="299" t="str">
        <f>M1</f>
        <v>Phase</v>
      </c>
      <c r="AB1" s="299" t="str">
        <f>L1</f>
        <v>Type</v>
      </c>
    </row>
    <row r="2" spans="1:31" x14ac:dyDescent="0.4">
      <c r="A2" s="429" t="str">
        <f>IF(NOT(OR((K2="N/A"),(K2="INVALID"))),IF(COUNTBLANK(L2:M2)=0,"VALID","INVALID"),"INVALID")</f>
        <v>INVALID</v>
      </c>
      <c r="B2" s="430" t="str">
        <f>_xlfn.CONCAT("Other ",(ROW()-1))</f>
        <v>Other 1</v>
      </c>
      <c r="C2" s="431">
        <f>IFERROR(E2*I2,0)</f>
        <v>0</v>
      </c>
      <c r="D2" s="430">
        <f>IFERROR(IF(ISBLANK(G2),J2*E2,G2*E2),0)</f>
        <v>0</v>
      </c>
      <c r="E2" s="430"/>
      <c r="F2" s="430">
        <f>IF(COUNTBLANK(H2)=0,H2,20)</f>
        <v>20</v>
      </c>
      <c r="G2" s="430"/>
      <c r="H2" s="430"/>
      <c r="I2" s="430" t="str">
        <f xml:space="preserve">
IF(L2="Motorised Damper",VLOOKUP("Motorised Damper",_Other!N:P,2,FALSE),
IF(L2="Smoke Damper",VLOOKUP("Smoke Damper",_Other!N:P,2,FALSE),
IF(L2="Make Safe &amp; Disconnect",IF(M2="No", 999999999, VLOOKUP(M2,_Other!N:P,2,FALSE)),"????"
)))</f>
        <v>????</v>
      </c>
      <c r="J2" s="430" t="str">
        <f xml:space="preserve">
IF(L2="Motorised Damper",VLOOKUP("Motorised Damper",_Other!N:P,3,FALSE),
IF(L2="Smoke Damper",VLOOKUP("Smoke Damper",_Other!N:P,3,FALSE),
IF(L2="Make Safe &amp; Disconnect",IF(M2="No", 99999999999999, VLOOKUP(M2,_Other!N:P,3,FALSE)),"????"
)))</f>
        <v>????</v>
      </c>
      <c r="K2" s="430" t="b">
        <f>IF(COUNTBLANK(L2:M2)=0,
IF(AND(L2="Make Safe &amp; Disconnect",NOT(M2="No")),_xlfn.CONCAT(VLOOKUP(L2,_Other!$A$18:$C$25,3,FALSE),VLOOKUP(M2,_Other!$A$18:$C$25,3,FALSE)),"INVALID"
))</f>
        <v>0</v>
      </c>
      <c r="L2" s="430"/>
      <c r="M2" s="430"/>
      <c r="N2" s="432" t="str">
        <f t="shared" ref="N2:N22" si="0">IF(A2="VALID",_xlfn.CONCAT("
",U2,"
",REPT(" ",8),V2,"
",REPT(" ",8),W2,"
",REPT(" ", 8),X2, "
"),"")</f>
        <v/>
      </c>
      <c r="O2" s="114">
        <f t="shared" ref="O2:O22" si="1" xml:space="preserve"> IF(AND(E2&gt;0,A2="VALID"),O1+1,O1)</f>
        <v>0</v>
      </c>
      <c r="P2" s="114" t="str">
        <f>_xlfn.CONCAT(E2," (",VLOOKUP(E2,[1]Backend!C:D,2,FALSE),")")</f>
        <v xml:space="preserve"> (Zero)</v>
      </c>
      <c r="Q2" s="114" t="e">
        <f>IF(L2="Make Safe &amp; Disconnect",_xlfn.CONCAT(O2," - ",VLOOKUP(L2,_Other!$A$18:$D$22,2,FALSE), " for ",P2," ",M2, " phase units"),_xlfn.CONCAT(O2," - Electrical power supply and controls to ",P2,VLOOKUP(L2,_Other!$A$18:$D$22,2,FALSE)))</f>
        <v>#N/A</v>
      </c>
      <c r="R2" s="114" t="str">
        <f>IF((COUNTIF(AA2:AC2,TRUE) &gt; 0)," with: "," ")</f>
        <v xml:space="preserve"> with: </v>
      </c>
      <c r="S2" s="114" t="str">
        <f>_xlfn.CONCAT(
IF(AA2,VLOOKUP(M2,_Other!$N:$T,4,FALSE),""),
IF(AB2,VLOOKUP(L2,_Other!$N:$T,4,FALSE),""))</f>
        <v/>
      </c>
      <c r="T2" s="114" t="str">
        <f>IF(L2="Make Safe &amp; Disconnect","",_xlfn.CONCAT("from ","MSSB", " Power Supply"))</f>
        <v>from MSSB Power Supply</v>
      </c>
      <c r="U2" s="114" t="e">
        <f>_xlfn.CONCAT(Q2,R2,S2,T2)</f>
        <v>#N/A</v>
      </c>
      <c r="V2" s="114" t="str">
        <f>IF(L2="Make Safe &amp; Disconnect",_xlfn.CONCAT(O2,".1 - This DOES NOT include strip out or demolition works"),_xlfn.CONCAT(O2,".1 - This includes supply and install of power and controls."))</f>
        <v>0.1 - This includes supply and install of power and controls.</v>
      </c>
      <c r="W2" s="114" t="e">
        <f>IF(L2="Make Safe &amp; Disconnect","",_xlfn.CONCAT(O2,".2 - Power for system includes: CB and cabling to ",VLOOKUP(L2,_Other!$A$18:$D$22,4,FALSE)," from MSSB, and local isolator,"))</f>
        <v>#N/A</v>
      </c>
      <c r="X2" s="114" t="e">
        <f>IF(L2="Make Safe &amp; Disconnect","",(IF(OR((#REF!="Local"),NOT(#REF!="No"),(COUNTIF(L2:M2,"Yes")&gt;0)),_xlfn.CONCAT(O2,".3 - Controls for system includes: ",_xlfn.CONCAT(Y2,IF(FALSE,"controls enclosure.","")),""),"")))</f>
        <v>#REF!</v>
      </c>
      <c r="Y2" s="114" t="e">
        <f>IF(L2="Make Safe &amp; Disconnect","",_xlfn.CONCAT(VLOOKUP(L2,_Other!AF:AG,2,FALSE),
IF(AA2,VLOOKUP(M2,_Other!AF:AG,2,FALSE),""),
IF(AB2,VLOOKUP($AB$1,_Other!AF:AG,2,FALSE),""),
))</f>
        <v>#N/A</v>
      </c>
      <c r="AA2" s="114" t="b">
        <f>AND(L2="Make Safe &amp; Disconnect",NOT(M2="No"))</f>
        <v>0</v>
      </c>
      <c r="AB2" s="114" t="b">
        <f>NOT(L2="Make Safe &amp; Disconnect")</f>
        <v>1</v>
      </c>
      <c r="AE2" s="114" t="str">
        <f>_xlfn.CONCAT(IF(L2="Make Safe &amp; Disconnect",_xlfn.CONCAT(O2," - ",VLOOKUP(L2,_Other!$A$18:$D$22,2,FALSE), " for ",P2," ",M2, " phase units")),R2,S2)</f>
        <v xml:space="preserve">FALSE with: </v>
      </c>
    </row>
    <row r="3" spans="1:31" x14ac:dyDescent="0.4">
      <c r="A3" s="429" t="str">
        <f t="shared" ref="A3:A22" si="2">IF(NOT(OR((K3="N/A"),(K3="INVALID"))),IF(COUNTBLANK(L3:M3)=0,"VALID","INVALID"),"INVALID")</f>
        <v>INVALID</v>
      </c>
      <c r="B3" s="430" t="str">
        <f t="shared" ref="B3:B22" si="3">_xlfn.CONCAT("Other ",(ROW()-1))</f>
        <v>Other 2</v>
      </c>
      <c r="C3" s="431">
        <f t="shared" ref="C3:C22" si="4">IFERROR(E3*I3,0)</f>
        <v>0</v>
      </c>
      <c r="D3" s="430">
        <f t="shared" ref="D3:D22" si="5">IFERROR(IF(ISBLANK(G3),J3*E3,G3*E3),0)</f>
        <v>0</v>
      </c>
      <c r="E3" s="430"/>
      <c r="F3" s="430">
        <f t="shared" ref="F3:F22" si="6">IF(COUNTBLANK(H3)=0,H3,20)</f>
        <v>20</v>
      </c>
      <c r="G3" s="430"/>
      <c r="H3" s="430"/>
      <c r="I3" s="430" t="str">
        <f xml:space="preserve">
IF(L3="Motorised Damper",VLOOKUP("Motorised Damper",_Other!N:P,2,FALSE),
IF(L3="Smoke Damper",VLOOKUP("Smoke Damper",_Other!N:P,2,FALSE),
IF(L3="Make Safe &amp; Disconnect",IF(M3="No", "Select Phase", VLOOKUP(M3,_Other!N:P,2,FALSE)),"????"
)))</f>
        <v>????</v>
      </c>
      <c r="J3" s="430" t="str">
        <f xml:space="preserve">
IF(L3="Motorised Damper",VLOOKUP("Motorised Damper",_Other!N:P,3,FALSE),
IF(L3="Smoke Damper",VLOOKUP("Smoke Damper",_Other!N:P,3,FALSE),
IF(L3="Make Safe &amp; Disconnect",IF(M3="No", "Select Phase", VLOOKUP(M3,_Other!N:P,3,FALSE)),"????"
)))</f>
        <v>????</v>
      </c>
      <c r="K3" s="430" t="b">
        <f>IF(COUNTBLANK(L3:M3)=0,
IF(AND(L3="Make Safe &amp; Disconnect",NOT(M3="No")),_xlfn.CONCAT(VLOOKUP(L3,_Other!$A$18:$C$25,3,FALSE),VLOOKUP(M3,_Other!$A$18:$C$25,3,FALSE)),"INVALID"
))</f>
        <v>0</v>
      </c>
      <c r="L3" s="430"/>
      <c r="M3" s="430"/>
      <c r="N3" s="432" t="str">
        <f t="shared" si="0"/>
        <v/>
      </c>
      <c r="O3" s="114">
        <f t="shared" si="1"/>
        <v>0</v>
      </c>
      <c r="P3" s="114" t="str">
        <f>_xlfn.CONCAT(E3," (",VLOOKUP(E3,[1]Backend!C:D,2,FALSE),")")</f>
        <v xml:space="preserve"> (Zero)</v>
      </c>
      <c r="Q3" s="114" t="e">
        <f>IF(L3="Make Safe &amp; Disconnect",_xlfn.CONCAT(O3," - ",VLOOKUP(L3,_Other!$A$18:$D$22,2,FALSE), " for ",P3," ",M3, " phase units"),_xlfn.CONCAT(O3," - Electrical power supply and controls to ",P3,VLOOKUP(L3,_Other!$A$18:$D$22,2,FALSE)))</f>
        <v>#N/A</v>
      </c>
      <c r="R3" s="114" t="str">
        <f t="shared" ref="R3:R22" si="7">IF((COUNTIF(AA3:AC3,TRUE) &gt; 0)," with: "," ")</f>
        <v xml:space="preserve"> with: </v>
      </c>
      <c r="S3" s="114" t="str">
        <f>_xlfn.CONCAT(
IF(AA3,VLOOKUP(M3,_Other!$N:$T,4,FALSE),""),
IF(AB3,VLOOKUP(L3,_Other!$N:$T,4,FALSE),""))</f>
        <v/>
      </c>
      <c r="T3" s="114" t="str">
        <f t="shared" ref="T3:T22" si="8">IF(L3="Make Safe &amp; Disconnect","",_xlfn.CONCAT("from ","MSSB", " Power Supply"))</f>
        <v>from MSSB Power Supply</v>
      </c>
      <c r="U3" s="114" t="e">
        <f>_xlfn.CONCAT(Q3,R3,S3,T3)</f>
        <v>#N/A</v>
      </c>
      <c r="V3" s="114" t="str">
        <f t="shared" ref="V3:V22" si="9">IF(L3="Make Safe &amp; Disconnect",_xlfn.CONCAT(O3,".1 - This DOES NOT include strip out or demolition works"),_xlfn.CONCAT(O3,".1 - This includes supply and install of power and controls."))</f>
        <v>0.1 - This includes supply and install of power and controls.</v>
      </c>
      <c r="W3" s="114" t="e">
        <f>IF(L3="Make Safe &amp; Disconnect","",_xlfn.CONCAT(O3,".2 - Power for system includes: CB and cabling to ",VLOOKUP(L3,_Other!$A$18:$D$22,4,FALSE)," from MSSB, and local isolator,"))</f>
        <v>#N/A</v>
      </c>
      <c r="X3" s="114" t="e">
        <f>IF(L3="Make Safe &amp; Disconnect","",(IF(OR((#REF!="Local"),NOT(#REF!="No"),(COUNTIF(L3:M3,"Yes")&gt;0)),_xlfn.CONCAT(O3,".3 - Controls for system includes: ",_xlfn.CONCAT(Y3,IF(FALSE,"controls enclosure.","")),""),"")))</f>
        <v>#REF!</v>
      </c>
      <c r="Y3" s="114" t="e">
        <f>IF(L3="Make Safe &amp; Disconnect","",_xlfn.CONCAT(VLOOKUP(L3,_Other!AF:AG,2,FALSE),
IF(AA3,VLOOKUP(M3,_Other!AF:AG,2,FALSE),""),
IF(AB3,VLOOKUP($AB$1,_Other!AF:AG,2,FALSE),""),
))</f>
        <v>#N/A</v>
      </c>
      <c r="AA3" s="114" t="b">
        <f t="shared" ref="AA3:AA22" si="10">AND(L3="Make Safe &amp; Disconnect",NOT(M3="No"))</f>
        <v>0</v>
      </c>
      <c r="AB3" s="114" t="b">
        <f t="shared" ref="AB3:AB22" si="11">NOT(L3="Make Safe &amp; Disconnect")</f>
        <v>1</v>
      </c>
      <c r="AE3" s="114" t="str">
        <f>_xlfn.CONCAT(IF(L3="Make Safe &amp; Disconnect",_xlfn.CONCAT(O3," - ",VLOOKUP(L3,_Other!$A$18:$D$22,2,FALSE), " for ",P3," ",M3, " phase units")),R3,S3)</f>
        <v xml:space="preserve">FALSE with: </v>
      </c>
    </row>
    <row r="4" spans="1:31" x14ac:dyDescent="0.4">
      <c r="A4" s="429" t="str">
        <f t="shared" si="2"/>
        <v>INVALID</v>
      </c>
      <c r="B4" s="430" t="str">
        <f t="shared" si="3"/>
        <v>Other 3</v>
      </c>
      <c r="C4" s="431">
        <f t="shared" si="4"/>
        <v>0</v>
      </c>
      <c r="D4" s="430">
        <f t="shared" si="5"/>
        <v>0</v>
      </c>
      <c r="E4" s="430"/>
      <c r="F4" s="430">
        <f t="shared" si="6"/>
        <v>20</v>
      </c>
      <c r="G4" s="430"/>
      <c r="H4" s="430"/>
      <c r="I4" s="430" t="str">
        <f xml:space="preserve">
IF(L4="Motorised Damper",VLOOKUP("Motorised Damper",_Other!N:P,2,FALSE),
IF(L4="Smoke Damper",VLOOKUP("Smoke Damper",_Other!N:P,2,FALSE),
IF(L4="Make Safe &amp; Disconnect",IF(M4="No", "Select Phase", VLOOKUP(M4,_Other!N:P,2,FALSE)),"????"
)))</f>
        <v>????</v>
      </c>
      <c r="J4" s="430" t="str">
        <f xml:space="preserve">
IF(L4="Motorised Damper",VLOOKUP("Motorised Damper",_Other!N:P,3,FALSE),
IF(L4="Smoke Damper",VLOOKUP("Smoke Damper",_Other!N:P,3,FALSE),
IF(L4="Make Safe &amp; Disconnect",IF(M4="No", "Select Phase", VLOOKUP(M4,_Other!N:P,3,FALSE)),"????"
)))</f>
        <v>????</v>
      </c>
      <c r="K4" s="430" t="b">
        <f>IF(COUNTBLANK(L4:M4)=0,
IF(AND(L4="Make Safe &amp; Disconnect",NOT(M4="No")),_xlfn.CONCAT(VLOOKUP(L4,_Other!$A$18:$C$25,3,FALSE),VLOOKUP(M4,_Other!$A$18:$C$25,3,FALSE)),"INVALID"
))</f>
        <v>0</v>
      </c>
      <c r="L4" s="430"/>
      <c r="M4" s="430"/>
      <c r="N4" s="432" t="str">
        <f t="shared" si="0"/>
        <v/>
      </c>
      <c r="O4" s="114">
        <f t="shared" si="1"/>
        <v>0</v>
      </c>
      <c r="P4" s="114" t="str">
        <f>_xlfn.CONCAT(E4," (",VLOOKUP(E4,[1]Backend!C:D,2,FALSE),")")</f>
        <v xml:space="preserve"> (Zero)</v>
      </c>
      <c r="Q4" s="114" t="e">
        <f>IF(L4="Make Safe &amp; Disconnect",_xlfn.CONCAT(O4," - ",VLOOKUP(L4,_Other!$A$18:$D$22,2,FALSE), " for ",P4," ",M4, " phase units"),_xlfn.CONCAT(O4," - Electrical power supply and controls to ",P4,VLOOKUP(L4,_Other!$A$18:$D$22,2,FALSE)))</f>
        <v>#N/A</v>
      </c>
      <c r="R4" s="114" t="str">
        <f t="shared" si="7"/>
        <v xml:space="preserve"> with: </v>
      </c>
      <c r="S4" s="114" t="str">
        <f>_xlfn.CONCAT(
IF(AA4,VLOOKUP(M4,_Other!$N:$T,4,FALSE),""),
IF(AB4,VLOOKUP(L4,_Other!$N:$T,4,FALSE),""))</f>
        <v/>
      </c>
      <c r="T4" s="114" t="str">
        <f t="shared" si="8"/>
        <v>from MSSB Power Supply</v>
      </c>
      <c r="U4" s="114" t="e">
        <f>_xlfn.CONCAT(Q4,R4,S4,T4)</f>
        <v>#N/A</v>
      </c>
      <c r="V4" s="114" t="str">
        <f t="shared" si="9"/>
        <v>0.1 - This includes supply and install of power and controls.</v>
      </c>
      <c r="W4" s="114" t="e">
        <f>IF(L4="Make Safe &amp; Disconnect","",_xlfn.CONCAT(O4,".2 - Power for system includes: CB and cabling to ",VLOOKUP(L4,_Other!$A$18:$D$22,4,FALSE)," from MSSB, and local isolator,"))</f>
        <v>#N/A</v>
      </c>
      <c r="X4" s="114" t="e">
        <f>IF(L4="Make Safe &amp; Disconnect","",(IF(OR((#REF!="Local"),NOT(#REF!="No"),(COUNTIF(L4:M4,"Yes")&gt;0)),_xlfn.CONCAT(O4,".3 - Controls for system includes: ",_xlfn.CONCAT(Y4,IF(FALSE,"controls enclosure.","")),""),"")))</f>
        <v>#REF!</v>
      </c>
      <c r="Y4" s="114" t="e">
        <f>IF(L4="Make Safe &amp; Disconnect","",_xlfn.CONCAT(VLOOKUP(L4,_Other!AF:AG,2,FALSE),
IF(AA4,VLOOKUP(M4,_Other!AF:AG,2,FALSE),""),
IF(AB4,VLOOKUP($AB$1,_Other!AF:AG,2,FALSE),""),
))</f>
        <v>#N/A</v>
      </c>
      <c r="AA4" s="114" t="b">
        <f t="shared" si="10"/>
        <v>0</v>
      </c>
      <c r="AB4" s="114" t="b">
        <f t="shared" si="11"/>
        <v>1</v>
      </c>
      <c r="AE4" s="114" t="str">
        <f>_xlfn.CONCAT(IF(L4="Make Safe &amp; Disconnect",_xlfn.CONCAT(O4," - ",VLOOKUP(L4,_Other!$A$18:$D$22,2,FALSE), " for ",P4," ",M4, " phase units")),R4,S4)</f>
        <v xml:space="preserve">FALSE with: </v>
      </c>
    </row>
    <row r="5" spans="1:31" x14ac:dyDescent="0.4">
      <c r="A5" s="429" t="str">
        <f t="shared" si="2"/>
        <v>INVALID</v>
      </c>
      <c r="B5" s="430" t="str">
        <f t="shared" si="3"/>
        <v>Other 4</v>
      </c>
      <c r="C5" s="431">
        <f t="shared" si="4"/>
        <v>0</v>
      </c>
      <c r="D5" s="430">
        <f t="shared" si="5"/>
        <v>0</v>
      </c>
      <c r="E5" s="430"/>
      <c r="F5" s="430">
        <f t="shared" si="6"/>
        <v>20</v>
      </c>
      <c r="G5" s="430"/>
      <c r="H5" s="430"/>
      <c r="I5" s="430" t="str">
        <f xml:space="preserve">
IF(L5="Motorised Damper",VLOOKUP("Motorised Damper",_Other!N:P,2,FALSE),
IF(L5="Smoke Damper",VLOOKUP("Smoke Damper",_Other!N:P,2,FALSE),
IF(L5="Make Safe &amp; Disconnect",IF(M5="No", "Select Phase", VLOOKUP(M5,_Other!N:P,2,FALSE)),"????"
)))</f>
        <v>????</v>
      </c>
      <c r="J5" s="430" t="str">
        <f xml:space="preserve">
IF(L5="Motorised Damper",VLOOKUP("Motorised Damper",_Other!N:P,3,FALSE),
IF(L5="Smoke Damper",VLOOKUP("Smoke Damper",_Other!N:P,3,FALSE),
IF(L5="Make Safe &amp; Disconnect",IF(M5="No", "Select Phase", VLOOKUP(M5,_Other!N:P,3,FALSE)),"????"
)))</f>
        <v>????</v>
      </c>
      <c r="K5" s="430" t="b">
        <f>IF(COUNTBLANK(L5:M5)=0,
IF(AND(L5="Make Safe &amp; Disconnect",NOT(M5="No")),_xlfn.CONCAT(VLOOKUP(L5,_Other!$A$18:$C$25,3,FALSE),VLOOKUP(M5,_Other!$A$18:$C$25,3,FALSE)),"INVALID"
))</f>
        <v>0</v>
      </c>
      <c r="L5" s="430"/>
      <c r="M5" s="430"/>
      <c r="N5" s="432" t="str">
        <f t="shared" si="0"/>
        <v/>
      </c>
      <c r="O5" s="114">
        <f t="shared" si="1"/>
        <v>0</v>
      </c>
      <c r="P5" s="114" t="str">
        <f>_xlfn.CONCAT(E5," (",VLOOKUP(E5,[1]Backend!C:D,2,FALSE),")")</f>
        <v xml:space="preserve"> (Zero)</v>
      </c>
      <c r="Q5" s="114" t="e">
        <f>IF(L5="Make Safe &amp; Disconnect",_xlfn.CONCAT(O5," - ",VLOOKUP(L5,_Other!$A$18:$D$22,2,FALSE), " for ",P5," ",M5, " phase units"),_xlfn.CONCAT(O5," - Electrical power supply and controls to ",P5,VLOOKUP(L5,_Other!$A$18:$D$22,2,FALSE)))</f>
        <v>#N/A</v>
      </c>
      <c r="R5" s="114" t="str">
        <f t="shared" si="7"/>
        <v xml:space="preserve"> with: </v>
      </c>
      <c r="S5" s="114" t="str">
        <f>_xlfn.CONCAT(
IF(AA5,VLOOKUP(M5,_Other!$N:$T,4,FALSE),""),
IF(AB5,VLOOKUP(L5,_Other!$N:$T,4,FALSE),""))</f>
        <v/>
      </c>
      <c r="T5" s="114" t="str">
        <f t="shared" si="8"/>
        <v>from MSSB Power Supply</v>
      </c>
      <c r="U5" s="114" t="e">
        <f>_xlfn.CONCAT(Q5,R5,S5,T5)</f>
        <v>#N/A</v>
      </c>
      <c r="V5" s="114" t="str">
        <f t="shared" si="9"/>
        <v>0.1 - This includes supply and install of power and controls.</v>
      </c>
      <c r="W5" s="114" t="e">
        <f>IF(L5="Make Safe &amp; Disconnect","",_xlfn.CONCAT(O5,".2 - Power for system includes: CB and cabling to ",VLOOKUP(L5,_Other!$A$18:$D$22,4,FALSE)," from MSSB, and local isolator,"))</f>
        <v>#N/A</v>
      </c>
      <c r="X5" s="114" t="e">
        <f>IF(L5="Make Safe &amp; Disconnect","",(IF(OR((#REF!="Local"),NOT(#REF!="No"),(COUNTIF(L5:M5,"Yes")&gt;0)),_xlfn.CONCAT(O5,".3 - Controls for system includes: ",_xlfn.CONCAT(Y5,IF(FALSE,"controls enclosure.","")),""),"")))</f>
        <v>#REF!</v>
      </c>
      <c r="Y5" s="114" t="e">
        <f>IF(L5="Make Safe &amp; Disconnect","",_xlfn.CONCAT(VLOOKUP(L5,_Other!AF:AG,2,FALSE),
IF(AA5,VLOOKUP(M5,_Other!AF:AG,2,FALSE),""),
IF(AB5,VLOOKUP($AB$1,_Other!AF:AG,2,FALSE),""),
))</f>
        <v>#N/A</v>
      </c>
      <c r="AA5" s="114" t="b">
        <f t="shared" si="10"/>
        <v>0</v>
      </c>
      <c r="AB5" s="114" t="b">
        <f t="shared" si="11"/>
        <v>1</v>
      </c>
      <c r="AE5" s="114" t="str">
        <f>_xlfn.CONCAT(IF(L5="Make Safe &amp; Disconnect",_xlfn.CONCAT(O5," - ",VLOOKUP(L5,_Other!$A$18:$D$22,2,FALSE), " for ",P5," ",M5, " phase units")),R5,S5)</f>
        <v xml:space="preserve">FALSE with: </v>
      </c>
    </row>
    <row r="6" spans="1:31" x14ac:dyDescent="0.4">
      <c r="A6" s="429" t="str">
        <f t="shared" si="2"/>
        <v>INVALID</v>
      </c>
      <c r="B6" s="430" t="str">
        <f t="shared" si="3"/>
        <v>Other 5</v>
      </c>
      <c r="C6" s="431">
        <f t="shared" si="4"/>
        <v>0</v>
      </c>
      <c r="D6" s="430">
        <f t="shared" si="5"/>
        <v>0</v>
      </c>
      <c r="E6" s="430"/>
      <c r="F6" s="430">
        <f t="shared" si="6"/>
        <v>20</v>
      </c>
      <c r="G6" s="430"/>
      <c r="H6" s="430"/>
      <c r="I6" s="430" t="str">
        <f xml:space="preserve">
IF(L6="Motorised Damper",VLOOKUP("Motorised Damper",_Other!N:P,2,FALSE),
IF(L6="Smoke Damper",VLOOKUP("Smoke Damper",_Other!N:P,2,FALSE),
IF(L6="Make Safe &amp; Disconnect",IF(M6="No", "Select Phase", VLOOKUP(M6,_Other!N:P,2,FALSE)),"????"
)))</f>
        <v>????</v>
      </c>
      <c r="J6" s="430" t="str">
        <f xml:space="preserve">
IF(L6="Motorised Damper",VLOOKUP("Motorised Damper",_Other!N:P,3,FALSE),
IF(L6="Smoke Damper",VLOOKUP("Smoke Damper",_Other!N:P,3,FALSE),
IF(L6="Make Safe &amp; Disconnect",IF(M6="No", "Select Phase", VLOOKUP(M6,_Other!N:P,3,FALSE)),"????"
)))</f>
        <v>????</v>
      </c>
      <c r="K6" s="430" t="b">
        <f>IF(COUNTBLANK(L6:M6)=0,
IF(AND(L6="Make Safe &amp; Disconnect",NOT(M6="No")),_xlfn.CONCAT(VLOOKUP(L6,_Other!$A$18:$C$25,3,FALSE),VLOOKUP(M6,_Other!$A$18:$C$25,3,FALSE)),"INVALID"
))</f>
        <v>0</v>
      </c>
      <c r="L6" s="430"/>
      <c r="M6" s="430"/>
      <c r="N6" s="432" t="str">
        <f t="shared" si="0"/>
        <v/>
      </c>
      <c r="O6" s="114">
        <f t="shared" si="1"/>
        <v>0</v>
      </c>
      <c r="P6" s="114" t="str">
        <f>_xlfn.CONCAT(E6," (",VLOOKUP(E6,[1]Backend!C:D,2,FALSE),")")</f>
        <v xml:space="preserve"> (Zero)</v>
      </c>
      <c r="Q6" s="114" t="e">
        <f>IF(L6="Make Safe &amp; Disconnect",_xlfn.CONCAT(O6," - ",VLOOKUP(L6,_Other!$A$18:$D$22,2,FALSE), " for ",P6," ",M6, " phase units"),_xlfn.CONCAT(O6," - Electrical power supply and controls to ",P6,VLOOKUP(L6,_Other!$A$18:$D$22,2,FALSE)))</f>
        <v>#N/A</v>
      </c>
      <c r="R6" s="114" t="str">
        <f t="shared" si="7"/>
        <v xml:space="preserve"> with: </v>
      </c>
      <c r="S6" s="114" t="str">
        <f>_xlfn.CONCAT(
IF(AA6,VLOOKUP(M6,_Other!$N:$T,4,FALSE),""),
IF(AB6,VLOOKUP(L6,_Other!$N:$T,4,FALSE),""))</f>
        <v/>
      </c>
      <c r="T6" s="114" t="str">
        <f t="shared" si="8"/>
        <v>from MSSB Power Supply</v>
      </c>
      <c r="U6" s="114" t="e">
        <f t="shared" ref="U6:U22" si="12">_xlfn.CONCAT(Q6,R6,S6,T6)</f>
        <v>#N/A</v>
      </c>
      <c r="V6" s="114" t="str">
        <f t="shared" si="9"/>
        <v>0.1 - This includes supply and install of power and controls.</v>
      </c>
      <c r="W6" s="114" t="e">
        <f>IF(L6="Make Safe &amp; Disconnect","",_xlfn.CONCAT(O6,".2 - Power for system includes: CB and cabling to ",VLOOKUP(L6,_Other!$A$18:$D$22,4,FALSE)," from MSSB, and local isolator,"))</f>
        <v>#N/A</v>
      </c>
      <c r="X6" s="114" t="e">
        <f>IF(L6="Make Safe &amp; Disconnect","",(IF(OR((#REF!="Local"),NOT(#REF!="No"),(COUNTIF(L6:M6,"Yes")&gt;0)),_xlfn.CONCAT(O6,".3 - Controls for system includes: ",_xlfn.CONCAT(Y6,IF(FALSE,"controls enclosure.","")),""),"")))</f>
        <v>#REF!</v>
      </c>
      <c r="Y6" s="114" t="e">
        <f>IF(L6="Make Safe &amp; Disconnect","",_xlfn.CONCAT(VLOOKUP(L6,_Other!AF:AG,2,FALSE),
IF(AA6,VLOOKUP(M6,_Other!AF:AG,2,FALSE),""),
IF(AB6,VLOOKUP($AB$1,_Other!AF:AG,2,FALSE),""),
))</f>
        <v>#N/A</v>
      </c>
      <c r="AA6" s="114" t="b">
        <f t="shared" si="10"/>
        <v>0</v>
      </c>
      <c r="AB6" s="114" t="b">
        <f t="shared" si="11"/>
        <v>1</v>
      </c>
      <c r="AE6" s="114" t="str">
        <f>_xlfn.CONCAT(IF(L6="Make Safe &amp; Disconnect",_xlfn.CONCAT(O6," - ",VLOOKUP(L6,_Other!$A$18:$D$22,2,FALSE), " for ",P6," ",M6, " phase units")),R6,S6)</f>
        <v xml:space="preserve">FALSE with: </v>
      </c>
    </row>
    <row r="7" spans="1:31" x14ac:dyDescent="0.4">
      <c r="A7" s="429" t="str">
        <f t="shared" si="2"/>
        <v>INVALID</v>
      </c>
      <c r="B7" s="430" t="str">
        <f t="shared" si="3"/>
        <v>Other 6</v>
      </c>
      <c r="C7" s="431">
        <f t="shared" si="4"/>
        <v>0</v>
      </c>
      <c r="D7" s="430">
        <f t="shared" si="5"/>
        <v>0</v>
      </c>
      <c r="E7" s="430"/>
      <c r="F7" s="430">
        <f t="shared" si="6"/>
        <v>20</v>
      </c>
      <c r="G7" s="430"/>
      <c r="H7" s="430"/>
      <c r="I7" s="430" t="str">
        <f xml:space="preserve">
IF(L7="Motorised Damper",VLOOKUP("Motorised Damper",_Other!N:P,2,FALSE),
IF(L7="Smoke Damper",VLOOKUP("Smoke Damper",_Other!N:P,2,FALSE),
IF(L7="Make Safe &amp; Disconnect",IF(M7="No", "Select Phase", VLOOKUP(M7,_Other!N:P,2,FALSE)),"????"
)))</f>
        <v>????</v>
      </c>
      <c r="J7" s="430" t="str">
        <f xml:space="preserve">
IF(L7="Motorised Damper",VLOOKUP("Motorised Damper",_Other!N:P,3,FALSE),
IF(L7="Smoke Damper",VLOOKUP("Smoke Damper",_Other!N:P,3,FALSE),
IF(L7="Make Safe &amp; Disconnect",IF(M7="No", "Select Phase", VLOOKUP(M7,_Other!N:P,3,FALSE)),"????"
)))</f>
        <v>????</v>
      </c>
      <c r="K7" s="430" t="b">
        <f>IF(COUNTBLANK(L7:M7)=0,
IF(AND(L7="Make Safe &amp; Disconnect",NOT(M7="No")),_xlfn.CONCAT(VLOOKUP(L7,_Other!$A$18:$C$25,3,FALSE),VLOOKUP(M7,_Other!$A$18:$C$25,3,FALSE)),"INVALID"
))</f>
        <v>0</v>
      </c>
      <c r="L7" s="430"/>
      <c r="M7" s="430"/>
      <c r="N7" s="432" t="str">
        <f t="shared" si="0"/>
        <v/>
      </c>
      <c r="O7" s="114">
        <f t="shared" si="1"/>
        <v>0</v>
      </c>
      <c r="P7" s="114" t="str">
        <f>_xlfn.CONCAT(E7," (",VLOOKUP(E7,[1]Backend!C:D,2,FALSE),")")</f>
        <v xml:space="preserve"> (Zero)</v>
      </c>
      <c r="Q7" s="114" t="e">
        <f>IF(L7="Make Safe &amp; Disconnect",_xlfn.CONCAT(O7," - ",VLOOKUP(L7,_Other!$A$18:$D$22,2,FALSE), " for ",P7," ",M7, " phase units"),_xlfn.CONCAT(O7," - Electrical power supply and controls to ",P7,VLOOKUP(L7,_Other!$A$18:$D$22,2,FALSE)))</f>
        <v>#N/A</v>
      </c>
      <c r="R7" s="114" t="str">
        <f t="shared" si="7"/>
        <v xml:space="preserve"> with: </v>
      </c>
      <c r="S7" s="114" t="str">
        <f>_xlfn.CONCAT(
IF(AA7,VLOOKUP(M7,_Other!$N:$T,4,FALSE),""),
IF(AB7,VLOOKUP(L7,_Other!$N:$T,4,FALSE),""))</f>
        <v/>
      </c>
      <c r="T7" s="114" t="str">
        <f t="shared" si="8"/>
        <v>from MSSB Power Supply</v>
      </c>
      <c r="U7" s="114" t="e">
        <f t="shared" si="12"/>
        <v>#N/A</v>
      </c>
      <c r="V7" s="114" t="str">
        <f t="shared" si="9"/>
        <v>0.1 - This includes supply and install of power and controls.</v>
      </c>
      <c r="W7" s="114" t="e">
        <f>IF(L7="Make Safe &amp; Disconnect","",_xlfn.CONCAT(O7,".2 - Power for system includes: CB and cabling to ",VLOOKUP(L7,_Other!$A$18:$D$22,4,FALSE)," from MSSB, and local isolator,"))</f>
        <v>#N/A</v>
      </c>
      <c r="X7" s="114" t="e">
        <f>IF(L7="Make Safe &amp; Disconnect","",(IF(OR((#REF!="Local"),NOT(#REF!="No"),(COUNTIF(L7:M7,"Yes")&gt;0)),_xlfn.CONCAT(O7,".3 - Controls for system includes: ",_xlfn.CONCAT(Y7,IF(FALSE,"controls enclosure.","")),""),"")))</f>
        <v>#REF!</v>
      </c>
      <c r="Y7" s="114" t="e">
        <f>IF(L7="Make Safe &amp; Disconnect","",_xlfn.CONCAT(VLOOKUP(L7,_Other!AF:AG,2,FALSE),
IF(AA7,VLOOKUP(M7,_Other!AF:AG,2,FALSE),""),
IF(AB7,VLOOKUP($AB$1,_Other!AF:AG,2,FALSE),""),
))</f>
        <v>#N/A</v>
      </c>
      <c r="AA7" s="114" t="b">
        <f t="shared" si="10"/>
        <v>0</v>
      </c>
      <c r="AB7" s="114" t="b">
        <f t="shared" si="11"/>
        <v>1</v>
      </c>
      <c r="AE7" s="114" t="str">
        <f>_xlfn.CONCAT(IF(L7="Make Safe &amp; Disconnect",_xlfn.CONCAT(O7," - ",VLOOKUP(L7,_Other!$A$18:$D$22,2,FALSE), " for ",P7," ",M7, " phase units")),R7,S7)</f>
        <v xml:space="preserve">FALSE with: </v>
      </c>
    </row>
    <row r="8" spans="1:31" x14ac:dyDescent="0.4">
      <c r="A8" s="429" t="str">
        <f t="shared" si="2"/>
        <v>INVALID</v>
      </c>
      <c r="B8" s="430" t="str">
        <f t="shared" si="3"/>
        <v>Other 7</v>
      </c>
      <c r="C8" s="431">
        <f t="shared" si="4"/>
        <v>0</v>
      </c>
      <c r="D8" s="430">
        <f t="shared" si="5"/>
        <v>0</v>
      </c>
      <c r="E8" s="430"/>
      <c r="F8" s="430">
        <f t="shared" si="6"/>
        <v>20</v>
      </c>
      <c r="G8" s="430"/>
      <c r="H8" s="430"/>
      <c r="I8" s="430" t="str">
        <f xml:space="preserve">
IF(L8="Motorised Damper",VLOOKUP("Motorised Damper",_Other!N:P,2,FALSE),
IF(L8="Smoke Damper",VLOOKUP("Smoke Damper",_Other!N:P,2,FALSE),
IF(L8="Make Safe &amp; Disconnect",IF(M8="No", "Select Phase", VLOOKUP(M8,_Other!N:P,2,FALSE)),"????"
)))</f>
        <v>????</v>
      </c>
      <c r="J8" s="430" t="str">
        <f xml:space="preserve">
IF(L8="Motorised Damper",VLOOKUP("Motorised Damper",_Other!N:P,3,FALSE),
IF(L8="Smoke Damper",VLOOKUP("Smoke Damper",_Other!N:P,3,FALSE),
IF(L8="Make Safe &amp; Disconnect",IF(M8="No", "Select Phase", VLOOKUP(M8,_Other!N:P,3,FALSE)),"????"
)))</f>
        <v>????</v>
      </c>
      <c r="K8" s="430" t="b">
        <f>IF(COUNTBLANK(L8:M8)=0,
IF(AND(L8="Make Safe &amp; Disconnect",NOT(M8="No")),_xlfn.CONCAT(VLOOKUP(L8,_Other!$A$18:$C$25,3,FALSE),VLOOKUP(M8,_Other!$A$18:$C$25,3,FALSE)),"INVALID"
))</f>
        <v>0</v>
      </c>
      <c r="L8" s="430"/>
      <c r="M8" s="430"/>
      <c r="N8" s="432" t="str">
        <f t="shared" si="0"/>
        <v/>
      </c>
      <c r="O8" s="114">
        <f t="shared" si="1"/>
        <v>0</v>
      </c>
      <c r="P8" s="114" t="str">
        <f>_xlfn.CONCAT(E8," (",VLOOKUP(E8,[1]Backend!C:D,2,FALSE),")")</f>
        <v xml:space="preserve"> (Zero)</v>
      </c>
      <c r="Q8" s="114" t="e">
        <f>IF(L8="Make Safe &amp; Disconnect",_xlfn.CONCAT(O8," - ",VLOOKUP(L8,_Other!$A$18:$D$22,2,FALSE), " for ",P8," ",M8, " phase units"),_xlfn.CONCAT(O8," - Electrical power supply and controls to ",P8,VLOOKUP(L8,_Other!$A$18:$D$22,2,FALSE)))</f>
        <v>#N/A</v>
      </c>
      <c r="R8" s="114" t="str">
        <f t="shared" si="7"/>
        <v xml:space="preserve"> with: </v>
      </c>
      <c r="S8" s="114" t="str">
        <f>_xlfn.CONCAT(
IF(AA8,VLOOKUP(M8,_Other!$N:$T,4,FALSE),""),
IF(AB8,VLOOKUP(L8,_Other!$N:$T,4,FALSE),""))</f>
        <v/>
      </c>
      <c r="T8" s="114" t="str">
        <f t="shared" si="8"/>
        <v>from MSSB Power Supply</v>
      </c>
      <c r="U8" s="114" t="e">
        <f t="shared" si="12"/>
        <v>#N/A</v>
      </c>
      <c r="V8" s="114" t="str">
        <f t="shared" si="9"/>
        <v>0.1 - This includes supply and install of power and controls.</v>
      </c>
      <c r="W8" s="114" t="e">
        <f>IF(L8="Make Safe &amp; Disconnect","",_xlfn.CONCAT(O8,".2 - Power for system includes: CB and cabling to ",VLOOKUP(L8,_Other!$A$18:$D$22,4,FALSE)," from MSSB, and local isolator,"))</f>
        <v>#N/A</v>
      </c>
      <c r="X8" s="114" t="e">
        <f>IF(L8="Make Safe &amp; Disconnect","",(IF(OR((#REF!="Local"),NOT(#REF!="No"),(COUNTIF(L8:M8,"Yes")&gt;0)),_xlfn.CONCAT(O8,".3 - Controls for system includes: ",_xlfn.CONCAT(Y8,IF(FALSE,"controls enclosure.","")),""),"")))</f>
        <v>#REF!</v>
      </c>
      <c r="Y8" s="114" t="e">
        <f>IF(L8="Make Safe &amp; Disconnect","",_xlfn.CONCAT(VLOOKUP(L8,_Other!AF:AG,2,FALSE),
IF(AA8,VLOOKUP(M8,_Other!AF:AG,2,FALSE),""),
IF(AB8,VLOOKUP($AB$1,_Other!AF:AG,2,FALSE),""),
))</f>
        <v>#N/A</v>
      </c>
      <c r="AA8" s="114" t="b">
        <f t="shared" si="10"/>
        <v>0</v>
      </c>
      <c r="AB8" s="114" t="b">
        <f t="shared" si="11"/>
        <v>1</v>
      </c>
      <c r="AE8" s="114" t="str">
        <f>_xlfn.CONCAT(IF(L8="Make Safe &amp; Disconnect",_xlfn.CONCAT(O8," - ",VLOOKUP(L8,_Other!$A$18:$D$22,2,FALSE), " for ",P8," ",M8, " phase units")),R8,S8)</f>
        <v xml:space="preserve">FALSE with: </v>
      </c>
    </row>
    <row r="9" spans="1:31" x14ac:dyDescent="0.4">
      <c r="A9" s="429" t="str">
        <f t="shared" si="2"/>
        <v>INVALID</v>
      </c>
      <c r="B9" s="430" t="str">
        <f t="shared" si="3"/>
        <v>Other 8</v>
      </c>
      <c r="C9" s="431">
        <f t="shared" si="4"/>
        <v>0</v>
      </c>
      <c r="D9" s="430">
        <f t="shared" si="5"/>
        <v>0</v>
      </c>
      <c r="E9" s="430"/>
      <c r="F9" s="430">
        <f t="shared" si="6"/>
        <v>20</v>
      </c>
      <c r="G9" s="430"/>
      <c r="H9" s="430"/>
      <c r="I9" s="430" t="str">
        <f xml:space="preserve">
IF(L9="Motorised Damper",VLOOKUP("Motorised Damper",_Other!N:P,2,FALSE),
IF(L9="Smoke Damper",VLOOKUP("Smoke Damper",_Other!N:P,2,FALSE),
IF(L9="Make Safe &amp; Disconnect",IF(M9="No", "Select Phase", VLOOKUP(M9,_Other!N:P,2,FALSE)),"????"
)))</f>
        <v>????</v>
      </c>
      <c r="J9" s="430" t="str">
        <f xml:space="preserve">
IF(L9="Motorised Damper",VLOOKUP("Motorised Damper",_Other!N:P,3,FALSE),
IF(L9="Smoke Damper",VLOOKUP("Smoke Damper",_Other!N:P,3,FALSE),
IF(L9="Make Safe &amp; Disconnect",IF(M9="No", "Select Phase", VLOOKUP(M9,_Other!N:P,3,FALSE)),"????"
)))</f>
        <v>????</v>
      </c>
      <c r="K9" s="430" t="b">
        <f>IF(COUNTBLANK(L9:M9)=0,
IF(AND(L9="Make Safe &amp; Disconnect",NOT(M9="No")),_xlfn.CONCAT(VLOOKUP(L9,_Other!$A$18:$C$25,3,FALSE),VLOOKUP(M9,_Other!$A$18:$C$25,3,FALSE)),"INVALID"
))</f>
        <v>0</v>
      </c>
      <c r="L9" s="430"/>
      <c r="M9" s="430"/>
      <c r="N9" s="432" t="str">
        <f t="shared" si="0"/>
        <v/>
      </c>
      <c r="O9" s="114">
        <f t="shared" si="1"/>
        <v>0</v>
      </c>
      <c r="P9" s="114" t="str">
        <f>_xlfn.CONCAT(E9," (",VLOOKUP(E9,[1]Backend!C:D,2,FALSE),")")</f>
        <v xml:space="preserve"> (Zero)</v>
      </c>
      <c r="Q9" s="114" t="e">
        <f>IF(L9="Make Safe &amp; Disconnect",_xlfn.CONCAT(O9," - ",VLOOKUP(L9,_Other!$A$18:$D$22,2,FALSE), " for ",P9," ",M9, " phase units"),_xlfn.CONCAT(O9," - Electrical power supply and controls to ",P9,VLOOKUP(L9,_Other!$A$18:$D$22,2,FALSE)))</f>
        <v>#N/A</v>
      </c>
      <c r="R9" s="114" t="str">
        <f t="shared" si="7"/>
        <v xml:space="preserve"> with: </v>
      </c>
      <c r="S9" s="114" t="str">
        <f>_xlfn.CONCAT(
IF(AA9,VLOOKUP(M9,_Other!$N:$T,4,FALSE),""),
IF(AB9,VLOOKUP(L9,_Other!$N:$T,4,FALSE),""))</f>
        <v/>
      </c>
      <c r="T9" s="114" t="str">
        <f t="shared" si="8"/>
        <v>from MSSB Power Supply</v>
      </c>
      <c r="U9" s="114" t="e">
        <f t="shared" si="12"/>
        <v>#N/A</v>
      </c>
      <c r="V9" s="114" t="str">
        <f t="shared" si="9"/>
        <v>0.1 - This includes supply and install of power and controls.</v>
      </c>
      <c r="W9" s="114" t="e">
        <f>IF(L9="Make Safe &amp; Disconnect","",_xlfn.CONCAT(O9,".2 - Power for system includes: CB and cabling to ",VLOOKUP(L9,_Other!$A$18:$D$22,4,FALSE)," from MSSB, and local isolator,"))</f>
        <v>#N/A</v>
      </c>
      <c r="X9" s="114" t="e">
        <f>IF(L9="Make Safe &amp; Disconnect","",(IF(OR((#REF!="Local"),NOT(#REF!="No"),(COUNTIF(L9:M9,"Yes")&gt;0)),_xlfn.CONCAT(O9,".3 - Controls for system includes: ",_xlfn.CONCAT(Y9,IF(FALSE,"controls enclosure.","")),""),"")))</f>
        <v>#REF!</v>
      </c>
      <c r="Y9" s="114" t="e">
        <f>IF(L9="Make Safe &amp; Disconnect","",_xlfn.CONCAT(VLOOKUP(L9,_Other!AF:AG,2,FALSE),
IF(AA9,VLOOKUP(M9,_Other!AF:AG,2,FALSE),""),
IF(AB9,VLOOKUP($AB$1,_Other!AF:AG,2,FALSE),""),
))</f>
        <v>#N/A</v>
      </c>
      <c r="AA9" s="114" t="b">
        <f t="shared" si="10"/>
        <v>0</v>
      </c>
      <c r="AB9" s="114" t="b">
        <f t="shared" si="11"/>
        <v>1</v>
      </c>
      <c r="AE9" s="114" t="str">
        <f>_xlfn.CONCAT(IF(L9="Make Safe &amp; Disconnect",_xlfn.CONCAT(O9," - ",VLOOKUP(L9,_Other!$A$18:$D$22,2,FALSE), " for ",P9," ",M9, " phase units")),R9,S9)</f>
        <v xml:space="preserve">FALSE with: </v>
      </c>
    </row>
    <row r="10" spans="1:31" x14ac:dyDescent="0.4">
      <c r="A10" s="429" t="str">
        <f t="shared" si="2"/>
        <v>INVALID</v>
      </c>
      <c r="B10" s="430" t="str">
        <f t="shared" si="3"/>
        <v>Other 9</v>
      </c>
      <c r="C10" s="431">
        <f t="shared" si="4"/>
        <v>0</v>
      </c>
      <c r="D10" s="430">
        <f t="shared" si="5"/>
        <v>0</v>
      </c>
      <c r="E10" s="430"/>
      <c r="F10" s="430">
        <f t="shared" si="6"/>
        <v>20</v>
      </c>
      <c r="G10" s="430"/>
      <c r="H10" s="430"/>
      <c r="I10" s="430" t="str">
        <f xml:space="preserve">
IF(L10="Motorised Damper",VLOOKUP("Motorised Damper",_Other!N:P,2,FALSE),
IF(L10="Smoke Damper",VLOOKUP("Smoke Damper",_Other!N:P,2,FALSE),
IF(L10="Make Safe &amp; Disconnect",IF(M10="No", "Select Phase", VLOOKUP(M10,_Other!N:P,2,FALSE)),"????"
)))</f>
        <v>????</v>
      </c>
      <c r="J10" s="430" t="str">
        <f xml:space="preserve">
IF(L10="Motorised Damper",VLOOKUP("Motorised Damper",_Other!N:P,3,FALSE),
IF(L10="Smoke Damper",VLOOKUP("Smoke Damper",_Other!N:P,3,FALSE),
IF(L10="Make Safe &amp; Disconnect",IF(M10="No", "Select Phase", VLOOKUP(M10,_Other!N:P,3,FALSE)),"????"
)))</f>
        <v>????</v>
      </c>
      <c r="K10" s="430" t="b">
        <f>IF(COUNTBLANK(L10:M10)=0,
IF(AND(L10="Make Safe &amp; Disconnect",NOT(M10="No")),_xlfn.CONCAT(VLOOKUP(L10,_Other!$A$18:$C$25,3,FALSE),VLOOKUP(M10,_Other!$A$18:$C$25,3,FALSE)),"INVALID"
))</f>
        <v>0</v>
      </c>
      <c r="L10" s="430"/>
      <c r="M10" s="430"/>
      <c r="N10" s="432" t="str">
        <f t="shared" si="0"/>
        <v/>
      </c>
      <c r="O10" s="114">
        <f t="shared" si="1"/>
        <v>0</v>
      </c>
      <c r="P10" s="114" t="str">
        <f>_xlfn.CONCAT(E10," (",VLOOKUP(E10,[1]Backend!C:D,2,FALSE),")")</f>
        <v xml:space="preserve"> (Zero)</v>
      </c>
      <c r="Q10" s="114" t="e">
        <f>IF(L10="Make Safe &amp; Disconnect",_xlfn.CONCAT(O10," - ",VLOOKUP(L10,_Other!$A$18:$D$22,2,FALSE), " for ",P10," ",M10, " phase units"),_xlfn.CONCAT(O10," - Electrical power supply and controls to ",P10,VLOOKUP(L10,_Other!$A$18:$D$22,2,FALSE)))</f>
        <v>#N/A</v>
      </c>
      <c r="R10" s="114" t="str">
        <f t="shared" si="7"/>
        <v xml:space="preserve"> with: </v>
      </c>
      <c r="S10" s="114" t="str">
        <f>_xlfn.CONCAT(
IF(AA10,VLOOKUP(M10,_Other!$N:$T,4,FALSE),""),
IF(AB10,VLOOKUP(L10,_Other!$N:$T,4,FALSE),""))</f>
        <v/>
      </c>
      <c r="T10" s="114" t="str">
        <f t="shared" si="8"/>
        <v>from MSSB Power Supply</v>
      </c>
      <c r="U10" s="114" t="e">
        <f t="shared" si="12"/>
        <v>#N/A</v>
      </c>
      <c r="V10" s="114" t="str">
        <f t="shared" si="9"/>
        <v>0.1 - This includes supply and install of power and controls.</v>
      </c>
      <c r="W10" s="114" t="e">
        <f>IF(L10="Make Safe &amp; Disconnect","",_xlfn.CONCAT(O10,".2 - Power for system includes: CB and cabling to ",VLOOKUP(L10,_Other!$A$18:$D$22,4,FALSE)," from MSSB, and local isolator,"))</f>
        <v>#N/A</v>
      </c>
      <c r="X10" s="114" t="e">
        <f>IF(L10="Make Safe &amp; Disconnect","",(IF(OR((#REF!="Local"),NOT(#REF!="No"),(COUNTIF(L10:M10,"Yes")&gt;0)),_xlfn.CONCAT(O10,".3 - Controls for system includes: ",_xlfn.CONCAT(Y10,IF(FALSE,"controls enclosure.","")),""),"")))</f>
        <v>#REF!</v>
      </c>
      <c r="Y10" s="114" t="e">
        <f>IF(L10="Make Safe &amp; Disconnect","",_xlfn.CONCAT(VLOOKUP(L10,_Other!AF:AG,2,FALSE),
IF(AA10,VLOOKUP(M10,_Other!AF:AG,2,FALSE),""),
IF(AB10,VLOOKUP($AB$1,_Other!AF:AG,2,FALSE),""),
))</f>
        <v>#N/A</v>
      </c>
      <c r="AA10" s="114" t="b">
        <f t="shared" si="10"/>
        <v>0</v>
      </c>
      <c r="AB10" s="114" t="b">
        <f t="shared" si="11"/>
        <v>1</v>
      </c>
      <c r="AE10" s="114" t="str">
        <f>_xlfn.CONCAT(IF(L10="Make Safe &amp; Disconnect",_xlfn.CONCAT(O10," - ",VLOOKUP(L10,_Other!$A$18:$D$22,2,FALSE), " for ",P10," ",M10, " phase units")),R10,S10)</f>
        <v xml:space="preserve">FALSE with: </v>
      </c>
    </row>
    <row r="11" spans="1:31" x14ac:dyDescent="0.4">
      <c r="A11" s="429" t="str">
        <f t="shared" si="2"/>
        <v>INVALID</v>
      </c>
      <c r="B11" s="430" t="str">
        <f t="shared" si="3"/>
        <v>Other 10</v>
      </c>
      <c r="C11" s="431">
        <f t="shared" si="4"/>
        <v>0</v>
      </c>
      <c r="D11" s="430">
        <f t="shared" si="5"/>
        <v>0</v>
      </c>
      <c r="E11" s="430"/>
      <c r="F11" s="430">
        <f t="shared" si="6"/>
        <v>20</v>
      </c>
      <c r="G11" s="430"/>
      <c r="H11" s="430"/>
      <c r="I11" s="430" t="str">
        <f xml:space="preserve">
IF(L11="Motorised Damper",VLOOKUP("Motorised Damper",_Other!N:P,2,FALSE),
IF(L11="Smoke Damper",VLOOKUP("Smoke Damper",_Other!N:P,2,FALSE),
IF(L11="Make Safe &amp; Disconnect",IF(M11="No", "Select Phase", VLOOKUP(M11,_Other!N:P,2,FALSE)),"????"
)))</f>
        <v>????</v>
      </c>
      <c r="J11" s="430" t="str">
        <f xml:space="preserve">
IF(L11="Motorised Damper",VLOOKUP("Motorised Damper",_Other!N:P,3,FALSE),
IF(L11="Smoke Damper",VLOOKUP("Smoke Damper",_Other!N:P,3,FALSE),
IF(L11="Make Safe &amp; Disconnect",IF(M11="No", "Select Phase", VLOOKUP(M11,_Other!N:P,3,FALSE)),"????"
)))</f>
        <v>????</v>
      </c>
      <c r="K11" s="430" t="b">
        <f>IF(COUNTBLANK(L11:M11)=0,
IF(AND(L11="Make Safe &amp; Disconnect",NOT(M11="No")),_xlfn.CONCAT(VLOOKUP(L11,_Other!$A$18:$C$25,3,FALSE),VLOOKUP(M11,_Other!$A$18:$C$25,3,FALSE)),"INVALID"
))</f>
        <v>0</v>
      </c>
      <c r="L11" s="430"/>
      <c r="M11" s="430"/>
      <c r="N11" s="432" t="str">
        <f t="shared" si="0"/>
        <v/>
      </c>
      <c r="O11" s="114">
        <f t="shared" si="1"/>
        <v>0</v>
      </c>
      <c r="P11" s="114" t="str">
        <f>_xlfn.CONCAT(E11," (",VLOOKUP(E11,[1]Backend!C:D,2,FALSE),")")</f>
        <v xml:space="preserve"> (Zero)</v>
      </c>
      <c r="Q11" s="114" t="e">
        <f>IF(L11="Make Safe &amp; Disconnect",_xlfn.CONCAT(O11," - ",VLOOKUP(L11,_Other!$A$18:$D$22,2,FALSE), " for ",P11," ",M11, " phase units"),_xlfn.CONCAT(O11," - Electrical power supply and controls to ",P11,VLOOKUP(L11,_Other!$A$18:$D$22,2,FALSE)))</f>
        <v>#N/A</v>
      </c>
      <c r="R11" s="114" t="str">
        <f t="shared" si="7"/>
        <v xml:space="preserve"> with: </v>
      </c>
      <c r="S11" s="114" t="str">
        <f>_xlfn.CONCAT(
IF(AA11,VLOOKUP(M11,_Other!$N:$T,4,FALSE),""),
IF(AB11,VLOOKUP(L11,_Other!$N:$T,4,FALSE),""))</f>
        <v/>
      </c>
      <c r="T11" s="114" t="str">
        <f t="shared" si="8"/>
        <v>from MSSB Power Supply</v>
      </c>
      <c r="U11" s="114" t="e">
        <f t="shared" si="12"/>
        <v>#N/A</v>
      </c>
      <c r="V11" s="114" t="str">
        <f t="shared" si="9"/>
        <v>0.1 - This includes supply and install of power and controls.</v>
      </c>
      <c r="W11" s="114" t="e">
        <f>IF(L11="Make Safe &amp; Disconnect","",_xlfn.CONCAT(O11,".2 - Power for system includes: CB and cabling to ",VLOOKUP(L11,_Other!$A$18:$D$22,4,FALSE)," from MSSB, and local isolator,"))</f>
        <v>#N/A</v>
      </c>
      <c r="X11" s="114" t="e">
        <f>IF(L11="Make Safe &amp; Disconnect","",(IF(OR((#REF!="Local"),NOT(#REF!="No"),(COUNTIF(L11:M11,"Yes")&gt;0)),_xlfn.CONCAT(O11,".3 - Controls for system includes: ",_xlfn.CONCAT(Y11,IF(FALSE,"controls enclosure.","")),""),"")))</f>
        <v>#REF!</v>
      </c>
      <c r="Y11" s="114" t="e">
        <f>IF(L11="Make Safe &amp; Disconnect","",_xlfn.CONCAT(VLOOKUP(L11,_Other!AF:AG,2,FALSE),
IF(AA11,VLOOKUP(M11,_Other!AF:AG,2,FALSE),""),
IF(AB11,VLOOKUP($AB$1,_Other!AF:AG,2,FALSE),""),
))</f>
        <v>#N/A</v>
      </c>
      <c r="AA11" s="114" t="b">
        <f t="shared" si="10"/>
        <v>0</v>
      </c>
      <c r="AB11" s="114" t="b">
        <f t="shared" si="11"/>
        <v>1</v>
      </c>
      <c r="AE11" s="114" t="str">
        <f>_xlfn.CONCAT(IF(L11="Make Safe &amp; Disconnect",_xlfn.CONCAT(O11," - ",VLOOKUP(L11,_Other!$A$18:$D$22,2,FALSE), " for ",P11," ",M11, " phase units")),R11,S11)</f>
        <v xml:space="preserve">FALSE with: </v>
      </c>
    </row>
    <row r="12" spans="1:31" x14ac:dyDescent="0.4">
      <c r="A12" s="429" t="str">
        <f t="shared" si="2"/>
        <v>INVALID</v>
      </c>
      <c r="B12" s="430" t="str">
        <f t="shared" si="3"/>
        <v>Other 11</v>
      </c>
      <c r="C12" s="431">
        <f t="shared" si="4"/>
        <v>0</v>
      </c>
      <c r="D12" s="430">
        <f t="shared" si="5"/>
        <v>0</v>
      </c>
      <c r="E12" s="430"/>
      <c r="F12" s="430">
        <f t="shared" si="6"/>
        <v>20</v>
      </c>
      <c r="G12" s="430"/>
      <c r="H12" s="430"/>
      <c r="I12" s="430" t="str">
        <f xml:space="preserve">
IF(L12="Motorised Damper",VLOOKUP("Motorised Damper",_Other!N:P,2,FALSE),
IF(L12="Smoke Damper",VLOOKUP("Smoke Damper",_Other!N:P,2,FALSE),
IF(L12="Make Safe &amp; Disconnect",IF(M12="No", "Select Phase", VLOOKUP(M12,_Other!N:P,2,FALSE)),"????"
)))</f>
        <v>????</v>
      </c>
      <c r="J12" s="430" t="str">
        <f xml:space="preserve">
IF(L12="Motorised Damper",VLOOKUP("Motorised Damper",_Other!N:P,3,FALSE),
IF(L12="Smoke Damper",VLOOKUP("Smoke Damper",_Other!N:P,3,FALSE),
IF(L12="Make Safe &amp; Disconnect",IF(M12="No", "Select Phase", VLOOKUP(M12,_Other!N:P,3,FALSE)),"????"
)))</f>
        <v>????</v>
      </c>
      <c r="K12" s="430" t="b">
        <f>IF(COUNTBLANK(L12:M12)=0,
IF(AND(L12="Make Safe &amp; Disconnect",NOT(M12="No")),_xlfn.CONCAT(VLOOKUP(L12,_Other!$A$18:$C$25,3,FALSE),VLOOKUP(M12,_Other!$A$18:$C$25,3,FALSE)),"INVALID"
))</f>
        <v>0</v>
      </c>
      <c r="L12" s="430"/>
      <c r="M12" s="430"/>
      <c r="N12" s="432" t="str">
        <f t="shared" si="0"/>
        <v/>
      </c>
      <c r="O12" s="114">
        <f t="shared" si="1"/>
        <v>0</v>
      </c>
      <c r="P12" s="114" t="str">
        <f>_xlfn.CONCAT(E12," (",VLOOKUP(E12,[1]Backend!C:D,2,FALSE),")")</f>
        <v xml:space="preserve"> (Zero)</v>
      </c>
      <c r="Q12" s="114" t="e">
        <f>IF(L12="Make Safe &amp; Disconnect",_xlfn.CONCAT(O12," - ",VLOOKUP(L12,_Other!$A$18:$D$22,2,FALSE), " for ",P12," ",M12, " phase units"),_xlfn.CONCAT(O12," - Electrical power supply and controls to ",P12,VLOOKUP(L12,_Other!$A$18:$D$22,2,FALSE)))</f>
        <v>#N/A</v>
      </c>
      <c r="R12" s="114" t="str">
        <f t="shared" si="7"/>
        <v xml:space="preserve"> with: </v>
      </c>
      <c r="S12" s="114" t="str">
        <f>_xlfn.CONCAT(
IF(AA12,VLOOKUP(M12,_Other!$N:$T,4,FALSE),""),
IF(AB12,VLOOKUP(L12,_Other!$N:$T,4,FALSE),""))</f>
        <v/>
      </c>
      <c r="T12" s="114" t="str">
        <f t="shared" si="8"/>
        <v>from MSSB Power Supply</v>
      </c>
      <c r="U12" s="114" t="e">
        <f t="shared" si="12"/>
        <v>#N/A</v>
      </c>
      <c r="V12" s="114" t="str">
        <f t="shared" si="9"/>
        <v>0.1 - This includes supply and install of power and controls.</v>
      </c>
      <c r="W12" s="114" t="e">
        <f>IF(L12="Make Safe &amp; Disconnect","",_xlfn.CONCAT(O12,".2 - Power for system includes: CB and cabling to ",VLOOKUP(L12,_Other!$A$18:$D$22,4,FALSE)," from MSSB, and local isolator,"))</f>
        <v>#N/A</v>
      </c>
      <c r="X12" s="114" t="e">
        <f>IF(L12="Make Safe &amp; Disconnect","",(IF(OR((#REF!="Local"),NOT(#REF!="No"),(COUNTIF(L12:M12,"Yes")&gt;0)),_xlfn.CONCAT(O12,".3 - Controls for system includes: ",_xlfn.CONCAT(Y12,IF(FALSE,"controls enclosure.","")),""),"")))</f>
        <v>#REF!</v>
      </c>
      <c r="Y12" s="114" t="e">
        <f>IF(L12="Make Safe &amp; Disconnect","",_xlfn.CONCAT(VLOOKUP(L12,_Other!AF:AG,2,FALSE),
IF(AA12,VLOOKUP(M12,_Other!AF:AG,2,FALSE),""),
IF(AB12,VLOOKUP($AB$1,_Other!AF:AG,2,FALSE),""),
))</f>
        <v>#N/A</v>
      </c>
      <c r="AA12" s="114" t="b">
        <f t="shared" si="10"/>
        <v>0</v>
      </c>
      <c r="AB12" s="114" t="b">
        <f t="shared" si="11"/>
        <v>1</v>
      </c>
      <c r="AE12" s="114" t="str">
        <f>_xlfn.CONCAT(IF(L12="Make Safe &amp; Disconnect",_xlfn.CONCAT(O12," - ",VLOOKUP(L12,_Other!$A$18:$D$22,2,FALSE), " for ",P12," ",M12, " phase units")),R12,S12)</f>
        <v xml:space="preserve">FALSE with: </v>
      </c>
    </row>
    <row r="13" spans="1:31" x14ac:dyDescent="0.4">
      <c r="A13" s="429" t="str">
        <f t="shared" si="2"/>
        <v>INVALID</v>
      </c>
      <c r="B13" s="430" t="str">
        <f t="shared" si="3"/>
        <v>Other 12</v>
      </c>
      <c r="C13" s="431">
        <f t="shared" si="4"/>
        <v>0</v>
      </c>
      <c r="D13" s="430">
        <f t="shared" si="5"/>
        <v>0</v>
      </c>
      <c r="E13" s="430"/>
      <c r="F13" s="430">
        <f t="shared" si="6"/>
        <v>20</v>
      </c>
      <c r="G13" s="430"/>
      <c r="H13" s="430"/>
      <c r="I13" s="430" t="str">
        <f xml:space="preserve">
IF(L13="Motorised Damper",VLOOKUP("Motorised Damper",_Other!N:P,2,FALSE),
IF(L13="Smoke Damper",VLOOKUP("Smoke Damper",_Other!N:P,2,FALSE),
IF(L13="Make Safe &amp; Disconnect",IF(M13="No", "Select Phase", VLOOKUP(M13,_Other!N:P,2,FALSE)),"????"
)))</f>
        <v>????</v>
      </c>
      <c r="J13" s="430" t="str">
        <f xml:space="preserve">
IF(L13="Motorised Damper",VLOOKUP("Motorised Damper",_Other!N:P,3,FALSE),
IF(L13="Smoke Damper",VLOOKUP("Smoke Damper",_Other!N:P,3,FALSE),
IF(L13="Make Safe &amp; Disconnect",IF(M13="No", "Select Phase", VLOOKUP(M13,_Other!N:P,3,FALSE)),"????"
)))</f>
        <v>????</v>
      </c>
      <c r="K13" s="430" t="b">
        <f>IF(COUNTBLANK(L13:M13)=0,
IF(AND(L13="Make Safe &amp; Disconnect",NOT(M13="No")),_xlfn.CONCAT(VLOOKUP(L13,_Other!$A$18:$C$25,3,FALSE),VLOOKUP(M13,_Other!$A$18:$C$25,3,FALSE)),"INVALID"
))</f>
        <v>0</v>
      </c>
      <c r="L13" s="430"/>
      <c r="M13" s="430"/>
      <c r="N13" s="432" t="str">
        <f t="shared" si="0"/>
        <v/>
      </c>
      <c r="O13" s="114">
        <f t="shared" si="1"/>
        <v>0</v>
      </c>
      <c r="P13" s="114" t="str">
        <f>_xlfn.CONCAT(E13," (",VLOOKUP(E13,[1]Backend!C:D,2,FALSE),")")</f>
        <v xml:space="preserve"> (Zero)</v>
      </c>
      <c r="Q13" s="114" t="e">
        <f>IF(L13="Make Safe &amp; Disconnect",_xlfn.CONCAT(O13," - ",VLOOKUP(L13,_Other!$A$18:$D$22,2,FALSE), " for ",P13," ",M13, " phase units"),_xlfn.CONCAT(O13," - Electrical power supply and controls to ",P13,VLOOKUP(L13,_Other!$A$18:$D$22,2,FALSE)))</f>
        <v>#N/A</v>
      </c>
      <c r="R13" s="114" t="str">
        <f t="shared" si="7"/>
        <v xml:space="preserve"> with: </v>
      </c>
      <c r="S13" s="114" t="str">
        <f>_xlfn.CONCAT(
IF(AA13,VLOOKUP(M13,_Other!$N:$T,4,FALSE),""),
IF(AB13,VLOOKUP(L13,_Other!$N:$T,4,FALSE),""))</f>
        <v/>
      </c>
      <c r="T13" s="114" t="str">
        <f t="shared" si="8"/>
        <v>from MSSB Power Supply</v>
      </c>
      <c r="U13" s="114" t="e">
        <f t="shared" si="12"/>
        <v>#N/A</v>
      </c>
      <c r="V13" s="114" t="str">
        <f t="shared" si="9"/>
        <v>0.1 - This includes supply and install of power and controls.</v>
      </c>
      <c r="W13" s="114" t="e">
        <f>IF(L13="Make Safe &amp; Disconnect","",_xlfn.CONCAT(O13,".2 - Power for system includes: CB and cabling to ",VLOOKUP(L13,_Other!$A$18:$D$22,4,FALSE)," from MSSB, and local isolator,"))</f>
        <v>#N/A</v>
      </c>
      <c r="X13" s="114" t="e">
        <f>IF(L13="Make Safe &amp; Disconnect","",(IF(OR((#REF!="Local"),NOT(#REF!="No"),(COUNTIF(L13:M13,"Yes")&gt;0)),_xlfn.CONCAT(O13,".3 - Controls for system includes: ",_xlfn.CONCAT(Y13,IF(FALSE,"controls enclosure.","")),""),"")))</f>
        <v>#REF!</v>
      </c>
      <c r="Y13" s="114" t="e">
        <f>IF(L13="Make Safe &amp; Disconnect","",_xlfn.CONCAT(VLOOKUP(L13,_Other!AF:AG,2,FALSE),
IF(AA13,VLOOKUP(M13,_Other!AF:AG,2,FALSE),""),
IF(AB13,VLOOKUP($AB$1,_Other!AF:AG,2,FALSE),""),
))</f>
        <v>#N/A</v>
      </c>
      <c r="AA13" s="114" t="b">
        <f t="shared" si="10"/>
        <v>0</v>
      </c>
      <c r="AB13" s="114" t="b">
        <f t="shared" si="11"/>
        <v>1</v>
      </c>
      <c r="AE13" s="114" t="str">
        <f>_xlfn.CONCAT(IF(L13="Make Safe &amp; Disconnect",_xlfn.CONCAT(O13," - ",VLOOKUP(L13,_Other!$A$18:$D$22,2,FALSE), " for ",P13," ",M13, " phase units")),R13,S13)</f>
        <v xml:space="preserve">FALSE with: </v>
      </c>
    </row>
    <row r="14" spans="1:31" x14ac:dyDescent="0.4">
      <c r="A14" s="429" t="str">
        <f t="shared" si="2"/>
        <v>INVALID</v>
      </c>
      <c r="B14" s="430" t="str">
        <f t="shared" si="3"/>
        <v>Other 13</v>
      </c>
      <c r="C14" s="431">
        <f t="shared" si="4"/>
        <v>0</v>
      </c>
      <c r="D14" s="430">
        <f t="shared" si="5"/>
        <v>0</v>
      </c>
      <c r="E14" s="430"/>
      <c r="F14" s="430">
        <f t="shared" si="6"/>
        <v>20</v>
      </c>
      <c r="G14" s="430"/>
      <c r="H14" s="430"/>
      <c r="I14" s="430" t="str">
        <f xml:space="preserve">
IF(L14="Motorised Damper",VLOOKUP("Motorised Damper",_Other!N:P,2,FALSE),
IF(L14="Smoke Damper",VLOOKUP("Smoke Damper",_Other!N:P,2,FALSE),
IF(L14="Make Safe &amp; Disconnect",IF(M14="No", "Select Phase", VLOOKUP(M14,_Other!N:P,2,FALSE)),"????"
)))</f>
        <v>????</v>
      </c>
      <c r="J14" s="430" t="str">
        <f xml:space="preserve">
IF(L14="Motorised Damper",VLOOKUP("Motorised Damper",_Other!N:P,3,FALSE),
IF(L14="Smoke Damper",VLOOKUP("Smoke Damper",_Other!N:P,3,FALSE),
IF(L14="Make Safe &amp; Disconnect",IF(M14="No", "Select Phase", VLOOKUP(M14,_Other!N:P,3,FALSE)),"????"
)))</f>
        <v>????</v>
      </c>
      <c r="K14" s="430" t="b">
        <f>IF(COUNTBLANK(L14:M14)=0,
IF(AND(L14="Make Safe &amp; Disconnect",NOT(M14="No")),_xlfn.CONCAT(VLOOKUP(L14,_Other!$A$18:$C$25,3,FALSE),VLOOKUP(M14,_Other!$A$18:$C$25,3,FALSE)),"INVALID"
))</f>
        <v>0</v>
      </c>
      <c r="L14" s="430"/>
      <c r="M14" s="430"/>
      <c r="N14" s="432" t="str">
        <f t="shared" si="0"/>
        <v/>
      </c>
      <c r="O14" s="114">
        <f t="shared" si="1"/>
        <v>0</v>
      </c>
      <c r="P14" s="114" t="str">
        <f>_xlfn.CONCAT(E14," (",VLOOKUP(E14,[1]Backend!C:D,2,FALSE),")")</f>
        <v xml:space="preserve"> (Zero)</v>
      </c>
      <c r="Q14" s="114" t="e">
        <f>IF(L14="Make Safe &amp; Disconnect",_xlfn.CONCAT(O14," - ",VLOOKUP(L14,_Other!$A$18:$D$22,2,FALSE), " for ",P14," ",M14, " phase units"),_xlfn.CONCAT(O14," - Electrical power supply and controls to ",P14,VLOOKUP(L14,_Other!$A$18:$D$22,2,FALSE)))</f>
        <v>#N/A</v>
      </c>
      <c r="R14" s="114" t="str">
        <f t="shared" si="7"/>
        <v xml:space="preserve"> with: </v>
      </c>
      <c r="S14" s="114" t="str">
        <f>_xlfn.CONCAT(
IF(AA14,VLOOKUP(M14,_Other!$N:$T,4,FALSE),""),
IF(AB14,VLOOKUP(L14,_Other!$N:$T,4,FALSE),""))</f>
        <v/>
      </c>
      <c r="T14" s="114" t="str">
        <f t="shared" si="8"/>
        <v>from MSSB Power Supply</v>
      </c>
      <c r="U14" s="114" t="e">
        <f t="shared" si="12"/>
        <v>#N/A</v>
      </c>
      <c r="V14" s="114" t="str">
        <f t="shared" si="9"/>
        <v>0.1 - This includes supply and install of power and controls.</v>
      </c>
      <c r="W14" s="114" t="e">
        <f>IF(L14="Make Safe &amp; Disconnect","",_xlfn.CONCAT(O14,".2 - Power for system includes: CB and cabling to ",VLOOKUP(L14,_Other!$A$18:$D$22,4,FALSE)," from MSSB, and local isolator,"))</f>
        <v>#N/A</v>
      </c>
      <c r="X14" s="114" t="e">
        <f>IF(L14="Make Safe &amp; Disconnect","",(IF(OR((#REF!="Local"),NOT(#REF!="No"),(COUNTIF(L14:M14,"Yes")&gt;0)),_xlfn.CONCAT(O14,".3 - Controls for system includes: ",_xlfn.CONCAT(Y14,IF(FALSE,"controls enclosure.","")),""),"")))</f>
        <v>#REF!</v>
      </c>
      <c r="Y14" s="114" t="e">
        <f>IF(L14="Make Safe &amp; Disconnect","",_xlfn.CONCAT(VLOOKUP(L14,_Other!AF:AG,2,FALSE),
IF(AA14,VLOOKUP(M14,_Other!AF:AG,2,FALSE),""),
IF(AB14,VLOOKUP($AB$1,_Other!AF:AG,2,FALSE),""),
))</f>
        <v>#N/A</v>
      </c>
      <c r="AA14" s="114" t="b">
        <f t="shared" si="10"/>
        <v>0</v>
      </c>
      <c r="AB14" s="114" t="b">
        <f t="shared" si="11"/>
        <v>1</v>
      </c>
      <c r="AE14" s="114" t="str">
        <f>_xlfn.CONCAT(IF(L14="Make Safe &amp; Disconnect",_xlfn.CONCAT(O14," - ",VLOOKUP(L14,_Other!$A$18:$D$22,2,FALSE), " for ",P14," ",M14, " phase units")),R14,S14)</f>
        <v xml:space="preserve">FALSE with: </v>
      </c>
    </row>
    <row r="15" spans="1:31" x14ac:dyDescent="0.4">
      <c r="A15" s="429" t="str">
        <f t="shared" si="2"/>
        <v>INVALID</v>
      </c>
      <c r="B15" s="430" t="str">
        <f t="shared" si="3"/>
        <v>Other 14</v>
      </c>
      <c r="C15" s="431">
        <f t="shared" si="4"/>
        <v>0</v>
      </c>
      <c r="D15" s="430">
        <f t="shared" si="5"/>
        <v>0</v>
      </c>
      <c r="E15" s="430"/>
      <c r="F15" s="430">
        <f t="shared" si="6"/>
        <v>20</v>
      </c>
      <c r="G15" s="430"/>
      <c r="H15" s="430"/>
      <c r="I15" s="430" t="str">
        <f xml:space="preserve">
IF(L15="Motorised Damper",VLOOKUP("Motorised Damper",_Other!N:P,2,FALSE),
IF(L15="Smoke Damper",VLOOKUP("Smoke Damper",_Other!N:P,2,FALSE),
IF(L15="Make Safe &amp; Disconnect",IF(M15="No", "Select Phase", VLOOKUP(M15,_Other!N:P,2,FALSE)),"????"
)))</f>
        <v>????</v>
      </c>
      <c r="J15" s="430" t="str">
        <f xml:space="preserve">
IF(L15="Motorised Damper",VLOOKUP("Motorised Damper",_Other!N:P,3,FALSE),
IF(L15="Smoke Damper",VLOOKUP("Smoke Damper",_Other!N:P,3,FALSE),
IF(L15="Make Safe &amp; Disconnect",IF(M15="No", "Select Phase", VLOOKUP(M15,_Other!N:P,3,FALSE)),"????"
)))</f>
        <v>????</v>
      </c>
      <c r="K15" s="430" t="b">
        <f>IF(COUNTBLANK(L15:M15)=0,
IF(AND(L15="Make Safe &amp; Disconnect",NOT(M15="No")),_xlfn.CONCAT(VLOOKUP(L15,_Other!$A$18:$C$25,3,FALSE),VLOOKUP(M15,_Other!$A$18:$C$25,3,FALSE)),"INVALID"
))</f>
        <v>0</v>
      </c>
      <c r="L15" s="430"/>
      <c r="M15" s="430"/>
      <c r="N15" s="432" t="str">
        <f t="shared" si="0"/>
        <v/>
      </c>
      <c r="O15" s="114">
        <f t="shared" si="1"/>
        <v>0</v>
      </c>
      <c r="P15" s="114" t="str">
        <f>_xlfn.CONCAT(E15," (",VLOOKUP(E15,[1]Backend!C:D,2,FALSE),")")</f>
        <v xml:space="preserve"> (Zero)</v>
      </c>
      <c r="Q15" s="114" t="e">
        <f>IF(L15="Make Safe &amp; Disconnect",_xlfn.CONCAT(O15," - ",VLOOKUP(L15,_Other!$A$18:$D$22,2,FALSE), " for ",P15," ",M15, " phase units"),_xlfn.CONCAT(O15," - Electrical power supply and controls to ",P15,VLOOKUP(L15,_Other!$A$18:$D$22,2,FALSE)))</f>
        <v>#N/A</v>
      </c>
      <c r="R15" s="114" t="str">
        <f t="shared" si="7"/>
        <v xml:space="preserve"> with: </v>
      </c>
      <c r="S15" s="114" t="str">
        <f>_xlfn.CONCAT(
IF(AA15,VLOOKUP(M15,_Other!$N:$T,4,FALSE),""),
IF(AB15,VLOOKUP(L15,_Other!$N:$T,4,FALSE),""))</f>
        <v/>
      </c>
      <c r="T15" s="114" t="str">
        <f t="shared" si="8"/>
        <v>from MSSB Power Supply</v>
      </c>
      <c r="U15" s="114" t="e">
        <f t="shared" si="12"/>
        <v>#N/A</v>
      </c>
      <c r="V15" s="114" t="str">
        <f t="shared" si="9"/>
        <v>0.1 - This includes supply and install of power and controls.</v>
      </c>
      <c r="W15" s="114" t="e">
        <f>IF(L15="Make Safe &amp; Disconnect","",_xlfn.CONCAT(O15,".2 - Power for system includes: CB and cabling to ",VLOOKUP(L15,_Other!$A$18:$D$22,4,FALSE)," from MSSB, and local isolator,"))</f>
        <v>#N/A</v>
      </c>
      <c r="X15" s="114" t="e">
        <f>IF(L15="Make Safe &amp; Disconnect","",(IF(OR((#REF!="Local"),NOT(#REF!="No"),(COUNTIF(L15:M15,"Yes")&gt;0)),_xlfn.CONCAT(O15,".3 - Controls for system includes: ",_xlfn.CONCAT(Y15,IF(FALSE,"controls enclosure.","")),""),"")))</f>
        <v>#REF!</v>
      </c>
      <c r="Y15" s="114" t="e">
        <f>IF(L15="Make Safe &amp; Disconnect","",_xlfn.CONCAT(VLOOKUP(L15,_Other!AF:AG,2,FALSE),
IF(AA15,VLOOKUP(M15,_Other!AF:AG,2,FALSE),""),
IF(AB15,VLOOKUP($AB$1,_Other!AF:AG,2,FALSE),""),
))</f>
        <v>#N/A</v>
      </c>
      <c r="AA15" s="114" t="b">
        <f t="shared" si="10"/>
        <v>0</v>
      </c>
      <c r="AB15" s="114" t="b">
        <f t="shared" si="11"/>
        <v>1</v>
      </c>
      <c r="AE15" s="114" t="str">
        <f>_xlfn.CONCAT(IF(L15="Make Safe &amp; Disconnect",_xlfn.CONCAT(O15," - ",VLOOKUP(L15,_Other!$A$18:$D$22,2,FALSE), " for ",P15," ",M15, " phase units")),R15,S15)</f>
        <v xml:space="preserve">FALSE with: </v>
      </c>
    </row>
    <row r="16" spans="1:31" x14ac:dyDescent="0.4">
      <c r="A16" s="429" t="str">
        <f t="shared" si="2"/>
        <v>INVALID</v>
      </c>
      <c r="B16" s="430" t="str">
        <f t="shared" si="3"/>
        <v>Other 15</v>
      </c>
      <c r="C16" s="431">
        <f t="shared" si="4"/>
        <v>0</v>
      </c>
      <c r="D16" s="430">
        <f t="shared" si="5"/>
        <v>0</v>
      </c>
      <c r="E16" s="430"/>
      <c r="F16" s="430">
        <f t="shared" si="6"/>
        <v>20</v>
      </c>
      <c r="G16" s="430"/>
      <c r="H16" s="430"/>
      <c r="I16" s="430" t="str">
        <f xml:space="preserve">
IF(L16="Motorised Damper",VLOOKUP("Motorised Damper",_Other!N:P,2,FALSE),
IF(L16="Smoke Damper",VLOOKUP("Smoke Damper",_Other!N:P,2,FALSE),
IF(L16="Make Safe &amp; Disconnect",IF(M16="No", "Select Phase", VLOOKUP(M16,_Other!N:P,2,FALSE)),"????"
)))</f>
        <v>????</v>
      </c>
      <c r="J16" s="430" t="str">
        <f xml:space="preserve">
IF(L16="Motorised Damper",VLOOKUP("Motorised Damper",_Other!N:P,3,FALSE),
IF(L16="Smoke Damper",VLOOKUP("Smoke Damper",_Other!N:P,3,FALSE),
IF(L16="Make Safe &amp; Disconnect",IF(M16="No", "Select Phase", VLOOKUP(M16,_Other!N:P,3,FALSE)),"????"
)))</f>
        <v>????</v>
      </c>
      <c r="K16" s="430" t="b">
        <f>IF(COUNTBLANK(L16:M16)=0,
IF(AND(L16="Make Safe &amp; Disconnect",NOT(M16="No")),_xlfn.CONCAT(VLOOKUP(L16,_Other!$A$18:$C$25,3,FALSE),VLOOKUP(M16,_Other!$A$18:$C$25,3,FALSE)),"INVALID"
))</f>
        <v>0</v>
      </c>
      <c r="L16" s="430"/>
      <c r="M16" s="430"/>
      <c r="N16" s="432" t="str">
        <f t="shared" si="0"/>
        <v/>
      </c>
      <c r="O16" s="114">
        <f t="shared" si="1"/>
        <v>0</v>
      </c>
      <c r="P16" s="114" t="str">
        <f>_xlfn.CONCAT(E16," (",VLOOKUP(E16,[1]Backend!C:D,2,FALSE),")")</f>
        <v xml:space="preserve"> (Zero)</v>
      </c>
      <c r="Q16" s="114" t="e">
        <f>IF(L16="Make Safe &amp; Disconnect",_xlfn.CONCAT(O16," - ",VLOOKUP(L16,_Other!$A$18:$D$22,2,FALSE), " for ",P16," ",M16, " phase units"),_xlfn.CONCAT(O16," - Electrical power supply and controls to ",P16,VLOOKUP(L16,_Other!$A$18:$D$22,2,FALSE)))</f>
        <v>#N/A</v>
      </c>
      <c r="R16" s="114" t="str">
        <f t="shared" si="7"/>
        <v xml:space="preserve"> with: </v>
      </c>
      <c r="S16" s="114" t="str">
        <f>_xlfn.CONCAT(
IF(AA16,VLOOKUP(M16,_Other!$N:$T,4,FALSE),""),
IF(AB16,VLOOKUP(L16,_Other!$N:$T,4,FALSE),""))</f>
        <v/>
      </c>
      <c r="T16" s="114" t="str">
        <f t="shared" si="8"/>
        <v>from MSSB Power Supply</v>
      </c>
      <c r="U16" s="114" t="e">
        <f t="shared" si="12"/>
        <v>#N/A</v>
      </c>
      <c r="V16" s="114" t="str">
        <f t="shared" si="9"/>
        <v>0.1 - This includes supply and install of power and controls.</v>
      </c>
      <c r="W16" s="114" t="e">
        <f>IF(L16="Make Safe &amp; Disconnect","",_xlfn.CONCAT(O16,".2 - Power for system includes: CB and cabling to ",VLOOKUP(L16,_Other!$A$18:$D$22,4,FALSE)," from MSSB, and local isolator,"))</f>
        <v>#N/A</v>
      </c>
      <c r="X16" s="114" t="e">
        <f>IF(L16="Make Safe &amp; Disconnect","",(IF(OR((#REF!="Local"),NOT(#REF!="No"),(COUNTIF(L16:M16,"Yes")&gt;0)),_xlfn.CONCAT(O16,".3 - Controls for system includes: ",_xlfn.CONCAT(Y16,IF(FALSE,"controls enclosure.","")),""),"")))</f>
        <v>#REF!</v>
      </c>
      <c r="Y16" s="114" t="e">
        <f>IF(L16="Make Safe &amp; Disconnect","",_xlfn.CONCAT(VLOOKUP(L16,_Other!AF:AG,2,FALSE),
IF(AA16,VLOOKUP(M16,_Other!AF:AG,2,FALSE),""),
IF(AB16,VLOOKUP($AB$1,_Other!AF:AG,2,FALSE),""),
))</f>
        <v>#N/A</v>
      </c>
      <c r="AA16" s="114" t="b">
        <f t="shared" si="10"/>
        <v>0</v>
      </c>
      <c r="AB16" s="114" t="b">
        <f t="shared" si="11"/>
        <v>1</v>
      </c>
      <c r="AE16" s="114" t="str">
        <f>_xlfn.CONCAT(IF(L16="Make Safe &amp; Disconnect",_xlfn.CONCAT(O16," - ",VLOOKUP(L16,_Other!$A$18:$D$22,2,FALSE), " for ",P16," ",M16, " phase units")),R16,S16)</f>
        <v xml:space="preserve">FALSE with: </v>
      </c>
    </row>
    <row r="17" spans="1:31" x14ac:dyDescent="0.4">
      <c r="A17" s="429" t="str">
        <f t="shared" si="2"/>
        <v>INVALID</v>
      </c>
      <c r="B17" s="430" t="str">
        <f t="shared" si="3"/>
        <v>Other 16</v>
      </c>
      <c r="C17" s="431">
        <f t="shared" si="4"/>
        <v>0</v>
      </c>
      <c r="D17" s="430">
        <f t="shared" si="5"/>
        <v>0</v>
      </c>
      <c r="E17" s="430"/>
      <c r="F17" s="430">
        <f t="shared" si="6"/>
        <v>20</v>
      </c>
      <c r="G17" s="430"/>
      <c r="H17" s="430"/>
      <c r="I17" s="430" t="str">
        <f xml:space="preserve">
IF(L17="Motorised Damper",VLOOKUP("Motorised Damper",_Other!N:P,2,FALSE),
IF(L17="Smoke Damper",VLOOKUP("Smoke Damper",_Other!N:P,2,FALSE),
IF(L17="Make Safe &amp; Disconnect",IF(M17="No", "Select Phase", VLOOKUP(M17,_Other!N:P,2,FALSE)),"????"
)))</f>
        <v>????</v>
      </c>
      <c r="J17" s="430" t="str">
        <f xml:space="preserve">
IF(L17="Motorised Damper",VLOOKUP("Motorised Damper",_Other!N:P,3,FALSE),
IF(L17="Smoke Damper",VLOOKUP("Smoke Damper",_Other!N:P,3,FALSE),
IF(L17="Make Safe &amp; Disconnect",IF(M17="No", "Select Phase", VLOOKUP(M17,_Other!N:P,3,FALSE)),"????"
)))</f>
        <v>????</v>
      </c>
      <c r="K17" s="430" t="b">
        <f>IF(COUNTBLANK(L17:M17)=0,
IF(AND(L17="Make Safe &amp; Disconnect",NOT(M17="No")),_xlfn.CONCAT(VLOOKUP(L17,_Other!$A$18:$C$25,3,FALSE),VLOOKUP(M17,_Other!$A$18:$C$25,3,FALSE)),"INVALID"
))</f>
        <v>0</v>
      </c>
      <c r="L17" s="430"/>
      <c r="M17" s="430"/>
      <c r="N17" s="432" t="str">
        <f t="shared" si="0"/>
        <v/>
      </c>
      <c r="O17" s="114">
        <f t="shared" si="1"/>
        <v>0</v>
      </c>
      <c r="P17" s="114" t="str">
        <f>_xlfn.CONCAT(E17," (",VLOOKUP(E17,[1]Backend!C:D,2,FALSE),")")</f>
        <v xml:space="preserve"> (Zero)</v>
      </c>
      <c r="Q17" s="114" t="e">
        <f>IF(L17="Make Safe &amp; Disconnect",_xlfn.CONCAT(O17," - ",VLOOKUP(L17,_Other!$A$18:$D$22,2,FALSE), " for ",P17," ",M17, " phase units"),_xlfn.CONCAT(O17," - Electrical power supply and controls to ",P17,VLOOKUP(L17,_Other!$A$18:$D$22,2,FALSE)))</f>
        <v>#N/A</v>
      </c>
      <c r="R17" s="114" t="str">
        <f t="shared" si="7"/>
        <v xml:space="preserve"> with: </v>
      </c>
      <c r="S17" s="114" t="str">
        <f>_xlfn.CONCAT(
IF(AA17,VLOOKUP(M17,_Other!$N:$T,4,FALSE),""),
IF(AB17,VLOOKUP(L17,_Other!$N:$T,4,FALSE),""))</f>
        <v/>
      </c>
      <c r="T17" s="114" t="str">
        <f t="shared" si="8"/>
        <v>from MSSB Power Supply</v>
      </c>
      <c r="U17" s="114" t="e">
        <f t="shared" si="12"/>
        <v>#N/A</v>
      </c>
      <c r="V17" s="114" t="str">
        <f t="shared" si="9"/>
        <v>0.1 - This includes supply and install of power and controls.</v>
      </c>
      <c r="W17" s="114" t="e">
        <f>IF(L17="Make Safe &amp; Disconnect","",_xlfn.CONCAT(O17,".2 - Power for system includes: CB and cabling to ",VLOOKUP(L17,_Other!$A$18:$D$22,4,FALSE)," from MSSB, and local isolator,"))</f>
        <v>#N/A</v>
      </c>
      <c r="X17" s="114" t="e">
        <f>IF(L17="Make Safe &amp; Disconnect","",(IF(OR((#REF!="Local"),NOT(#REF!="No"),(COUNTIF(L17:M17,"Yes")&gt;0)),_xlfn.CONCAT(O17,".3 - Controls for system includes: ",_xlfn.CONCAT(Y17,IF(FALSE,"controls enclosure.","")),""),"")))</f>
        <v>#REF!</v>
      </c>
      <c r="Y17" s="114" t="e">
        <f>IF(L17="Make Safe &amp; Disconnect","",_xlfn.CONCAT(VLOOKUP(L17,_Other!AF:AG,2,FALSE),
IF(AA17,VLOOKUP(M17,_Other!AF:AG,2,FALSE),""),
IF(AB17,VLOOKUP($AB$1,_Other!AF:AG,2,FALSE),""),
))</f>
        <v>#N/A</v>
      </c>
      <c r="AA17" s="114" t="b">
        <f t="shared" si="10"/>
        <v>0</v>
      </c>
      <c r="AB17" s="114" t="b">
        <f t="shared" si="11"/>
        <v>1</v>
      </c>
      <c r="AE17" s="114" t="str">
        <f>_xlfn.CONCAT(IF(L17="Make Safe &amp; Disconnect",_xlfn.CONCAT(O17," - ",VLOOKUP(L17,_Other!$A$18:$D$22,2,FALSE), " for ",P17," ",M17, " phase units")),R17,S17)</f>
        <v xml:space="preserve">FALSE with: </v>
      </c>
    </row>
    <row r="18" spans="1:31" x14ac:dyDescent="0.4">
      <c r="A18" s="429" t="str">
        <f t="shared" si="2"/>
        <v>INVALID</v>
      </c>
      <c r="B18" s="430" t="str">
        <f t="shared" si="3"/>
        <v>Other 17</v>
      </c>
      <c r="C18" s="431">
        <f t="shared" si="4"/>
        <v>0</v>
      </c>
      <c r="D18" s="430">
        <f t="shared" si="5"/>
        <v>0</v>
      </c>
      <c r="E18" s="430"/>
      <c r="F18" s="430">
        <f t="shared" si="6"/>
        <v>20</v>
      </c>
      <c r="G18" s="430"/>
      <c r="H18" s="430"/>
      <c r="I18" s="430" t="str">
        <f xml:space="preserve">
IF(L18="Motorised Damper",VLOOKUP("Motorised Damper",_Other!N:P,2,FALSE),
IF(L18="Smoke Damper",VLOOKUP("Smoke Damper",_Other!N:P,2,FALSE),
IF(L18="Make Safe &amp; Disconnect",IF(M18="No", "Select Phase", VLOOKUP(M18,_Other!N:P,2,FALSE)),"????"
)))</f>
        <v>????</v>
      </c>
      <c r="J18" s="430" t="str">
        <f xml:space="preserve">
IF(L18="Motorised Damper",VLOOKUP("Motorised Damper",_Other!N:P,3,FALSE),
IF(L18="Smoke Damper",VLOOKUP("Smoke Damper",_Other!N:P,3,FALSE),
IF(L18="Make Safe &amp; Disconnect",IF(M18="No", "Select Phase", VLOOKUP(M18,_Other!N:P,3,FALSE)),"????"
)))</f>
        <v>????</v>
      </c>
      <c r="K18" s="430" t="b">
        <f>IF(COUNTBLANK(L18:M18)=0,
IF(AND(L18="Make Safe &amp; Disconnect",NOT(M18="No")),_xlfn.CONCAT(VLOOKUP(L18,_Other!$A$18:$C$25,3,FALSE),VLOOKUP(M18,_Other!$A$18:$C$25,3,FALSE)),"INVALID"
))</f>
        <v>0</v>
      </c>
      <c r="L18" s="430"/>
      <c r="M18" s="430"/>
      <c r="N18" s="432" t="str">
        <f t="shared" si="0"/>
        <v/>
      </c>
      <c r="O18" s="114">
        <f t="shared" si="1"/>
        <v>0</v>
      </c>
      <c r="P18" s="114" t="str">
        <f>_xlfn.CONCAT(E18," (",VLOOKUP(E18,[1]Backend!C:D,2,FALSE),")")</f>
        <v xml:space="preserve"> (Zero)</v>
      </c>
      <c r="Q18" s="114" t="e">
        <f>IF(L18="Make Safe &amp; Disconnect",_xlfn.CONCAT(O18," - ",VLOOKUP(L18,_Other!$A$18:$D$22,2,FALSE), " for ",P18," ",M18, " phase units"),_xlfn.CONCAT(O18," - Electrical power supply and controls to ",P18,VLOOKUP(L18,_Other!$A$18:$D$22,2,FALSE)))</f>
        <v>#N/A</v>
      </c>
      <c r="R18" s="114" t="str">
        <f t="shared" si="7"/>
        <v xml:space="preserve"> with: </v>
      </c>
      <c r="S18" s="114" t="str">
        <f>_xlfn.CONCAT(
IF(AA18,VLOOKUP(M18,_Other!$N:$T,4,FALSE),""),
IF(AB18,VLOOKUP(L18,_Other!$N:$T,4,FALSE),""))</f>
        <v/>
      </c>
      <c r="T18" s="114" t="str">
        <f t="shared" si="8"/>
        <v>from MSSB Power Supply</v>
      </c>
      <c r="U18" s="114" t="e">
        <f t="shared" si="12"/>
        <v>#N/A</v>
      </c>
      <c r="V18" s="114" t="str">
        <f t="shared" si="9"/>
        <v>0.1 - This includes supply and install of power and controls.</v>
      </c>
      <c r="W18" s="114" t="e">
        <f>IF(L18="Make Safe &amp; Disconnect","",_xlfn.CONCAT(O18,".2 - Power for system includes: CB and cabling to ",VLOOKUP(L18,_Other!$A$18:$D$22,4,FALSE)," from MSSB, and local isolator,"))</f>
        <v>#N/A</v>
      </c>
      <c r="X18" s="114" t="e">
        <f>IF(L18="Make Safe &amp; Disconnect","",(IF(OR((#REF!="Local"),NOT(#REF!="No"),(COUNTIF(L18:M18,"Yes")&gt;0)),_xlfn.CONCAT(O18,".3 - Controls for system includes: ",_xlfn.CONCAT(Y18,IF(FALSE,"controls enclosure.","")),""),"")))</f>
        <v>#REF!</v>
      </c>
      <c r="Y18" s="114" t="e">
        <f>IF(L18="Make Safe &amp; Disconnect","",_xlfn.CONCAT(VLOOKUP(L18,_Other!AF:AG,2,FALSE),
IF(AA18,VLOOKUP(M18,_Other!AF:AG,2,FALSE),""),
IF(AB18,VLOOKUP($AB$1,_Other!AF:AG,2,FALSE),""),
))</f>
        <v>#N/A</v>
      </c>
      <c r="AA18" s="114" t="b">
        <f t="shared" si="10"/>
        <v>0</v>
      </c>
      <c r="AB18" s="114" t="b">
        <f t="shared" si="11"/>
        <v>1</v>
      </c>
      <c r="AE18" s="114" t="str">
        <f>_xlfn.CONCAT(IF(L18="Make Safe &amp; Disconnect",_xlfn.CONCAT(O18," - ",VLOOKUP(L18,_Other!$A$18:$D$22,2,FALSE), " for ",P18," ",M18, " phase units")),R18,S18)</f>
        <v xml:space="preserve">FALSE with: </v>
      </c>
    </row>
    <row r="19" spans="1:31" x14ac:dyDescent="0.4">
      <c r="A19" s="429" t="str">
        <f t="shared" si="2"/>
        <v>INVALID</v>
      </c>
      <c r="B19" s="430" t="str">
        <f t="shared" si="3"/>
        <v>Other 18</v>
      </c>
      <c r="C19" s="431">
        <f t="shared" si="4"/>
        <v>0</v>
      </c>
      <c r="D19" s="430">
        <f t="shared" si="5"/>
        <v>0</v>
      </c>
      <c r="E19" s="430"/>
      <c r="F19" s="430">
        <f t="shared" si="6"/>
        <v>20</v>
      </c>
      <c r="G19" s="430"/>
      <c r="H19" s="430"/>
      <c r="I19" s="430" t="str">
        <f xml:space="preserve">
IF(L19="Motorised Damper",VLOOKUP("Motorised Damper",_Other!N:P,2,FALSE),
IF(L19="Smoke Damper",VLOOKUP("Smoke Damper",_Other!N:P,2,FALSE),
IF(L19="Make Safe &amp; Disconnect",IF(M19="No", "Select Phase", VLOOKUP(M19,_Other!N:P,2,FALSE)),"????"
)))</f>
        <v>????</v>
      </c>
      <c r="J19" s="430" t="str">
        <f xml:space="preserve">
IF(L19="Motorised Damper",VLOOKUP("Motorised Damper",_Other!N:P,3,FALSE),
IF(L19="Smoke Damper",VLOOKUP("Smoke Damper",_Other!N:P,3,FALSE),
IF(L19="Make Safe &amp; Disconnect",IF(M19="No", "Select Phase", VLOOKUP(M19,_Other!N:P,3,FALSE)),"????"
)))</f>
        <v>????</v>
      </c>
      <c r="K19" s="430" t="b">
        <f>IF(COUNTBLANK(L19:M19)=0,
IF(AND(L19="Make Safe &amp; Disconnect",NOT(M19="No")),_xlfn.CONCAT(VLOOKUP(L19,_Other!$A$18:$C$25,3,FALSE),VLOOKUP(M19,_Other!$A$18:$C$25,3,FALSE)),"INVALID"
))</f>
        <v>0</v>
      </c>
      <c r="L19" s="430"/>
      <c r="M19" s="430"/>
      <c r="N19" s="432" t="str">
        <f t="shared" si="0"/>
        <v/>
      </c>
      <c r="O19" s="114">
        <f t="shared" si="1"/>
        <v>0</v>
      </c>
      <c r="P19" s="114" t="str">
        <f>_xlfn.CONCAT(E19," (",VLOOKUP(E19,[1]Backend!C:D,2,FALSE),")")</f>
        <v xml:space="preserve"> (Zero)</v>
      </c>
      <c r="Q19" s="114" t="e">
        <f>IF(L19="Make Safe &amp; Disconnect",_xlfn.CONCAT(O19," - ",VLOOKUP(L19,_Other!$A$18:$D$22,2,FALSE), " for ",P19," ",M19, " phase units"),_xlfn.CONCAT(O19," - Electrical power supply and controls to ",P19,VLOOKUP(L19,_Other!$A$18:$D$22,2,FALSE)))</f>
        <v>#N/A</v>
      </c>
      <c r="R19" s="114" t="str">
        <f t="shared" si="7"/>
        <v xml:space="preserve"> with: </v>
      </c>
      <c r="S19" s="114" t="str">
        <f>_xlfn.CONCAT(
IF(AA19,VLOOKUP(M19,_Other!$N:$T,4,FALSE),""),
IF(AB19,VLOOKUP(L19,_Other!$N:$T,4,FALSE),""))</f>
        <v/>
      </c>
      <c r="T19" s="114" t="str">
        <f t="shared" si="8"/>
        <v>from MSSB Power Supply</v>
      </c>
      <c r="U19" s="114" t="e">
        <f t="shared" si="12"/>
        <v>#N/A</v>
      </c>
      <c r="V19" s="114" t="str">
        <f t="shared" si="9"/>
        <v>0.1 - This includes supply and install of power and controls.</v>
      </c>
      <c r="W19" s="114" t="e">
        <f>IF(L19="Make Safe &amp; Disconnect","",_xlfn.CONCAT(O19,".2 - Power for system includes: CB and cabling to ",VLOOKUP(L19,_Other!$A$18:$D$22,4,FALSE)," from MSSB, and local isolator,"))</f>
        <v>#N/A</v>
      </c>
      <c r="X19" s="114" t="e">
        <f>IF(L19="Make Safe &amp; Disconnect","",(IF(OR((#REF!="Local"),NOT(#REF!="No"),(COUNTIF(L19:M19,"Yes")&gt;0)),_xlfn.CONCAT(O19,".3 - Controls for system includes: ",_xlfn.CONCAT(Y19,IF(FALSE,"controls enclosure.","")),""),"")))</f>
        <v>#REF!</v>
      </c>
      <c r="Y19" s="114" t="e">
        <f>IF(L19="Make Safe &amp; Disconnect","",_xlfn.CONCAT(VLOOKUP(L19,_Other!AF:AG,2,FALSE),
IF(AA19,VLOOKUP(M19,_Other!AF:AG,2,FALSE),""),
IF(AB19,VLOOKUP($AB$1,_Other!AF:AG,2,FALSE),""),
))</f>
        <v>#N/A</v>
      </c>
      <c r="AA19" s="114" t="b">
        <f t="shared" si="10"/>
        <v>0</v>
      </c>
      <c r="AB19" s="114" t="b">
        <f t="shared" si="11"/>
        <v>1</v>
      </c>
      <c r="AE19" s="114" t="str">
        <f>_xlfn.CONCAT(IF(L19="Make Safe &amp; Disconnect",_xlfn.CONCAT(O19," - ",VLOOKUP(L19,_Other!$A$18:$D$22,2,FALSE), " for ",P19," ",M19, " phase units")),R19,S19)</f>
        <v xml:space="preserve">FALSE with: </v>
      </c>
    </row>
    <row r="20" spans="1:31" x14ac:dyDescent="0.4">
      <c r="A20" s="429" t="str">
        <f t="shared" si="2"/>
        <v>INVALID</v>
      </c>
      <c r="B20" s="430" t="str">
        <f t="shared" si="3"/>
        <v>Other 19</v>
      </c>
      <c r="C20" s="431">
        <f t="shared" si="4"/>
        <v>0</v>
      </c>
      <c r="D20" s="430">
        <f t="shared" si="5"/>
        <v>0</v>
      </c>
      <c r="E20" s="430"/>
      <c r="F20" s="430">
        <f t="shared" si="6"/>
        <v>20</v>
      </c>
      <c r="G20" s="430"/>
      <c r="H20" s="430"/>
      <c r="I20" s="430" t="str">
        <f xml:space="preserve">
IF(L20="Motorised Damper",VLOOKUP("Motorised Damper",_Other!N:P,2,FALSE),
IF(L20="Smoke Damper",VLOOKUP("Smoke Damper",_Other!N:P,2,FALSE),
IF(L20="Make Safe &amp; Disconnect",IF(M20="No", "Select Phase", VLOOKUP(M20,_Other!N:P,2,FALSE)),"????"
)))</f>
        <v>????</v>
      </c>
      <c r="J20" s="430" t="str">
        <f xml:space="preserve">
IF(L20="Motorised Damper",VLOOKUP("Motorised Damper",_Other!N:P,3,FALSE),
IF(L20="Smoke Damper",VLOOKUP("Smoke Damper",_Other!N:P,3,FALSE),
IF(L20="Make Safe &amp; Disconnect",IF(M20="No", "Select Phase", VLOOKUP(M20,_Other!N:P,3,FALSE)),"????"
)))</f>
        <v>????</v>
      </c>
      <c r="K20" s="430" t="b">
        <f>IF(COUNTBLANK(L20:M20)=0,
IF(AND(L20="Make Safe &amp; Disconnect",NOT(M20="No")),_xlfn.CONCAT(VLOOKUP(L20,_Other!$A$18:$C$25,3,FALSE),VLOOKUP(M20,_Other!$A$18:$C$25,3,FALSE)),"INVALID"
))</f>
        <v>0</v>
      </c>
      <c r="L20" s="430"/>
      <c r="M20" s="430"/>
      <c r="N20" s="432" t="str">
        <f t="shared" si="0"/>
        <v/>
      </c>
      <c r="O20" s="114">
        <f t="shared" si="1"/>
        <v>0</v>
      </c>
      <c r="P20" s="114" t="str">
        <f>_xlfn.CONCAT(E20," (",VLOOKUP(E20,[1]Backend!C:D,2,FALSE),")")</f>
        <v xml:space="preserve"> (Zero)</v>
      </c>
      <c r="Q20" s="114" t="e">
        <f>IF(L20="Make Safe &amp; Disconnect",_xlfn.CONCAT(O20," - ",VLOOKUP(L20,_Other!$A$18:$D$22,2,FALSE), " for ",P20," ",M20, " phase units"),_xlfn.CONCAT(O20," - Electrical power supply and controls to ",P20,VLOOKUP(L20,_Other!$A$18:$D$22,2,FALSE)))</f>
        <v>#N/A</v>
      </c>
      <c r="R20" s="114" t="str">
        <f t="shared" si="7"/>
        <v xml:space="preserve"> with: </v>
      </c>
      <c r="S20" s="114" t="str">
        <f>_xlfn.CONCAT(
IF(AA20,VLOOKUP(M20,_Other!$N:$T,4,FALSE),""),
IF(AB20,VLOOKUP(L20,_Other!$N:$T,4,FALSE),""))</f>
        <v/>
      </c>
      <c r="T20" s="114" t="str">
        <f t="shared" si="8"/>
        <v>from MSSB Power Supply</v>
      </c>
      <c r="U20" s="114" t="e">
        <f t="shared" si="12"/>
        <v>#N/A</v>
      </c>
      <c r="V20" s="114" t="str">
        <f t="shared" si="9"/>
        <v>0.1 - This includes supply and install of power and controls.</v>
      </c>
      <c r="W20" s="114" t="e">
        <f>IF(L20="Make Safe &amp; Disconnect","",_xlfn.CONCAT(O20,".2 - Power for system includes: CB and cabling to ",VLOOKUP(L20,_Other!$A$18:$D$22,4,FALSE)," from MSSB, and local isolator,"))</f>
        <v>#N/A</v>
      </c>
      <c r="X20" s="114" t="e">
        <f>IF(L20="Make Safe &amp; Disconnect","",(IF(OR((#REF!="Local"),NOT(#REF!="No"),(COUNTIF(L20:M20,"Yes")&gt;0)),_xlfn.CONCAT(O20,".3 - Controls for system includes: ",_xlfn.CONCAT(Y20,IF(FALSE,"controls enclosure.","")),""),"")))</f>
        <v>#REF!</v>
      </c>
      <c r="Y20" s="114" t="e">
        <f>IF(L20="Make Safe &amp; Disconnect","",_xlfn.CONCAT(VLOOKUP(L20,_Other!AF:AG,2,FALSE),
IF(AA20,VLOOKUP(M20,_Other!AF:AG,2,FALSE),""),
IF(AB20,VLOOKUP($AB$1,_Other!AF:AG,2,FALSE),""),
))</f>
        <v>#N/A</v>
      </c>
      <c r="AA20" s="114" t="b">
        <f t="shared" si="10"/>
        <v>0</v>
      </c>
      <c r="AB20" s="114" t="b">
        <f t="shared" si="11"/>
        <v>1</v>
      </c>
      <c r="AE20" s="114" t="str">
        <f>_xlfn.CONCAT(IF(L20="Make Safe &amp; Disconnect",_xlfn.CONCAT(O20," - ",VLOOKUP(L20,_Other!$A$18:$D$22,2,FALSE), " for ",P20," ",M20, " phase units")),R20,S20)</f>
        <v xml:space="preserve">FALSE with: </v>
      </c>
    </row>
    <row r="21" spans="1:31" x14ac:dyDescent="0.4">
      <c r="A21" s="429" t="str">
        <f t="shared" si="2"/>
        <v>INVALID</v>
      </c>
      <c r="B21" s="430" t="str">
        <f t="shared" si="3"/>
        <v>Other 20</v>
      </c>
      <c r="C21" s="431">
        <f t="shared" si="4"/>
        <v>0</v>
      </c>
      <c r="D21" s="430">
        <f t="shared" si="5"/>
        <v>0</v>
      </c>
      <c r="E21" s="430"/>
      <c r="F21" s="430">
        <f t="shared" si="6"/>
        <v>20</v>
      </c>
      <c r="G21" s="430"/>
      <c r="H21" s="430"/>
      <c r="I21" s="430" t="str">
        <f xml:space="preserve">
IF(L21="Motorised Damper",VLOOKUP("Motorised Damper",_Other!N:P,2,FALSE),
IF(L21="Smoke Damper",VLOOKUP("Smoke Damper",_Other!N:P,2,FALSE),
IF(L21="Make Safe &amp; Disconnect",IF(M21="No", "Select Phase", VLOOKUP(M21,_Other!N:P,2,FALSE)),"????"
)))</f>
        <v>????</v>
      </c>
      <c r="J21" s="430" t="str">
        <f xml:space="preserve">
IF(L21="Motorised Damper",VLOOKUP("Motorised Damper",_Other!N:P,3,FALSE),
IF(L21="Smoke Damper",VLOOKUP("Smoke Damper",_Other!N:P,3,FALSE),
IF(L21="Make Safe &amp; Disconnect",IF(M21="No", "Select Phase", VLOOKUP(M21,_Other!N:P,3,FALSE)),"????"
)))</f>
        <v>????</v>
      </c>
      <c r="K21" s="430" t="b">
        <f>IF(COUNTBLANK(L21:M21)=0,
IF(AND(L21="Make Safe &amp; Disconnect",NOT(M21="No")),_xlfn.CONCAT(VLOOKUP(L21,_Other!$A$18:$C$25,3,FALSE),VLOOKUP(M21,_Other!$A$18:$C$25,3,FALSE)),"INVALID"
))</f>
        <v>0</v>
      </c>
      <c r="L21" s="430"/>
      <c r="M21" s="430"/>
      <c r="N21" s="432" t="str">
        <f t="shared" si="0"/>
        <v/>
      </c>
      <c r="O21" s="114">
        <f t="shared" si="1"/>
        <v>0</v>
      </c>
      <c r="P21" s="114" t="str">
        <f>_xlfn.CONCAT(E21," (",VLOOKUP(E21,[1]Backend!C:D,2,FALSE),")")</f>
        <v xml:space="preserve"> (Zero)</v>
      </c>
      <c r="Q21" s="114" t="e">
        <f>IF(L21="Make Safe &amp; Disconnect",_xlfn.CONCAT(O21," - ",VLOOKUP(L21,_Other!$A$18:$D$22,2,FALSE), " for ",P21," ",M21, " phase units"),_xlfn.CONCAT(O21," - Electrical power supply and controls to ",P21,VLOOKUP(L21,_Other!$A$18:$D$22,2,FALSE)))</f>
        <v>#N/A</v>
      </c>
      <c r="R21" s="114" t="str">
        <f t="shared" si="7"/>
        <v xml:space="preserve"> with: </v>
      </c>
      <c r="S21" s="114" t="str">
        <f>_xlfn.CONCAT(
IF(AA21,VLOOKUP(M21,_Other!$N:$T,4,FALSE),""),
IF(AB21,VLOOKUP(L21,_Other!$N:$T,4,FALSE),""))</f>
        <v/>
      </c>
      <c r="T21" s="114" t="str">
        <f t="shared" si="8"/>
        <v>from MSSB Power Supply</v>
      </c>
      <c r="U21" s="114" t="e">
        <f t="shared" si="12"/>
        <v>#N/A</v>
      </c>
      <c r="V21" s="114" t="str">
        <f t="shared" si="9"/>
        <v>0.1 - This includes supply and install of power and controls.</v>
      </c>
      <c r="W21" s="114" t="e">
        <f>IF(L21="Make Safe &amp; Disconnect","",_xlfn.CONCAT(O21,".2 - Power for system includes: CB and cabling to ",VLOOKUP(L21,_Other!$A$18:$D$22,4,FALSE)," from MSSB, and local isolator,"))</f>
        <v>#N/A</v>
      </c>
      <c r="X21" s="114" t="e">
        <f>IF(L21="Make Safe &amp; Disconnect","",(IF(OR((#REF!="Local"),NOT(#REF!="No"),(COUNTIF(L21:M21,"Yes")&gt;0)),_xlfn.CONCAT(O21,".3 - Controls for system includes: ",_xlfn.CONCAT(Y21,IF(FALSE,"controls enclosure.","")),""),"")))</f>
        <v>#REF!</v>
      </c>
      <c r="Y21" s="114" t="e">
        <f>IF(L21="Make Safe &amp; Disconnect","",_xlfn.CONCAT(VLOOKUP(L21,_Other!AF:AG,2,FALSE),
IF(AA21,VLOOKUP(M21,_Other!AF:AG,2,FALSE),""),
IF(AB21,VLOOKUP($AB$1,_Other!AF:AG,2,FALSE),""),
))</f>
        <v>#N/A</v>
      </c>
      <c r="AA21" s="114" t="b">
        <f t="shared" si="10"/>
        <v>0</v>
      </c>
      <c r="AB21" s="114" t="b">
        <f t="shared" si="11"/>
        <v>1</v>
      </c>
      <c r="AE21" s="114" t="str">
        <f>_xlfn.CONCAT(IF(L21="Make Safe &amp; Disconnect",_xlfn.CONCAT(O21," - ",VLOOKUP(L21,_Other!$A$18:$D$22,2,FALSE), " for ",P21," ",M21, " phase units")),R21,S21)</f>
        <v xml:space="preserve">FALSE with: </v>
      </c>
    </row>
    <row r="22" spans="1:31" x14ac:dyDescent="0.4">
      <c r="A22" s="429" t="str">
        <f t="shared" si="2"/>
        <v>INVALID</v>
      </c>
      <c r="B22" s="430" t="str">
        <f t="shared" si="3"/>
        <v>Other 21</v>
      </c>
      <c r="C22" s="431">
        <f t="shared" si="4"/>
        <v>0</v>
      </c>
      <c r="D22" s="430">
        <f t="shared" si="5"/>
        <v>0</v>
      </c>
      <c r="E22" s="430"/>
      <c r="F22" s="430">
        <f t="shared" si="6"/>
        <v>20</v>
      </c>
      <c r="G22" s="430"/>
      <c r="H22" s="430"/>
      <c r="I22" s="430" t="str">
        <f xml:space="preserve">
IF(L22="Motorised Damper",VLOOKUP("Motorised Damper",_Other!N:P,2,FALSE),
IF(L22="Smoke Damper",VLOOKUP("Smoke Damper",_Other!N:P,2,FALSE),
IF(L22="Make Safe &amp; Disconnect",IF(M22="No", "Select Phase", VLOOKUP(M22,_Other!N:P,2,FALSE)),"????"
)))</f>
        <v>????</v>
      </c>
      <c r="J22" s="430" t="str">
        <f xml:space="preserve">
IF(L22="Motorised Damper",VLOOKUP("Motorised Damper",_Other!N:P,3,FALSE),
IF(L22="Smoke Damper",VLOOKUP("Smoke Damper",_Other!N:P,3,FALSE),
IF(L22="Make Safe &amp; Disconnect",IF(M22="No", "Select Phase", VLOOKUP(M22,_Other!N:P,3,FALSE)),"????"
)))</f>
        <v>????</v>
      </c>
      <c r="K22" s="430" t="b">
        <f>IF(COUNTBLANK(L22:M22)=0,
IF(AND(L22="Make Safe &amp; Disconnect",NOT(M22="No")),_xlfn.CONCAT(VLOOKUP(L22,_Other!$A$18:$C$25,3,FALSE),VLOOKUP(M22,_Other!$A$18:$C$25,3,FALSE)),"INVALID"
))</f>
        <v>0</v>
      </c>
      <c r="L22" s="430"/>
      <c r="M22" s="430"/>
      <c r="N22" s="432" t="str">
        <f t="shared" si="0"/>
        <v/>
      </c>
      <c r="O22" s="114">
        <f t="shared" si="1"/>
        <v>0</v>
      </c>
      <c r="P22" s="114" t="str">
        <f>_xlfn.CONCAT(E22," (",VLOOKUP(E22,[1]Backend!C:D,2,FALSE),")")</f>
        <v xml:space="preserve"> (Zero)</v>
      </c>
      <c r="Q22" s="114" t="e">
        <f>IF(L22="Make Safe &amp; Disconnect",_xlfn.CONCAT(O22," - ",VLOOKUP(L22,_Other!$A$18:$D$22,2,FALSE), " for ",P22," ",M22, " phase units"),_xlfn.CONCAT(O22," - Electrical power supply and controls to ",P22,VLOOKUP(L22,_Other!$A$18:$D$22,2,FALSE)))</f>
        <v>#N/A</v>
      </c>
      <c r="R22" s="114" t="str">
        <f t="shared" si="7"/>
        <v xml:space="preserve"> with: </v>
      </c>
      <c r="S22" s="114" t="str">
        <f>_xlfn.CONCAT(
IF(AA22,VLOOKUP(M22,_Other!$N:$T,4,FALSE),""),
IF(AB22,VLOOKUP(L22,_Other!$N:$T,4,FALSE),""))</f>
        <v/>
      </c>
      <c r="T22" s="114" t="str">
        <f t="shared" si="8"/>
        <v>from MSSB Power Supply</v>
      </c>
      <c r="U22" s="114" t="e">
        <f t="shared" si="12"/>
        <v>#N/A</v>
      </c>
      <c r="V22" s="114" t="str">
        <f t="shared" si="9"/>
        <v>0.1 - This includes supply and install of power and controls.</v>
      </c>
      <c r="W22" s="114" t="e">
        <f>IF(L22="Make Safe &amp; Disconnect","",_xlfn.CONCAT(O22,".2 - Power for system includes: CB and cabling to ",VLOOKUP(L22,_Other!$A$18:$D$22,4,FALSE)," from MSSB, and local isolator,"))</f>
        <v>#N/A</v>
      </c>
      <c r="X22" s="114" t="e">
        <f>IF(L22="Make Safe &amp; Disconnect","",(IF(OR((#REF!="Local"),NOT(#REF!="No"),(COUNTIF(L22:M22,"Yes")&gt;0)),_xlfn.CONCAT(O22,".3 - Controls for system includes: ",_xlfn.CONCAT(Y22,IF(FALSE,"controls enclosure.","")),""),"")))</f>
        <v>#REF!</v>
      </c>
      <c r="Y22" s="114" t="e">
        <f>IF(L22="Make Safe &amp; Disconnect","",_xlfn.CONCAT(VLOOKUP(L22,_Other!AF:AG,2,FALSE),
IF(AA22,VLOOKUP(M22,_Other!AF:AG,2,FALSE),""),
IF(AB22,VLOOKUP($AB$1,_Other!AF:AG,2,FALSE),""),
))</f>
        <v>#N/A</v>
      </c>
      <c r="AA22" s="114" t="b">
        <f t="shared" si="10"/>
        <v>0</v>
      </c>
      <c r="AB22" s="114" t="b">
        <f t="shared" si="11"/>
        <v>1</v>
      </c>
      <c r="AE22" s="114" t="str">
        <f>_xlfn.CONCAT(IF(L22="Make Safe &amp; Disconnect",_xlfn.CONCAT(O22," - ",VLOOKUP(L22,_Other!$A$18:$D$22,2,FALSE), " for ",P22," ",M22, " phase units")),R22,S22)</f>
        <v xml:space="preserve">FALSE with: </v>
      </c>
    </row>
    <row r="23" spans="1:31" x14ac:dyDescent="0.4">
      <c r="B23" s="296"/>
      <c r="F23" s="430"/>
    </row>
    <row r="24" spans="1:31" x14ac:dyDescent="0.4">
      <c r="B24" s="296"/>
      <c r="F24" s="430"/>
    </row>
    <row r="25" spans="1:31" x14ac:dyDescent="0.4">
      <c r="B25" s="296"/>
    </row>
  </sheetData>
  <dataConsolidate/>
  <conditionalFormatting sqref="A2:A22">
    <cfRule type="cellIs" dxfId="144" priority="3" operator="equal">
      <formula>"INVALID"</formula>
    </cfRule>
    <cfRule type="cellIs" dxfId="143" priority="4" operator="equal">
      <formula>"VALID"</formula>
    </cfRule>
  </conditionalFormatting>
  <conditionalFormatting sqref="X1:X1048576">
    <cfRule type="colorScale" priority="1">
      <colorScale>
        <cfvo type="min"/>
        <cfvo type="max"/>
        <color rgb="FF63BE7B"/>
        <color rgb="FFFCFCFF"/>
      </colorScale>
    </cfRule>
  </conditionalFormatting>
  <conditionalFormatting sqref="L2:M22">
    <cfRule type="cellIs" dxfId="142" priority="405" operator="equal">
      <formula>$ZG$2</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r:uid="{2822DB85-F843-445E-8CBF-4FD29D4D4A15}">
          <x14:formula1>
            <xm:f>_Chiller!B$2:B$6</xm:f>
          </x14:formula1>
          <xm:sqref>L16:M22</xm:sqref>
        </x14:dataValidation>
        <x14:dataValidation type="list" allowBlank="1" showInputMessage="1" showErrorMessage="1" xr:uid="{61925ADE-362B-42D5-94AE-48C5295E6DD3}">
          <x14:formula1>
            <xm:f>_Other!B$2:B$6</xm:f>
          </x14:formula1>
          <xm:sqref>L2:M15</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6FA7C6-1DFB-4917-8205-14C88E4297AB}">
  <dimension ref="A1:AG36"/>
  <sheetViews>
    <sheetView topLeftCell="A13" workbookViewId="0">
      <selection activeCell="D26" sqref="D26"/>
    </sheetView>
  </sheetViews>
  <sheetFormatPr defaultRowHeight="14.6" x14ac:dyDescent="0.4"/>
  <cols>
    <col min="1" max="3" width="12.23046875" style="114" customWidth="1"/>
    <col min="4" max="4" width="29.921875" style="114" customWidth="1"/>
    <col min="5" max="10" width="12.23046875" style="114" customWidth="1"/>
    <col min="11" max="13" width="9.23046875" style="114"/>
    <col min="14" max="14" width="27.765625" style="114" customWidth="1"/>
    <col min="15" max="17" width="9.23046875" style="114"/>
    <col min="18" max="18" width="21.3828125" style="114" customWidth="1"/>
    <col min="19" max="19" width="28.07421875" style="114" customWidth="1"/>
    <col min="20" max="20" width="40.84375" style="114" customWidth="1"/>
    <col min="21" max="16384" width="9.23046875" style="114"/>
  </cols>
  <sheetData>
    <row r="1" spans="1:33" s="418" customFormat="1" x14ac:dyDescent="0.4">
      <c r="B1" s="418" t="str">
        <f>'@Chiller'!M1</f>
        <v>Type</v>
      </c>
      <c r="C1" s="418" t="s">
        <v>1334</v>
      </c>
      <c r="N1" s="418" t="s">
        <v>995</v>
      </c>
      <c r="O1" s="418" t="s">
        <v>996</v>
      </c>
      <c r="P1" s="418" t="s">
        <v>997</v>
      </c>
      <c r="AG1" s="418" t="s">
        <v>1328</v>
      </c>
    </row>
    <row r="2" spans="1:33" x14ac:dyDescent="0.4">
      <c r="B2" s="114" t="s">
        <v>1331</v>
      </c>
      <c r="C2" s="114" t="s">
        <v>887</v>
      </c>
      <c r="AF2" s="114">
        <f>N2</f>
        <v>0</v>
      </c>
      <c r="AG2" s="114" t="str">
        <f>_xlfn.CONCAT("{ CONTROLS FOR: ",AF2,"}, ")</f>
        <v xml:space="preserve">{ CONTROLS FOR: 0}, </v>
      </c>
    </row>
    <row r="3" spans="1:33" x14ac:dyDescent="0.4">
      <c r="B3" s="114" t="s">
        <v>1332</v>
      </c>
      <c r="C3" s="114" t="s">
        <v>1335</v>
      </c>
      <c r="AG3" s="114" t="str">
        <f t="shared" ref="AG3:AG30" si="0">_xlfn.CONCAT("{ CONTROLS FOR: ",AF3,"}, ")</f>
        <v xml:space="preserve">{ CONTROLS FOR: }, </v>
      </c>
    </row>
    <row r="4" spans="1:33" x14ac:dyDescent="0.4">
      <c r="B4" s="114" t="s">
        <v>1333</v>
      </c>
      <c r="C4" s="114" t="s">
        <v>1336</v>
      </c>
      <c r="AF4" s="114">
        <f t="shared" ref="AF4:AF30" si="1">N4</f>
        <v>0</v>
      </c>
      <c r="AG4" s="114" t="str">
        <f t="shared" si="0"/>
        <v xml:space="preserve">{ CONTROLS FOR: 0}, </v>
      </c>
    </row>
    <row r="5" spans="1:33" x14ac:dyDescent="0.4">
      <c r="C5" s="482"/>
      <c r="AG5" s="114" t="str">
        <f t="shared" si="0"/>
        <v xml:space="preserve">{ CONTROLS FOR: }, </v>
      </c>
    </row>
    <row r="6" spans="1:33" x14ac:dyDescent="0.4">
      <c r="Z6" s="443"/>
      <c r="AF6" s="114">
        <f t="shared" si="1"/>
        <v>0</v>
      </c>
      <c r="AG6" s="114" t="str">
        <f t="shared" si="0"/>
        <v xml:space="preserve">{ CONTROLS FOR: 0}, </v>
      </c>
    </row>
    <row r="7" spans="1:33" x14ac:dyDescent="0.4">
      <c r="AG7" s="114" t="str">
        <f t="shared" si="0"/>
        <v xml:space="preserve">{ CONTROLS FOR: }, </v>
      </c>
    </row>
    <row r="8" spans="1:33" x14ac:dyDescent="0.4">
      <c r="AF8" s="114">
        <f t="shared" si="1"/>
        <v>0</v>
      </c>
      <c r="AG8" s="114" t="str">
        <f t="shared" si="0"/>
        <v xml:space="preserve">{ CONTROLS FOR: 0}, </v>
      </c>
    </row>
    <row r="9" spans="1:33" x14ac:dyDescent="0.4">
      <c r="AG9" s="114" t="str">
        <f t="shared" si="0"/>
        <v xml:space="preserve">{ CONTROLS FOR: }, </v>
      </c>
    </row>
    <row r="10" spans="1:33" x14ac:dyDescent="0.4">
      <c r="Z10" s="443"/>
      <c r="AF10" s="114">
        <f t="shared" si="1"/>
        <v>0</v>
      </c>
      <c r="AG10" s="114" t="str">
        <f t="shared" si="0"/>
        <v xml:space="preserve">{ CONTROLS FOR: 0}, </v>
      </c>
    </row>
    <row r="11" spans="1:33" x14ac:dyDescent="0.4">
      <c r="Z11" s="443"/>
      <c r="AG11" s="114" t="str">
        <f t="shared" si="0"/>
        <v xml:space="preserve">{ CONTROLS FOR: }, </v>
      </c>
    </row>
    <row r="12" spans="1:33" x14ac:dyDescent="0.4">
      <c r="AF12" s="114">
        <f t="shared" si="1"/>
        <v>0</v>
      </c>
      <c r="AG12" s="114" t="str">
        <f t="shared" si="0"/>
        <v xml:space="preserve">{ CONTROLS FOR: 0}, </v>
      </c>
    </row>
    <row r="13" spans="1:33" x14ac:dyDescent="0.4">
      <c r="AG13" s="114" t="str">
        <f t="shared" si="0"/>
        <v xml:space="preserve">{ CONTROLS FOR: }, </v>
      </c>
    </row>
    <row r="14" spans="1:33" x14ac:dyDescent="0.4">
      <c r="A14" s="33" t="s">
        <v>975</v>
      </c>
      <c r="AF14" s="114">
        <f t="shared" si="1"/>
        <v>0</v>
      </c>
      <c r="AG14" s="114" t="str">
        <f t="shared" si="0"/>
        <v xml:space="preserve">{ CONTROLS FOR: 0}, </v>
      </c>
    </row>
    <row r="15" spans="1:33" x14ac:dyDescent="0.4">
      <c r="A15" s="114" t="s">
        <v>965</v>
      </c>
      <c r="B15" s="114" t="s">
        <v>977</v>
      </c>
      <c r="AG15" s="114" t="str">
        <f t="shared" si="0"/>
        <v xml:space="preserve">{ CONTROLS FOR: }, </v>
      </c>
    </row>
    <row r="16" spans="1:33" x14ac:dyDescent="0.4">
      <c r="A16" s="114" t="s">
        <v>978</v>
      </c>
      <c r="B16" s="114" t="s">
        <v>979</v>
      </c>
      <c r="AF16" s="114">
        <f t="shared" si="1"/>
        <v>0</v>
      </c>
      <c r="AG16" s="114" t="str">
        <f t="shared" si="0"/>
        <v xml:space="preserve">{ CONTROLS FOR: 0}, </v>
      </c>
    </row>
    <row r="17" spans="1:33" x14ac:dyDescent="0.4">
      <c r="AG17" s="114" t="str">
        <f t="shared" si="0"/>
        <v xml:space="preserve">{ CONTROLS FOR: }, </v>
      </c>
    </row>
    <row r="18" spans="1:33" x14ac:dyDescent="0.4">
      <c r="A18" s="114" t="str">
        <f>B2</f>
        <v>Motorised Damper</v>
      </c>
      <c r="B18" s="114" t="s">
        <v>1340</v>
      </c>
      <c r="C18" s="114" t="s">
        <v>1337</v>
      </c>
      <c r="AF18" s="114">
        <f t="shared" si="1"/>
        <v>0</v>
      </c>
      <c r="AG18" s="114" t="str">
        <f t="shared" si="0"/>
        <v xml:space="preserve">{ CONTROLS FOR: 0}, </v>
      </c>
    </row>
    <row r="19" spans="1:33" x14ac:dyDescent="0.4">
      <c r="A19" s="114" t="str">
        <f t="shared" ref="A19:A20" si="2">B3</f>
        <v>Smoke Damper</v>
      </c>
      <c r="B19" s="114" t="s">
        <v>1341</v>
      </c>
      <c r="C19" s="114" t="s">
        <v>1338</v>
      </c>
      <c r="AG19" s="114" t="str">
        <f t="shared" si="0"/>
        <v xml:space="preserve">{ CONTROLS FOR: }, </v>
      </c>
    </row>
    <row r="20" spans="1:33" x14ac:dyDescent="0.4">
      <c r="A20" s="114" t="str">
        <f t="shared" si="2"/>
        <v>Make Safe &amp; Disconnect</v>
      </c>
      <c r="B20" s="114" t="s">
        <v>1342</v>
      </c>
      <c r="C20" s="114" t="s">
        <v>1339</v>
      </c>
      <c r="N20" s="114" t="s">
        <v>1331</v>
      </c>
      <c r="O20" s="114">
        <v>99999</v>
      </c>
      <c r="P20" s="114">
        <v>99999</v>
      </c>
      <c r="Q20" s="114" t="str">
        <f t="shared" ref="Q20:Q28" si="3">IF(N20=M20,"",_xlfn.CONCAT("[",N20,"]"))</f>
        <v>[Motorised Damper]</v>
      </c>
      <c r="AF20" s="114" t="str">
        <f t="shared" si="1"/>
        <v>Motorised Damper</v>
      </c>
      <c r="AG20" s="114" t="str">
        <f t="shared" si="0"/>
        <v xml:space="preserve">{ CONTROLS FOR: Motorised Damper}, </v>
      </c>
    </row>
    <row r="21" spans="1:33" x14ac:dyDescent="0.4">
      <c r="A21" s="114" t="s">
        <v>1335</v>
      </c>
      <c r="C21" s="114">
        <v>1</v>
      </c>
      <c r="AG21" s="114" t="str">
        <f t="shared" si="0"/>
        <v xml:space="preserve">{ CONTROLS FOR: }, </v>
      </c>
    </row>
    <row r="22" spans="1:33" x14ac:dyDescent="0.4">
      <c r="A22" s="114" t="s">
        <v>1336</v>
      </c>
      <c r="C22" s="114">
        <v>3</v>
      </c>
      <c r="N22" s="114" t="s">
        <v>1332</v>
      </c>
      <c r="O22" s="114">
        <v>99999</v>
      </c>
      <c r="P22" s="114">
        <v>99999</v>
      </c>
      <c r="Q22" s="114" t="str">
        <f t="shared" si="3"/>
        <v>[Smoke Damper]</v>
      </c>
      <c r="AF22" s="114" t="str">
        <f t="shared" si="1"/>
        <v>Smoke Damper</v>
      </c>
      <c r="AG22" s="114" t="str">
        <f t="shared" si="0"/>
        <v xml:space="preserve">{ CONTROLS FOR: Smoke Damper}, </v>
      </c>
    </row>
    <row r="23" spans="1:33" x14ac:dyDescent="0.4">
      <c r="A23" s="114" t="s">
        <v>887</v>
      </c>
      <c r="AG23" s="114" t="str">
        <f t="shared" si="0"/>
        <v xml:space="preserve">{ CONTROLS FOR: }, </v>
      </c>
    </row>
    <row r="24" spans="1:33" x14ac:dyDescent="0.4">
      <c r="N24" s="114" t="str">
        <f>C2</f>
        <v>No</v>
      </c>
      <c r="O24" s="114">
        <f>IFERROR(R25*VLOOKUP(R24,'Part List'!A:G,3,FALSE),0)
+IFERROR(S25*VLOOKUP(S24,'Part List'!A:G,3,FALSE),0)
+IFERROR(T25*VLOOKUP(T24,'Part List'!A:G,3,FALSE),0)
+IFERROR(U25*VLOOKUP(U24,'Part List'!A:G,3,FALSE),0)
+IFERROR(V25*VLOOKUP(V24,'Part List'!A:G,3,FALSE),0)
+IFERROR(W25*VLOOKUP(W24,'Part List'!A:G,3,FALSE),0)
+IFERROR(X25*VLOOKUP(X24,'Part List'!A:G,3,FALSE),0)
+IFERROR(Y25*VLOOKUP(Y24,'Part List'!A:G,3,FALSE),0)
+IFERROR(Z25*VLOOKUP(Z24,'Part List'!A:G,3,FALSE),0)
+IFERROR(AA25*VLOOKUP(AA24,'Part List'!A:G,3,FALSE),0)
+IFERROR(AB25*VLOOKUP(AB24,'Part List'!A:G,3,FALSE),0)
+IFERROR(AC25*VLOOKUP(AC24,'Part List'!A:G,3,FALSE),0)</f>
        <v>0</v>
      </c>
      <c r="P24" s="114">
        <v>0</v>
      </c>
      <c r="Q24" s="114" t="str">
        <f t="shared" si="3"/>
        <v>[No]</v>
      </c>
      <c r="AF24" s="114" t="str">
        <f t="shared" si="1"/>
        <v>No</v>
      </c>
      <c r="AG24" s="114" t="str">
        <f t="shared" si="0"/>
        <v xml:space="preserve">{ CONTROLS FOR: No}, </v>
      </c>
    </row>
    <row r="25" spans="1:33" x14ac:dyDescent="0.4">
      <c r="Q25" s="114" t="str">
        <f t="shared" si="3"/>
        <v/>
      </c>
      <c r="AG25" s="114" t="str">
        <f t="shared" si="0"/>
        <v xml:space="preserve">{ CONTROLS FOR: }, </v>
      </c>
    </row>
    <row r="26" spans="1:33" x14ac:dyDescent="0.4">
      <c r="N26" s="114" t="str">
        <f>C3</f>
        <v>Single</v>
      </c>
      <c r="O26" s="114">
        <f>IFERROR(R27*VLOOKUP(R26,'Part List'!A:G,3,FALSE),0)
+IFERROR(S27*VLOOKUP(S26,'Part List'!A:G,3,FALSE),0)
+IFERROR(T27*VLOOKUP(T26,'Part List'!A:G,3,FALSE),0)
+IFERROR(U27*VLOOKUP(U26,'Part List'!A:G,3,FALSE),0)
+IFERROR(V27*VLOOKUP(V26,'Part List'!A:G,3,FALSE),0)
+IFERROR(W27*VLOOKUP(W26,'Part List'!A:G,3,FALSE),0)
+IFERROR(X27*VLOOKUP(X26,'Part List'!A:G,3,FALSE),0)
+IFERROR(Y27*VLOOKUP(Y26,'Part List'!A:G,3,FALSE),0)
+IFERROR(Z27*VLOOKUP(Z26,'Part List'!A:G,3,FALSE),0)
+IFERROR(AA27*VLOOKUP(AA26,'Part List'!A:G,3,FALSE),0)
+IFERROR(AB27*VLOOKUP(AB26,'Part List'!A:G,3,FALSE),0)
+IFERROR(AC27*VLOOKUP(AC26,'Part List'!A:G,3,FALSE),0)</f>
        <v>0</v>
      </c>
      <c r="P26" s="114">
        <v>0.25</v>
      </c>
      <c r="Q26" s="114" t="str">
        <f t="shared" si="3"/>
        <v>[Single]</v>
      </c>
      <c r="AF26" s="114" t="str">
        <f t="shared" si="1"/>
        <v>Single</v>
      </c>
      <c r="AG26" s="114" t="str">
        <f t="shared" si="0"/>
        <v xml:space="preserve">{ CONTROLS FOR: Single}, </v>
      </c>
    </row>
    <row r="27" spans="1:33" x14ac:dyDescent="0.4">
      <c r="Q27" s="114" t="str">
        <f t="shared" si="3"/>
        <v/>
      </c>
      <c r="AG27" s="114" t="str">
        <f t="shared" si="0"/>
        <v xml:space="preserve">{ CONTROLS FOR: }, </v>
      </c>
    </row>
    <row r="28" spans="1:33" x14ac:dyDescent="0.4">
      <c r="N28" s="114" t="str">
        <f>C4</f>
        <v>Three</v>
      </c>
      <c r="O28" s="114">
        <f>IFERROR(R29*VLOOKUP(R28,'Part List'!A:G,3,FALSE),0)
+IFERROR(S29*VLOOKUP(S28,'Part List'!A:G,3,FALSE),0)
+IFERROR(T29*VLOOKUP(T28,'Part List'!A:G,3,FALSE),0)
+IFERROR(U29*VLOOKUP(U28,'Part List'!A:G,3,FALSE),0)
+IFERROR(V29*VLOOKUP(V28,'Part List'!A:G,3,FALSE),0)
+IFERROR(W29*VLOOKUP(W28,'Part List'!A:G,3,FALSE),0)
+IFERROR(X29*VLOOKUP(X28,'Part List'!A:G,3,FALSE),0)
+IFERROR(Y29*VLOOKUP(Y28,'Part List'!A:G,3,FALSE),0)
+IFERROR(Z29*VLOOKUP(Z28,'Part List'!A:G,3,FALSE),0)
+IFERROR(AA29*VLOOKUP(AA28,'Part List'!A:G,3,FALSE),0)
+IFERROR(AB29*VLOOKUP(AB28,'Part List'!A:G,3,FALSE),0)
+IFERROR(AC29*VLOOKUP(AC28,'Part List'!A:G,3,FALSE),0)</f>
        <v>0</v>
      </c>
      <c r="P28" s="114">
        <v>0.5</v>
      </c>
      <c r="Q28" s="114" t="str">
        <f t="shared" si="3"/>
        <v>[Three]</v>
      </c>
      <c r="AF28" s="114" t="str">
        <f t="shared" si="1"/>
        <v>Three</v>
      </c>
      <c r="AG28" s="114" t="str">
        <f t="shared" si="0"/>
        <v xml:space="preserve">{ CONTROLS FOR: Three}, </v>
      </c>
    </row>
    <row r="29" spans="1:33" x14ac:dyDescent="0.4">
      <c r="AG29" s="114" t="str">
        <f t="shared" si="0"/>
        <v xml:space="preserve">{ CONTROLS FOR: }, </v>
      </c>
    </row>
    <row r="30" spans="1:33" x14ac:dyDescent="0.4">
      <c r="N30" s="114">
        <v>0</v>
      </c>
      <c r="O30" s="114">
        <v>0</v>
      </c>
      <c r="P30" s="114">
        <v>0</v>
      </c>
      <c r="AF30" s="114">
        <f t="shared" si="1"/>
        <v>0</v>
      </c>
      <c r="AG30" s="114" t="str">
        <f t="shared" si="0"/>
        <v xml:space="preserve">{ CONTROLS FOR: 0}, </v>
      </c>
    </row>
    <row r="32" spans="1:33" x14ac:dyDescent="0.4">
      <c r="X32" s="117"/>
      <c r="Z32" s="135"/>
    </row>
    <row r="33" spans="23:31" x14ac:dyDescent="0.4">
      <c r="W33" s="117"/>
      <c r="X33" s="448"/>
      <c r="Y33" s="448"/>
      <c r="Z33" s="448"/>
      <c r="AA33" s="448"/>
      <c r="AB33" s="448"/>
    </row>
    <row r="36" spans="23:31" x14ac:dyDescent="0.4">
      <c r="AA36" s="117"/>
      <c r="AB36" s="448"/>
      <c r="AE36" s="448"/>
    </row>
  </sheetData>
  <conditionalFormatting sqref="W33:AB33">
    <cfRule type="expression" dxfId="141" priority="4">
      <formula>IF(ROW() = ROW(), TRUE, FALSE)</formula>
    </cfRule>
  </conditionalFormatting>
  <conditionalFormatting sqref="X32">
    <cfRule type="expression" dxfId="140" priority="3">
      <formula>IF(ROW() = ROW(), TRUE, FALSE)</formula>
    </cfRule>
  </conditionalFormatting>
  <conditionalFormatting sqref="AA36:AB36">
    <cfRule type="expression" dxfId="139" priority="2">
      <formula>IF(ROW() = ROW(), TRUE, FALSE)</formula>
    </cfRule>
  </conditionalFormatting>
  <conditionalFormatting sqref="AE36">
    <cfRule type="expression" dxfId="138"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5916732B-A714-4B28-8567-B654EF33BA1E}">
          <x14:formula1>
            <xm:f>'Part List'!$A:$A</xm:f>
          </x14:formula1>
          <xm:sqref>Y4 H23:H25 R6 F23:F25 R12 R16:S16 S26 R14 S28 R22 R20:T20 R8 S24 R18</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89"/>
  <sheetViews>
    <sheetView zoomScale="85" zoomScaleNormal="85" workbookViewId="0">
      <selection activeCell="G17" sqref="G17"/>
    </sheetView>
  </sheetViews>
  <sheetFormatPr defaultColWidth="9.3046875" defaultRowHeight="14.6" x14ac:dyDescent="0.4"/>
  <cols>
    <col min="1" max="1" width="9.3046875" style="114"/>
    <col min="2" max="2" width="37.69140625" style="33" bestFit="1" customWidth="1"/>
    <col min="3" max="3" width="17" style="114" customWidth="1"/>
    <col min="4" max="4" width="12.84375" style="114" bestFit="1" customWidth="1"/>
    <col min="5" max="5" width="15.84375" style="114" bestFit="1" customWidth="1"/>
    <col min="6" max="6" width="15.921875" style="114" customWidth="1"/>
    <col min="7" max="7" width="15.84375" style="114" bestFit="1" customWidth="1"/>
    <col min="8" max="8" width="9.3046875" style="114"/>
    <col min="9" max="9" width="26.3046875" style="114" customWidth="1"/>
    <col min="10" max="10" width="9.69140625" style="330" hidden="1" customWidth="1"/>
    <col min="11" max="11" width="7.3046875" style="114" hidden="1" customWidth="1"/>
    <col min="12" max="12" width="18.3046875" style="114" hidden="1" customWidth="1"/>
    <col min="13" max="13" width="12.69140625" style="114" hidden="1" customWidth="1"/>
    <col min="14" max="14" width="13.3046875" style="114" hidden="1" customWidth="1"/>
    <col min="15" max="15" width="11" style="114" hidden="1" customWidth="1"/>
    <col min="16" max="19" width="9.3046875" style="114" hidden="1" customWidth="1"/>
    <col min="20" max="24" width="9.3046875" style="114" customWidth="1"/>
    <col min="25" max="25" width="58.4609375" style="114" customWidth="1"/>
    <col min="26" max="42" width="9.3046875" style="114" customWidth="1"/>
    <col min="43" max="43" width="34.3828125" style="114" customWidth="1"/>
    <col min="44" max="16384" width="9.3046875" style="114"/>
  </cols>
  <sheetData>
    <row r="1" spans="1:43" ht="20.149999999999999" x14ac:dyDescent="0.5">
      <c r="A1" s="342">
        <f>ROUNDUP(C1/6,0)</f>
        <v>0</v>
      </c>
      <c r="B1" s="341" t="s">
        <v>796</v>
      </c>
      <c r="C1" s="306">
        <v>0</v>
      </c>
      <c r="H1" s="310" t="s">
        <v>848</v>
      </c>
      <c r="I1" s="114" t="str">
        <f>_xlfn.CONCAT(VLOOKUP(C1,[3]Sheet2!D:E,2,TRUE)," (",C1,")",IF(C1=1,L12,M12))</f>
        <v>Zero (0) CO Detectors</v>
      </c>
      <c r="J1" s="330" t="s">
        <v>864</v>
      </c>
      <c r="L1" s="307" t="s">
        <v>881</v>
      </c>
      <c r="M1" s="307"/>
      <c r="N1" s="307"/>
      <c r="O1" s="307"/>
      <c r="AE1" s="114" t="b">
        <f>NOT((AG1+1)=AG14)</f>
        <v>0</v>
      </c>
      <c r="AF1" s="114" t="s">
        <v>1258</v>
      </c>
      <c r="AG1" s="114">
        <f>MAX('@Other'!O:O)</f>
        <v>0</v>
      </c>
      <c r="AH1" s="114" t="s">
        <v>1266</v>
      </c>
      <c r="AI1" s="114" t="s">
        <v>1263</v>
      </c>
      <c r="AJ1" s="114" t="s">
        <v>1264</v>
      </c>
      <c r="AK1" s="114" t="s">
        <v>1265</v>
      </c>
      <c r="AL1" s="114">
        <v>0.1</v>
      </c>
      <c r="AM1" s="114">
        <v>0.2</v>
      </c>
      <c r="AN1" s="114">
        <v>0.3</v>
      </c>
      <c r="AO1" s="114">
        <v>0.4</v>
      </c>
    </row>
    <row r="2" spans="1:43" ht="20.149999999999999" x14ac:dyDescent="0.5">
      <c r="A2" s="343" t="s">
        <v>886</v>
      </c>
      <c r="B2" s="341" t="s">
        <v>863</v>
      </c>
      <c r="C2" s="306">
        <v>0</v>
      </c>
      <c r="E2" s="310" t="s">
        <v>717</v>
      </c>
      <c r="F2" s="339" t="s">
        <v>716</v>
      </c>
      <c r="G2" s="339" t="s">
        <v>894</v>
      </c>
      <c r="J2" s="330" t="s">
        <v>864</v>
      </c>
      <c r="L2" s="328" t="s">
        <v>0</v>
      </c>
      <c r="M2" s="328"/>
      <c r="N2" s="328" t="s">
        <v>353</v>
      </c>
      <c r="O2" s="328"/>
      <c r="AF2" s="114" t="s">
        <v>1259</v>
      </c>
      <c r="AG2" s="114">
        <f>IF(C2*D7&gt;0, AG1+1, AG1)</f>
        <v>0</v>
      </c>
      <c r="AH2" s="114" t="s">
        <v>1267</v>
      </c>
      <c r="AI2" s="114">
        <f>C2</f>
        <v>0</v>
      </c>
      <c r="AK2" s="114" t="s">
        <v>1271</v>
      </c>
      <c r="AL2" s="415" t="s">
        <v>1273</v>
      </c>
      <c r="AM2" s="415" t="s">
        <v>1283</v>
      </c>
      <c r="AN2" s="114" t="s">
        <v>1276</v>
      </c>
      <c r="AQ2" s="114" t="str">
        <f>IF(AG1=AG2,"",_xlfn.CONCAT("
",AG2," - ",AK2,AI2," ",AH2, "
",REPT(" ",8),AG2,".1 - ",AL2,  "
",REPT(" ",8),AG2,".2 - ",AM2,  "
",REPT(" ",8),AG2,".3 - ",AN2))</f>
        <v/>
      </c>
    </row>
    <row r="3" spans="1:43" ht="20.6" thickBot="1" x14ac:dyDescent="0.55000000000000004">
      <c r="A3" s="344" t="s">
        <v>887</v>
      </c>
      <c r="B3" s="341" t="s">
        <v>909</v>
      </c>
      <c r="C3" s="306">
        <v>0</v>
      </c>
      <c r="E3" s="348">
        <f>SUM(E7:E12)-E8</f>
        <v>0</v>
      </c>
      <c r="F3" s="349">
        <f>SUM(F7:F12)</f>
        <v>0</v>
      </c>
      <c r="G3" s="348">
        <f>SUM(G7:G12)</f>
        <v>0</v>
      </c>
      <c r="J3" s="330" t="s">
        <v>864</v>
      </c>
      <c r="L3" s="328"/>
      <c r="M3" s="328"/>
      <c r="N3" s="328" t="s">
        <v>798</v>
      </c>
      <c r="O3" s="328">
        <v>80</v>
      </c>
      <c r="AF3" s="114" t="s">
        <v>1260</v>
      </c>
      <c r="AG3" s="114">
        <f>IF(C4*D7&gt;0, AG2+1, AG2)</f>
        <v>0</v>
      </c>
      <c r="AH3" s="114" t="s">
        <v>1274</v>
      </c>
      <c r="AI3" s="114">
        <f>C4</f>
        <v>0</v>
      </c>
      <c r="AK3" s="114" t="s">
        <v>1271</v>
      </c>
      <c r="AL3" s="415" t="s">
        <v>1273</v>
      </c>
      <c r="AM3" s="415" t="s">
        <v>1272</v>
      </c>
      <c r="AN3" s="415" t="s">
        <v>1275</v>
      </c>
      <c r="AQ3" s="114" t="str">
        <f>IF(AG2=AG3,"",_xlfn.CONCAT("
",AG3," - ",AK3,AI3," ",AH3, "
",REPT(" ",8),AG3,".1 - ",AL3,  "
",REPT(" ",8),AG3,".2 - ",AM3,  "
",REPT(" ",8),AG3,".3 - ",AN3))</f>
        <v/>
      </c>
    </row>
    <row r="4" spans="1:43" ht="20.149999999999999" x14ac:dyDescent="0.5">
      <c r="B4" s="341" t="s">
        <v>1238</v>
      </c>
      <c r="C4" s="306">
        <v>0</v>
      </c>
      <c r="J4" s="330" t="s">
        <v>864</v>
      </c>
      <c r="L4" s="328" t="str">
        <f>N4</f>
        <v>Gas (0ppm)</v>
      </c>
      <c r="M4" s="328">
        <v>1</v>
      </c>
      <c r="N4" s="328" t="s">
        <v>846</v>
      </c>
      <c r="O4" s="328">
        <f>'[3]MJS Controls'!D20</f>
        <v>55</v>
      </c>
      <c r="AF4" s="114" t="s">
        <v>1261</v>
      </c>
      <c r="AG4" s="114">
        <f>IF(C1*D7&gt;0, AG3+1, AG3)</f>
        <v>0</v>
      </c>
      <c r="AH4" s="114" t="s">
        <v>1268</v>
      </c>
      <c r="AI4" s="114">
        <f>C1</f>
        <v>0</v>
      </c>
      <c r="AK4" s="114" t="s">
        <v>1271</v>
      </c>
      <c r="AL4" s="415" t="s">
        <v>800</v>
      </c>
      <c r="AM4" s="415" t="s">
        <v>639</v>
      </c>
      <c r="AQ4" s="114" t="str">
        <f>IF(AG3=AG4,"",_xlfn.CONCAT("
",AG4," - ",AK4,AI4," ",AH4,"
",REPT(" ",8),AG4,".1 - ",AL4))</f>
        <v/>
      </c>
    </row>
    <row r="5" spans="1:43" x14ac:dyDescent="0.4">
      <c r="J5" s="330" t="s">
        <v>864</v>
      </c>
      <c r="L5" s="328" t="str">
        <f>N5</f>
        <v>Gas (50ppm)</v>
      </c>
      <c r="M5" s="328">
        <v>1</v>
      </c>
      <c r="N5" s="328" t="s">
        <v>847</v>
      </c>
      <c r="O5" s="328">
        <f>'[3]MJS Controls'!D21</f>
        <v>55</v>
      </c>
      <c r="AF5" s="114" t="s">
        <v>1262</v>
      </c>
      <c r="AG5" s="114">
        <f>IF(C3*D8&gt;0,AG4+1,AG4)</f>
        <v>0</v>
      </c>
      <c r="AH5" s="114" t="str">
        <f>AH4</f>
        <v>CO Sensor</v>
      </c>
      <c r="AI5" s="114">
        <f>C3</f>
        <v>0</v>
      </c>
      <c r="AJ5" s="114">
        <f>C1</f>
        <v>0</v>
      </c>
      <c r="AK5" s="114" t="s">
        <v>799</v>
      </c>
      <c r="AL5" s="415" t="s">
        <v>800</v>
      </c>
      <c r="AM5" s="415" t="s">
        <v>1281</v>
      </c>
      <c r="AN5" s="415" t="s">
        <v>1282</v>
      </c>
      <c r="AQ5" s="114" t="str">
        <f>IF(AG4=AG5,"",_xlfn.CONCAT("
",AG5," - ",AK5,AJ5," ",AH5,AM5,AI5,AN5,"
",REPT(" ",8),AG5,".1 - ",AL5))</f>
        <v/>
      </c>
    </row>
    <row r="6" spans="1:43" ht="20.149999999999999" x14ac:dyDescent="0.5">
      <c r="D6" s="310" t="s">
        <v>844</v>
      </c>
      <c r="E6" s="310" t="s">
        <v>717</v>
      </c>
      <c r="F6" s="339" t="s">
        <v>716</v>
      </c>
      <c r="G6" s="339" t="s">
        <v>894</v>
      </c>
      <c r="I6" s="350" t="s">
        <v>904</v>
      </c>
      <c r="J6" s="330" t="s">
        <v>864</v>
      </c>
      <c r="L6" s="328" t="s">
        <v>716</v>
      </c>
      <c r="M6" s="328">
        <v>1</v>
      </c>
      <c r="N6" s="328" t="s">
        <v>716</v>
      </c>
      <c r="O6" s="328">
        <f>'[3]MJS Controls'!D19</f>
        <v>110</v>
      </c>
      <c r="AF6" s="114" t="str">
        <f>B9</f>
        <v>Smoke Detector</v>
      </c>
      <c r="AG6" s="114">
        <f>IF(D9&gt;0,AG5+1,AG5)</f>
        <v>0</v>
      </c>
      <c r="AH6" s="114" t="str">
        <f>AF6</f>
        <v>Smoke Detector</v>
      </c>
      <c r="AI6" s="114">
        <f>D9</f>
        <v>0</v>
      </c>
      <c r="AK6" s="114" t="s">
        <v>1271</v>
      </c>
      <c r="AL6" s="415" t="s">
        <v>1273</v>
      </c>
      <c r="AM6" s="415" t="s">
        <v>639</v>
      </c>
      <c r="AQ6" s="114" t="str">
        <f>IF(AG5=AG6,"",_xlfn.CONCAT("
",AG6," - ",AK6,AI6," ",AH6, "
",REPT(" ",8),AG6,".1 - ",AL6,  "
",REPT(" ",8),AG6,".2 - ",AM6,  "
",REPT(" ",8),AG6,".3 - ",AN6))</f>
        <v/>
      </c>
    </row>
    <row r="7" spans="1:43" ht="20.149999999999999" x14ac:dyDescent="0.5">
      <c r="B7" s="310" t="s">
        <v>891</v>
      </c>
      <c r="C7" s="305" t="s">
        <v>887</v>
      </c>
      <c r="D7" s="286">
        <f>IF(C7="Yes", 1, 0)</f>
        <v>0</v>
      </c>
      <c r="E7" s="291">
        <f>E15+E52+E34</f>
        <v>0</v>
      </c>
      <c r="F7" s="340">
        <f>C26+C63+C47</f>
        <v>0</v>
      </c>
      <c r="G7" s="291">
        <f>E15+E26+E52+E63+E34+E47</f>
        <v>0</v>
      </c>
      <c r="I7" s="351">
        <f>F3-F8-C27</f>
        <v>0</v>
      </c>
      <c r="J7" s="330" t="s">
        <v>864</v>
      </c>
      <c r="L7" s="328" t="s">
        <v>849</v>
      </c>
      <c r="M7" s="328">
        <v>2</v>
      </c>
      <c r="N7" s="328" t="s">
        <v>852</v>
      </c>
      <c r="O7" s="328">
        <v>72.5</v>
      </c>
      <c r="AF7" s="114" t="str">
        <f t="shared" ref="AF7:AF9" si="0">B10</f>
        <v>Occupancy Sensor</v>
      </c>
      <c r="AG7" s="114">
        <f t="shared" ref="AG7:AG9" si="1">IF(D10&gt;0,AG6+1,AG6)</f>
        <v>0</v>
      </c>
      <c r="AH7" s="114" t="str">
        <f t="shared" ref="AH7:AH9" si="2">AF7</f>
        <v>Occupancy Sensor</v>
      </c>
      <c r="AI7" s="114">
        <f t="shared" ref="AI7:AI9" si="3">D10</f>
        <v>0</v>
      </c>
      <c r="AK7" s="114" t="s">
        <v>1271</v>
      </c>
      <c r="AL7" s="415" t="s">
        <v>1273</v>
      </c>
      <c r="AM7" s="415" t="s">
        <v>639</v>
      </c>
      <c r="AQ7" s="114" t="str">
        <f t="shared" ref="AQ7:AQ9" si="4">IF(AG6=AG7,"",_xlfn.CONCAT("
",AG7," - ",AK7,AI7," ",AH7, "
",REPT(" ",8),AG7,".1 - ",AL7,  "
",REPT(" ",8),AG7,".2 - ",AM7,  "
",REPT(" ",8),AG7,".3 - ",AN7))</f>
        <v/>
      </c>
    </row>
    <row r="8" spans="1:43" ht="20.149999999999999" x14ac:dyDescent="0.5">
      <c r="B8" s="310" t="s">
        <v>910</v>
      </c>
      <c r="C8" s="305" t="s">
        <v>887</v>
      </c>
      <c r="D8" s="286">
        <f>IF(C8="Yes", C3, 0)</f>
        <v>0</v>
      </c>
      <c r="E8" s="291">
        <f>IF(D8=0,0,E77+E73+E69+E68)</f>
        <v>0</v>
      </c>
      <c r="F8" s="340">
        <f>IF(D8=0,0,D82)</f>
        <v>0</v>
      </c>
      <c r="G8" s="291">
        <f>IF(D8=0,0,E82+E8)</f>
        <v>0</v>
      </c>
      <c r="J8" s="330" t="s">
        <v>864</v>
      </c>
      <c r="L8" s="328" t="s">
        <v>802</v>
      </c>
      <c r="M8" s="328">
        <v>2</v>
      </c>
      <c r="N8" s="328" t="s">
        <v>802</v>
      </c>
      <c r="O8" s="328">
        <f>'[3]MJS Controls'!D18</f>
        <v>110</v>
      </c>
      <c r="AF8" s="114" t="str">
        <f t="shared" si="0"/>
        <v>IO-IRM-A</v>
      </c>
      <c r="AG8" s="114">
        <f t="shared" si="1"/>
        <v>0</v>
      </c>
      <c r="AH8" s="114" t="s">
        <v>1269</v>
      </c>
      <c r="AI8" s="114">
        <f t="shared" si="3"/>
        <v>0</v>
      </c>
      <c r="AK8" s="114" t="s">
        <v>1271</v>
      </c>
      <c r="AL8" s="415" t="s">
        <v>1273</v>
      </c>
      <c r="AM8" s="415" t="s">
        <v>639</v>
      </c>
      <c r="AQ8" s="114" t="str">
        <f t="shared" si="4"/>
        <v/>
      </c>
    </row>
    <row r="9" spans="1:43" ht="20.149999999999999" x14ac:dyDescent="0.5">
      <c r="B9" s="310" t="s">
        <v>869</v>
      </c>
      <c r="C9" s="305" t="s">
        <v>887</v>
      </c>
      <c r="D9" s="286">
        <f>IF(C9="Yes", 1, 0)</f>
        <v>0</v>
      </c>
      <c r="E9" s="291">
        <f>O39*D9</f>
        <v>0</v>
      </c>
      <c r="F9" s="340"/>
      <c r="G9" s="291">
        <f>E9</f>
        <v>0</v>
      </c>
      <c r="I9" s="350" t="s">
        <v>907</v>
      </c>
      <c r="J9" s="330" t="s">
        <v>864</v>
      </c>
      <c r="AF9" s="114" t="str">
        <f t="shared" si="0"/>
        <v>Stand Alone Fire Panel</v>
      </c>
      <c r="AG9" s="114">
        <f t="shared" si="1"/>
        <v>0</v>
      </c>
      <c r="AH9" s="114" t="str">
        <f t="shared" si="2"/>
        <v>Stand Alone Fire Panel</v>
      </c>
      <c r="AI9" s="114">
        <f t="shared" si="3"/>
        <v>0</v>
      </c>
      <c r="AK9" s="114" t="s">
        <v>1271</v>
      </c>
      <c r="AL9" s="415" t="s">
        <v>1273</v>
      </c>
      <c r="AM9" s="415" t="s">
        <v>639</v>
      </c>
      <c r="AQ9" s="114" t="str">
        <f t="shared" si="4"/>
        <v/>
      </c>
    </row>
    <row r="10" spans="1:43" ht="20.149999999999999" x14ac:dyDescent="0.5">
      <c r="B10" s="310" t="s">
        <v>889</v>
      </c>
      <c r="C10" s="305" t="s">
        <v>887</v>
      </c>
      <c r="D10" s="286">
        <f t="shared" ref="D10:D12" si="5">IF(C10="Yes", 1, 0)</f>
        <v>0</v>
      </c>
      <c r="E10" s="291">
        <f>O44*D10</f>
        <v>0</v>
      </c>
      <c r="F10" s="340"/>
      <c r="G10" s="291">
        <f t="shared" ref="G10:G11" si="6">E10</f>
        <v>0</v>
      </c>
      <c r="I10" s="352">
        <f>E82</f>
        <v>0</v>
      </c>
      <c r="J10" s="330" t="s">
        <v>864</v>
      </c>
      <c r="AG10" s="114">
        <f>AG9</f>
        <v>0</v>
      </c>
      <c r="AQ10" s="114" t="str">
        <f t="shared" ref="AQ10:AQ11" si="7">IF(AG9=AG10,"",_xlfn.CONCAT("
",AG10," - ",AK10,AI10," ",AH10, "
",REPT(" ",8),AG10,".1 - ",AL10,  "
",REPT(" ",8),AG10,".2 - ",AM10,  "
",REPT(" ",8),AG10,".3 - ",AN10))</f>
        <v/>
      </c>
    </row>
    <row r="11" spans="1:43" ht="20.149999999999999" x14ac:dyDescent="0.5">
      <c r="B11" s="310" t="s">
        <v>885</v>
      </c>
      <c r="C11" s="305" t="s">
        <v>887</v>
      </c>
      <c r="D11" s="286">
        <f t="shared" si="5"/>
        <v>0</v>
      </c>
      <c r="E11" s="291">
        <f>O34*D11</f>
        <v>0</v>
      </c>
      <c r="F11" s="340"/>
      <c r="G11" s="291">
        <f t="shared" si="6"/>
        <v>0</v>
      </c>
      <c r="I11" s="350" t="s">
        <v>908</v>
      </c>
      <c r="J11" s="330" t="s">
        <v>864</v>
      </c>
      <c r="L11" s="328" t="s">
        <v>799</v>
      </c>
      <c r="AG11" s="114">
        <f t="shared" ref="AG11:AG13" si="8">AG10</f>
        <v>0</v>
      </c>
      <c r="AQ11" s="114" t="str">
        <f t="shared" si="7"/>
        <v/>
      </c>
    </row>
    <row r="12" spans="1:43" ht="20.149999999999999" x14ac:dyDescent="0.5">
      <c r="B12" s="310" t="s">
        <v>890</v>
      </c>
      <c r="C12" s="305" t="s">
        <v>887</v>
      </c>
      <c r="D12" s="286">
        <f t="shared" si="5"/>
        <v>0</v>
      </c>
      <c r="E12" s="291">
        <f>IF(D12=0,0,E85)</f>
        <v>0</v>
      </c>
      <c r="F12" s="340">
        <f>IF(D12=0,0,C89)</f>
        <v>0</v>
      </c>
      <c r="G12" s="291">
        <f>IF(D12=0,0,E89+E12)</f>
        <v>0</v>
      </c>
      <c r="I12" s="352">
        <f>E8</f>
        <v>0</v>
      </c>
      <c r="J12" s="330" t="s">
        <v>864</v>
      </c>
      <c r="L12" s="328" t="s">
        <v>853</v>
      </c>
      <c r="M12" s="329" t="s">
        <v>854</v>
      </c>
      <c r="AG12" s="114">
        <f t="shared" si="8"/>
        <v>0</v>
      </c>
      <c r="AQ12" s="114" t="str">
        <f t="shared" ref="AQ12" si="9">IF(AG11=AG12,"",_xlfn.CONCAT("
",AG12," - ",AK12,AI12,AH12, "
",REPT(" ",8),AG12,".1 - ",AL12,  "
",REPT(" ",8),AG12,".2 - ",AM12,  "
",REPT(" ",8),AG12,".3 - ",AN12))</f>
        <v/>
      </c>
    </row>
    <row r="13" spans="1:43" ht="43.75" x14ac:dyDescent="0.4">
      <c r="J13" s="330" t="s">
        <v>864</v>
      </c>
      <c r="L13" s="328" t="s">
        <v>800</v>
      </c>
      <c r="AG13" s="114">
        <f t="shared" si="8"/>
        <v>0</v>
      </c>
      <c r="AQ13" s="282" t="s">
        <v>1284</v>
      </c>
    </row>
    <row r="14" spans="1:43" ht="20.149999999999999" x14ac:dyDescent="0.5">
      <c r="B14" s="310" t="s">
        <v>892</v>
      </c>
      <c r="C14" s="514" t="s">
        <v>1252</v>
      </c>
      <c r="D14" s="515"/>
      <c r="E14" s="516"/>
      <c r="J14" s="330" t="s">
        <v>864</v>
      </c>
      <c r="AF14" s="114" t="s">
        <v>1019</v>
      </c>
      <c r="AG14" s="114">
        <f>AG13+1</f>
        <v>1</v>
      </c>
      <c r="AH14" s="114" t="s">
        <v>1019</v>
      </c>
      <c r="AK14" s="114" t="s">
        <v>1280</v>
      </c>
      <c r="AL14" s="114" t="s">
        <v>1278</v>
      </c>
      <c r="AM14" s="114" t="s">
        <v>1279</v>
      </c>
      <c r="AQ14" s="114" t="str">
        <f>IF(AG13=AG14,"",_xlfn.CONCAT("
",AG14," - ",AK14,"
",REPT(" ",8),AG14,".1 - ",AL14,"
",REPT(" ",8),AG14,".2 - ",AM14))</f>
        <v xml:space="preserve">
1 - Supply and install appropriate cabling support/fixings for cabling required throughout this project
        1.1 - This includes a combination of cable ladder tray, cable tray, catenary, conduit, and miscellaneous hardware
        1.2 - Support systems will be chosen on a case-by-case basis by our licensed electricians in compliance with AS3000 and design specification</v>
      </c>
    </row>
    <row r="15" spans="1:43" x14ac:dyDescent="0.4">
      <c r="B15" s="309" t="s">
        <v>717</v>
      </c>
      <c r="C15" s="309" t="s">
        <v>895</v>
      </c>
      <c r="D15" s="309" t="s">
        <v>896</v>
      </c>
      <c r="E15" s="308">
        <f>SUM(E16:E23)</f>
        <v>0</v>
      </c>
      <c r="I15" s="446"/>
      <c r="J15" s="330" t="s">
        <v>864</v>
      </c>
      <c r="L15" s="307" t="s">
        <v>882</v>
      </c>
      <c r="M15" s="307"/>
      <c r="N15" s="307"/>
      <c r="O15" s="307"/>
      <c r="P15" s="307" t="s">
        <v>883</v>
      </c>
      <c r="Q15" s="307" t="s">
        <v>884</v>
      </c>
    </row>
    <row r="16" spans="1:43" x14ac:dyDescent="0.4">
      <c r="B16" s="338" t="str">
        <f>IF($C$1&gt;5, M16,M17)</f>
        <v>ECB-350</v>
      </c>
      <c r="C16" s="338">
        <f>IF($C$7="Yes",IF($C$1&gt;5,N16,N17),0)</f>
        <v>0</v>
      </c>
      <c r="D16" s="338">
        <f>IF($C$1&gt;5, O16,O17)</f>
        <v>725</v>
      </c>
      <c r="E16" s="338">
        <f>D16*C16</f>
        <v>0</v>
      </c>
      <c r="H16" s="446"/>
      <c r="J16" s="330" t="s">
        <v>864</v>
      </c>
      <c r="L16" s="114" t="s">
        <v>771</v>
      </c>
      <c r="M16" s="114" t="s">
        <v>893</v>
      </c>
      <c r="N16" s="114">
        <f>IF($C$2&gt;0,1,0)</f>
        <v>0</v>
      </c>
      <c r="O16" s="114">
        <v>1280</v>
      </c>
      <c r="P16" s="114">
        <f>N16*O16</f>
        <v>0</v>
      </c>
      <c r="Q16" s="114">
        <f>IF(P16=0,O16*N16,0)</f>
        <v>0</v>
      </c>
    </row>
    <row r="17" spans="2:26" x14ac:dyDescent="0.4">
      <c r="B17" s="338" t="str">
        <f t="shared" ref="B17:B22" si="10">M18</f>
        <v>TF-100-240/24</v>
      </c>
      <c r="C17" s="338">
        <f t="shared" ref="C17:C22" si="11">IF($C$7="Yes",N18,0)</f>
        <v>0</v>
      </c>
      <c r="D17" s="338">
        <f t="shared" ref="D17:D22" si="12">O18</f>
        <v>60</v>
      </c>
      <c r="E17" s="338">
        <f t="shared" ref="E17:E31" si="13">D17*C17</f>
        <v>0</v>
      </c>
      <c r="J17" s="330" t="s">
        <v>864</v>
      </c>
      <c r="L17" s="114" t="str">
        <f>'MJS Controls'!Q4</f>
        <v>Controlstore</v>
      </c>
      <c r="M17" s="114" t="str">
        <f>'MJS Controls'!R4</f>
        <v>ECB-350</v>
      </c>
      <c r="N17" s="114">
        <f>IF($C$2&gt;0,1,0)</f>
        <v>0</v>
      </c>
      <c r="O17" s="114">
        <f>'MJS Controls'!T4</f>
        <v>725</v>
      </c>
      <c r="P17" s="114">
        <f>N17*O17</f>
        <v>0</v>
      </c>
      <c r="Q17" s="114">
        <f>IF(P17=0,O17*N17,0)</f>
        <v>0</v>
      </c>
    </row>
    <row r="18" spans="2:26" x14ac:dyDescent="0.4">
      <c r="B18" s="338" t="str">
        <f t="shared" si="10"/>
        <v>12VDC Relay</v>
      </c>
      <c r="C18" s="338">
        <f t="shared" si="11"/>
        <v>0</v>
      </c>
      <c r="D18" s="338">
        <f t="shared" si="12"/>
        <v>40</v>
      </c>
      <c r="E18" s="338">
        <f t="shared" si="13"/>
        <v>0</v>
      </c>
      <c r="J18" s="330" t="s">
        <v>864</v>
      </c>
      <c r="L18" s="114" t="str">
        <f>'MJS Controls'!Q5</f>
        <v>Dore</v>
      </c>
      <c r="M18" s="114" t="str">
        <f>'MJS Controls'!R5</f>
        <v>TF-100-240/24</v>
      </c>
      <c r="N18" s="114">
        <f>IF($C$2&gt;0,1,0)*2</f>
        <v>0</v>
      </c>
      <c r="O18" s="114">
        <f>'MJS Controls'!T5</f>
        <v>60</v>
      </c>
      <c r="P18" s="114">
        <f t="shared" ref="P18:P32" si="14">N18*O18</f>
        <v>0</v>
      </c>
      <c r="Q18" s="114">
        <f t="shared" ref="Q18:Q32" si="15">IF(P18=0,O18*N18,0)</f>
        <v>0</v>
      </c>
    </row>
    <row r="19" spans="2:26" x14ac:dyDescent="0.4">
      <c r="B19" s="338" t="str">
        <f t="shared" si="10"/>
        <v>24VAC 2 Pole Relay</v>
      </c>
      <c r="C19" s="338">
        <f t="shared" si="11"/>
        <v>0</v>
      </c>
      <c r="D19" s="338">
        <f t="shared" si="12"/>
        <v>40</v>
      </c>
      <c r="E19" s="338">
        <f t="shared" si="13"/>
        <v>0</v>
      </c>
      <c r="J19" s="330" t="s">
        <v>864</v>
      </c>
      <c r="L19" s="114" t="str">
        <f>'MJS Controls'!Q8</f>
        <v>Dore</v>
      </c>
      <c r="M19" s="114" t="str">
        <f>'MJS Controls'!R8</f>
        <v>12VDC Relay</v>
      </c>
      <c r="N19" s="114">
        <f>$C$2*3</f>
        <v>0</v>
      </c>
      <c r="O19" s="114">
        <f>'MJS Controls'!T8</f>
        <v>40</v>
      </c>
      <c r="P19" s="114">
        <f t="shared" si="14"/>
        <v>0</v>
      </c>
      <c r="Q19" s="114">
        <f t="shared" si="15"/>
        <v>0</v>
      </c>
      <c r="Y19" s="117"/>
    </row>
    <row r="20" spans="2:26" x14ac:dyDescent="0.4">
      <c r="B20" s="338" t="str">
        <f t="shared" si="10"/>
        <v>CO detector</v>
      </c>
      <c r="C20" s="338">
        <f t="shared" si="11"/>
        <v>0</v>
      </c>
      <c r="D20" s="338">
        <f t="shared" si="12"/>
        <v>360</v>
      </c>
      <c r="E20" s="338">
        <f t="shared" si="13"/>
        <v>0</v>
      </c>
      <c r="J20" s="330" t="s">
        <v>864</v>
      </c>
      <c r="L20" s="114" t="str">
        <f>'MJS Controls'!Q9</f>
        <v>Dore</v>
      </c>
      <c r="M20" s="114" t="str">
        <f>'MJS Controls'!R9</f>
        <v>24VAC 2 Pole Relay</v>
      </c>
      <c r="N20" s="114">
        <f>$C$2*2</f>
        <v>0</v>
      </c>
      <c r="O20" s="114">
        <f>'MJS Controls'!T9</f>
        <v>40</v>
      </c>
      <c r="P20" s="114">
        <f t="shared" si="14"/>
        <v>0</v>
      </c>
      <c r="Q20" s="114">
        <f t="shared" si="15"/>
        <v>0</v>
      </c>
    </row>
    <row r="21" spans="2:26" x14ac:dyDescent="0.4">
      <c r="B21" s="338" t="str">
        <f t="shared" si="10"/>
        <v>Current Switch</v>
      </c>
      <c r="C21" s="338">
        <f t="shared" si="11"/>
        <v>0</v>
      </c>
      <c r="D21" s="338">
        <f t="shared" si="12"/>
        <v>35</v>
      </c>
      <c r="E21" s="338">
        <f t="shared" si="13"/>
        <v>0</v>
      </c>
      <c r="J21" s="330" t="s">
        <v>864</v>
      </c>
      <c r="L21" s="114" t="str">
        <f>'MJS Controls'!Q12</f>
        <v xml:space="preserve">GasTech </v>
      </c>
      <c r="M21" s="114" t="str">
        <f>'MJS Controls'!R12</f>
        <v>CO detector</v>
      </c>
      <c r="N21" s="114">
        <f>$C$1</f>
        <v>0</v>
      </c>
      <c r="O21" s="114">
        <f>'MJS Controls'!T12</f>
        <v>360</v>
      </c>
      <c r="P21" s="114">
        <f t="shared" si="14"/>
        <v>0</v>
      </c>
      <c r="Q21" s="114">
        <f t="shared" si="15"/>
        <v>0</v>
      </c>
    </row>
    <row r="22" spans="2:26" x14ac:dyDescent="0.4">
      <c r="B22" s="338" t="str">
        <f t="shared" si="10"/>
        <v>Enclosure 800 x 600</v>
      </c>
      <c r="C22" s="338">
        <f t="shared" si="11"/>
        <v>0</v>
      </c>
      <c r="D22" s="338">
        <f t="shared" si="12"/>
        <v>500</v>
      </c>
      <c r="E22" s="338">
        <f t="shared" si="13"/>
        <v>0</v>
      </c>
      <c r="J22" s="330" t="s">
        <v>864</v>
      </c>
      <c r="L22" s="114" t="str">
        <f>'MJS Controls'!Q14</f>
        <v>Controlstore</v>
      </c>
      <c r="M22" s="114" t="str">
        <f>'MJS Controls'!R14</f>
        <v>Current Switch</v>
      </c>
      <c r="N22" s="114">
        <f>$C$2</f>
        <v>0</v>
      </c>
      <c r="O22" s="114">
        <f>'MJS Controls'!T14</f>
        <v>35</v>
      </c>
      <c r="P22" s="114">
        <f t="shared" si="14"/>
        <v>0</v>
      </c>
      <c r="Q22" s="114">
        <f t="shared" si="15"/>
        <v>0</v>
      </c>
    </row>
    <row r="23" spans="2:26" x14ac:dyDescent="0.4">
      <c r="B23" s="338" t="str">
        <f>M32</f>
        <v>Misc</v>
      </c>
      <c r="C23" s="338">
        <f>IF($C$7="Yes",N32,0)</f>
        <v>0</v>
      </c>
      <c r="D23" s="338">
        <f>O32</f>
        <v>100</v>
      </c>
      <c r="E23" s="338">
        <f>D23*C23</f>
        <v>0</v>
      </c>
      <c r="L23" s="114" t="str">
        <f>'MJS Controls'!Q16</f>
        <v>Dore</v>
      </c>
      <c r="M23" s="114" t="str">
        <f>'MJS Controls'!R16</f>
        <v>Enclosure 800 x 600</v>
      </c>
      <c r="N23" s="114">
        <f t="shared" ref="N23" si="16">IF($C$2&gt;0,1,0)</f>
        <v>0</v>
      </c>
      <c r="O23" s="114">
        <f>'MJS Controls'!T16</f>
        <v>500</v>
      </c>
      <c r="P23" s="114">
        <f t="shared" si="14"/>
        <v>0</v>
      </c>
      <c r="Q23" s="114">
        <f t="shared" si="15"/>
        <v>0</v>
      </c>
    </row>
    <row r="24" spans="2:26" x14ac:dyDescent="0.4">
      <c r="B24" s="338"/>
      <c r="C24" s="338"/>
      <c r="D24" s="338"/>
      <c r="E24" s="338"/>
      <c r="J24" s="330" t="s">
        <v>864</v>
      </c>
    </row>
    <row r="25" spans="2:26" x14ac:dyDescent="0.4">
      <c r="B25" s="338"/>
      <c r="C25" s="338"/>
      <c r="D25" s="338"/>
      <c r="E25" s="338"/>
      <c r="J25" s="330" t="s">
        <v>864</v>
      </c>
      <c r="L25" s="114" t="str">
        <f>'MJS Controls'!Q17</f>
        <v>Dore</v>
      </c>
      <c r="M25" s="114" t="str">
        <f>'MJS Controls'!R17</f>
        <v>Rotating Light with Buzzer 24VAC</v>
      </c>
      <c r="N25" s="114">
        <f t="shared" ref="N25" si="17">IF($C$2&gt;0,1,0)</f>
        <v>0</v>
      </c>
      <c r="O25" s="114">
        <f>'MJS Controls'!T17</f>
        <v>155</v>
      </c>
      <c r="P25" s="114">
        <f t="shared" si="14"/>
        <v>0</v>
      </c>
      <c r="Q25" s="114">
        <f t="shared" si="15"/>
        <v>0</v>
      </c>
    </row>
    <row r="26" spans="2:26" x14ac:dyDescent="0.4">
      <c r="B26" s="309" t="s">
        <v>716</v>
      </c>
      <c r="C26" s="345">
        <f t="shared" ref="C26:D26" si="18">SUM(C27:C31)</f>
        <v>0</v>
      </c>
      <c r="D26" s="308">
        <f t="shared" si="18"/>
        <v>450</v>
      </c>
      <c r="E26" s="308">
        <f>SUM(E27:E31)</f>
        <v>0</v>
      </c>
      <c r="L26" s="114" t="str">
        <f>'MJS Controls'!Q19</f>
        <v>Labour Eng</v>
      </c>
      <c r="M26" s="114" t="str">
        <f>'MJS Controls'!R19</f>
        <v>program</v>
      </c>
      <c r="N26" s="114">
        <f>$C$2</f>
        <v>0</v>
      </c>
      <c r="O26" s="114">
        <f>'MJS Controls'!T19</f>
        <v>110</v>
      </c>
      <c r="Q26" s="114">
        <f t="shared" si="15"/>
        <v>0</v>
      </c>
    </row>
    <row r="27" spans="2:26" x14ac:dyDescent="0.4">
      <c r="B27" s="338" t="s">
        <v>897</v>
      </c>
      <c r="C27" s="338">
        <f>IF($C$7="Yes",N26,0)</f>
        <v>0</v>
      </c>
      <c r="D27" s="338">
        <f>O26</f>
        <v>110</v>
      </c>
      <c r="E27" s="338">
        <f t="shared" si="13"/>
        <v>0</v>
      </c>
      <c r="L27" s="114" t="str">
        <f>'MJS Controls'!Q20</f>
        <v>Labour Site Comm</v>
      </c>
      <c r="M27" s="114" t="str">
        <f>'MJS Controls'!R20</f>
        <v>comm</v>
      </c>
      <c r="N27" s="114">
        <f>$C$2</f>
        <v>0</v>
      </c>
      <c r="O27" s="114">
        <f>'MJS Controls'!T20</f>
        <v>85</v>
      </c>
      <c r="Q27" s="114">
        <f t="shared" si="15"/>
        <v>0</v>
      </c>
    </row>
    <row r="28" spans="2:26" x14ac:dyDescent="0.4">
      <c r="B28" s="338" t="s">
        <v>898</v>
      </c>
      <c r="C28" s="338">
        <f>IF($C$7="Yes",N27,0)</f>
        <v>0</v>
      </c>
      <c r="D28" s="338">
        <f>O27</f>
        <v>85</v>
      </c>
      <c r="E28" s="338">
        <f t="shared" si="13"/>
        <v>0</v>
      </c>
      <c r="L28" s="114" t="str">
        <f>'MJS Controls'!Q21</f>
        <v>Labour Site Install</v>
      </c>
      <c r="M28" s="114" t="str">
        <f>'MJS Controls'!R21</f>
        <v>install</v>
      </c>
      <c r="N28" s="114">
        <f>$C$2*2</f>
        <v>0</v>
      </c>
      <c r="O28" s="114">
        <f>'MJS Controls'!T21</f>
        <v>85</v>
      </c>
      <c r="Q28" s="114">
        <f t="shared" si="15"/>
        <v>0</v>
      </c>
    </row>
    <row r="29" spans="2:26" x14ac:dyDescent="0.4">
      <c r="B29" s="338" t="s">
        <v>899</v>
      </c>
      <c r="C29" s="338">
        <f>IF($C$7="Yes",N28,0)</f>
        <v>0</v>
      </c>
      <c r="D29" s="338">
        <f>O28</f>
        <v>85</v>
      </c>
      <c r="E29" s="338">
        <f t="shared" si="13"/>
        <v>0</v>
      </c>
      <c r="L29" s="114" t="str">
        <f>'MJS Controls'!Q22</f>
        <v>Labour Site Install CO Sensor</v>
      </c>
      <c r="M29" s="114" t="str">
        <f>'MJS Controls'!R22</f>
        <v>Install (2 hours Ea)</v>
      </c>
      <c r="N29" s="114">
        <f>$C$1*2</f>
        <v>0</v>
      </c>
      <c r="O29" s="114">
        <f>'MJS Controls'!T22</f>
        <v>85</v>
      </c>
      <c r="Q29" s="114">
        <f t="shared" si="15"/>
        <v>0</v>
      </c>
    </row>
    <row r="30" spans="2:26" x14ac:dyDescent="0.4">
      <c r="B30" s="338" t="s">
        <v>900</v>
      </c>
      <c r="C30" s="338">
        <f>IF($C$7="Yes",N29,0)</f>
        <v>0</v>
      </c>
      <c r="D30" s="338">
        <f>O29</f>
        <v>85</v>
      </c>
      <c r="E30" s="338">
        <f t="shared" si="13"/>
        <v>0</v>
      </c>
    </row>
    <row r="31" spans="2:26" x14ac:dyDescent="0.4">
      <c r="B31" s="338" t="s">
        <v>901</v>
      </c>
      <c r="C31" s="338">
        <f>IF($C$7="Yes",N31,0)</f>
        <v>0</v>
      </c>
      <c r="D31" s="338">
        <f>O31</f>
        <v>85</v>
      </c>
      <c r="E31" s="338">
        <f t="shared" si="13"/>
        <v>0</v>
      </c>
      <c r="L31" s="114" t="str">
        <f>'MJS Controls'!Q24</f>
        <v>Build Control Panel</v>
      </c>
      <c r="M31" s="114" t="str">
        <f>'MJS Controls'!R24</f>
        <v>Labour</v>
      </c>
      <c r="N31" s="114">
        <f>IF($C$2&gt;0,$C$2*2+2, 0)</f>
        <v>0</v>
      </c>
      <c r="O31" s="114">
        <f>'MJS Controls'!T24</f>
        <v>85</v>
      </c>
      <c r="Q31" s="114">
        <f t="shared" si="15"/>
        <v>0</v>
      </c>
    </row>
    <row r="32" spans="2:26" x14ac:dyDescent="0.4">
      <c r="L32" s="114" t="str">
        <f>'MJS Controls'!Q25</f>
        <v xml:space="preserve">Turks n that </v>
      </c>
      <c r="M32" s="114" t="str">
        <f>'MJS Controls'!R25</f>
        <v>Misc</v>
      </c>
      <c r="N32" s="114">
        <f>$C$1</f>
        <v>0</v>
      </c>
      <c r="O32" s="114">
        <v>100</v>
      </c>
      <c r="P32" s="114">
        <f t="shared" si="14"/>
        <v>0</v>
      </c>
      <c r="Q32" s="114">
        <f t="shared" si="15"/>
        <v>0</v>
      </c>
      <c r="Y32" s="66" t="s">
        <v>340</v>
      </c>
      <c r="Z32" s="121" t="s">
        <v>233</v>
      </c>
    </row>
    <row r="33" spans="2:30" ht="20.149999999999999" x14ac:dyDescent="0.5">
      <c r="B33" s="310" t="str">
        <f>B14</f>
        <v>Carpark</v>
      </c>
      <c r="C33" s="514" t="s">
        <v>1253</v>
      </c>
      <c r="D33" s="515"/>
      <c r="E33" s="516"/>
      <c r="Y33" s="66" t="s">
        <v>441</v>
      </c>
      <c r="Z33" s="121" t="s">
        <v>361</v>
      </c>
      <c r="AB33" s="122" t="s">
        <v>267</v>
      </c>
    </row>
    <row r="34" spans="2:30" x14ac:dyDescent="0.4">
      <c r="B34" s="309" t="str">
        <f>B15</f>
        <v>Materials</v>
      </c>
      <c r="C34" s="309" t="str">
        <f t="shared" ref="C34:D34" si="19">C15</f>
        <v>qty</v>
      </c>
      <c r="D34" s="309" t="str">
        <f t="shared" si="19"/>
        <v>unit</v>
      </c>
      <c r="E34" s="308">
        <f>SUM(E35:E46)</f>
        <v>0</v>
      </c>
      <c r="M34" s="114" t="s">
        <v>885</v>
      </c>
      <c r="N34" s="114">
        <v>1</v>
      </c>
      <c r="O34" s="114">
        <v>200</v>
      </c>
      <c r="Y34" s="66" t="s">
        <v>406</v>
      </c>
      <c r="AA34" s="122" t="s">
        <v>245</v>
      </c>
    </row>
    <row r="35" spans="2:30" x14ac:dyDescent="0.4">
      <c r="B35" s="338" t="s">
        <v>1041</v>
      </c>
      <c r="C35" s="338">
        <f>$C$2*$D$7*1</f>
        <v>0</v>
      </c>
      <c r="D35" s="338">
        <f>VLOOKUP(B35,'Part List'!A:G,3,FALSE)</f>
        <v>43.44</v>
      </c>
      <c r="E35" s="338">
        <f>D35*C35</f>
        <v>0</v>
      </c>
      <c r="Y35" s="66" t="s">
        <v>328</v>
      </c>
      <c r="Z35" s="121" t="s">
        <v>242</v>
      </c>
    </row>
    <row r="36" spans="2:30" x14ac:dyDescent="0.4">
      <c r="B36" s="338" t="s">
        <v>1251</v>
      </c>
      <c r="C36" s="338">
        <f t="shared" ref="C36:C44" si="20">$C$2*$D$7*1</f>
        <v>0</v>
      </c>
      <c r="D36" s="338">
        <f>VLOOKUP(B36,'Part List'!A:G,3,FALSE)</f>
        <v>971.52</v>
      </c>
      <c r="E36" s="338">
        <f t="shared" ref="E36:E46" si="21">D36*C36</f>
        <v>0</v>
      </c>
      <c r="Y36" s="66" t="s">
        <v>336</v>
      </c>
      <c r="Z36" s="121" t="s">
        <v>363</v>
      </c>
      <c r="AA36" s="122" t="s">
        <v>273</v>
      </c>
    </row>
    <row r="37" spans="2:30" x14ac:dyDescent="0.4">
      <c r="B37" s="338" t="s">
        <v>1040</v>
      </c>
      <c r="C37" s="338">
        <f t="shared" si="20"/>
        <v>0</v>
      </c>
      <c r="D37" s="338">
        <f>VLOOKUP(B37,'Part List'!A:G,3,FALSE)</f>
        <v>46.46</v>
      </c>
      <c r="E37" s="338">
        <f t="shared" si="21"/>
        <v>0</v>
      </c>
      <c r="Y37" s="66" t="s">
        <v>498</v>
      </c>
      <c r="Z37" s="121" t="s">
        <v>363</v>
      </c>
      <c r="AB37" s="122" t="s">
        <v>267</v>
      </c>
    </row>
    <row r="38" spans="2:30" x14ac:dyDescent="0.4">
      <c r="B38" s="338" t="s">
        <v>278</v>
      </c>
      <c r="C38" s="338">
        <f t="shared" si="20"/>
        <v>0</v>
      </c>
      <c r="D38" s="338">
        <f>VLOOKUP(B38,'Part List'!A:G,3,FALSE)</f>
        <v>36</v>
      </c>
      <c r="E38" s="338">
        <f t="shared" si="21"/>
        <v>0</v>
      </c>
      <c r="Y38" s="66" t="s">
        <v>140</v>
      </c>
      <c r="Z38" s="121" t="s">
        <v>292</v>
      </c>
      <c r="AB38" s="144" t="s">
        <v>269</v>
      </c>
    </row>
    <row r="39" spans="2:30" x14ac:dyDescent="0.4">
      <c r="B39" s="338" t="s">
        <v>1237</v>
      </c>
      <c r="C39" s="338">
        <f t="shared" si="20"/>
        <v>0</v>
      </c>
      <c r="D39" s="338">
        <f>VLOOKUP(B39,'Part List'!A:G,3,FALSE)</f>
        <v>360</v>
      </c>
      <c r="E39" s="338">
        <f t="shared" si="21"/>
        <v>0</v>
      </c>
      <c r="L39" s="114" t="str">
        <f>'MJS Controls'!Q23</f>
        <v>Smoke Detector</v>
      </c>
      <c r="M39" s="114" t="str">
        <f>'MJS Controls'!R23</f>
        <v>Apollo Optical Detector</v>
      </c>
      <c r="N39" s="114">
        <f>IF($C$2&gt;0,1,0)*2</f>
        <v>0</v>
      </c>
      <c r="O39" s="114">
        <f>'MJS Controls'!T23</f>
        <v>160</v>
      </c>
      <c r="P39" s="114">
        <f>N39*O39</f>
        <v>0</v>
      </c>
      <c r="Q39" s="114">
        <f>IF(P39=0,O39*N39,0)</f>
        <v>0</v>
      </c>
      <c r="Y39" s="66" t="s">
        <v>312</v>
      </c>
      <c r="Z39" s="121" t="s">
        <v>232</v>
      </c>
      <c r="AB39" s="144"/>
    </row>
    <row r="40" spans="2:30" x14ac:dyDescent="0.4">
      <c r="B40" s="338" t="s">
        <v>1345</v>
      </c>
      <c r="C40" s="338">
        <f t="shared" si="20"/>
        <v>0</v>
      </c>
      <c r="D40" s="338">
        <f>VLOOKUP(B40,'Part List'!A:G,3,FALSE)</f>
        <v>91.05</v>
      </c>
      <c r="E40" s="338">
        <f t="shared" si="21"/>
        <v>0</v>
      </c>
      <c r="L40" s="114" t="str">
        <f>'MJS Controls'!Q26</f>
        <v>Dore</v>
      </c>
      <c r="M40" s="114" t="str">
        <f>'MJS Controls'!R26</f>
        <v>Enclosure Steel 400 x 300 x 150</v>
      </c>
      <c r="N40" s="114">
        <f t="shared" ref="N40:N41" si="22">IF($C$2&gt;0,1,0)</f>
        <v>0</v>
      </c>
      <c r="O40" s="114">
        <f>'MJS Controls'!T26</f>
        <v>154</v>
      </c>
      <c r="P40" s="114">
        <f>N40*O40</f>
        <v>0</v>
      </c>
      <c r="Q40" s="114">
        <f>IF(P40=0,O40*N40,0)</f>
        <v>0</v>
      </c>
      <c r="Y40" s="66" t="s">
        <v>345</v>
      </c>
      <c r="Z40" s="121" t="s">
        <v>292</v>
      </c>
      <c r="AA40" s="122" t="s">
        <v>326</v>
      </c>
    </row>
    <row r="41" spans="2:30" x14ac:dyDescent="0.4">
      <c r="B41" s="338" t="s">
        <v>1254</v>
      </c>
      <c r="C41" s="338">
        <f t="shared" si="20"/>
        <v>0</v>
      </c>
      <c r="D41" s="338">
        <f>VLOOKUP(B41,'Part List'!A:G,3,FALSE)</f>
        <v>60</v>
      </c>
      <c r="E41" s="338">
        <f t="shared" si="21"/>
        <v>0</v>
      </c>
      <c r="L41" s="114" t="str">
        <f>'MJS Controls'!Q27</f>
        <v>Bunnings</v>
      </c>
      <c r="M41" s="114" t="str">
        <f>'MJS Controls'!R27</f>
        <v>Clear Perspex – Red Paint</v>
      </c>
      <c r="N41" s="114">
        <f t="shared" si="22"/>
        <v>0</v>
      </c>
      <c r="O41" s="114">
        <f>'MJS Controls'!T27</f>
        <v>200</v>
      </c>
      <c r="P41" s="114">
        <f>N41*O41</f>
        <v>0</v>
      </c>
      <c r="Q41" s="114">
        <f>IF(P41=0,O41*N41,0)</f>
        <v>0</v>
      </c>
      <c r="Y41" s="66" t="s">
        <v>337</v>
      </c>
      <c r="Z41" s="121" t="s">
        <v>292</v>
      </c>
      <c r="AA41" s="122" t="s">
        <v>280</v>
      </c>
      <c r="AD41" s="114">
        <v>2</v>
      </c>
    </row>
    <row r="42" spans="2:30" x14ac:dyDescent="0.4">
      <c r="B42" s="338" t="s">
        <v>1004</v>
      </c>
      <c r="C42" s="338">
        <f>$C$2*$D$7*2</f>
        <v>0</v>
      </c>
      <c r="D42" s="338">
        <f>VLOOKUP(B42,'Part List'!A:G,3,FALSE)</f>
        <v>16</v>
      </c>
      <c r="E42" s="338">
        <f t="shared" si="21"/>
        <v>0</v>
      </c>
      <c r="G42" s="114" t="s">
        <v>298</v>
      </c>
      <c r="L42" s="114" t="str">
        <f>'MJS Controls'!Q28</f>
        <v>Laboue</v>
      </c>
      <c r="M42" s="114" t="str">
        <f>'MJS Controls'!R28</f>
        <v>Assemble Fire AO Panel</v>
      </c>
      <c r="N42" s="114">
        <f>$C$2*2</f>
        <v>0</v>
      </c>
      <c r="O42" s="114">
        <f>'MJS Controls'!T28</f>
        <v>85</v>
      </c>
      <c r="Q42" s="114">
        <f>IF(P42=0,O42*N42,0)</f>
        <v>0</v>
      </c>
      <c r="Y42" s="66" t="s">
        <v>329</v>
      </c>
      <c r="AB42" s="122" t="s">
        <v>277</v>
      </c>
    </row>
    <row r="43" spans="2:30" x14ac:dyDescent="0.4">
      <c r="B43" s="338" t="s">
        <v>304</v>
      </c>
      <c r="C43" s="338">
        <f t="shared" si="20"/>
        <v>0</v>
      </c>
      <c r="D43" s="338">
        <f>VLOOKUP(B43,'Part List'!A:G,3,FALSE)</f>
        <v>57.95</v>
      </c>
      <c r="E43" s="338">
        <f t="shared" si="21"/>
        <v>0</v>
      </c>
      <c r="Y43" s="66" t="s">
        <v>338</v>
      </c>
      <c r="AB43" s="122" t="s">
        <v>333</v>
      </c>
    </row>
    <row r="44" spans="2:30" x14ac:dyDescent="0.4">
      <c r="B44" s="338" t="s">
        <v>322</v>
      </c>
      <c r="C44" s="338">
        <f t="shared" si="20"/>
        <v>0</v>
      </c>
      <c r="D44" s="338">
        <f>VLOOKUP(B44,'Part List'!A:G,3,FALSE)</f>
        <v>0</v>
      </c>
      <c r="E44" s="338">
        <f t="shared" si="21"/>
        <v>0</v>
      </c>
      <c r="M44" s="114" t="s">
        <v>888</v>
      </c>
      <c r="N44" s="114">
        <v>1</v>
      </c>
      <c r="O44" s="114">
        <v>120</v>
      </c>
      <c r="Y44" s="66" t="s">
        <v>402</v>
      </c>
      <c r="AB44" s="121" t="s">
        <v>274</v>
      </c>
    </row>
    <row r="45" spans="2:30" x14ac:dyDescent="0.4">
      <c r="B45" s="338" t="s">
        <v>267</v>
      </c>
      <c r="C45" s="460">
        <f>IF(ISNUMBER(F45),F45,$C$2*$D$7*15)</f>
        <v>0</v>
      </c>
      <c r="D45" s="338">
        <f>VLOOKUP(B45,'Part List'!A:G,3,FALSE)</f>
        <v>3.48</v>
      </c>
      <c r="E45" s="338">
        <f t="shared" si="21"/>
        <v>0</v>
      </c>
      <c r="F45" s="460" t="s">
        <v>1256</v>
      </c>
      <c r="Y45" s="66" t="s">
        <v>408</v>
      </c>
      <c r="Z45" s="121" t="s">
        <v>362</v>
      </c>
    </row>
    <row r="46" spans="2:30" x14ac:dyDescent="0.4">
      <c r="B46" s="338" t="s">
        <v>1255</v>
      </c>
      <c r="C46" s="460">
        <f>IF(ISNUMBER(F46),F46,$C$2*$D$7*35)</f>
        <v>0</v>
      </c>
      <c r="D46" s="338">
        <f>VLOOKUP(B46,'Part List'!A:G,3,FALSE)</f>
        <v>5.8</v>
      </c>
      <c r="E46" s="338">
        <f t="shared" si="21"/>
        <v>0</v>
      </c>
      <c r="F46" s="460" t="s">
        <v>1256</v>
      </c>
    </row>
    <row r="47" spans="2:30" x14ac:dyDescent="0.4">
      <c r="B47" s="309" t="s">
        <v>716</v>
      </c>
      <c r="C47" s="345">
        <f>SUM(C48:C49)</f>
        <v>0</v>
      </c>
      <c r="D47" s="308">
        <f>SUM(D48:D49)</f>
        <v>170</v>
      </c>
      <c r="E47" s="308">
        <f>SUM(E48:E49)</f>
        <v>0</v>
      </c>
    </row>
    <row r="48" spans="2:30" x14ac:dyDescent="0.4">
      <c r="B48" s="461" t="s">
        <v>891</v>
      </c>
      <c r="C48" s="460">
        <f>(C46+C45)/20</f>
        <v>0</v>
      </c>
      <c r="D48" s="338">
        <v>85</v>
      </c>
      <c r="E48" s="338">
        <f>C48*D48</f>
        <v>0</v>
      </c>
    </row>
    <row r="49" spans="2:6" x14ac:dyDescent="0.4">
      <c r="B49" s="461" t="s">
        <v>1019</v>
      </c>
      <c r="C49" s="460">
        <f>$C$2*$D$7*1</f>
        <v>0</v>
      </c>
      <c r="D49" s="338">
        <v>85</v>
      </c>
      <c r="E49" s="338">
        <f>C49*D49</f>
        <v>0</v>
      </c>
    </row>
    <row r="50" spans="2:6" x14ac:dyDescent="0.4">
      <c r="B50" s="114"/>
    </row>
    <row r="51" spans="2:6" ht="20.149999999999999" x14ac:dyDescent="0.5">
      <c r="B51" s="310" t="s">
        <v>1236</v>
      </c>
    </row>
    <row r="52" spans="2:6" x14ac:dyDescent="0.4">
      <c r="B52" s="309" t="s">
        <v>717</v>
      </c>
      <c r="C52" s="309" t="s">
        <v>895</v>
      </c>
      <c r="D52" s="309" t="s">
        <v>896</v>
      </c>
      <c r="E52" s="308">
        <f>SUM(E53:E62)</f>
        <v>0</v>
      </c>
    </row>
    <row r="53" spans="2:6" x14ac:dyDescent="0.4">
      <c r="B53" s="445" t="s">
        <v>1040</v>
      </c>
      <c r="C53" s="445">
        <f>1*$C$4</f>
        <v>0</v>
      </c>
      <c r="D53" s="445">
        <f>VLOOKUP(B53,'Part List'!A:G,3,FALSE)</f>
        <v>46.46</v>
      </c>
      <c r="E53" s="445">
        <f>C53*D53</f>
        <v>0</v>
      </c>
    </row>
    <row r="54" spans="2:6" x14ac:dyDescent="0.4">
      <c r="B54" s="445" t="s">
        <v>986</v>
      </c>
      <c r="C54" s="445">
        <f t="shared" ref="C54:C59" si="23">1*$C$4</f>
        <v>0</v>
      </c>
      <c r="D54" s="445">
        <f>VLOOKUP(B54,'Part List'!A:G,3,FALSE)</f>
        <v>307.2</v>
      </c>
      <c r="E54" s="445">
        <f t="shared" ref="E54:E61" si="24">C54*D54</f>
        <v>0</v>
      </c>
    </row>
    <row r="55" spans="2:6" x14ac:dyDescent="0.4">
      <c r="B55" s="445" t="s">
        <v>326</v>
      </c>
      <c r="C55" s="445">
        <f t="shared" si="23"/>
        <v>0</v>
      </c>
      <c r="D55" s="445">
        <f>VLOOKUP(B55,'Part List'!A:G,3,FALSE)</f>
        <v>24.2</v>
      </c>
      <c r="E55" s="445">
        <f t="shared" si="24"/>
        <v>0</v>
      </c>
    </row>
    <row r="56" spans="2:6" x14ac:dyDescent="0.4">
      <c r="B56" s="445" t="s">
        <v>1004</v>
      </c>
      <c r="C56" s="445">
        <f>2*$C$4</f>
        <v>0</v>
      </c>
      <c r="D56" s="445">
        <f>VLOOKUP(B56,'Part List'!A:G,3,FALSE)</f>
        <v>16</v>
      </c>
      <c r="E56" s="445">
        <f t="shared" si="24"/>
        <v>0</v>
      </c>
    </row>
    <row r="57" spans="2:6" x14ac:dyDescent="0.4">
      <c r="B57" s="445" t="s">
        <v>1000</v>
      </c>
      <c r="C57" s="445">
        <f t="shared" si="23"/>
        <v>0</v>
      </c>
      <c r="D57" s="445">
        <f>VLOOKUP(B57,'Part List'!A:G,3,FALSE)</f>
        <v>60</v>
      </c>
      <c r="E57" s="445">
        <f t="shared" si="24"/>
        <v>0</v>
      </c>
    </row>
    <row r="58" spans="2:6" x14ac:dyDescent="0.4">
      <c r="B58" s="445" t="s">
        <v>304</v>
      </c>
      <c r="C58" s="445">
        <f t="shared" si="23"/>
        <v>0</v>
      </c>
      <c r="D58" s="445">
        <f>VLOOKUP(B58,'Part List'!A:G,3,FALSE)</f>
        <v>57.95</v>
      </c>
      <c r="E58" s="445">
        <f t="shared" si="24"/>
        <v>0</v>
      </c>
    </row>
    <row r="59" spans="2:6" x14ac:dyDescent="0.4">
      <c r="B59" s="445" t="s">
        <v>1237</v>
      </c>
      <c r="C59" s="445">
        <f t="shared" si="23"/>
        <v>0</v>
      </c>
      <c r="D59" s="445">
        <f>VLOOKUP(B59,'Part List'!A:G,3,FALSE)</f>
        <v>360</v>
      </c>
      <c r="E59" s="445">
        <f t="shared" si="24"/>
        <v>0</v>
      </c>
    </row>
    <row r="60" spans="2:6" x14ac:dyDescent="0.4">
      <c r="B60" s="445" t="s">
        <v>267</v>
      </c>
      <c r="C60" s="460">
        <f>IF(ISNUMBER(F62),F62,$C$4*$D$7*15)</f>
        <v>0</v>
      </c>
      <c r="D60" s="445">
        <f>VLOOKUP(B60,'Part List'!A:G,3,FALSE)</f>
        <v>3.48</v>
      </c>
      <c r="E60" s="445">
        <f t="shared" si="24"/>
        <v>0</v>
      </c>
    </row>
    <row r="61" spans="2:6" x14ac:dyDescent="0.4">
      <c r="B61" s="445" t="s">
        <v>269</v>
      </c>
      <c r="C61" s="460">
        <f>IF(ISNUMBER(F63),F63,$C$4*$D$7*10)</f>
        <v>0</v>
      </c>
      <c r="D61" s="445">
        <f>VLOOKUP(B61,'Part List'!A:G,3,FALSE)</f>
        <v>1.056</v>
      </c>
      <c r="E61" s="445">
        <f t="shared" si="24"/>
        <v>0</v>
      </c>
    </row>
    <row r="62" spans="2:6" x14ac:dyDescent="0.4">
      <c r="B62" s="445" t="s">
        <v>1345</v>
      </c>
      <c r="C62" s="445">
        <f>1*$C$4</f>
        <v>0</v>
      </c>
      <c r="D62" s="445">
        <f>VLOOKUP(B62,'Part List'!A:G,3,FALSE)</f>
        <v>91.05</v>
      </c>
      <c r="E62" s="445">
        <f t="shared" ref="E62" si="25">C62*D62</f>
        <v>0</v>
      </c>
      <c r="F62" s="460" t="s">
        <v>1256</v>
      </c>
    </row>
    <row r="63" spans="2:6" x14ac:dyDescent="0.4">
      <c r="B63" s="309" t="s">
        <v>716</v>
      </c>
      <c r="C63" s="345">
        <f>SUM(C64:C65)</f>
        <v>0</v>
      </c>
      <c r="D63" s="345">
        <f t="shared" ref="D63:E63" si="26">SUM(D64:D65)</f>
        <v>170</v>
      </c>
      <c r="E63" s="345">
        <f t="shared" si="26"/>
        <v>0</v>
      </c>
      <c r="F63" s="460" t="s">
        <v>1256</v>
      </c>
    </row>
    <row r="64" spans="2:6" x14ac:dyDescent="0.4">
      <c r="B64" s="445" t="s">
        <v>1239</v>
      </c>
      <c r="C64" s="445">
        <f>4*$C$4</f>
        <v>0</v>
      </c>
      <c r="D64" s="445">
        <v>85</v>
      </c>
      <c r="E64" s="445">
        <f>C64*D64</f>
        <v>0</v>
      </c>
    </row>
    <row r="65" spans="2:5" x14ac:dyDescent="0.4">
      <c r="B65" s="445" t="s">
        <v>1240</v>
      </c>
      <c r="C65" s="445">
        <f>4*$C$4</f>
        <v>0</v>
      </c>
      <c r="D65" s="445">
        <v>85</v>
      </c>
      <c r="E65" s="445">
        <f>C65*D65</f>
        <v>0</v>
      </c>
    </row>
    <row r="67" spans="2:5" ht="20.149999999999999" x14ac:dyDescent="0.5">
      <c r="B67" s="310" t="s">
        <v>849</v>
      </c>
    </row>
    <row r="68" spans="2:5" x14ac:dyDescent="0.4">
      <c r="B68" s="333" t="s">
        <v>797</v>
      </c>
      <c r="C68" s="334">
        <v>0</v>
      </c>
      <c r="D68" s="335"/>
      <c r="E68" s="308">
        <f>C68*$C$3</f>
        <v>0</v>
      </c>
    </row>
    <row r="69" spans="2:5" x14ac:dyDescent="0.4">
      <c r="B69" s="333" t="s">
        <v>801</v>
      </c>
      <c r="C69" s="334">
        <v>0</v>
      </c>
      <c r="D69" s="335"/>
      <c r="E69" s="308">
        <f>C69*$C$3*C1</f>
        <v>0</v>
      </c>
    </row>
    <row r="70" spans="2:5" x14ac:dyDescent="0.4">
      <c r="B70" s="335"/>
      <c r="C70" s="335"/>
      <c r="D70" s="335"/>
      <c r="E70" s="334"/>
    </row>
    <row r="71" spans="2:5" x14ac:dyDescent="0.4">
      <c r="B71" s="333" t="s">
        <v>743</v>
      </c>
      <c r="C71" s="335">
        <f>'Job Summary'!E1</f>
        <v>0</v>
      </c>
      <c r="D71" s="335"/>
      <c r="E71" s="334"/>
    </row>
    <row r="72" spans="2:5" x14ac:dyDescent="0.4">
      <c r="B72" s="333" t="s">
        <v>794</v>
      </c>
      <c r="C72" s="336">
        <v>0</v>
      </c>
      <c r="D72" s="335"/>
      <c r="E72" s="334"/>
    </row>
    <row r="73" spans="2:5" x14ac:dyDescent="0.4">
      <c r="B73" s="309" t="s">
        <v>795</v>
      </c>
      <c r="C73" s="308">
        <f>C72*O3</f>
        <v>0</v>
      </c>
      <c r="D73" s="309" t="s">
        <v>795</v>
      </c>
      <c r="E73" s="308">
        <f t="shared" ref="E73:E77" si="27">C73*$C$3</f>
        <v>0</v>
      </c>
    </row>
    <row r="74" spans="2:5" x14ac:dyDescent="0.4">
      <c r="B74" s="335"/>
      <c r="C74" s="335"/>
      <c r="D74" s="335"/>
      <c r="E74" s="334"/>
    </row>
    <row r="75" spans="2:5" x14ac:dyDescent="0.4">
      <c r="B75" s="333" t="str">
        <f>L4</f>
        <v>Gas (0ppm)</v>
      </c>
      <c r="C75" s="334">
        <f>M4*O4*C1</f>
        <v>0</v>
      </c>
      <c r="D75" s="335"/>
      <c r="E75" s="308">
        <f t="shared" si="27"/>
        <v>0</v>
      </c>
    </row>
    <row r="76" spans="2:5" x14ac:dyDescent="0.4">
      <c r="B76" s="333" t="str">
        <f>L5</f>
        <v>Gas (50ppm)</v>
      </c>
      <c r="C76" s="334">
        <f>M5*O5*C1</f>
        <v>0</v>
      </c>
      <c r="D76" s="335"/>
      <c r="E76" s="308">
        <f t="shared" si="27"/>
        <v>0</v>
      </c>
    </row>
    <row r="77" spans="2:5" x14ac:dyDescent="0.4">
      <c r="B77" s="309" t="s">
        <v>717</v>
      </c>
      <c r="C77" s="308">
        <f>C76+C75</f>
        <v>0</v>
      </c>
      <c r="D77" s="309" t="s">
        <v>717</v>
      </c>
      <c r="E77" s="308">
        <f t="shared" si="27"/>
        <v>0</v>
      </c>
    </row>
    <row r="78" spans="2:5" x14ac:dyDescent="0.4">
      <c r="B78" s="333"/>
      <c r="C78" s="335"/>
      <c r="D78" s="335"/>
      <c r="E78" s="334"/>
    </row>
    <row r="79" spans="2:5" x14ac:dyDescent="0.4">
      <c r="B79" s="336" t="s">
        <v>851</v>
      </c>
      <c r="C79" s="336">
        <f>M7*A1</f>
        <v>0</v>
      </c>
      <c r="D79" s="336">
        <f>IF($C$3&gt;0,C79, 0)</f>
        <v>0</v>
      </c>
      <c r="E79" s="308">
        <f>D79*O7</f>
        <v>0</v>
      </c>
    </row>
    <row r="80" spans="2:5" x14ac:dyDescent="0.4">
      <c r="B80" s="336" t="s">
        <v>803</v>
      </c>
      <c r="C80" s="336">
        <f>M8*A1</f>
        <v>0</v>
      </c>
      <c r="D80" s="336">
        <f t="shared" ref="D80:D81" si="28">C80*$C$3</f>
        <v>0</v>
      </c>
      <c r="E80" s="308">
        <f>D80*O8</f>
        <v>0</v>
      </c>
    </row>
    <row r="81" spans="2:5" x14ac:dyDescent="0.4">
      <c r="B81" s="336" t="s">
        <v>850</v>
      </c>
      <c r="C81" s="336">
        <f>C1*M6</f>
        <v>0</v>
      </c>
      <c r="D81" s="336">
        <f t="shared" si="28"/>
        <v>0</v>
      </c>
      <c r="E81" s="308">
        <f>D81*O6</f>
        <v>0</v>
      </c>
    </row>
    <row r="82" spans="2:5" x14ac:dyDescent="0.4">
      <c r="B82" s="309" t="s">
        <v>716</v>
      </c>
      <c r="C82" s="345">
        <f>SUM(C79:C81)</f>
        <v>0</v>
      </c>
      <c r="D82" s="345">
        <f>SUM(D79:D81)</f>
        <v>0</v>
      </c>
      <c r="E82" s="308">
        <f>SUM(E79:E81)</f>
        <v>0</v>
      </c>
    </row>
    <row r="84" spans="2:5" ht="20.149999999999999" x14ac:dyDescent="0.5">
      <c r="B84" s="310" t="s">
        <v>890</v>
      </c>
    </row>
    <row r="85" spans="2:5" x14ac:dyDescent="0.4">
      <c r="B85" s="309" t="s">
        <v>717</v>
      </c>
      <c r="C85" s="308" t="s">
        <v>895</v>
      </c>
      <c r="D85" s="309" t="s">
        <v>896</v>
      </c>
      <c r="E85" s="347">
        <f>SUM(E86:E87)</f>
        <v>0</v>
      </c>
    </row>
    <row r="86" spans="2:5" x14ac:dyDescent="0.4">
      <c r="B86" s="337" t="str">
        <f t="shared" ref="B86:D87" si="29">M40</f>
        <v>Enclosure Steel 400 x 300 x 150</v>
      </c>
      <c r="C86" s="346">
        <f t="shared" si="29"/>
        <v>0</v>
      </c>
      <c r="D86" s="337">
        <f t="shared" si="29"/>
        <v>154</v>
      </c>
      <c r="E86" s="337">
        <f>C86*D86</f>
        <v>0</v>
      </c>
    </row>
    <row r="87" spans="2:5" x14ac:dyDescent="0.4">
      <c r="B87" s="337" t="str">
        <f t="shared" si="29"/>
        <v>Clear Perspex – Red Paint</v>
      </c>
      <c r="C87" s="346">
        <f t="shared" si="29"/>
        <v>0</v>
      </c>
      <c r="D87" s="337">
        <f t="shared" si="29"/>
        <v>200</v>
      </c>
      <c r="E87" s="337">
        <f>C87*D87</f>
        <v>0</v>
      </c>
    </row>
    <row r="88" spans="2:5" x14ac:dyDescent="0.4">
      <c r="B88" s="309" t="s">
        <v>716</v>
      </c>
      <c r="C88" s="308" t="s">
        <v>716</v>
      </c>
      <c r="D88" s="309"/>
      <c r="E88" s="309" t="s">
        <v>353</v>
      </c>
    </row>
    <row r="89" spans="2:5" x14ac:dyDescent="0.4">
      <c r="B89" s="337" t="str">
        <f>M42</f>
        <v>Assemble Fire AO Panel</v>
      </c>
      <c r="C89" s="346">
        <f>N42</f>
        <v>0</v>
      </c>
      <c r="D89" s="337">
        <f>O42</f>
        <v>85</v>
      </c>
      <c r="E89" s="337">
        <f>D89*C89</f>
        <v>0</v>
      </c>
    </row>
  </sheetData>
  <mergeCells count="2">
    <mergeCell ref="C14:E14"/>
    <mergeCell ref="C33:E33"/>
  </mergeCells>
  <conditionalFormatting sqref="Y19">
    <cfRule type="expression" dxfId="137" priority="4">
      <formula>IF(ROW() = ROW(), TRUE, FALSE)</formula>
    </cfRule>
  </conditionalFormatting>
  <conditionalFormatting sqref="Y32">
    <cfRule type="expression" dxfId="136" priority="34">
      <formula>RIGHT(Y32,2)="  "</formula>
    </cfRule>
    <cfRule type="expression" dxfId="135" priority="35">
      <formula>RIGHT(Y32,1)=" "</formula>
    </cfRule>
  </conditionalFormatting>
  <conditionalFormatting sqref="Y32">
    <cfRule type="expression" dxfId="134" priority="33">
      <formula>IF(ROW() = ROW(), TRUE, FALSE)</formula>
    </cfRule>
  </conditionalFormatting>
  <conditionalFormatting sqref="Y33">
    <cfRule type="expression" dxfId="133" priority="31">
      <formula>RIGHT(Y33,2)="  "</formula>
    </cfRule>
    <cfRule type="expression" dxfId="132" priority="32">
      <formula>RIGHT(Y33,1)=" "</formula>
    </cfRule>
  </conditionalFormatting>
  <conditionalFormatting sqref="Y33">
    <cfRule type="expression" dxfId="131" priority="30">
      <formula>IF(ROW() = ROW(), TRUE, FALSE)</formula>
    </cfRule>
  </conditionalFormatting>
  <conditionalFormatting sqref="Y34">
    <cfRule type="expression" dxfId="130" priority="28">
      <formula>RIGHT(Y34,2)="  "</formula>
    </cfRule>
    <cfRule type="expression" dxfId="129" priority="29">
      <formula>RIGHT(Y34,1)=" "</formula>
    </cfRule>
  </conditionalFormatting>
  <conditionalFormatting sqref="Y34">
    <cfRule type="expression" dxfId="128" priority="27">
      <formula>IF(ROW() = ROW(), TRUE, FALSE)</formula>
    </cfRule>
  </conditionalFormatting>
  <conditionalFormatting sqref="Y35">
    <cfRule type="expression" dxfId="127" priority="25">
      <formula>RIGHT(Y35,2)="  "</formula>
    </cfRule>
    <cfRule type="expression" dxfId="126" priority="26">
      <formula>RIGHT(Y35,1)=" "</formula>
    </cfRule>
  </conditionalFormatting>
  <conditionalFormatting sqref="Y35">
    <cfRule type="expression" dxfId="125" priority="24">
      <formula>IF(ROW() = ROW(), TRUE, FALSE)</formula>
    </cfRule>
  </conditionalFormatting>
  <conditionalFormatting sqref="Y36:Y41">
    <cfRule type="expression" dxfId="124" priority="22">
      <formula>RIGHT(Y36,2)="  "</formula>
    </cfRule>
    <cfRule type="expression" dxfId="123" priority="23">
      <formula>RIGHT(Y36,1)=" "</formula>
    </cfRule>
  </conditionalFormatting>
  <conditionalFormatting sqref="Y36:Y41">
    <cfRule type="expression" dxfId="122" priority="21">
      <formula>IF(ROW() = ROW(), TRUE, FALSE)</formula>
    </cfRule>
  </conditionalFormatting>
  <conditionalFormatting sqref="Y42:Y45">
    <cfRule type="expression" dxfId="121" priority="19">
      <formula>RIGHT(Y42,2)="  "</formula>
    </cfRule>
    <cfRule type="expression" dxfId="120" priority="20">
      <formula>RIGHT(Y42,1)=" "</formula>
    </cfRule>
  </conditionalFormatting>
  <conditionalFormatting sqref="Y42:Y45">
    <cfRule type="expression" dxfId="119" priority="18">
      <formula>IF(ROW() = ROW(), TRUE, FALSE)</formula>
    </cfRule>
  </conditionalFormatting>
  <conditionalFormatting sqref="Z32:Z33">
    <cfRule type="expression" dxfId="118" priority="17">
      <formula>IF(ROW() = ROW(), TRUE, FALSE)</formula>
    </cfRule>
  </conditionalFormatting>
  <conditionalFormatting sqref="Z35">
    <cfRule type="expression" dxfId="117" priority="16">
      <formula>IF(ROW() = ROW(), TRUE, FALSE)</formula>
    </cfRule>
  </conditionalFormatting>
  <conditionalFormatting sqref="Z36:Z41">
    <cfRule type="expression" dxfId="116" priority="15">
      <formula>IF(ROW() = ROW(), TRUE, FALSE)</formula>
    </cfRule>
  </conditionalFormatting>
  <conditionalFormatting sqref="Z45">
    <cfRule type="expression" dxfId="115" priority="14">
      <formula>IF(ROW() = ROW(), TRUE, FALSE)</formula>
    </cfRule>
  </conditionalFormatting>
  <conditionalFormatting sqref="AA34">
    <cfRule type="expression" dxfId="114" priority="13">
      <formula>IF(ROW() = ROW(), TRUE, FALSE)</formula>
    </cfRule>
  </conditionalFormatting>
  <conditionalFormatting sqref="AB33">
    <cfRule type="expression" dxfId="113" priority="12">
      <formula>IF(ROW() = ROW(), TRUE, FALSE)</formula>
    </cfRule>
  </conditionalFormatting>
  <conditionalFormatting sqref="AA36">
    <cfRule type="expression" dxfId="112" priority="11">
      <formula>IF(ROW() = ROW(), TRUE, FALSE)</formula>
    </cfRule>
  </conditionalFormatting>
  <conditionalFormatting sqref="AB37">
    <cfRule type="expression" dxfId="111" priority="10">
      <formula>IF(ROW() = ROW(), TRUE, FALSE)</formula>
    </cfRule>
  </conditionalFormatting>
  <conditionalFormatting sqref="AB39">
    <cfRule type="expression" dxfId="110" priority="9">
      <formula>IF(ROW() = ROW(), TRUE, FALSE)</formula>
    </cfRule>
  </conditionalFormatting>
  <conditionalFormatting sqref="AB38">
    <cfRule type="expression" dxfId="109" priority="8">
      <formula>IF(ROW() = ROW(), TRUE, FALSE)</formula>
    </cfRule>
  </conditionalFormatting>
  <conditionalFormatting sqref="AA40">
    <cfRule type="expression" dxfId="108" priority="7">
      <formula>IF(ROW() = ROW(), TRUE, FALSE)</formula>
    </cfRule>
  </conditionalFormatting>
  <conditionalFormatting sqref="AA41">
    <cfRule type="expression" dxfId="107" priority="6">
      <formula>IF(ROW() = ROW(), TRUE, FALSE)</formula>
    </cfRule>
  </conditionalFormatting>
  <conditionalFormatting sqref="AB42:AB44">
    <cfRule type="expression" dxfId="106" priority="5">
      <formula>IF(ROW() = ROW(), TRUE, FALSE)</formula>
    </cfRule>
  </conditionalFormatting>
  <dataValidations count="2">
    <dataValidation type="list" allowBlank="1" showInputMessage="1" showErrorMessage="1" sqref="C7:C12" xr:uid="{00000000-0002-0000-0600-000000000000}">
      <formula1>$A$2:$A$3</formula1>
    </dataValidation>
    <dataValidation type="list" allowBlank="1" showInputMessage="1" showErrorMessage="1" sqref="AB42:AB44 Z32:Z33 Z35 Z38:Z41 AA34 AB33 AA36 AB37:AB39 AA40:AA41" xr:uid="{0B251F32-A2C2-44F8-A5A6-12A757CD261F}">
      <formula1>#REF!</formula1>
    </dataValidation>
  </dataValidation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BEADEE-26C3-42AE-8EDD-737DBB80583A}">
  <dimension ref="A1:G137"/>
  <sheetViews>
    <sheetView workbookViewId="0">
      <pane ySplit="1" topLeftCell="A2" activePane="bottomLeft" state="frozen"/>
      <selection pane="bottomLeft"/>
    </sheetView>
  </sheetViews>
  <sheetFormatPr defaultRowHeight="14.6" x14ac:dyDescent="0.4"/>
  <cols>
    <col min="1" max="2" width="19.4609375" style="114" customWidth="1"/>
    <col min="3" max="3" width="16.69140625" style="423" customWidth="1"/>
    <col min="4" max="4" width="14.69140625" style="114" customWidth="1"/>
    <col min="5" max="5" width="11.53515625" style="114" customWidth="1"/>
    <col min="6" max="6" width="20" style="114" customWidth="1"/>
    <col min="7" max="7" width="19.4609375" style="114" customWidth="1"/>
    <col min="8" max="16384" width="9.23046875" style="114"/>
  </cols>
  <sheetData>
    <row r="1" spans="1:7" s="33" customFormat="1" x14ac:dyDescent="0.4">
      <c r="A1" s="33" t="s">
        <v>845</v>
      </c>
      <c r="B1" s="33" t="s">
        <v>1060</v>
      </c>
      <c r="C1" s="423" t="s">
        <v>933</v>
      </c>
      <c r="D1" s="33" t="s">
        <v>750</v>
      </c>
      <c r="E1" s="33" t="s">
        <v>904</v>
      </c>
      <c r="F1" s="33" t="s">
        <v>930</v>
      </c>
      <c r="G1" s="33" t="s">
        <v>743</v>
      </c>
    </row>
    <row r="2" spans="1:7" x14ac:dyDescent="0.4">
      <c r="A2" s="114" t="s">
        <v>999</v>
      </c>
      <c r="B2" s="114" t="s">
        <v>745</v>
      </c>
      <c r="C2" s="423">
        <v>19.8</v>
      </c>
      <c r="D2" s="114" t="s">
        <v>834</v>
      </c>
      <c r="E2" s="114">
        <v>0</v>
      </c>
      <c r="G2" s="114" t="s">
        <v>748</v>
      </c>
    </row>
    <row r="3" spans="1:7" x14ac:dyDescent="0.4">
      <c r="A3" s="114" t="s">
        <v>1040</v>
      </c>
      <c r="B3" s="114" t="s">
        <v>744</v>
      </c>
      <c r="C3" s="423">
        <v>46.46</v>
      </c>
      <c r="D3" s="114" t="s">
        <v>834</v>
      </c>
      <c r="E3" s="114">
        <v>0</v>
      </c>
      <c r="G3" s="114" t="s">
        <v>748</v>
      </c>
    </row>
    <row r="4" spans="1:7" x14ac:dyDescent="0.4">
      <c r="A4" s="114" t="s">
        <v>268</v>
      </c>
      <c r="C4" s="423">
        <v>0.85</v>
      </c>
      <c r="D4" s="114" t="s">
        <v>774</v>
      </c>
      <c r="E4" s="332">
        <v>0.1</v>
      </c>
    </row>
    <row r="5" spans="1:7" x14ac:dyDescent="0.4">
      <c r="A5" s="114" t="s">
        <v>304</v>
      </c>
      <c r="B5" s="114" t="s">
        <v>766</v>
      </c>
      <c r="C5" s="423">
        <v>57.95</v>
      </c>
      <c r="D5" s="114" t="s">
        <v>834</v>
      </c>
      <c r="E5" s="114">
        <v>1</v>
      </c>
      <c r="G5" s="114" t="s">
        <v>761</v>
      </c>
    </row>
    <row r="6" spans="1:7" x14ac:dyDescent="0.4">
      <c r="A6" s="114" t="s">
        <v>253</v>
      </c>
      <c r="B6" s="114" t="s">
        <v>757</v>
      </c>
      <c r="C6" s="423">
        <v>8.4499999999999993</v>
      </c>
      <c r="D6" s="114" t="s">
        <v>834</v>
      </c>
      <c r="E6" s="114">
        <v>0</v>
      </c>
      <c r="G6" s="114" t="s">
        <v>763</v>
      </c>
    </row>
    <row r="7" spans="1:7" x14ac:dyDescent="0.4">
      <c r="A7" s="114" t="s">
        <v>1041</v>
      </c>
      <c r="B7" s="114" t="s">
        <v>759</v>
      </c>
      <c r="C7" s="423">
        <v>43.44</v>
      </c>
      <c r="D7" s="114" t="s">
        <v>834</v>
      </c>
      <c r="E7" s="114">
        <v>0</v>
      </c>
      <c r="G7" s="114" t="s">
        <v>763</v>
      </c>
    </row>
    <row r="8" spans="1:7" x14ac:dyDescent="0.4">
      <c r="A8" s="114" t="s">
        <v>1001</v>
      </c>
      <c r="C8" s="423">
        <v>0</v>
      </c>
      <c r="E8" s="114">
        <v>1</v>
      </c>
    </row>
    <row r="9" spans="1:7" x14ac:dyDescent="0.4">
      <c r="A9" s="114" t="s">
        <v>1345</v>
      </c>
      <c r="B9" s="415" t="s">
        <v>779</v>
      </c>
      <c r="C9" s="423">
        <f>37.8 +
53.25</f>
        <v>91.05</v>
      </c>
    </row>
    <row r="10" spans="1:7" x14ac:dyDescent="0.4">
      <c r="A10" s="117" t="s">
        <v>326</v>
      </c>
      <c r="B10" s="114" t="s">
        <v>769</v>
      </c>
      <c r="C10" s="423">
        <v>24.2</v>
      </c>
      <c r="D10" s="114" t="s">
        <v>834</v>
      </c>
      <c r="G10" s="114" t="s">
        <v>768</v>
      </c>
    </row>
    <row r="11" spans="1:7" x14ac:dyDescent="0.4">
      <c r="A11" s="442" t="s">
        <v>588</v>
      </c>
      <c r="C11" s="423">
        <v>80</v>
      </c>
      <c r="E11" s="114">
        <v>2</v>
      </c>
    </row>
    <row r="12" spans="1:7" x14ac:dyDescent="0.4">
      <c r="A12" s="114" t="s">
        <v>669</v>
      </c>
      <c r="C12" s="423">
        <v>60</v>
      </c>
    </row>
    <row r="13" spans="1:7" x14ac:dyDescent="0.4">
      <c r="A13" s="114" t="s">
        <v>1004</v>
      </c>
      <c r="B13" s="114" t="s">
        <v>755</v>
      </c>
      <c r="C13" s="423">
        <v>16</v>
      </c>
      <c r="D13" s="114" t="s">
        <v>834</v>
      </c>
      <c r="G13" s="114" t="s">
        <v>754</v>
      </c>
    </row>
    <row r="14" spans="1:7" x14ac:dyDescent="0.4">
      <c r="A14" s="114" t="s">
        <v>418</v>
      </c>
      <c r="C14" s="423">
        <v>0.28000000000000003</v>
      </c>
      <c r="E14" s="114">
        <v>0.1</v>
      </c>
    </row>
    <row r="15" spans="1:7" x14ac:dyDescent="0.4">
      <c r="A15" s="114" t="s">
        <v>1005</v>
      </c>
      <c r="B15" s="114" t="s">
        <v>695</v>
      </c>
      <c r="C15" s="423">
        <v>360</v>
      </c>
    </row>
    <row r="16" spans="1:7" x14ac:dyDescent="0.4">
      <c r="A16" s="114" t="s">
        <v>986</v>
      </c>
      <c r="B16" s="114" t="s">
        <v>764</v>
      </c>
      <c r="C16" s="423">
        <v>307.2</v>
      </c>
    </row>
    <row r="17" spans="1:7" x14ac:dyDescent="0.4">
      <c r="A17" s="114" t="s">
        <v>1000</v>
      </c>
      <c r="C17" s="423">
        <v>60</v>
      </c>
      <c r="F17" s="282"/>
    </row>
    <row r="18" spans="1:7" x14ac:dyDescent="0.4">
      <c r="A18" s="135" t="s">
        <v>832</v>
      </c>
      <c r="B18" s="114" t="s">
        <v>1061</v>
      </c>
      <c r="C18" s="423">
        <v>23.4</v>
      </c>
    </row>
    <row r="19" spans="1:7" x14ac:dyDescent="0.4">
      <c r="A19" s="443" t="s">
        <v>697</v>
      </c>
      <c r="B19" s="114" t="s">
        <v>769</v>
      </c>
      <c r="C19" s="423">
        <v>24.2</v>
      </c>
      <c r="D19" s="114" t="s">
        <v>834</v>
      </c>
    </row>
    <row r="20" spans="1:7" x14ac:dyDescent="0.4">
      <c r="A20" s="443" t="s">
        <v>987</v>
      </c>
      <c r="C20" s="423">
        <v>60</v>
      </c>
      <c r="E20" s="114">
        <v>1</v>
      </c>
    </row>
    <row r="21" spans="1:7" x14ac:dyDescent="0.4">
      <c r="A21" s="443" t="s">
        <v>269</v>
      </c>
      <c r="C21" s="423">
        <v>1.056</v>
      </c>
      <c r="E21" s="114">
        <v>0.1</v>
      </c>
      <c r="F21" s="282"/>
    </row>
    <row r="22" spans="1:7" x14ac:dyDescent="0.4">
      <c r="A22" s="114" t="s">
        <v>301</v>
      </c>
      <c r="E22" s="114">
        <v>0.25</v>
      </c>
      <c r="F22" s="282"/>
    </row>
    <row r="23" spans="1:7" x14ac:dyDescent="0.4">
      <c r="A23" s="114" t="s">
        <v>239</v>
      </c>
      <c r="E23" s="114">
        <v>1</v>
      </c>
      <c r="F23" s="282"/>
    </row>
    <row r="24" spans="1:7" x14ac:dyDescent="0.4">
      <c r="A24" s="114" t="s">
        <v>1036</v>
      </c>
      <c r="E24" s="114">
        <v>0.5</v>
      </c>
      <c r="F24" s="282"/>
    </row>
    <row r="25" spans="1:7" x14ac:dyDescent="0.4">
      <c r="A25" s="443" t="s">
        <v>1019</v>
      </c>
      <c r="E25" s="114">
        <v>1</v>
      </c>
      <c r="F25" s="282"/>
    </row>
    <row r="26" spans="1:7" x14ac:dyDescent="0.4">
      <c r="A26" s="443" t="s">
        <v>1039</v>
      </c>
      <c r="E26" s="114">
        <v>1</v>
      </c>
      <c r="F26" s="282"/>
    </row>
    <row r="27" spans="1:7" x14ac:dyDescent="0.4">
      <c r="A27" s="114" t="s">
        <v>1237</v>
      </c>
      <c r="C27" s="423">
        <v>360</v>
      </c>
      <c r="F27" s="282"/>
    </row>
    <row r="28" spans="1:7" x14ac:dyDescent="0.4">
      <c r="A28" s="443" t="s">
        <v>1251</v>
      </c>
      <c r="B28" s="297" t="s">
        <v>787</v>
      </c>
      <c r="C28" s="423">
        <v>971.52</v>
      </c>
      <c r="F28" s="282"/>
    </row>
    <row r="29" spans="1:7" x14ac:dyDescent="0.4">
      <c r="A29" s="114" t="s">
        <v>1062</v>
      </c>
      <c r="B29" s="114" t="s">
        <v>961</v>
      </c>
      <c r="C29" s="423">
        <v>243.55</v>
      </c>
      <c r="D29" s="114" t="s">
        <v>834</v>
      </c>
      <c r="E29" s="114">
        <v>4</v>
      </c>
      <c r="G29" s="282"/>
    </row>
    <row r="30" spans="1:7" x14ac:dyDescent="0.4">
      <c r="A30" s="114" t="s">
        <v>1063</v>
      </c>
      <c r="B30" s="114" t="s">
        <v>746</v>
      </c>
      <c r="C30" s="423">
        <v>294.60000000000002</v>
      </c>
      <c r="D30" s="114" t="s">
        <v>834</v>
      </c>
      <c r="E30" s="114">
        <v>4</v>
      </c>
    </row>
    <row r="31" spans="1:7" x14ac:dyDescent="0.4">
      <c r="A31" s="114" t="s">
        <v>1064</v>
      </c>
      <c r="B31" s="114" t="s">
        <v>964</v>
      </c>
      <c r="C31" s="423">
        <v>488.25</v>
      </c>
      <c r="D31" s="114" t="s">
        <v>834</v>
      </c>
      <c r="E31" s="114">
        <v>4</v>
      </c>
      <c r="F31" s="282"/>
    </row>
    <row r="32" spans="1:7" x14ac:dyDescent="0.4">
      <c r="A32" s="114" t="s">
        <v>1065</v>
      </c>
      <c r="B32" s="114" t="s">
        <v>970</v>
      </c>
      <c r="C32" s="423">
        <v>700.9</v>
      </c>
      <c r="D32" s="114" t="s">
        <v>834</v>
      </c>
      <c r="E32" s="114">
        <v>4</v>
      </c>
    </row>
    <row r="33" spans="1:5" x14ac:dyDescent="0.4">
      <c r="A33" s="114" t="s">
        <v>1066</v>
      </c>
      <c r="B33" s="114" t="s">
        <v>971</v>
      </c>
      <c r="C33" s="423">
        <v>243.55</v>
      </c>
      <c r="D33" s="114" t="s">
        <v>834</v>
      </c>
      <c r="E33" s="114">
        <v>4</v>
      </c>
    </row>
    <row r="34" spans="1:5" x14ac:dyDescent="0.4">
      <c r="A34" s="114" t="s">
        <v>1067</v>
      </c>
      <c r="B34" s="114" t="s">
        <v>972</v>
      </c>
      <c r="C34" s="423">
        <v>356.4</v>
      </c>
      <c r="D34" s="114" t="s">
        <v>834</v>
      </c>
      <c r="E34" s="114">
        <v>4</v>
      </c>
    </row>
    <row r="35" spans="1:5" x14ac:dyDescent="0.4">
      <c r="A35" s="114" t="s">
        <v>1068</v>
      </c>
      <c r="B35" s="114" t="s">
        <v>973</v>
      </c>
      <c r="C35" s="423">
        <v>541.75</v>
      </c>
      <c r="D35" s="114" t="s">
        <v>834</v>
      </c>
      <c r="E35" s="114">
        <v>4</v>
      </c>
    </row>
    <row r="36" spans="1:5" x14ac:dyDescent="0.4">
      <c r="A36" s="114" t="s">
        <v>1069</v>
      </c>
      <c r="B36" s="114" t="s">
        <v>974</v>
      </c>
      <c r="C36" s="423">
        <v>651</v>
      </c>
      <c r="D36" s="114" t="s">
        <v>834</v>
      </c>
      <c r="E36" s="114">
        <v>4</v>
      </c>
    </row>
    <row r="37" spans="1:5" x14ac:dyDescent="0.4">
      <c r="A37" s="114" t="s">
        <v>1070</v>
      </c>
      <c r="B37" s="114" t="s">
        <v>970</v>
      </c>
      <c r="C37" s="423">
        <v>700.9</v>
      </c>
      <c r="D37" s="114" t="s">
        <v>834</v>
      </c>
      <c r="E37" s="114">
        <v>4</v>
      </c>
    </row>
    <row r="38" spans="1:5" x14ac:dyDescent="0.4">
      <c r="A38" s="114" t="s">
        <v>1071</v>
      </c>
      <c r="B38" s="114" t="s">
        <v>1072</v>
      </c>
      <c r="C38" s="423">
        <v>999999</v>
      </c>
      <c r="D38" s="114" t="s">
        <v>1073</v>
      </c>
      <c r="E38" s="114">
        <v>999999</v>
      </c>
    </row>
    <row r="39" spans="1:5" x14ac:dyDescent="0.4">
      <c r="A39" s="114" t="s">
        <v>1074</v>
      </c>
      <c r="B39" s="114" t="s">
        <v>1075</v>
      </c>
      <c r="C39" s="423">
        <v>999999</v>
      </c>
      <c r="D39" s="114" t="s">
        <v>1073</v>
      </c>
      <c r="E39" s="114">
        <v>999999</v>
      </c>
    </row>
    <row r="40" spans="1:5" x14ac:dyDescent="0.4">
      <c r="A40" s="114" t="s">
        <v>1076</v>
      </c>
      <c r="B40" s="114" t="s">
        <v>1077</v>
      </c>
      <c r="C40" s="423">
        <v>999999</v>
      </c>
      <c r="D40" s="114" t="s">
        <v>1073</v>
      </c>
      <c r="E40" s="114">
        <v>999999</v>
      </c>
    </row>
    <row r="41" spans="1:5" x14ac:dyDescent="0.4">
      <c r="A41" s="114" t="s">
        <v>1078</v>
      </c>
      <c r="B41" s="114" t="s">
        <v>1079</v>
      </c>
      <c r="C41" s="423">
        <v>999999</v>
      </c>
      <c r="D41" s="114" t="s">
        <v>1073</v>
      </c>
      <c r="E41" s="114">
        <v>999999</v>
      </c>
    </row>
    <row r="42" spans="1:5" x14ac:dyDescent="0.4">
      <c r="A42" s="114" t="s">
        <v>1080</v>
      </c>
      <c r="B42" s="114" t="s">
        <v>1081</v>
      </c>
      <c r="C42" s="423">
        <v>999999</v>
      </c>
      <c r="D42" s="114" t="s">
        <v>1073</v>
      </c>
      <c r="E42" s="114">
        <v>999999</v>
      </c>
    </row>
    <row r="43" spans="1:5" x14ac:dyDescent="0.4">
      <c r="A43" s="114" t="s">
        <v>1082</v>
      </c>
      <c r="B43" s="114" t="s">
        <v>1083</v>
      </c>
      <c r="C43" s="423">
        <v>999999</v>
      </c>
      <c r="D43" s="114" t="s">
        <v>1073</v>
      </c>
      <c r="E43" s="114">
        <v>999999</v>
      </c>
    </row>
    <row r="44" spans="1:5" x14ac:dyDescent="0.4">
      <c r="A44" s="114" t="s">
        <v>1084</v>
      </c>
      <c r="B44" s="114" t="s">
        <v>1085</v>
      </c>
      <c r="C44" s="423">
        <v>999999</v>
      </c>
      <c r="D44" s="114" t="s">
        <v>1073</v>
      </c>
      <c r="E44" s="114">
        <v>999999</v>
      </c>
    </row>
    <row r="45" spans="1:5" x14ac:dyDescent="0.4">
      <c r="A45" s="114" t="s">
        <v>1086</v>
      </c>
      <c r="B45" s="114" t="s">
        <v>1087</v>
      </c>
      <c r="C45" s="423">
        <v>999999</v>
      </c>
      <c r="D45" s="114" t="s">
        <v>1073</v>
      </c>
      <c r="E45" s="114">
        <v>999999</v>
      </c>
    </row>
    <row r="46" spans="1:5" x14ac:dyDescent="0.4">
      <c r="A46" s="114" t="s">
        <v>1088</v>
      </c>
      <c r="B46" s="114" t="s">
        <v>1089</v>
      </c>
      <c r="C46" s="423">
        <v>999999</v>
      </c>
      <c r="D46" s="114" t="s">
        <v>1073</v>
      </c>
      <c r="E46" s="114">
        <v>999999</v>
      </c>
    </row>
    <row r="47" spans="1:5" x14ac:dyDescent="0.4">
      <c r="A47" s="114" t="s">
        <v>1090</v>
      </c>
      <c r="B47" s="114" t="s">
        <v>1091</v>
      </c>
      <c r="C47" s="423">
        <v>999999</v>
      </c>
      <c r="D47" s="114" t="s">
        <v>1073</v>
      </c>
      <c r="E47" s="114">
        <v>999999</v>
      </c>
    </row>
    <row r="48" spans="1:5" x14ac:dyDescent="0.4">
      <c r="A48" s="114" t="s">
        <v>1092</v>
      </c>
      <c r="B48" s="114" t="s">
        <v>1093</v>
      </c>
      <c r="C48" s="423">
        <v>999999</v>
      </c>
      <c r="D48" s="114" t="s">
        <v>1073</v>
      </c>
      <c r="E48" s="114">
        <v>999999</v>
      </c>
    </row>
    <row r="49" spans="1:5" x14ac:dyDescent="0.4">
      <c r="A49" s="114" t="s">
        <v>1094</v>
      </c>
      <c r="B49" s="114" t="s">
        <v>1095</v>
      </c>
      <c r="C49" s="423">
        <v>999999</v>
      </c>
      <c r="D49" s="114" t="s">
        <v>1073</v>
      </c>
      <c r="E49" s="114">
        <v>999999</v>
      </c>
    </row>
    <row r="50" spans="1:5" x14ac:dyDescent="0.4">
      <c r="A50" s="114" t="s">
        <v>1096</v>
      </c>
      <c r="B50" s="114" t="s">
        <v>1097</v>
      </c>
      <c r="C50" s="423">
        <v>999999</v>
      </c>
      <c r="D50" s="114" t="s">
        <v>1073</v>
      </c>
      <c r="E50" s="114">
        <v>999999</v>
      </c>
    </row>
    <row r="51" spans="1:5" x14ac:dyDescent="0.4">
      <c r="A51" s="114" t="s">
        <v>1098</v>
      </c>
      <c r="B51" s="114" t="s">
        <v>1099</v>
      </c>
      <c r="C51" s="423">
        <v>999999</v>
      </c>
      <c r="D51" s="114" t="s">
        <v>1073</v>
      </c>
      <c r="E51" s="114">
        <v>999999</v>
      </c>
    </row>
    <row r="52" spans="1:5" x14ac:dyDescent="0.4">
      <c r="A52" s="114" t="s">
        <v>1100</v>
      </c>
      <c r="B52" s="114" t="s">
        <v>1101</v>
      </c>
      <c r="C52" s="423">
        <v>999999</v>
      </c>
      <c r="D52" s="114" t="s">
        <v>1073</v>
      </c>
      <c r="E52" s="114">
        <v>999999</v>
      </c>
    </row>
    <row r="53" spans="1:5" x14ac:dyDescent="0.4">
      <c r="A53" s="114" t="s">
        <v>1102</v>
      </c>
      <c r="B53" s="114" t="s">
        <v>1103</v>
      </c>
      <c r="C53" s="423">
        <v>999999</v>
      </c>
      <c r="D53" s="114" t="s">
        <v>1073</v>
      </c>
      <c r="E53" s="114">
        <v>999999</v>
      </c>
    </row>
    <row r="54" spans="1:5" x14ac:dyDescent="0.4">
      <c r="A54" s="114" t="s">
        <v>1104</v>
      </c>
      <c r="B54" s="114" t="s">
        <v>1105</v>
      </c>
      <c r="C54" s="423">
        <v>999999</v>
      </c>
      <c r="D54" s="114" t="s">
        <v>1073</v>
      </c>
      <c r="E54" s="114">
        <v>999999</v>
      </c>
    </row>
    <row r="55" spans="1:5" x14ac:dyDescent="0.4">
      <c r="A55" s="114" t="s">
        <v>1106</v>
      </c>
      <c r="B55" s="114" t="s">
        <v>1107</v>
      </c>
      <c r="C55" s="423">
        <v>999999</v>
      </c>
      <c r="D55" s="114" t="s">
        <v>1073</v>
      </c>
      <c r="E55" s="114">
        <v>999999</v>
      </c>
    </row>
    <row r="56" spans="1:5" x14ac:dyDescent="0.4">
      <c r="A56" s="114" t="s">
        <v>1108</v>
      </c>
      <c r="B56" s="114" t="s">
        <v>1109</v>
      </c>
      <c r="C56" s="423">
        <v>999999</v>
      </c>
      <c r="D56" s="114" t="s">
        <v>1073</v>
      </c>
      <c r="E56" s="114">
        <v>999999</v>
      </c>
    </row>
    <row r="57" spans="1:5" x14ac:dyDescent="0.4">
      <c r="A57" s="114" t="s">
        <v>1110</v>
      </c>
      <c r="B57" s="114" t="s">
        <v>1111</v>
      </c>
      <c r="C57" s="423">
        <v>999999</v>
      </c>
      <c r="D57" s="114" t="s">
        <v>1073</v>
      </c>
      <c r="E57" s="114">
        <v>999999</v>
      </c>
    </row>
    <row r="58" spans="1:5" x14ac:dyDescent="0.4">
      <c r="A58" s="114" t="s">
        <v>1112</v>
      </c>
      <c r="B58" s="114" t="s">
        <v>1113</v>
      </c>
      <c r="C58" s="423">
        <v>999999</v>
      </c>
      <c r="D58" s="114" t="s">
        <v>1073</v>
      </c>
      <c r="E58" s="114">
        <v>999999</v>
      </c>
    </row>
    <row r="59" spans="1:5" x14ac:dyDescent="0.4">
      <c r="A59" s="114" t="s">
        <v>1114</v>
      </c>
      <c r="B59" s="114" t="s">
        <v>1115</v>
      </c>
      <c r="C59" s="423">
        <v>999999</v>
      </c>
      <c r="D59" s="114" t="s">
        <v>1073</v>
      </c>
      <c r="E59" s="114">
        <v>999999</v>
      </c>
    </row>
    <row r="60" spans="1:5" x14ac:dyDescent="0.4">
      <c r="A60" s="114" t="s">
        <v>1116</v>
      </c>
      <c r="B60" s="114" t="s">
        <v>1117</v>
      </c>
      <c r="C60" s="423">
        <v>999999</v>
      </c>
      <c r="D60" s="114" t="s">
        <v>1073</v>
      </c>
      <c r="E60" s="114">
        <v>999999</v>
      </c>
    </row>
    <row r="61" spans="1:5" x14ac:dyDescent="0.4">
      <c r="A61" s="114" t="s">
        <v>1118</v>
      </c>
      <c r="B61" s="114" t="s">
        <v>1119</v>
      </c>
      <c r="C61" s="423">
        <v>999999</v>
      </c>
      <c r="D61" s="114" t="s">
        <v>1073</v>
      </c>
      <c r="E61" s="114">
        <v>999999</v>
      </c>
    </row>
    <row r="62" spans="1:5" x14ac:dyDescent="0.4">
      <c r="A62" s="114" t="s">
        <v>1120</v>
      </c>
      <c r="B62" s="114" t="s">
        <v>1121</v>
      </c>
      <c r="C62" s="423">
        <v>999999</v>
      </c>
      <c r="D62" s="114" t="s">
        <v>1073</v>
      </c>
      <c r="E62" s="114">
        <v>999999</v>
      </c>
    </row>
    <row r="63" spans="1:5" x14ac:dyDescent="0.4">
      <c r="A63" s="114" t="s">
        <v>1122</v>
      </c>
      <c r="B63" s="114" t="s">
        <v>1123</v>
      </c>
      <c r="C63" s="423">
        <v>999999</v>
      </c>
      <c r="D63" s="114" t="s">
        <v>1073</v>
      </c>
      <c r="E63" s="114">
        <v>999999</v>
      </c>
    </row>
    <row r="64" spans="1:5" x14ac:dyDescent="0.4">
      <c r="A64" s="114" t="s">
        <v>1124</v>
      </c>
      <c r="B64" s="114" t="s">
        <v>1125</v>
      </c>
      <c r="C64" s="423">
        <v>999999</v>
      </c>
      <c r="D64" s="114" t="s">
        <v>1073</v>
      </c>
      <c r="E64" s="114">
        <v>999999</v>
      </c>
    </row>
    <row r="65" spans="1:5" x14ac:dyDescent="0.4">
      <c r="A65" s="114" t="s">
        <v>1126</v>
      </c>
      <c r="B65" s="114" t="s">
        <v>1127</v>
      </c>
      <c r="C65" s="423">
        <v>999999</v>
      </c>
      <c r="D65" s="114" t="s">
        <v>1073</v>
      </c>
      <c r="E65" s="114">
        <v>999999</v>
      </c>
    </row>
    <row r="66" spans="1:5" x14ac:dyDescent="0.4">
      <c r="A66" s="114" t="s">
        <v>1128</v>
      </c>
      <c r="B66" s="114" t="s">
        <v>1129</v>
      </c>
      <c r="C66" s="423">
        <v>999999</v>
      </c>
      <c r="D66" s="114" t="s">
        <v>1073</v>
      </c>
      <c r="E66" s="114">
        <v>999999</v>
      </c>
    </row>
    <row r="67" spans="1:5" x14ac:dyDescent="0.4">
      <c r="A67" s="114" t="s">
        <v>1130</v>
      </c>
      <c r="B67" s="114" t="s">
        <v>1131</v>
      </c>
      <c r="C67" s="423">
        <v>999999</v>
      </c>
      <c r="D67" s="114" t="s">
        <v>1073</v>
      </c>
      <c r="E67" s="114">
        <v>999999</v>
      </c>
    </row>
    <row r="68" spans="1:5" x14ac:dyDescent="0.4">
      <c r="A68" s="114" t="s">
        <v>1132</v>
      </c>
      <c r="B68" s="114" t="s">
        <v>1133</v>
      </c>
      <c r="C68" s="423">
        <v>999999</v>
      </c>
      <c r="D68" s="114" t="s">
        <v>1073</v>
      </c>
      <c r="E68" s="114">
        <v>999999</v>
      </c>
    </row>
    <row r="69" spans="1:5" x14ac:dyDescent="0.4">
      <c r="A69" s="114" t="s">
        <v>1134</v>
      </c>
      <c r="B69" s="114" t="s">
        <v>1135</v>
      </c>
      <c r="C69" s="423">
        <v>999999</v>
      </c>
      <c r="D69" s="114" t="s">
        <v>1073</v>
      </c>
      <c r="E69" s="114">
        <v>999999</v>
      </c>
    </row>
    <row r="70" spans="1:5" x14ac:dyDescent="0.4">
      <c r="A70" s="114" t="s">
        <v>1136</v>
      </c>
      <c r="B70" s="114" t="s">
        <v>1137</v>
      </c>
      <c r="C70" s="423">
        <v>999999</v>
      </c>
      <c r="D70" s="114" t="s">
        <v>1073</v>
      </c>
      <c r="E70" s="114">
        <v>999999</v>
      </c>
    </row>
    <row r="71" spans="1:5" x14ac:dyDescent="0.4">
      <c r="A71" s="114" t="s">
        <v>1138</v>
      </c>
      <c r="B71" s="114" t="s">
        <v>1139</v>
      </c>
      <c r="C71" s="423">
        <v>999999</v>
      </c>
      <c r="D71" s="114" t="s">
        <v>1073</v>
      </c>
      <c r="E71" s="114">
        <v>999999</v>
      </c>
    </row>
    <row r="72" spans="1:5" x14ac:dyDescent="0.4">
      <c r="A72" s="114" t="s">
        <v>1140</v>
      </c>
      <c r="B72" s="114" t="s">
        <v>1141</v>
      </c>
      <c r="C72" s="423">
        <v>999999</v>
      </c>
      <c r="D72" s="114" t="s">
        <v>1073</v>
      </c>
      <c r="E72" s="114">
        <v>999999</v>
      </c>
    </row>
    <row r="73" spans="1:5" x14ac:dyDescent="0.4">
      <c r="A73" s="114" t="s">
        <v>1142</v>
      </c>
      <c r="B73" s="114" t="s">
        <v>1143</v>
      </c>
      <c r="C73" s="423">
        <v>999999</v>
      </c>
      <c r="D73" s="114" t="s">
        <v>1073</v>
      </c>
      <c r="E73" s="114">
        <v>999999</v>
      </c>
    </row>
    <row r="74" spans="1:5" x14ac:dyDescent="0.4">
      <c r="A74" s="114" t="s">
        <v>1144</v>
      </c>
      <c r="B74" s="114" t="s">
        <v>1145</v>
      </c>
      <c r="C74" s="423">
        <v>999999</v>
      </c>
      <c r="D74" s="114" t="s">
        <v>1073</v>
      </c>
      <c r="E74" s="114">
        <v>999999</v>
      </c>
    </row>
    <row r="75" spans="1:5" x14ac:dyDescent="0.4">
      <c r="A75" s="114" t="s">
        <v>1146</v>
      </c>
      <c r="B75" s="114" t="s">
        <v>1147</v>
      </c>
      <c r="C75" s="423">
        <v>999999</v>
      </c>
      <c r="D75" s="114" t="s">
        <v>1073</v>
      </c>
      <c r="E75" s="114">
        <v>999999</v>
      </c>
    </row>
    <row r="76" spans="1:5" x14ac:dyDescent="0.4">
      <c r="A76" s="114" t="s">
        <v>1148</v>
      </c>
      <c r="B76" s="114" t="s">
        <v>1149</v>
      </c>
      <c r="C76" s="423">
        <v>999999</v>
      </c>
      <c r="D76" s="114" t="s">
        <v>1073</v>
      </c>
      <c r="E76" s="114">
        <v>999999</v>
      </c>
    </row>
    <row r="77" spans="1:5" x14ac:dyDescent="0.4">
      <c r="A77" s="114" t="s">
        <v>1150</v>
      </c>
      <c r="B77" s="114" t="s">
        <v>1151</v>
      </c>
      <c r="C77" s="423">
        <v>999999</v>
      </c>
      <c r="D77" s="114" t="s">
        <v>1073</v>
      </c>
      <c r="E77" s="114">
        <v>999999</v>
      </c>
    </row>
    <row r="78" spans="1:5" x14ac:dyDescent="0.4">
      <c r="A78" s="114" t="s">
        <v>1152</v>
      </c>
      <c r="B78" s="114" t="s">
        <v>1153</v>
      </c>
      <c r="C78" s="423">
        <v>999999</v>
      </c>
      <c r="D78" s="114" t="s">
        <v>1073</v>
      </c>
      <c r="E78" s="114">
        <v>999999</v>
      </c>
    </row>
    <row r="79" spans="1:5" x14ac:dyDescent="0.4">
      <c r="A79" s="114" t="s">
        <v>1154</v>
      </c>
      <c r="B79" s="114" t="s">
        <v>1155</v>
      </c>
      <c r="C79" s="423">
        <v>999999</v>
      </c>
      <c r="D79" s="114" t="s">
        <v>1073</v>
      </c>
      <c r="E79" s="114">
        <v>999999</v>
      </c>
    </row>
    <row r="80" spans="1:5" x14ac:dyDescent="0.4">
      <c r="A80" s="114" t="s">
        <v>1156</v>
      </c>
      <c r="B80" s="114" t="s">
        <v>1157</v>
      </c>
      <c r="C80" s="423">
        <v>999999</v>
      </c>
      <c r="D80" s="114" t="s">
        <v>1073</v>
      </c>
      <c r="E80" s="114">
        <v>999999</v>
      </c>
    </row>
    <row r="81" spans="1:5" x14ac:dyDescent="0.4">
      <c r="A81" s="114" t="s">
        <v>1158</v>
      </c>
      <c r="B81" s="114" t="s">
        <v>1159</v>
      </c>
      <c r="C81" s="423">
        <v>999999</v>
      </c>
      <c r="D81" s="114" t="s">
        <v>1073</v>
      </c>
      <c r="E81" s="114">
        <v>999999</v>
      </c>
    </row>
    <row r="82" spans="1:5" x14ac:dyDescent="0.4">
      <c r="A82" s="114" t="s">
        <v>1160</v>
      </c>
      <c r="B82" s="114" t="s">
        <v>1161</v>
      </c>
      <c r="C82" s="423">
        <v>999999</v>
      </c>
      <c r="D82" s="114" t="s">
        <v>1073</v>
      </c>
      <c r="E82" s="114">
        <v>999999</v>
      </c>
    </row>
    <row r="83" spans="1:5" x14ac:dyDescent="0.4">
      <c r="A83" s="114" t="s">
        <v>1162</v>
      </c>
      <c r="B83" s="114" t="s">
        <v>1163</v>
      </c>
      <c r="C83" s="423">
        <v>999999</v>
      </c>
      <c r="D83" s="114" t="s">
        <v>1073</v>
      </c>
      <c r="E83" s="114">
        <v>999999</v>
      </c>
    </row>
    <row r="84" spans="1:5" x14ac:dyDescent="0.4">
      <c r="A84" s="114" t="s">
        <v>1164</v>
      </c>
      <c r="B84" s="114" t="s">
        <v>1165</v>
      </c>
      <c r="C84" s="423">
        <v>999999</v>
      </c>
      <c r="D84" s="114" t="s">
        <v>1073</v>
      </c>
      <c r="E84" s="114">
        <v>999999</v>
      </c>
    </row>
    <row r="85" spans="1:5" x14ac:dyDescent="0.4">
      <c r="A85" s="114" t="s">
        <v>1166</v>
      </c>
      <c r="B85" s="114" t="s">
        <v>1167</v>
      </c>
      <c r="C85" s="423">
        <v>999999</v>
      </c>
      <c r="D85" s="114" t="s">
        <v>1073</v>
      </c>
      <c r="E85" s="114">
        <v>999999</v>
      </c>
    </row>
    <row r="86" spans="1:5" x14ac:dyDescent="0.4">
      <c r="A86" s="114" t="s">
        <v>1168</v>
      </c>
      <c r="B86" s="114" t="s">
        <v>1169</v>
      </c>
      <c r="C86" s="423">
        <v>999999</v>
      </c>
      <c r="D86" s="114" t="s">
        <v>1073</v>
      </c>
      <c r="E86" s="114">
        <v>999999</v>
      </c>
    </row>
    <row r="87" spans="1:5" x14ac:dyDescent="0.4">
      <c r="A87" s="114" t="s">
        <v>1170</v>
      </c>
      <c r="B87" s="114" t="s">
        <v>1171</v>
      </c>
      <c r="C87" s="423">
        <v>999999</v>
      </c>
      <c r="D87" s="114" t="s">
        <v>1073</v>
      </c>
      <c r="E87" s="114">
        <v>999999</v>
      </c>
    </row>
    <row r="88" spans="1:5" x14ac:dyDescent="0.4">
      <c r="A88" s="114" t="s">
        <v>1172</v>
      </c>
      <c r="B88" s="114" t="s">
        <v>1173</v>
      </c>
      <c r="C88" s="423">
        <v>999999</v>
      </c>
      <c r="D88" s="114" t="s">
        <v>1073</v>
      </c>
      <c r="E88" s="114">
        <v>999999</v>
      </c>
    </row>
    <row r="89" spans="1:5" x14ac:dyDescent="0.4">
      <c r="A89" s="114" t="s">
        <v>1174</v>
      </c>
      <c r="B89" s="114" t="s">
        <v>1175</v>
      </c>
      <c r="C89" s="423">
        <v>999999</v>
      </c>
      <c r="D89" s="114" t="s">
        <v>1073</v>
      </c>
      <c r="E89" s="114">
        <v>999999</v>
      </c>
    </row>
    <row r="90" spans="1:5" x14ac:dyDescent="0.4">
      <c r="A90" s="114" t="s">
        <v>1176</v>
      </c>
      <c r="B90" s="114" t="s">
        <v>1177</v>
      </c>
      <c r="C90" s="423">
        <v>999999</v>
      </c>
      <c r="D90" s="114" t="s">
        <v>1073</v>
      </c>
      <c r="E90" s="114">
        <v>999999</v>
      </c>
    </row>
    <row r="91" spans="1:5" x14ac:dyDescent="0.4">
      <c r="A91" s="114" t="s">
        <v>1178</v>
      </c>
      <c r="B91" s="114" t="s">
        <v>1179</v>
      </c>
      <c r="C91" s="423">
        <v>999999</v>
      </c>
      <c r="D91" s="114" t="s">
        <v>1073</v>
      </c>
      <c r="E91" s="114">
        <v>999999</v>
      </c>
    </row>
    <row r="92" spans="1:5" x14ac:dyDescent="0.4">
      <c r="A92" s="114" t="s">
        <v>1180</v>
      </c>
      <c r="B92" s="114" t="s">
        <v>1181</v>
      </c>
      <c r="C92" s="423">
        <v>999999</v>
      </c>
      <c r="D92" s="114" t="s">
        <v>1073</v>
      </c>
      <c r="E92" s="114">
        <v>999999</v>
      </c>
    </row>
    <row r="93" spans="1:5" x14ac:dyDescent="0.4">
      <c r="A93" s="114" t="s">
        <v>1182</v>
      </c>
      <c r="B93" s="114" t="s">
        <v>1183</v>
      </c>
      <c r="C93" s="423">
        <v>999999</v>
      </c>
      <c r="D93" s="114" t="s">
        <v>1073</v>
      </c>
      <c r="E93" s="114">
        <v>999999</v>
      </c>
    </row>
    <row r="94" spans="1:5" x14ac:dyDescent="0.4">
      <c r="A94" s="114" t="s">
        <v>1184</v>
      </c>
      <c r="B94" s="114" t="s">
        <v>1185</v>
      </c>
      <c r="C94" s="423">
        <v>999999</v>
      </c>
      <c r="D94" s="114" t="s">
        <v>1073</v>
      </c>
      <c r="E94" s="114">
        <v>999999</v>
      </c>
    </row>
    <row r="95" spans="1:5" x14ac:dyDescent="0.4">
      <c r="A95" s="114" t="s">
        <v>1186</v>
      </c>
      <c r="B95" s="114" t="s">
        <v>1187</v>
      </c>
      <c r="C95" s="423">
        <v>999999</v>
      </c>
      <c r="D95" s="114" t="s">
        <v>1073</v>
      </c>
      <c r="E95" s="114">
        <v>999999</v>
      </c>
    </row>
    <row r="96" spans="1:5" x14ac:dyDescent="0.4">
      <c r="A96" s="114" t="s">
        <v>1188</v>
      </c>
      <c r="B96" s="114" t="s">
        <v>1189</v>
      </c>
      <c r="C96" s="423">
        <v>999999</v>
      </c>
      <c r="D96" s="114" t="s">
        <v>1073</v>
      </c>
      <c r="E96" s="114">
        <v>999999</v>
      </c>
    </row>
    <row r="97" spans="1:5" x14ac:dyDescent="0.4">
      <c r="A97" s="114" t="s">
        <v>1190</v>
      </c>
      <c r="B97" s="114" t="s">
        <v>1191</v>
      </c>
      <c r="C97" s="423">
        <v>999999</v>
      </c>
      <c r="D97" s="114" t="s">
        <v>1073</v>
      </c>
      <c r="E97" s="114">
        <v>999999</v>
      </c>
    </row>
    <row r="98" spans="1:5" x14ac:dyDescent="0.4">
      <c r="A98" s="114" t="s">
        <v>1192</v>
      </c>
      <c r="B98" s="114" t="s">
        <v>1193</v>
      </c>
      <c r="C98" s="423">
        <v>999999</v>
      </c>
      <c r="D98" s="114" t="s">
        <v>1073</v>
      </c>
      <c r="E98" s="114">
        <v>999999</v>
      </c>
    </row>
    <row r="99" spans="1:5" x14ac:dyDescent="0.4">
      <c r="A99" s="114" t="s">
        <v>1194</v>
      </c>
      <c r="B99" s="114" t="s">
        <v>1195</v>
      </c>
      <c r="C99" s="423">
        <v>999999</v>
      </c>
      <c r="D99" s="114" t="s">
        <v>1073</v>
      </c>
      <c r="E99" s="114">
        <v>999999</v>
      </c>
    </row>
    <row r="100" spans="1:5" x14ac:dyDescent="0.4">
      <c r="A100" s="114" t="s">
        <v>1196</v>
      </c>
      <c r="B100" s="114" t="s">
        <v>1197</v>
      </c>
      <c r="C100" s="423">
        <v>999999</v>
      </c>
      <c r="D100" s="114" t="s">
        <v>1073</v>
      </c>
      <c r="E100" s="114">
        <v>999999</v>
      </c>
    </row>
    <row r="101" spans="1:5" x14ac:dyDescent="0.4">
      <c r="A101" s="114" t="s">
        <v>1198</v>
      </c>
      <c r="B101" s="114" t="s">
        <v>1199</v>
      </c>
      <c r="C101" s="423">
        <v>999999</v>
      </c>
      <c r="D101" s="114" t="s">
        <v>1073</v>
      </c>
      <c r="E101" s="114">
        <v>999999</v>
      </c>
    </row>
    <row r="102" spans="1:5" x14ac:dyDescent="0.4">
      <c r="A102" s="114" t="s">
        <v>1200</v>
      </c>
      <c r="B102" s="114" t="s">
        <v>1201</v>
      </c>
      <c r="C102" s="423">
        <v>999999</v>
      </c>
      <c r="D102" s="114" t="s">
        <v>1073</v>
      </c>
      <c r="E102" s="114">
        <v>999999</v>
      </c>
    </row>
    <row r="103" spans="1:5" x14ac:dyDescent="0.4">
      <c r="A103" s="114" t="s">
        <v>1202</v>
      </c>
      <c r="B103" s="114" t="s">
        <v>1203</v>
      </c>
      <c r="C103" s="423">
        <v>999999</v>
      </c>
      <c r="D103" s="114" t="s">
        <v>1073</v>
      </c>
      <c r="E103" s="114">
        <v>999999</v>
      </c>
    </row>
    <row r="104" spans="1:5" x14ac:dyDescent="0.4">
      <c r="A104" s="114" t="s">
        <v>1204</v>
      </c>
      <c r="B104" s="114" t="s">
        <v>1205</v>
      </c>
      <c r="C104" s="423">
        <v>999999</v>
      </c>
      <c r="D104" s="114" t="s">
        <v>1073</v>
      </c>
      <c r="E104" s="114">
        <v>999999</v>
      </c>
    </row>
    <row r="105" spans="1:5" x14ac:dyDescent="0.4">
      <c r="A105" s="114" t="s">
        <v>1206</v>
      </c>
      <c r="B105" s="114" t="s">
        <v>1207</v>
      </c>
      <c r="C105" s="423">
        <v>999999</v>
      </c>
      <c r="D105" s="114" t="s">
        <v>1073</v>
      </c>
      <c r="E105" s="114">
        <v>999999</v>
      </c>
    </row>
    <row r="106" spans="1:5" x14ac:dyDescent="0.4">
      <c r="A106" s="114" t="s">
        <v>1208</v>
      </c>
      <c r="B106" s="114" t="s">
        <v>1209</v>
      </c>
      <c r="C106" s="423">
        <v>999999</v>
      </c>
      <c r="D106" s="114" t="s">
        <v>1073</v>
      </c>
      <c r="E106" s="114">
        <v>999999</v>
      </c>
    </row>
    <row r="107" spans="1:5" x14ac:dyDescent="0.4">
      <c r="A107" s="114" t="s">
        <v>1210</v>
      </c>
      <c r="B107" s="114" t="s">
        <v>1211</v>
      </c>
      <c r="C107" s="423">
        <v>999999</v>
      </c>
      <c r="D107" s="114" t="s">
        <v>1073</v>
      </c>
      <c r="E107" s="114">
        <v>999999</v>
      </c>
    </row>
    <row r="108" spans="1:5" x14ac:dyDescent="0.4">
      <c r="A108" s="114" t="s">
        <v>1212</v>
      </c>
      <c r="B108" s="114" t="s">
        <v>1213</v>
      </c>
      <c r="C108" s="423">
        <v>999999</v>
      </c>
      <c r="D108" s="114" t="s">
        <v>1073</v>
      </c>
      <c r="E108" s="114">
        <v>999999</v>
      </c>
    </row>
    <row r="109" spans="1:5" x14ac:dyDescent="0.4">
      <c r="A109" s="114" t="s">
        <v>1214</v>
      </c>
      <c r="B109" s="114" t="s">
        <v>1215</v>
      </c>
      <c r="C109" s="423">
        <v>999999</v>
      </c>
      <c r="D109" s="114" t="s">
        <v>1073</v>
      </c>
      <c r="E109" s="114">
        <v>999999</v>
      </c>
    </row>
    <row r="110" spans="1:5" x14ac:dyDescent="0.4">
      <c r="A110" s="114" t="s">
        <v>1216</v>
      </c>
      <c r="B110" s="114" t="s">
        <v>1217</v>
      </c>
      <c r="C110" s="423">
        <v>999999</v>
      </c>
      <c r="D110" s="114" t="s">
        <v>1073</v>
      </c>
      <c r="E110" s="114">
        <v>999999</v>
      </c>
    </row>
    <row r="111" spans="1:5" x14ac:dyDescent="0.4">
      <c r="A111" s="114" t="s">
        <v>1218</v>
      </c>
      <c r="B111" s="114" t="s">
        <v>1219</v>
      </c>
      <c r="C111" s="423">
        <v>999999</v>
      </c>
      <c r="D111" s="114" t="s">
        <v>1073</v>
      </c>
      <c r="E111" s="114">
        <v>999999</v>
      </c>
    </row>
    <row r="112" spans="1:5" x14ac:dyDescent="0.4">
      <c r="A112" s="114" t="s">
        <v>1220</v>
      </c>
      <c r="B112" s="114" t="s">
        <v>1221</v>
      </c>
      <c r="C112" s="423">
        <v>999999</v>
      </c>
      <c r="D112" s="114" t="s">
        <v>1073</v>
      </c>
      <c r="E112" s="114">
        <v>999999</v>
      </c>
    </row>
    <row r="113" spans="1:7" x14ac:dyDescent="0.4">
      <c r="A113" s="114" t="s">
        <v>1222</v>
      </c>
      <c r="B113" s="114" t="s">
        <v>1223</v>
      </c>
      <c r="C113" s="423">
        <v>999999</v>
      </c>
      <c r="D113" s="114" t="s">
        <v>1073</v>
      </c>
      <c r="E113" s="114">
        <v>999999</v>
      </c>
    </row>
    <row r="114" spans="1:7" x14ac:dyDescent="0.4">
      <c r="A114" s="114" t="s">
        <v>1224</v>
      </c>
      <c r="B114" s="114" t="s">
        <v>1225</v>
      </c>
      <c r="C114" s="423">
        <v>999999</v>
      </c>
      <c r="D114" s="114" t="s">
        <v>1073</v>
      </c>
      <c r="E114" s="114">
        <v>999999</v>
      </c>
    </row>
    <row r="115" spans="1:7" x14ac:dyDescent="0.4">
      <c r="A115" s="114" t="s">
        <v>1226</v>
      </c>
      <c r="B115" s="114" t="s">
        <v>1227</v>
      </c>
      <c r="C115" s="423">
        <v>999999</v>
      </c>
      <c r="D115" s="114" t="s">
        <v>1073</v>
      </c>
      <c r="E115" s="114">
        <v>999999</v>
      </c>
    </row>
    <row r="116" spans="1:7" x14ac:dyDescent="0.4">
      <c r="A116" s="114" t="s">
        <v>1228</v>
      </c>
      <c r="B116" s="114" t="s">
        <v>1229</v>
      </c>
      <c r="C116" s="423">
        <v>999999</v>
      </c>
      <c r="D116" s="114" t="s">
        <v>1073</v>
      </c>
      <c r="E116" s="114">
        <v>999999</v>
      </c>
    </row>
    <row r="117" spans="1:7" x14ac:dyDescent="0.4">
      <c r="A117" s="114" t="s">
        <v>1230</v>
      </c>
      <c r="B117" s="114" t="s">
        <v>1231</v>
      </c>
      <c r="C117" s="423">
        <v>999999</v>
      </c>
      <c r="D117" s="114" t="s">
        <v>1073</v>
      </c>
      <c r="E117" s="114">
        <v>999999</v>
      </c>
    </row>
    <row r="118" spans="1:7" x14ac:dyDescent="0.4">
      <c r="A118" s="114" t="s">
        <v>1232</v>
      </c>
      <c r="B118" s="114" t="s">
        <v>1232</v>
      </c>
      <c r="C118" s="423">
        <v>62</v>
      </c>
      <c r="D118" s="114" t="s">
        <v>834</v>
      </c>
    </row>
    <row r="119" spans="1:7" x14ac:dyDescent="0.4">
      <c r="A119" s="114" t="s">
        <v>267</v>
      </c>
      <c r="B119" s="114" t="s">
        <v>267</v>
      </c>
      <c r="C119" s="423">
        <v>3.48</v>
      </c>
      <c r="D119" s="114" t="s">
        <v>774</v>
      </c>
      <c r="E119" s="114">
        <v>0.1</v>
      </c>
    </row>
    <row r="120" spans="1:7" x14ac:dyDescent="0.4">
      <c r="A120" s="114" t="s">
        <v>266</v>
      </c>
      <c r="B120" s="114" t="s">
        <v>266</v>
      </c>
      <c r="C120" s="423">
        <v>4.5599999999999996</v>
      </c>
      <c r="D120" s="114" t="s">
        <v>774</v>
      </c>
      <c r="E120" s="114">
        <v>0.1</v>
      </c>
    </row>
    <row r="121" spans="1:7" x14ac:dyDescent="0.4">
      <c r="A121" s="114" t="s">
        <v>360</v>
      </c>
      <c r="B121" s="114" t="s">
        <v>360</v>
      </c>
      <c r="C121" s="423">
        <v>2.4</v>
      </c>
      <c r="D121" s="114" t="s">
        <v>774</v>
      </c>
      <c r="E121" s="114">
        <v>0.1</v>
      </c>
    </row>
    <row r="122" spans="1:7" x14ac:dyDescent="0.4">
      <c r="A122" s="114" t="s">
        <v>350</v>
      </c>
      <c r="B122" s="114" t="s">
        <v>350</v>
      </c>
      <c r="E122" s="114">
        <v>1</v>
      </c>
    </row>
    <row r="123" spans="1:7" x14ac:dyDescent="0.4">
      <c r="A123" s="114" t="s">
        <v>278</v>
      </c>
      <c r="C123" s="423">
        <v>36</v>
      </c>
    </row>
    <row r="124" spans="1:7" x14ac:dyDescent="0.4">
      <c r="A124" s="114" t="s">
        <v>1254</v>
      </c>
      <c r="C124" s="423">
        <v>60</v>
      </c>
    </row>
    <row r="125" spans="1:7" x14ac:dyDescent="0.4">
      <c r="A125" s="114" t="s">
        <v>322</v>
      </c>
    </row>
    <row r="126" spans="1:7" x14ac:dyDescent="0.4">
      <c r="A126" s="114" t="s">
        <v>1255</v>
      </c>
      <c r="C126" s="423">
        <v>5.8</v>
      </c>
      <c r="E126" s="114">
        <v>0.1</v>
      </c>
    </row>
    <row r="127" spans="1:7" x14ac:dyDescent="0.4">
      <c r="A127" s="114" t="s">
        <v>1291</v>
      </c>
      <c r="B127" s="297" t="s">
        <v>752</v>
      </c>
      <c r="C127" s="300">
        <v>47</v>
      </c>
      <c r="E127" s="114">
        <v>1</v>
      </c>
      <c r="G127" s="297" t="s">
        <v>753</v>
      </c>
    </row>
    <row r="128" spans="1:7" x14ac:dyDescent="0.4">
      <c r="A128" s="114" t="s">
        <v>1292</v>
      </c>
      <c r="C128" s="423">
        <v>420</v>
      </c>
      <c r="E128" s="114">
        <v>1</v>
      </c>
    </row>
    <row r="129" spans="1:7" x14ac:dyDescent="0.4">
      <c r="A129" s="114" t="s">
        <v>1024</v>
      </c>
      <c r="B129" s="297" t="s">
        <v>765</v>
      </c>
      <c r="C129" s="423">
        <v>11.46</v>
      </c>
      <c r="G129" s="297" t="s">
        <v>767</v>
      </c>
    </row>
    <row r="130" spans="1:7" x14ac:dyDescent="0.4">
      <c r="A130" s="114" t="s">
        <v>1293</v>
      </c>
      <c r="C130" s="423">
        <v>36</v>
      </c>
      <c r="E130" s="114">
        <v>1</v>
      </c>
    </row>
    <row r="131" spans="1:7" x14ac:dyDescent="0.4">
      <c r="A131" s="114" t="s">
        <v>476</v>
      </c>
      <c r="C131" s="423">
        <v>324</v>
      </c>
      <c r="E131" s="114">
        <v>0</v>
      </c>
    </row>
    <row r="132" spans="1:7" x14ac:dyDescent="0.4">
      <c r="A132" s="114" t="s">
        <v>477</v>
      </c>
      <c r="C132" s="423">
        <v>180</v>
      </c>
      <c r="E132" s="114">
        <v>0</v>
      </c>
    </row>
    <row r="133" spans="1:7" x14ac:dyDescent="0.4">
      <c r="A133" s="114" t="s">
        <v>1307</v>
      </c>
      <c r="B133" s="297" t="s">
        <v>786</v>
      </c>
      <c r="C133" s="301">
        <v>541.20000000000005</v>
      </c>
      <c r="E133" s="114">
        <v>99999</v>
      </c>
    </row>
    <row r="134" spans="1:7" x14ac:dyDescent="0.4">
      <c r="A134" s="114" t="s">
        <v>1308</v>
      </c>
      <c r="B134" s="297" t="s">
        <v>790</v>
      </c>
      <c r="C134" s="301">
        <v>721.6</v>
      </c>
      <c r="E134" s="114">
        <v>999999</v>
      </c>
    </row>
    <row r="135" spans="1:7" x14ac:dyDescent="0.4">
      <c r="A135" s="114" t="s">
        <v>1309</v>
      </c>
      <c r="B135" s="297" t="s">
        <v>789</v>
      </c>
      <c r="C135" s="301">
        <v>1021.9</v>
      </c>
      <c r="E135" s="114">
        <v>9999999</v>
      </c>
    </row>
    <row r="136" spans="1:7" x14ac:dyDescent="0.4">
      <c r="A136" s="114" t="s">
        <v>325</v>
      </c>
      <c r="C136" s="423">
        <v>240</v>
      </c>
      <c r="E136" s="114">
        <v>1</v>
      </c>
    </row>
    <row r="137" spans="1:7" x14ac:dyDescent="0.4">
      <c r="A137" s="114" t="s">
        <v>990</v>
      </c>
      <c r="B137" s="423" t="str">
        <f>B13</f>
        <v>PL22G24LED + PL22R24LED</v>
      </c>
      <c r="C137" s="423">
        <f>C13</f>
        <v>16</v>
      </c>
      <c r="D137" s="423" t="str">
        <f t="shared" ref="D137:G137" si="0">D13</f>
        <v>Dore</v>
      </c>
      <c r="E137" s="423">
        <f t="shared" si="0"/>
        <v>0</v>
      </c>
      <c r="F137" s="423">
        <f t="shared" si="0"/>
        <v>0</v>
      </c>
      <c r="G137" s="423" t="str">
        <f t="shared" si="0"/>
        <v>B8</v>
      </c>
    </row>
  </sheetData>
  <conditionalFormatting sqref="A10">
    <cfRule type="expression" dxfId="105" priority="1">
      <formula>IF(ROW() = ROW(), TRUE, FALSE)</formula>
    </cfRule>
  </conditionalFormatting>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5C8EEAE2-BBB9-411E-875C-5758A28AAF32}">
          <x14:formula1>
            <xm:f>'D:\Github\IGOC-Workspace\Mech Elec Template\[V2 - XXX -  Mech Elec - Rev A.xlsx]Sheet1'!#REF!</xm:f>
          </x14:formula1>
          <xm:sqref>A22:A23</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5ACD25-B345-457F-B82B-C7849FC904E9}">
  <dimension ref="A1:I92"/>
  <sheetViews>
    <sheetView workbookViewId="0"/>
  </sheetViews>
  <sheetFormatPr defaultRowHeight="14.6" x14ac:dyDescent="0.4"/>
  <cols>
    <col min="1" max="1" width="13.69140625" style="114" bestFit="1" customWidth="1"/>
    <col min="2" max="2" width="7.61328125" style="114" bestFit="1" customWidth="1"/>
    <col min="3" max="3" width="18.84375" style="114" bestFit="1" customWidth="1"/>
    <col min="4" max="4" width="19.15234375" style="423" customWidth="1"/>
    <col min="5" max="5" width="5.69140625" style="114" bestFit="1" customWidth="1"/>
    <col min="6" max="6" width="16.69140625" style="114" bestFit="1" customWidth="1"/>
    <col min="7" max="7" width="3.15234375" style="114" bestFit="1" customWidth="1"/>
    <col min="8" max="8" width="5.07421875" style="114" bestFit="1" customWidth="1"/>
    <col min="9" max="9" width="5.69140625" style="114" bestFit="1" customWidth="1"/>
    <col min="10" max="16384" width="9.23046875" style="114"/>
  </cols>
  <sheetData>
    <row r="1" spans="1:9" s="33" customFormat="1" x14ac:dyDescent="0.4">
      <c r="A1" s="33" t="s">
        <v>1233</v>
      </c>
      <c r="B1" s="33" t="s">
        <v>750</v>
      </c>
      <c r="C1" s="33" t="s">
        <v>1233</v>
      </c>
      <c r="D1" s="444" t="s">
        <v>933</v>
      </c>
      <c r="E1" s="33" t="s">
        <v>930</v>
      </c>
      <c r="F1" s="33" t="s">
        <v>1234</v>
      </c>
      <c r="G1" s="33" t="s">
        <v>1233</v>
      </c>
      <c r="H1" s="33" t="s">
        <v>933</v>
      </c>
      <c r="I1" s="33" t="s">
        <v>930</v>
      </c>
    </row>
    <row r="2" spans="1:9" x14ac:dyDescent="0.4">
      <c r="A2" s="114" t="s">
        <v>1062</v>
      </c>
      <c r="B2" s="114" t="s">
        <v>834</v>
      </c>
      <c r="C2" s="114" t="s">
        <v>961</v>
      </c>
      <c r="D2" s="423">
        <f>VLOOKUP(C2,'Part List'!B:D,2,FALSE)</f>
        <v>243.55</v>
      </c>
      <c r="H2" s="423" t="e">
        <f>VLOOKUP(G2,'Part List'!B:D,2,FALSE)</f>
        <v>#N/A</v>
      </c>
    </row>
    <row r="3" spans="1:9" x14ac:dyDescent="0.4">
      <c r="A3" s="114" t="s">
        <v>1063</v>
      </c>
      <c r="B3" s="114" t="s">
        <v>834</v>
      </c>
      <c r="C3" s="114" t="s">
        <v>746</v>
      </c>
      <c r="D3" s="423">
        <f>VLOOKUP(C3,'Part List'!B:D,2,FALSE)</f>
        <v>294.60000000000002</v>
      </c>
      <c r="H3" s="423" t="e">
        <f>VLOOKUP(G3,'Part List'!B:D,2,FALSE)</f>
        <v>#N/A</v>
      </c>
    </row>
    <row r="4" spans="1:9" x14ac:dyDescent="0.4">
      <c r="A4" s="114" t="s">
        <v>1064</v>
      </c>
      <c r="B4" s="114" t="s">
        <v>834</v>
      </c>
      <c r="C4" s="114" t="s">
        <v>964</v>
      </c>
      <c r="D4" s="423">
        <f>VLOOKUP(C4,'Part List'!B:D,2,FALSE)</f>
        <v>488.25</v>
      </c>
      <c r="H4" s="423" t="e">
        <f>VLOOKUP(G4,'Part List'!B:D,2,FALSE)</f>
        <v>#N/A</v>
      </c>
    </row>
    <row r="5" spans="1:9" x14ac:dyDescent="0.4">
      <c r="A5" s="114" t="s">
        <v>1235</v>
      </c>
      <c r="B5" s="114" t="s">
        <v>834</v>
      </c>
      <c r="C5" s="114" t="s">
        <v>968</v>
      </c>
      <c r="D5" s="423" t="e">
        <f>VLOOKUP(C5,'Part List'!B:D,2,FALSE)</f>
        <v>#N/A</v>
      </c>
      <c r="H5" s="423" t="e">
        <f>VLOOKUP(G5,'Part List'!B:D,2,FALSE)</f>
        <v>#N/A</v>
      </c>
    </row>
    <row r="6" spans="1:9" x14ac:dyDescent="0.4">
      <c r="A6" s="114" t="s">
        <v>1065</v>
      </c>
      <c r="B6" s="114" t="s">
        <v>834</v>
      </c>
      <c r="C6" s="114" t="s">
        <v>970</v>
      </c>
      <c r="D6" s="423">
        <f>VLOOKUP(C6,'Part List'!B:D,2,FALSE)</f>
        <v>700.9</v>
      </c>
      <c r="H6" s="423" t="e">
        <f>VLOOKUP(G6,'Part List'!B:D,2,FALSE)</f>
        <v>#N/A</v>
      </c>
    </row>
    <row r="7" spans="1:9" x14ac:dyDescent="0.4">
      <c r="A7" s="114" t="s">
        <v>1066</v>
      </c>
      <c r="B7" s="114" t="s">
        <v>834</v>
      </c>
      <c r="C7" s="114" t="s">
        <v>971</v>
      </c>
      <c r="D7" s="423">
        <f>VLOOKUP(C7,'Part List'!B:D,2,FALSE)</f>
        <v>243.55</v>
      </c>
      <c r="H7" s="423" t="e">
        <f>VLOOKUP(G7,'Part List'!B:D,2,FALSE)</f>
        <v>#N/A</v>
      </c>
    </row>
    <row r="8" spans="1:9" x14ac:dyDescent="0.4">
      <c r="A8" s="114" t="s">
        <v>1067</v>
      </c>
      <c r="B8" s="114" t="s">
        <v>834</v>
      </c>
      <c r="C8" s="114" t="s">
        <v>972</v>
      </c>
      <c r="D8" s="423">
        <f>VLOOKUP(C8,'Part List'!B:D,2,FALSE)</f>
        <v>356.4</v>
      </c>
      <c r="H8" s="423" t="e">
        <f>VLOOKUP(G8,'Part List'!B:D,2,FALSE)</f>
        <v>#N/A</v>
      </c>
    </row>
    <row r="9" spans="1:9" x14ac:dyDescent="0.4">
      <c r="A9" s="114" t="s">
        <v>1068</v>
      </c>
      <c r="B9" s="114" t="s">
        <v>834</v>
      </c>
      <c r="C9" s="114" t="s">
        <v>973</v>
      </c>
      <c r="D9" s="423">
        <f>VLOOKUP(C9,'Part List'!B:D,2,FALSE)</f>
        <v>541.75</v>
      </c>
      <c r="H9" s="423" t="e">
        <f>VLOOKUP(G9,'Part List'!B:D,2,FALSE)</f>
        <v>#N/A</v>
      </c>
    </row>
    <row r="10" spans="1:9" x14ac:dyDescent="0.4">
      <c r="A10" s="114" t="s">
        <v>1069</v>
      </c>
      <c r="B10" s="114" t="s">
        <v>834</v>
      </c>
      <c r="C10" s="114" t="s">
        <v>974</v>
      </c>
      <c r="D10" s="423">
        <f>VLOOKUP(C10,'Part List'!B:D,2,FALSE)</f>
        <v>651</v>
      </c>
      <c r="H10" s="423" t="e">
        <f>VLOOKUP(G10,'Part List'!B:D,2,FALSE)</f>
        <v>#N/A</v>
      </c>
    </row>
    <row r="11" spans="1:9" x14ac:dyDescent="0.4">
      <c r="A11" s="114" t="s">
        <v>1070</v>
      </c>
      <c r="B11" s="114" t="s">
        <v>834</v>
      </c>
      <c r="C11" s="114" t="s">
        <v>970</v>
      </c>
      <c r="D11" s="423">
        <f>VLOOKUP(C11,'Part List'!B:D,2,FALSE)</f>
        <v>700.9</v>
      </c>
      <c r="H11" s="423" t="e">
        <f>VLOOKUP(G11,'Part List'!B:D,2,FALSE)</f>
        <v>#N/A</v>
      </c>
    </row>
    <row r="12" spans="1:9" x14ac:dyDescent="0.4">
      <c r="A12" s="114" t="s">
        <v>1071</v>
      </c>
      <c r="B12" s="114" t="s">
        <v>1073</v>
      </c>
      <c r="C12" s="114" t="s">
        <v>1072</v>
      </c>
      <c r="D12" s="423">
        <f>VLOOKUP(C12,'Part List'!B:D,2,FALSE)</f>
        <v>999999</v>
      </c>
      <c r="H12" s="423" t="e">
        <f>VLOOKUP(G12,'Part List'!B:D,2,FALSE)</f>
        <v>#N/A</v>
      </c>
    </row>
    <row r="13" spans="1:9" x14ac:dyDescent="0.4">
      <c r="A13" s="114" t="s">
        <v>1074</v>
      </c>
      <c r="B13" s="114" t="s">
        <v>1073</v>
      </c>
      <c r="C13" s="114" t="s">
        <v>1075</v>
      </c>
      <c r="D13" s="423">
        <f>VLOOKUP(C13,'Part List'!B:D,2,FALSE)</f>
        <v>999999</v>
      </c>
      <c r="H13" s="423" t="e">
        <f>VLOOKUP(G13,'Part List'!B:D,2,FALSE)</f>
        <v>#N/A</v>
      </c>
    </row>
    <row r="14" spans="1:9" x14ac:dyDescent="0.4">
      <c r="A14" s="114" t="s">
        <v>1076</v>
      </c>
      <c r="B14" s="114" t="s">
        <v>1073</v>
      </c>
      <c r="C14" s="114" t="s">
        <v>1077</v>
      </c>
      <c r="D14" s="423">
        <f>VLOOKUP(C14,'Part List'!B:D,2,FALSE)</f>
        <v>999999</v>
      </c>
      <c r="H14" s="423" t="e">
        <f>VLOOKUP(G14,'Part List'!B:D,2,FALSE)</f>
        <v>#N/A</v>
      </c>
    </row>
    <row r="15" spans="1:9" x14ac:dyDescent="0.4">
      <c r="A15" s="114" t="s">
        <v>1078</v>
      </c>
      <c r="B15" s="114" t="s">
        <v>1073</v>
      </c>
      <c r="C15" s="114" t="s">
        <v>1079</v>
      </c>
      <c r="D15" s="423">
        <f>VLOOKUP(C15,'Part List'!B:D,2,FALSE)</f>
        <v>999999</v>
      </c>
      <c r="H15" s="423" t="e">
        <f>VLOOKUP(G15,'Part List'!B:D,2,FALSE)</f>
        <v>#N/A</v>
      </c>
    </row>
    <row r="16" spans="1:9" x14ac:dyDescent="0.4">
      <c r="A16" s="114" t="s">
        <v>1080</v>
      </c>
      <c r="B16" s="114" t="s">
        <v>1073</v>
      </c>
      <c r="C16" s="114" t="s">
        <v>1081</v>
      </c>
      <c r="D16" s="423">
        <f>VLOOKUP(C16,'Part List'!B:D,2,FALSE)</f>
        <v>999999</v>
      </c>
      <c r="H16" s="423" t="e">
        <f>VLOOKUP(G16,'Part List'!B:D,2,FALSE)</f>
        <v>#N/A</v>
      </c>
    </row>
    <row r="17" spans="1:8" x14ac:dyDescent="0.4">
      <c r="A17" s="114" t="s">
        <v>1082</v>
      </c>
      <c r="B17" s="114" t="s">
        <v>1073</v>
      </c>
      <c r="C17" s="114" t="s">
        <v>1083</v>
      </c>
      <c r="D17" s="423">
        <f>VLOOKUP(C17,'Part List'!B:D,2,FALSE)</f>
        <v>999999</v>
      </c>
      <c r="H17" s="423" t="e">
        <f>VLOOKUP(G17,'Part List'!B:D,2,FALSE)</f>
        <v>#N/A</v>
      </c>
    </row>
    <row r="18" spans="1:8" x14ac:dyDescent="0.4">
      <c r="A18" s="114" t="s">
        <v>1084</v>
      </c>
      <c r="B18" s="114" t="s">
        <v>1073</v>
      </c>
      <c r="C18" s="114" t="s">
        <v>1085</v>
      </c>
      <c r="D18" s="423">
        <f>VLOOKUP(C18,'Part List'!B:D,2,FALSE)</f>
        <v>999999</v>
      </c>
      <c r="H18" s="423" t="e">
        <f>VLOOKUP(G18,'Part List'!B:D,2,FALSE)</f>
        <v>#N/A</v>
      </c>
    </row>
    <row r="19" spans="1:8" x14ac:dyDescent="0.4">
      <c r="A19" s="114" t="s">
        <v>1086</v>
      </c>
      <c r="B19" s="114" t="s">
        <v>1073</v>
      </c>
      <c r="C19" s="114" t="s">
        <v>1087</v>
      </c>
      <c r="D19" s="423">
        <f>VLOOKUP(C19,'Part List'!B:D,2,FALSE)</f>
        <v>999999</v>
      </c>
      <c r="H19" s="423" t="e">
        <f>VLOOKUP(G19,'Part List'!B:D,2,FALSE)</f>
        <v>#N/A</v>
      </c>
    </row>
    <row r="20" spans="1:8" x14ac:dyDescent="0.4">
      <c r="A20" s="114" t="s">
        <v>1088</v>
      </c>
      <c r="B20" s="114" t="s">
        <v>1073</v>
      </c>
      <c r="C20" s="114" t="s">
        <v>1089</v>
      </c>
      <c r="D20" s="423">
        <f>VLOOKUP(C20,'Part List'!B:D,2,FALSE)</f>
        <v>999999</v>
      </c>
      <c r="H20" s="423" t="e">
        <f>VLOOKUP(G20,'Part List'!B:D,2,FALSE)</f>
        <v>#N/A</v>
      </c>
    </row>
    <row r="21" spans="1:8" x14ac:dyDescent="0.4">
      <c r="A21" s="114" t="s">
        <v>1090</v>
      </c>
      <c r="B21" s="114" t="s">
        <v>1073</v>
      </c>
      <c r="C21" s="114" t="s">
        <v>1091</v>
      </c>
      <c r="D21" s="423">
        <f>VLOOKUP(C21,'Part List'!B:D,2,FALSE)</f>
        <v>999999</v>
      </c>
      <c r="H21" s="423" t="e">
        <f>VLOOKUP(G21,'Part List'!B:D,2,FALSE)</f>
        <v>#N/A</v>
      </c>
    </row>
    <row r="22" spans="1:8" x14ac:dyDescent="0.4">
      <c r="A22" s="114" t="s">
        <v>1092</v>
      </c>
      <c r="B22" s="114" t="s">
        <v>1073</v>
      </c>
      <c r="C22" s="114" t="s">
        <v>1093</v>
      </c>
      <c r="D22" s="423">
        <f>VLOOKUP(C22,'Part List'!B:D,2,FALSE)</f>
        <v>999999</v>
      </c>
      <c r="H22" s="423" t="e">
        <f>VLOOKUP(G22,'Part List'!B:D,2,FALSE)</f>
        <v>#N/A</v>
      </c>
    </row>
    <row r="23" spans="1:8" x14ac:dyDescent="0.4">
      <c r="A23" s="114" t="s">
        <v>1094</v>
      </c>
      <c r="B23" s="114" t="s">
        <v>1073</v>
      </c>
      <c r="C23" s="114" t="s">
        <v>1095</v>
      </c>
      <c r="D23" s="423">
        <f>VLOOKUP(C23,'Part List'!B:D,2,FALSE)</f>
        <v>999999</v>
      </c>
      <c r="H23" s="423" t="e">
        <f>VLOOKUP(G23,'Part List'!B:D,2,FALSE)</f>
        <v>#N/A</v>
      </c>
    </row>
    <row r="24" spans="1:8" x14ac:dyDescent="0.4">
      <c r="A24" s="114" t="s">
        <v>1096</v>
      </c>
      <c r="B24" s="114" t="s">
        <v>1073</v>
      </c>
      <c r="C24" s="114" t="s">
        <v>1097</v>
      </c>
      <c r="D24" s="423">
        <f>VLOOKUP(C24,'Part List'!B:D,2,FALSE)</f>
        <v>999999</v>
      </c>
      <c r="H24" s="423" t="e">
        <f>VLOOKUP(G24,'Part List'!B:D,2,FALSE)</f>
        <v>#N/A</v>
      </c>
    </row>
    <row r="25" spans="1:8" x14ac:dyDescent="0.4">
      <c r="A25" s="114" t="s">
        <v>1098</v>
      </c>
      <c r="B25" s="114" t="s">
        <v>1073</v>
      </c>
      <c r="C25" s="114" t="s">
        <v>1099</v>
      </c>
      <c r="D25" s="423">
        <f>VLOOKUP(C25,'Part List'!B:D,2,FALSE)</f>
        <v>999999</v>
      </c>
      <c r="H25" s="423" t="e">
        <f>VLOOKUP(G25,'Part List'!B:D,2,FALSE)</f>
        <v>#N/A</v>
      </c>
    </row>
    <row r="26" spans="1:8" x14ac:dyDescent="0.4">
      <c r="A26" s="114" t="s">
        <v>1100</v>
      </c>
      <c r="B26" s="114" t="s">
        <v>1073</v>
      </c>
      <c r="C26" s="114" t="s">
        <v>1101</v>
      </c>
      <c r="D26" s="423">
        <f>VLOOKUP(C26,'Part List'!B:D,2,FALSE)</f>
        <v>999999</v>
      </c>
      <c r="H26" s="423" t="e">
        <f>VLOOKUP(G26,'Part List'!B:D,2,FALSE)</f>
        <v>#N/A</v>
      </c>
    </row>
    <row r="27" spans="1:8" x14ac:dyDescent="0.4">
      <c r="A27" s="114" t="s">
        <v>1102</v>
      </c>
      <c r="B27" s="114" t="s">
        <v>1073</v>
      </c>
      <c r="C27" s="114" t="s">
        <v>1103</v>
      </c>
      <c r="D27" s="423">
        <f>VLOOKUP(C27,'Part List'!B:D,2,FALSE)</f>
        <v>999999</v>
      </c>
      <c r="H27" s="423" t="e">
        <f>VLOOKUP(G27,'Part List'!B:D,2,FALSE)</f>
        <v>#N/A</v>
      </c>
    </row>
    <row r="28" spans="1:8" x14ac:dyDescent="0.4">
      <c r="A28" s="114" t="s">
        <v>1104</v>
      </c>
      <c r="B28" s="114" t="s">
        <v>1073</v>
      </c>
      <c r="C28" s="114" t="s">
        <v>1105</v>
      </c>
      <c r="D28" s="423">
        <f>VLOOKUP(C28,'Part List'!B:D,2,FALSE)</f>
        <v>999999</v>
      </c>
      <c r="H28" s="423" t="e">
        <f>VLOOKUP(G28,'Part List'!B:D,2,FALSE)</f>
        <v>#N/A</v>
      </c>
    </row>
    <row r="29" spans="1:8" x14ac:dyDescent="0.4">
      <c r="A29" s="114" t="s">
        <v>1106</v>
      </c>
      <c r="B29" s="114" t="s">
        <v>1073</v>
      </c>
      <c r="C29" s="114" t="s">
        <v>1107</v>
      </c>
      <c r="D29" s="423">
        <f>VLOOKUP(C29,'Part List'!B:D,2,FALSE)</f>
        <v>999999</v>
      </c>
      <c r="H29" s="423" t="e">
        <f>VLOOKUP(G29,'Part List'!B:D,2,FALSE)</f>
        <v>#N/A</v>
      </c>
    </row>
    <row r="30" spans="1:8" x14ac:dyDescent="0.4">
      <c r="A30" s="114" t="s">
        <v>1108</v>
      </c>
      <c r="B30" s="114" t="s">
        <v>1073</v>
      </c>
      <c r="C30" s="114" t="s">
        <v>1109</v>
      </c>
      <c r="D30" s="423">
        <f>VLOOKUP(C30,'Part List'!B:D,2,FALSE)</f>
        <v>999999</v>
      </c>
      <c r="H30" s="423" t="e">
        <f>VLOOKUP(G30,'Part List'!B:D,2,FALSE)</f>
        <v>#N/A</v>
      </c>
    </row>
    <row r="31" spans="1:8" x14ac:dyDescent="0.4">
      <c r="A31" s="114" t="s">
        <v>1110</v>
      </c>
      <c r="B31" s="114" t="s">
        <v>1073</v>
      </c>
      <c r="C31" s="114" t="s">
        <v>1111</v>
      </c>
      <c r="D31" s="423">
        <f>VLOOKUP(C31,'Part List'!B:D,2,FALSE)</f>
        <v>999999</v>
      </c>
      <c r="H31" s="423" t="e">
        <f>VLOOKUP(G31,'Part List'!B:D,2,FALSE)</f>
        <v>#N/A</v>
      </c>
    </row>
    <row r="32" spans="1:8" x14ac:dyDescent="0.4">
      <c r="A32" s="114" t="s">
        <v>1112</v>
      </c>
      <c r="B32" s="114" t="s">
        <v>1073</v>
      </c>
      <c r="C32" s="114" t="s">
        <v>1113</v>
      </c>
      <c r="D32" s="423">
        <f>VLOOKUP(C32,'Part List'!B:D,2,FALSE)</f>
        <v>999999</v>
      </c>
      <c r="H32" s="423" t="e">
        <f>VLOOKUP(G32,'Part List'!B:D,2,FALSE)</f>
        <v>#N/A</v>
      </c>
    </row>
    <row r="33" spans="1:8" x14ac:dyDescent="0.4">
      <c r="A33" s="114" t="s">
        <v>1114</v>
      </c>
      <c r="B33" s="114" t="s">
        <v>1073</v>
      </c>
      <c r="C33" s="114" t="s">
        <v>1115</v>
      </c>
      <c r="D33" s="423">
        <f>VLOOKUP(C33,'Part List'!B:D,2,FALSE)</f>
        <v>999999</v>
      </c>
      <c r="H33" s="423" t="e">
        <f>VLOOKUP(G33,'Part List'!B:D,2,FALSE)</f>
        <v>#N/A</v>
      </c>
    </row>
    <row r="34" spans="1:8" x14ac:dyDescent="0.4">
      <c r="A34" s="114" t="s">
        <v>1116</v>
      </c>
      <c r="B34" s="114" t="s">
        <v>1073</v>
      </c>
      <c r="C34" s="114" t="s">
        <v>1117</v>
      </c>
      <c r="D34" s="423">
        <f>VLOOKUP(C34,'Part List'!B:D,2,FALSE)</f>
        <v>999999</v>
      </c>
      <c r="H34" s="423" t="e">
        <f>VLOOKUP(G34,'Part List'!B:D,2,FALSE)</f>
        <v>#N/A</v>
      </c>
    </row>
    <row r="35" spans="1:8" x14ac:dyDescent="0.4">
      <c r="A35" s="114" t="s">
        <v>1118</v>
      </c>
      <c r="B35" s="114" t="s">
        <v>1073</v>
      </c>
      <c r="C35" s="114" t="s">
        <v>1119</v>
      </c>
      <c r="D35" s="423">
        <f>VLOOKUP(C35,'Part List'!B:D,2,FALSE)</f>
        <v>999999</v>
      </c>
      <c r="H35" s="423" t="e">
        <f>VLOOKUP(G35,'Part List'!B:D,2,FALSE)</f>
        <v>#N/A</v>
      </c>
    </row>
    <row r="36" spans="1:8" x14ac:dyDescent="0.4">
      <c r="A36" s="114" t="s">
        <v>1120</v>
      </c>
      <c r="B36" s="114" t="s">
        <v>1073</v>
      </c>
      <c r="C36" s="114" t="s">
        <v>1121</v>
      </c>
      <c r="D36" s="423">
        <f>VLOOKUP(C36,'Part List'!B:D,2,FALSE)</f>
        <v>999999</v>
      </c>
      <c r="H36" s="423" t="e">
        <f>VLOOKUP(G36,'Part List'!B:D,2,FALSE)</f>
        <v>#N/A</v>
      </c>
    </row>
    <row r="37" spans="1:8" x14ac:dyDescent="0.4">
      <c r="A37" s="114" t="s">
        <v>1122</v>
      </c>
      <c r="B37" s="114" t="s">
        <v>1073</v>
      </c>
      <c r="C37" s="114" t="s">
        <v>1123</v>
      </c>
      <c r="D37" s="423">
        <f>VLOOKUP(C37,'Part List'!B:D,2,FALSE)</f>
        <v>999999</v>
      </c>
      <c r="H37" s="423" t="e">
        <f>VLOOKUP(G37,'Part List'!B:D,2,FALSE)</f>
        <v>#N/A</v>
      </c>
    </row>
    <row r="38" spans="1:8" x14ac:dyDescent="0.4">
      <c r="A38" s="114" t="s">
        <v>1124</v>
      </c>
      <c r="B38" s="114" t="s">
        <v>1073</v>
      </c>
      <c r="C38" s="114" t="s">
        <v>1125</v>
      </c>
      <c r="D38" s="423">
        <f>VLOOKUP(C38,'Part List'!B:D,2,FALSE)</f>
        <v>999999</v>
      </c>
      <c r="H38" s="423" t="e">
        <f>VLOOKUP(G38,'Part List'!B:D,2,FALSE)</f>
        <v>#N/A</v>
      </c>
    </row>
    <row r="39" spans="1:8" x14ac:dyDescent="0.4">
      <c r="A39" s="114" t="s">
        <v>1126</v>
      </c>
      <c r="B39" s="114" t="s">
        <v>1073</v>
      </c>
      <c r="C39" s="114" t="s">
        <v>1127</v>
      </c>
      <c r="D39" s="423">
        <f>VLOOKUP(C39,'Part List'!B:D,2,FALSE)</f>
        <v>999999</v>
      </c>
      <c r="H39" s="423" t="e">
        <f>VLOOKUP(G39,'Part List'!B:D,2,FALSE)</f>
        <v>#N/A</v>
      </c>
    </row>
    <row r="40" spans="1:8" x14ac:dyDescent="0.4">
      <c r="A40" s="114" t="s">
        <v>1128</v>
      </c>
      <c r="B40" s="114" t="s">
        <v>1073</v>
      </c>
      <c r="C40" s="114" t="s">
        <v>1129</v>
      </c>
      <c r="D40" s="423">
        <f>VLOOKUP(C40,'Part List'!B:D,2,FALSE)</f>
        <v>999999</v>
      </c>
      <c r="H40" s="423" t="e">
        <f>VLOOKUP(G40,'Part List'!B:D,2,FALSE)</f>
        <v>#N/A</v>
      </c>
    </row>
    <row r="41" spans="1:8" x14ac:dyDescent="0.4">
      <c r="A41" s="114" t="s">
        <v>1130</v>
      </c>
      <c r="B41" s="114" t="s">
        <v>1073</v>
      </c>
      <c r="C41" s="114" t="s">
        <v>1131</v>
      </c>
      <c r="D41" s="423">
        <f>VLOOKUP(C41,'Part List'!B:D,2,FALSE)</f>
        <v>999999</v>
      </c>
      <c r="H41" s="423" t="e">
        <f>VLOOKUP(G41,'Part List'!B:D,2,FALSE)</f>
        <v>#N/A</v>
      </c>
    </row>
    <row r="42" spans="1:8" x14ac:dyDescent="0.4">
      <c r="A42" s="114" t="s">
        <v>1132</v>
      </c>
      <c r="B42" s="114" t="s">
        <v>1073</v>
      </c>
      <c r="C42" s="114" t="s">
        <v>1133</v>
      </c>
      <c r="D42" s="423">
        <f>VLOOKUP(C42,'Part List'!B:D,2,FALSE)</f>
        <v>999999</v>
      </c>
      <c r="H42" s="423" t="e">
        <f>VLOOKUP(G42,'Part List'!B:D,2,FALSE)</f>
        <v>#N/A</v>
      </c>
    </row>
    <row r="43" spans="1:8" x14ac:dyDescent="0.4">
      <c r="A43" s="114" t="s">
        <v>1134</v>
      </c>
      <c r="B43" s="114" t="s">
        <v>1073</v>
      </c>
      <c r="C43" s="114" t="s">
        <v>1135</v>
      </c>
      <c r="D43" s="423">
        <f>VLOOKUP(C43,'Part List'!B:D,2,FALSE)</f>
        <v>999999</v>
      </c>
      <c r="H43" s="423" t="e">
        <f>VLOOKUP(G43,'Part List'!B:D,2,FALSE)</f>
        <v>#N/A</v>
      </c>
    </row>
    <row r="44" spans="1:8" x14ac:dyDescent="0.4">
      <c r="A44" s="114" t="s">
        <v>1136</v>
      </c>
      <c r="B44" s="114" t="s">
        <v>1073</v>
      </c>
      <c r="C44" s="114" t="s">
        <v>1137</v>
      </c>
      <c r="D44" s="423">
        <f>VLOOKUP(C44,'Part List'!B:D,2,FALSE)</f>
        <v>999999</v>
      </c>
      <c r="H44" s="423" t="e">
        <f>VLOOKUP(G44,'Part List'!B:D,2,FALSE)</f>
        <v>#N/A</v>
      </c>
    </row>
    <row r="45" spans="1:8" x14ac:dyDescent="0.4">
      <c r="A45" s="114" t="s">
        <v>1138</v>
      </c>
      <c r="B45" s="114" t="s">
        <v>1073</v>
      </c>
      <c r="C45" s="114" t="s">
        <v>1139</v>
      </c>
      <c r="D45" s="423">
        <f>VLOOKUP(C45,'Part List'!B:D,2,FALSE)</f>
        <v>999999</v>
      </c>
      <c r="H45" s="423" t="e">
        <f>VLOOKUP(G45,'Part List'!B:D,2,FALSE)</f>
        <v>#N/A</v>
      </c>
    </row>
    <row r="46" spans="1:8" x14ac:dyDescent="0.4">
      <c r="A46" s="114" t="s">
        <v>1140</v>
      </c>
      <c r="B46" s="114" t="s">
        <v>1073</v>
      </c>
      <c r="C46" s="114" t="s">
        <v>1141</v>
      </c>
      <c r="D46" s="423">
        <f>VLOOKUP(C46,'Part List'!B:D,2,FALSE)</f>
        <v>999999</v>
      </c>
      <c r="H46" s="423" t="e">
        <f>VLOOKUP(G46,'Part List'!B:D,2,FALSE)</f>
        <v>#N/A</v>
      </c>
    </row>
    <row r="47" spans="1:8" x14ac:dyDescent="0.4">
      <c r="A47" s="114" t="s">
        <v>1142</v>
      </c>
      <c r="B47" s="114" t="s">
        <v>1073</v>
      </c>
      <c r="C47" s="114" t="s">
        <v>1143</v>
      </c>
      <c r="D47" s="423">
        <f>VLOOKUP(C47,'Part List'!B:D,2,FALSE)</f>
        <v>999999</v>
      </c>
      <c r="H47" s="423" t="e">
        <f>VLOOKUP(G47,'Part List'!B:D,2,FALSE)</f>
        <v>#N/A</v>
      </c>
    </row>
    <row r="48" spans="1:8" x14ac:dyDescent="0.4">
      <c r="A48" s="114" t="s">
        <v>1144</v>
      </c>
      <c r="B48" s="114" t="s">
        <v>1073</v>
      </c>
      <c r="C48" s="114" t="s">
        <v>1145</v>
      </c>
      <c r="D48" s="423">
        <f>VLOOKUP(C48,'Part List'!B:D,2,FALSE)</f>
        <v>999999</v>
      </c>
      <c r="H48" s="423" t="e">
        <f>VLOOKUP(G48,'Part List'!B:D,2,FALSE)</f>
        <v>#N/A</v>
      </c>
    </row>
    <row r="49" spans="1:8" x14ac:dyDescent="0.4">
      <c r="A49" s="114" t="s">
        <v>1146</v>
      </c>
      <c r="B49" s="114" t="s">
        <v>1073</v>
      </c>
      <c r="C49" s="114" t="s">
        <v>1147</v>
      </c>
      <c r="D49" s="423">
        <f>VLOOKUP(C49,'Part List'!B:D,2,FALSE)</f>
        <v>999999</v>
      </c>
      <c r="H49" s="423" t="e">
        <f>VLOOKUP(G49,'Part List'!B:D,2,FALSE)</f>
        <v>#N/A</v>
      </c>
    </row>
    <row r="50" spans="1:8" x14ac:dyDescent="0.4">
      <c r="A50" s="114" t="s">
        <v>1148</v>
      </c>
      <c r="B50" s="114" t="s">
        <v>1073</v>
      </c>
      <c r="C50" s="114" t="s">
        <v>1149</v>
      </c>
      <c r="D50" s="423">
        <f>VLOOKUP(C50,'Part List'!B:D,2,FALSE)</f>
        <v>999999</v>
      </c>
      <c r="H50" s="423" t="e">
        <f>VLOOKUP(G50,'Part List'!B:D,2,FALSE)</f>
        <v>#N/A</v>
      </c>
    </row>
    <row r="51" spans="1:8" x14ac:dyDescent="0.4">
      <c r="A51" s="114" t="s">
        <v>1150</v>
      </c>
      <c r="B51" s="114" t="s">
        <v>1073</v>
      </c>
      <c r="C51" s="114" t="s">
        <v>1151</v>
      </c>
      <c r="D51" s="423">
        <f>VLOOKUP(C51,'Part List'!B:D,2,FALSE)</f>
        <v>999999</v>
      </c>
      <c r="H51" s="423" t="e">
        <f>VLOOKUP(G51,'Part List'!B:D,2,FALSE)</f>
        <v>#N/A</v>
      </c>
    </row>
    <row r="52" spans="1:8" x14ac:dyDescent="0.4">
      <c r="A52" s="114" t="s">
        <v>1152</v>
      </c>
      <c r="B52" s="114" t="s">
        <v>1073</v>
      </c>
      <c r="C52" s="114" t="s">
        <v>1153</v>
      </c>
      <c r="D52" s="423">
        <f>VLOOKUP(C52,'Part List'!B:D,2,FALSE)</f>
        <v>999999</v>
      </c>
      <c r="H52" s="423" t="e">
        <f>VLOOKUP(G52,'Part List'!B:D,2,FALSE)</f>
        <v>#N/A</v>
      </c>
    </row>
    <row r="53" spans="1:8" x14ac:dyDescent="0.4">
      <c r="A53" s="114" t="s">
        <v>1154</v>
      </c>
      <c r="B53" s="114" t="s">
        <v>1073</v>
      </c>
      <c r="C53" s="114" t="s">
        <v>1155</v>
      </c>
      <c r="D53" s="423">
        <f>VLOOKUP(C53,'Part List'!B:D,2,FALSE)</f>
        <v>999999</v>
      </c>
      <c r="H53" s="423" t="e">
        <f>VLOOKUP(G53,'Part List'!B:D,2,FALSE)</f>
        <v>#N/A</v>
      </c>
    </row>
    <row r="54" spans="1:8" x14ac:dyDescent="0.4">
      <c r="A54" s="114" t="s">
        <v>1156</v>
      </c>
      <c r="B54" s="114" t="s">
        <v>1073</v>
      </c>
      <c r="C54" s="114" t="s">
        <v>1157</v>
      </c>
      <c r="D54" s="423">
        <f>VLOOKUP(C54,'Part List'!B:D,2,FALSE)</f>
        <v>999999</v>
      </c>
      <c r="H54" s="423" t="e">
        <f>VLOOKUP(G54,'Part List'!B:D,2,FALSE)</f>
        <v>#N/A</v>
      </c>
    </row>
    <row r="55" spans="1:8" x14ac:dyDescent="0.4">
      <c r="A55" s="114" t="s">
        <v>1158</v>
      </c>
      <c r="B55" s="114" t="s">
        <v>1073</v>
      </c>
      <c r="C55" s="114" t="s">
        <v>1159</v>
      </c>
      <c r="D55" s="423">
        <f>VLOOKUP(C55,'Part List'!B:D,2,FALSE)</f>
        <v>999999</v>
      </c>
      <c r="H55" s="423" t="e">
        <f>VLOOKUP(G55,'Part List'!B:D,2,FALSE)</f>
        <v>#N/A</v>
      </c>
    </row>
    <row r="56" spans="1:8" x14ac:dyDescent="0.4">
      <c r="A56" s="114" t="s">
        <v>1160</v>
      </c>
      <c r="B56" s="114" t="s">
        <v>1073</v>
      </c>
      <c r="C56" s="114" t="s">
        <v>1161</v>
      </c>
      <c r="D56" s="423">
        <f>VLOOKUP(C56,'Part List'!B:D,2,FALSE)</f>
        <v>999999</v>
      </c>
      <c r="H56" s="423" t="e">
        <f>VLOOKUP(G56,'Part List'!B:D,2,FALSE)</f>
        <v>#N/A</v>
      </c>
    </row>
    <row r="57" spans="1:8" x14ac:dyDescent="0.4">
      <c r="A57" s="114" t="s">
        <v>1162</v>
      </c>
      <c r="B57" s="114" t="s">
        <v>1073</v>
      </c>
      <c r="C57" s="114" t="s">
        <v>1163</v>
      </c>
      <c r="D57" s="423">
        <f>VLOOKUP(C57,'Part List'!B:D,2,FALSE)</f>
        <v>999999</v>
      </c>
      <c r="H57" s="423" t="e">
        <f>VLOOKUP(G57,'Part List'!B:D,2,FALSE)</f>
        <v>#N/A</v>
      </c>
    </row>
    <row r="58" spans="1:8" x14ac:dyDescent="0.4">
      <c r="A58" s="114" t="s">
        <v>1164</v>
      </c>
      <c r="B58" s="114" t="s">
        <v>1073</v>
      </c>
      <c r="C58" s="114" t="s">
        <v>1165</v>
      </c>
      <c r="D58" s="423">
        <f>VLOOKUP(C58,'Part List'!B:D,2,FALSE)</f>
        <v>999999</v>
      </c>
      <c r="H58" s="423" t="e">
        <f>VLOOKUP(G58,'Part List'!B:D,2,FALSE)</f>
        <v>#N/A</v>
      </c>
    </row>
    <row r="59" spans="1:8" x14ac:dyDescent="0.4">
      <c r="A59" s="114" t="s">
        <v>1166</v>
      </c>
      <c r="B59" s="114" t="s">
        <v>1073</v>
      </c>
      <c r="C59" s="114" t="s">
        <v>1167</v>
      </c>
      <c r="D59" s="423">
        <f>VLOOKUP(C59,'Part List'!B:D,2,FALSE)</f>
        <v>999999</v>
      </c>
      <c r="H59" s="423" t="e">
        <f>VLOOKUP(G59,'Part List'!B:D,2,FALSE)</f>
        <v>#N/A</v>
      </c>
    </row>
    <row r="60" spans="1:8" x14ac:dyDescent="0.4">
      <c r="A60" s="114" t="s">
        <v>1168</v>
      </c>
      <c r="B60" s="114" t="s">
        <v>1073</v>
      </c>
      <c r="C60" s="114" t="s">
        <v>1169</v>
      </c>
      <c r="D60" s="423">
        <f>VLOOKUP(C60,'Part List'!B:D,2,FALSE)</f>
        <v>999999</v>
      </c>
      <c r="H60" s="423" t="e">
        <f>VLOOKUP(G60,'Part List'!B:D,2,FALSE)</f>
        <v>#N/A</v>
      </c>
    </row>
    <row r="61" spans="1:8" x14ac:dyDescent="0.4">
      <c r="A61" s="114" t="s">
        <v>1170</v>
      </c>
      <c r="B61" s="114" t="s">
        <v>1073</v>
      </c>
      <c r="C61" s="114" t="s">
        <v>1171</v>
      </c>
      <c r="D61" s="423">
        <f>VLOOKUP(C61,'Part List'!B:D,2,FALSE)</f>
        <v>999999</v>
      </c>
      <c r="H61" s="423" t="e">
        <f>VLOOKUP(G61,'Part List'!B:D,2,FALSE)</f>
        <v>#N/A</v>
      </c>
    </row>
    <row r="62" spans="1:8" x14ac:dyDescent="0.4">
      <c r="A62" s="114" t="s">
        <v>1172</v>
      </c>
      <c r="B62" s="114" t="s">
        <v>1073</v>
      </c>
      <c r="C62" s="114" t="s">
        <v>1173</v>
      </c>
      <c r="D62" s="423">
        <f>VLOOKUP(C62,'Part List'!B:D,2,FALSE)</f>
        <v>999999</v>
      </c>
      <c r="H62" s="423" t="e">
        <f>VLOOKUP(G62,'Part List'!B:D,2,FALSE)</f>
        <v>#N/A</v>
      </c>
    </row>
    <row r="63" spans="1:8" x14ac:dyDescent="0.4">
      <c r="A63" s="114" t="s">
        <v>1174</v>
      </c>
      <c r="B63" s="114" t="s">
        <v>1073</v>
      </c>
      <c r="C63" s="114" t="s">
        <v>1175</v>
      </c>
      <c r="D63" s="423">
        <f>VLOOKUP(C63,'Part List'!B:D,2,FALSE)</f>
        <v>999999</v>
      </c>
      <c r="H63" s="423" t="e">
        <f>VLOOKUP(G63,'Part List'!B:D,2,FALSE)</f>
        <v>#N/A</v>
      </c>
    </row>
    <row r="64" spans="1:8" x14ac:dyDescent="0.4">
      <c r="A64" s="114" t="s">
        <v>1176</v>
      </c>
      <c r="B64" s="114" t="s">
        <v>1073</v>
      </c>
      <c r="C64" s="114" t="s">
        <v>1177</v>
      </c>
      <c r="D64" s="423">
        <f>VLOOKUP(C64,'Part List'!B:D,2,FALSE)</f>
        <v>999999</v>
      </c>
      <c r="H64" s="423" t="e">
        <f>VLOOKUP(G64,'Part List'!B:D,2,FALSE)</f>
        <v>#N/A</v>
      </c>
    </row>
    <row r="65" spans="1:8" x14ac:dyDescent="0.4">
      <c r="A65" s="114" t="s">
        <v>1178</v>
      </c>
      <c r="B65" s="114" t="s">
        <v>1073</v>
      </c>
      <c r="C65" s="114" t="s">
        <v>1179</v>
      </c>
      <c r="D65" s="423">
        <f>VLOOKUP(C65,'Part List'!B:D,2,FALSE)</f>
        <v>999999</v>
      </c>
      <c r="H65" s="423" t="e">
        <f>VLOOKUP(G65,'Part List'!B:D,2,FALSE)</f>
        <v>#N/A</v>
      </c>
    </row>
    <row r="66" spans="1:8" x14ac:dyDescent="0.4">
      <c r="A66" s="114" t="s">
        <v>1180</v>
      </c>
      <c r="B66" s="114" t="s">
        <v>1073</v>
      </c>
      <c r="C66" s="114" t="s">
        <v>1181</v>
      </c>
      <c r="D66" s="423">
        <f>VLOOKUP(C66,'Part List'!B:D,2,FALSE)</f>
        <v>999999</v>
      </c>
      <c r="H66" s="423" t="e">
        <f>VLOOKUP(G66,'Part List'!B:D,2,FALSE)</f>
        <v>#N/A</v>
      </c>
    </row>
    <row r="67" spans="1:8" x14ac:dyDescent="0.4">
      <c r="A67" s="114" t="s">
        <v>1182</v>
      </c>
      <c r="B67" s="114" t="s">
        <v>1073</v>
      </c>
      <c r="C67" s="114" t="s">
        <v>1183</v>
      </c>
      <c r="D67" s="423">
        <f>VLOOKUP(C67,'Part List'!B:D,2,FALSE)</f>
        <v>999999</v>
      </c>
      <c r="H67" s="423" t="e">
        <f>VLOOKUP(G67,'Part List'!B:D,2,FALSE)</f>
        <v>#N/A</v>
      </c>
    </row>
    <row r="68" spans="1:8" x14ac:dyDescent="0.4">
      <c r="A68" s="114" t="s">
        <v>1184</v>
      </c>
      <c r="B68" s="114" t="s">
        <v>1073</v>
      </c>
      <c r="C68" s="114" t="s">
        <v>1185</v>
      </c>
      <c r="D68" s="423">
        <f>VLOOKUP(C68,'Part List'!B:D,2,FALSE)</f>
        <v>999999</v>
      </c>
      <c r="H68" s="423" t="e">
        <f>VLOOKUP(G68,'Part List'!B:D,2,FALSE)</f>
        <v>#N/A</v>
      </c>
    </row>
    <row r="69" spans="1:8" x14ac:dyDescent="0.4">
      <c r="A69" s="114" t="s">
        <v>1186</v>
      </c>
      <c r="B69" s="114" t="s">
        <v>1073</v>
      </c>
      <c r="C69" s="114" t="s">
        <v>1187</v>
      </c>
      <c r="D69" s="423">
        <f>VLOOKUP(C69,'Part List'!B:D,2,FALSE)</f>
        <v>999999</v>
      </c>
      <c r="H69" s="423" t="e">
        <f>VLOOKUP(G69,'Part List'!B:D,2,FALSE)</f>
        <v>#N/A</v>
      </c>
    </row>
    <row r="70" spans="1:8" x14ac:dyDescent="0.4">
      <c r="A70" s="114" t="s">
        <v>1188</v>
      </c>
      <c r="B70" s="114" t="s">
        <v>1073</v>
      </c>
      <c r="C70" s="114" t="s">
        <v>1189</v>
      </c>
      <c r="D70" s="423">
        <f>VLOOKUP(C70,'Part List'!B:D,2,FALSE)</f>
        <v>999999</v>
      </c>
      <c r="H70" s="423" t="e">
        <f>VLOOKUP(G70,'Part List'!B:D,2,FALSE)</f>
        <v>#N/A</v>
      </c>
    </row>
    <row r="71" spans="1:8" x14ac:dyDescent="0.4">
      <c r="A71" s="114" t="s">
        <v>1190</v>
      </c>
      <c r="B71" s="114" t="s">
        <v>1073</v>
      </c>
      <c r="C71" s="114" t="s">
        <v>1191</v>
      </c>
      <c r="D71" s="423">
        <f>VLOOKUP(C71,'Part List'!B:D,2,FALSE)</f>
        <v>999999</v>
      </c>
      <c r="H71" s="423" t="e">
        <f>VLOOKUP(G71,'Part List'!B:D,2,FALSE)</f>
        <v>#N/A</v>
      </c>
    </row>
    <row r="72" spans="1:8" x14ac:dyDescent="0.4">
      <c r="A72" s="114" t="s">
        <v>1192</v>
      </c>
      <c r="B72" s="114" t="s">
        <v>1073</v>
      </c>
      <c r="C72" s="114" t="s">
        <v>1193</v>
      </c>
      <c r="D72" s="423">
        <f>VLOOKUP(C72,'Part List'!B:D,2,FALSE)</f>
        <v>999999</v>
      </c>
      <c r="H72" s="423" t="e">
        <f>VLOOKUP(G72,'Part List'!B:D,2,FALSE)</f>
        <v>#N/A</v>
      </c>
    </row>
    <row r="73" spans="1:8" x14ac:dyDescent="0.4">
      <c r="A73" s="114" t="s">
        <v>1194</v>
      </c>
      <c r="B73" s="114" t="s">
        <v>1073</v>
      </c>
      <c r="C73" s="114" t="s">
        <v>1195</v>
      </c>
      <c r="D73" s="423">
        <f>VLOOKUP(C73,'Part List'!B:D,2,FALSE)</f>
        <v>999999</v>
      </c>
      <c r="H73" s="423" t="e">
        <f>VLOOKUP(G73,'Part List'!B:D,2,FALSE)</f>
        <v>#N/A</v>
      </c>
    </row>
    <row r="74" spans="1:8" x14ac:dyDescent="0.4">
      <c r="A74" s="114" t="s">
        <v>1196</v>
      </c>
      <c r="B74" s="114" t="s">
        <v>1073</v>
      </c>
      <c r="C74" s="114" t="s">
        <v>1197</v>
      </c>
      <c r="D74" s="423">
        <f>VLOOKUP(C74,'Part List'!B:D,2,FALSE)</f>
        <v>999999</v>
      </c>
      <c r="H74" s="423" t="e">
        <f>VLOOKUP(G74,'Part List'!B:D,2,FALSE)</f>
        <v>#N/A</v>
      </c>
    </row>
    <row r="75" spans="1:8" x14ac:dyDescent="0.4">
      <c r="A75" s="114" t="s">
        <v>1198</v>
      </c>
      <c r="B75" s="114" t="s">
        <v>1073</v>
      </c>
      <c r="C75" s="114" t="s">
        <v>1199</v>
      </c>
      <c r="D75" s="423">
        <f>VLOOKUP(C75,'Part List'!B:D,2,FALSE)</f>
        <v>999999</v>
      </c>
      <c r="H75" s="423" t="e">
        <f>VLOOKUP(G75,'Part List'!B:D,2,FALSE)</f>
        <v>#N/A</v>
      </c>
    </row>
    <row r="76" spans="1:8" x14ac:dyDescent="0.4">
      <c r="A76" s="114" t="s">
        <v>1200</v>
      </c>
      <c r="B76" s="114" t="s">
        <v>1073</v>
      </c>
      <c r="C76" s="114" t="s">
        <v>1201</v>
      </c>
      <c r="D76" s="423">
        <f>VLOOKUP(C76,'Part List'!B:D,2,FALSE)</f>
        <v>999999</v>
      </c>
      <c r="H76" s="423" t="e">
        <f>VLOOKUP(G76,'Part List'!B:D,2,FALSE)</f>
        <v>#N/A</v>
      </c>
    </row>
    <row r="77" spans="1:8" x14ac:dyDescent="0.4">
      <c r="A77" s="114" t="s">
        <v>1202</v>
      </c>
      <c r="B77" s="114" t="s">
        <v>1073</v>
      </c>
      <c r="C77" s="114" t="s">
        <v>1203</v>
      </c>
      <c r="D77" s="423">
        <f>VLOOKUP(C77,'Part List'!B:D,2,FALSE)</f>
        <v>999999</v>
      </c>
      <c r="H77" s="423" t="e">
        <f>VLOOKUP(G77,'Part List'!B:D,2,FALSE)</f>
        <v>#N/A</v>
      </c>
    </row>
    <row r="78" spans="1:8" x14ac:dyDescent="0.4">
      <c r="A78" s="114" t="s">
        <v>1204</v>
      </c>
      <c r="B78" s="114" t="s">
        <v>1073</v>
      </c>
      <c r="C78" s="114" t="s">
        <v>1205</v>
      </c>
      <c r="D78" s="423">
        <f>VLOOKUP(C78,'Part List'!B:D,2,FALSE)</f>
        <v>999999</v>
      </c>
      <c r="H78" s="423" t="e">
        <f>VLOOKUP(G78,'Part List'!B:D,2,FALSE)</f>
        <v>#N/A</v>
      </c>
    </row>
    <row r="79" spans="1:8" x14ac:dyDescent="0.4">
      <c r="A79" s="114" t="s">
        <v>1206</v>
      </c>
      <c r="B79" s="114" t="s">
        <v>1073</v>
      </c>
      <c r="C79" s="114" t="s">
        <v>1207</v>
      </c>
      <c r="D79" s="423">
        <f>VLOOKUP(C79,'Part List'!B:D,2,FALSE)</f>
        <v>999999</v>
      </c>
      <c r="H79" s="423" t="e">
        <f>VLOOKUP(G79,'Part List'!B:D,2,FALSE)</f>
        <v>#N/A</v>
      </c>
    </row>
    <row r="80" spans="1:8" x14ac:dyDescent="0.4">
      <c r="A80" s="114" t="s">
        <v>1208</v>
      </c>
      <c r="B80" s="114" t="s">
        <v>1073</v>
      </c>
      <c r="C80" s="114" t="s">
        <v>1209</v>
      </c>
      <c r="D80" s="423">
        <f>VLOOKUP(C80,'Part List'!B:D,2,FALSE)</f>
        <v>999999</v>
      </c>
      <c r="H80" s="423" t="e">
        <f>VLOOKUP(G80,'Part List'!B:D,2,FALSE)</f>
        <v>#N/A</v>
      </c>
    </row>
    <row r="81" spans="1:8" x14ac:dyDescent="0.4">
      <c r="A81" s="114" t="s">
        <v>1210</v>
      </c>
      <c r="B81" s="114" t="s">
        <v>1073</v>
      </c>
      <c r="C81" s="114" t="s">
        <v>1211</v>
      </c>
      <c r="D81" s="423">
        <f>VLOOKUP(C81,'Part List'!B:D,2,FALSE)</f>
        <v>999999</v>
      </c>
      <c r="H81" s="423" t="e">
        <f>VLOOKUP(G81,'Part List'!B:D,2,FALSE)</f>
        <v>#N/A</v>
      </c>
    </row>
    <row r="82" spans="1:8" x14ac:dyDescent="0.4">
      <c r="A82" s="114" t="s">
        <v>1212</v>
      </c>
      <c r="B82" s="114" t="s">
        <v>1073</v>
      </c>
      <c r="C82" s="114" t="s">
        <v>1213</v>
      </c>
      <c r="D82" s="423">
        <f>VLOOKUP(C82,'Part List'!B:D,2,FALSE)</f>
        <v>999999</v>
      </c>
      <c r="H82" s="423" t="e">
        <f>VLOOKUP(G82,'Part List'!B:D,2,FALSE)</f>
        <v>#N/A</v>
      </c>
    </row>
    <row r="83" spans="1:8" x14ac:dyDescent="0.4">
      <c r="A83" s="114" t="s">
        <v>1214</v>
      </c>
      <c r="B83" s="114" t="s">
        <v>1073</v>
      </c>
      <c r="C83" s="114" t="s">
        <v>1215</v>
      </c>
      <c r="D83" s="423">
        <f>VLOOKUP(C83,'Part List'!B:D,2,FALSE)</f>
        <v>999999</v>
      </c>
      <c r="H83" s="423" t="e">
        <f>VLOOKUP(G83,'Part List'!B:D,2,FALSE)</f>
        <v>#N/A</v>
      </c>
    </row>
    <row r="84" spans="1:8" x14ac:dyDescent="0.4">
      <c r="A84" s="114" t="s">
        <v>1216</v>
      </c>
      <c r="B84" s="114" t="s">
        <v>1073</v>
      </c>
      <c r="C84" s="114" t="s">
        <v>1217</v>
      </c>
      <c r="D84" s="423">
        <f>VLOOKUP(C84,'Part List'!B:D,2,FALSE)</f>
        <v>999999</v>
      </c>
      <c r="H84" s="423" t="e">
        <f>VLOOKUP(G84,'Part List'!B:D,2,FALSE)</f>
        <v>#N/A</v>
      </c>
    </row>
    <row r="85" spans="1:8" x14ac:dyDescent="0.4">
      <c r="A85" s="114" t="s">
        <v>1218</v>
      </c>
      <c r="B85" s="114" t="s">
        <v>1073</v>
      </c>
      <c r="C85" s="114" t="s">
        <v>1219</v>
      </c>
      <c r="D85" s="423">
        <f>VLOOKUP(C85,'Part List'!B:D,2,FALSE)</f>
        <v>999999</v>
      </c>
      <c r="H85" s="423" t="e">
        <f>VLOOKUP(G85,'Part List'!B:D,2,FALSE)</f>
        <v>#N/A</v>
      </c>
    </row>
    <row r="86" spans="1:8" x14ac:dyDescent="0.4">
      <c r="A86" s="114" t="s">
        <v>1220</v>
      </c>
      <c r="B86" s="114" t="s">
        <v>1073</v>
      </c>
      <c r="C86" s="114" t="s">
        <v>1221</v>
      </c>
      <c r="D86" s="423">
        <f>VLOOKUP(C86,'Part List'!B:D,2,FALSE)</f>
        <v>999999</v>
      </c>
      <c r="H86" s="423" t="e">
        <f>VLOOKUP(G86,'Part List'!B:D,2,FALSE)</f>
        <v>#N/A</v>
      </c>
    </row>
    <row r="87" spans="1:8" x14ac:dyDescent="0.4">
      <c r="A87" s="114" t="s">
        <v>1222</v>
      </c>
      <c r="B87" s="114" t="s">
        <v>1073</v>
      </c>
      <c r="C87" s="114" t="s">
        <v>1223</v>
      </c>
      <c r="D87" s="423">
        <f>VLOOKUP(C87,'Part List'!B:D,2,FALSE)</f>
        <v>999999</v>
      </c>
      <c r="H87" s="423" t="e">
        <f>VLOOKUP(G87,'Part List'!B:D,2,FALSE)</f>
        <v>#N/A</v>
      </c>
    </row>
    <row r="88" spans="1:8" x14ac:dyDescent="0.4">
      <c r="A88" s="114" t="s">
        <v>1224</v>
      </c>
      <c r="B88" s="114" t="s">
        <v>1073</v>
      </c>
      <c r="C88" s="114" t="s">
        <v>1225</v>
      </c>
      <c r="D88" s="423">
        <f>VLOOKUP(C88,'Part List'!B:D,2,FALSE)</f>
        <v>999999</v>
      </c>
      <c r="H88" s="423" t="e">
        <f>VLOOKUP(G88,'Part List'!B:D,2,FALSE)</f>
        <v>#N/A</v>
      </c>
    </row>
    <row r="89" spans="1:8" x14ac:dyDescent="0.4">
      <c r="A89" s="114" t="s">
        <v>1226</v>
      </c>
      <c r="B89" s="114" t="s">
        <v>1073</v>
      </c>
      <c r="C89" s="114" t="s">
        <v>1227</v>
      </c>
      <c r="D89" s="423">
        <f>VLOOKUP(C89,'Part List'!B:D,2,FALSE)</f>
        <v>999999</v>
      </c>
      <c r="H89" s="423" t="e">
        <f>VLOOKUP(G89,'Part List'!B:D,2,FALSE)</f>
        <v>#N/A</v>
      </c>
    </row>
    <row r="90" spans="1:8" x14ac:dyDescent="0.4">
      <c r="A90" s="114" t="s">
        <v>1228</v>
      </c>
      <c r="B90" s="114" t="s">
        <v>1073</v>
      </c>
      <c r="C90" s="114" t="s">
        <v>1229</v>
      </c>
      <c r="D90" s="423">
        <f>VLOOKUP(C90,'Part List'!B:D,2,FALSE)</f>
        <v>999999</v>
      </c>
      <c r="H90" s="423" t="e">
        <f>VLOOKUP(G90,'Part List'!B:D,2,FALSE)</f>
        <v>#N/A</v>
      </c>
    </row>
    <row r="91" spans="1:8" x14ac:dyDescent="0.4">
      <c r="A91" s="114" t="s">
        <v>1230</v>
      </c>
      <c r="B91" s="114" t="s">
        <v>1073</v>
      </c>
      <c r="C91" s="114" t="s">
        <v>1231</v>
      </c>
      <c r="D91" s="423">
        <f>VLOOKUP(C91,'Part List'!B:D,2,FALSE)</f>
        <v>999999</v>
      </c>
      <c r="H91" s="423" t="e">
        <f>VLOOKUP(G91,'Part List'!B:D,2,FALSE)</f>
        <v>#N/A</v>
      </c>
    </row>
    <row r="92" spans="1:8" x14ac:dyDescent="0.4">
      <c r="A92" s="114" t="s">
        <v>1232</v>
      </c>
      <c r="B92" s="114" t="s">
        <v>834</v>
      </c>
      <c r="C92" s="114" t="s">
        <v>1232</v>
      </c>
      <c r="D92" s="423">
        <f>VLOOKUP(C92,'Part List'!B:D,2,FALSE)</f>
        <v>62</v>
      </c>
      <c r="H92" s="423" t="e">
        <f>VLOOKUP(G92,'Part List'!B:D,2,FALSE)</f>
        <v>#N/A</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S131"/>
  <sheetViews>
    <sheetView topLeftCell="B1" workbookViewId="0">
      <pane ySplit="1" topLeftCell="A90" activePane="bottomLeft" state="frozen"/>
      <selection pane="bottomLeft" activeCell="B103" sqref="B103"/>
    </sheetView>
  </sheetViews>
  <sheetFormatPr defaultRowHeight="14.6" x14ac:dyDescent="0.4"/>
  <cols>
    <col min="1" max="1" width="18.3046875" customWidth="1"/>
    <col min="2" max="2" width="42.3046875" customWidth="1"/>
    <col min="3" max="3" width="16.84375" customWidth="1"/>
    <col min="6" max="6" width="22.15234375" customWidth="1"/>
    <col min="8" max="8" width="9.3046875" style="303"/>
    <col min="9" max="9" width="35.53515625" customWidth="1"/>
    <col min="10" max="10" width="13" style="297" customWidth="1"/>
    <col min="11" max="11" width="9.3046875" style="297" customWidth="1"/>
    <col min="12" max="13" width="9.84375" style="297" customWidth="1"/>
  </cols>
  <sheetData>
    <row r="1" spans="1:19" x14ac:dyDescent="0.4">
      <c r="I1" s="299" t="s">
        <v>741</v>
      </c>
      <c r="J1" s="299" t="s">
        <v>742</v>
      </c>
      <c r="K1" s="299" t="s">
        <v>743</v>
      </c>
      <c r="L1" s="299" t="s">
        <v>791</v>
      </c>
      <c r="M1" s="299" t="s">
        <v>793</v>
      </c>
      <c r="N1" s="33" t="s">
        <v>751</v>
      </c>
      <c r="O1" s="295" t="s">
        <v>792</v>
      </c>
      <c r="P1" s="299" t="s">
        <v>750</v>
      </c>
      <c r="R1" s="299" t="s">
        <v>741</v>
      </c>
      <c r="S1" s="33" t="s">
        <v>751</v>
      </c>
    </row>
    <row r="2" spans="1:19" x14ac:dyDescent="0.4">
      <c r="B2" s="32"/>
      <c r="C2" s="32"/>
      <c r="D2" s="32" t="s">
        <v>369</v>
      </c>
      <c r="E2" s="295">
        <v>0.2</v>
      </c>
      <c r="F2" s="32"/>
      <c r="G2" s="32"/>
      <c r="I2" s="32"/>
      <c r="N2" s="32"/>
      <c r="O2" s="32"/>
      <c r="P2" s="32"/>
      <c r="R2" s="114">
        <f t="shared" ref="R2:R16" si="0">IF($O2=0,I2,0)</f>
        <v>0</v>
      </c>
      <c r="S2" s="114">
        <f t="shared" ref="S2:S16" si="1">IF($O2=0,N2,0)</f>
        <v>0</v>
      </c>
    </row>
    <row r="3" spans="1:19" x14ac:dyDescent="0.4">
      <c r="R3" s="114">
        <f t="shared" si="0"/>
        <v>0</v>
      </c>
      <c r="S3" s="114">
        <f t="shared" si="1"/>
        <v>0</v>
      </c>
    </row>
    <row r="4" spans="1:19" ht="20.6" x14ac:dyDescent="0.55000000000000004">
      <c r="B4" s="35"/>
      <c r="C4" s="32"/>
      <c r="D4" s="32"/>
      <c r="E4" s="32"/>
      <c r="F4" s="32"/>
      <c r="G4" s="32"/>
      <c r="I4" s="32"/>
      <c r="N4" s="32"/>
      <c r="O4" s="32"/>
      <c r="P4" s="32"/>
      <c r="R4" s="114">
        <f t="shared" si="0"/>
        <v>0</v>
      </c>
      <c r="S4" s="114">
        <f t="shared" si="1"/>
        <v>0</v>
      </c>
    </row>
    <row r="5" spans="1:19" ht="15.9" x14ac:dyDescent="0.45">
      <c r="B5" s="34" t="s">
        <v>221</v>
      </c>
      <c r="C5" s="32" t="s">
        <v>285</v>
      </c>
      <c r="D5" s="32"/>
      <c r="E5" s="32"/>
      <c r="F5" s="32"/>
      <c r="G5" s="32"/>
      <c r="I5" s="32"/>
      <c r="N5" s="32"/>
      <c r="O5" s="32"/>
      <c r="P5" s="32"/>
      <c r="R5" s="114">
        <f t="shared" si="0"/>
        <v>0</v>
      </c>
      <c r="S5" s="114">
        <f t="shared" si="1"/>
        <v>0</v>
      </c>
    </row>
    <row r="6" spans="1:19" x14ac:dyDescent="0.4">
      <c r="A6" t="s">
        <v>299</v>
      </c>
      <c r="B6" s="38" t="s">
        <v>222</v>
      </c>
      <c r="C6" s="50">
        <v>2</v>
      </c>
      <c r="D6" s="50"/>
      <c r="E6" s="38"/>
      <c r="F6" s="42"/>
      <c r="G6" s="32"/>
      <c r="I6" s="32"/>
      <c r="N6" s="32"/>
      <c r="O6" s="32"/>
      <c r="P6" s="32"/>
      <c r="R6" s="114">
        <f t="shared" si="0"/>
        <v>0</v>
      </c>
      <c r="S6" s="114">
        <f t="shared" si="1"/>
        <v>0</v>
      </c>
    </row>
    <row r="7" spans="1:19" s="32" customFormat="1" x14ac:dyDescent="0.4">
      <c r="B7" s="38" t="s">
        <v>297</v>
      </c>
      <c r="C7" s="50">
        <v>2</v>
      </c>
      <c r="D7" s="50"/>
      <c r="E7" s="38"/>
      <c r="F7" s="42"/>
      <c r="H7" s="303"/>
      <c r="J7" s="297"/>
      <c r="K7" s="297"/>
      <c r="L7" s="297"/>
      <c r="M7" s="297"/>
      <c r="R7" s="114">
        <f t="shared" si="0"/>
        <v>0</v>
      </c>
      <c r="S7" s="114">
        <f t="shared" si="1"/>
        <v>0</v>
      </c>
    </row>
    <row r="8" spans="1:19" s="114" customFormat="1" x14ac:dyDescent="0.4">
      <c r="B8" s="117" t="s">
        <v>478</v>
      </c>
      <c r="C8" s="145">
        <v>2</v>
      </c>
      <c r="D8" s="137"/>
      <c r="E8" s="117"/>
      <c r="F8" s="134"/>
      <c r="H8" s="303"/>
      <c r="J8" s="297"/>
      <c r="K8" s="297"/>
      <c r="L8" s="297"/>
      <c r="M8" s="297"/>
      <c r="R8" s="114">
        <f t="shared" si="0"/>
        <v>0</v>
      </c>
      <c r="S8" s="114">
        <f t="shared" si="1"/>
        <v>0</v>
      </c>
    </row>
    <row r="9" spans="1:19" s="32" customFormat="1" x14ac:dyDescent="0.4">
      <c r="B9" s="38" t="s">
        <v>302</v>
      </c>
      <c r="C9" s="50">
        <v>0.5</v>
      </c>
      <c r="D9" s="50"/>
      <c r="E9" s="38"/>
      <c r="F9" s="42"/>
      <c r="H9" s="303"/>
      <c r="J9" s="297"/>
      <c r="K9" s="297"/>
      <c r="L9" s="297"/>
      <c r="M9" s="297"/>
      <c r="R9" s="114">
        <f t="shared" si="0"/>
        <v>0</v>
      </c>
      <c r="S9" s="114">
        <f t="shared" si="1"/>
        <v>0</v>
      </c>
    </row>
    <row r="10" spans="1:19" x14ac:dyDescent="0.4">
      <c r="B10" s="43" t="s">
        <v>286</v>
      </c>
      <c r="C10" s="50">
        <v>4</v>
      </c>
      <c r="D10" s="50"/>
      <c r="E10" s="43"/>
      <c r="F10" s="44"/>
      <c r="G10" s="32"/>
      <c r="I10" s="32"/>
      <c r="N10" s="32"/>
      <c r="O10" s="32"/>
      <c r="P10" s="32"/>
      <c r="R10" s="114">
        <f t="shared" si="0"/>
        <v>0</v>
      </c>
      <c r="S10" s="114">
        <f t="shared" si="1"/>
        <v>0</v>
      </c>
    </row>
    <row r="11" spans="1:19" x14ac:dyDescent="0.4">
      <c r="A11" t="s">
        <v>300</v>
      </c>
      <c r="B11" s="43" t="s">
        <v>428</v>
      </c>
      <c r="C11" s="50">
        <v>3.5</v>
      </c>
      <c r="D11" s="50"/>
      <c r="E11" s="43"/>
      <c r="F11" s="44"/>
      <c r="G11" s="32"/>
      <c r="I11" s="32"/>
      <c r="L11" s="297" t="s">
        <v>740</v>
      </c>
      <c r="N11" s="32"/>
      <c r="O11" s="32"/>
      <c r="P11" s="32"/>
      <c r="R11" s="114">
        <f t="shared" si="0"/>
        <v>0</v>
      </c>
      <c r="S11" s="114">
        <f t="shared" si="1"/>
        <v>0</v>
      </c>
    </row>
    <row r="12" spans="1:19" s="114" customFormat="1" x14ac:dyDescent="0.4">
      <c r="B12" s="117" t="s">
        <v>479</v>
      </c>
      <c r="C12" s="145">
        <v>3.5</v>
      </c>
      <c r="D12" s="137"/>
      <c r="E12" s="135"/>
      <c r="F12" s="136"/>
      <c r="H12" s="303"/>
      <c r="J12" s="297"/>
      <c r="K12" s="297"/>
      <c r="L12" s="297"/>
      <c r="M12" s="297"/>
      <c r="R12" s="114">
        <f t="shared" si="0"/>
        <v>0</v>
      </c>
      <c r="S12" s="114">
        <f t="shared" si="1"/>
        <v>0</v>
      </c>
    </row>
    <row r="13" spans="1:19" s="32" customFormat="1" x14ac:dyDescent="0.4">
      <c r="B13" s="43" t="s">
        <v>301</v>
      </c>
      <c r="C13" s="50">
        <v>2.5</v>
      </c>
      <c r="D13" s="50"/>
      <c r="E13" s="43"/>
      <c r="F13" s="44"/>
      <c r="H13" s="303"/>
      <c r="J13" s="297"/>
      <c r="K13" s="297"/>
      <c r="L13" s="297"/>
      <c r="M13" s="297"/>
      <c r="R13" s="114">
        <f t="shared" si="0"/>
        <v>0</v>
      </c>
      <c r="S13" s="114">
        <f t="shared" si="1"/>
        <v>0</v>
      </c>
    </row>
    <row r="14" spans="1:19" x14ac:dyDescent="0.4">
      <c r="B14" s="52" t="s">
        <v>224</v>
      </c>
      <c r="C14" s="54">
        <v>1.5</v>
      </c>
      <c r="D14" s="50"/>
      <c r="E14" s="52"/>
      <c r="F14" s="53"/>
      <c r="G14" s="32"/>
      <c r="I14" s="32"/>
      <c r="N14" s="32"/>
      <c r="O14" s="32"/>
      <c r="P14" s="32"/>
      <c r="R14" s="114">
        <f t="shared" si="0"/>
        <v>0</v>
      </c>
      <c r="S14" s="114">
        <f t="shared" si="1"/>
        <v>0</v>
      </c>
    </row>
    <row r="15" spans="1:19" x14ac:dyDescent="0.4">
      <c r="B15" s="52" t="s">
        <v>225</v>
      </c>
      <c r="C15" s="54">
        <v>0.75</v>
      </c>
      <c r="D15" s="50"/>
      <c r="E15" s="52"/>
      <c r="F15" s="53"/>
      <c r="G15" s="32"/>
      <c r="I15" s="32"/>
      <c r="N15" s="32"/>
      <c r="O15" s="32"/>
      <c r="P15" s="32"/>
      <c r="R15" s="114">
        <f t="shared" si="0"/>
        <v>0</v>
      </c>
      <c r="S15" s="114">
        <f t="shared" si="1"/>
        <v>0</v>
      </c>
    </row>
    <row r="16" spans="1:19" x14ac:dyDescent="0.4">
      <c r="B16" s="52" t="s">
        <v>226</v>
      </c>
      <c r="C16" s="54">
        <v>0.5</v>
      </c>
      <c r="D16" s="50"/>
      <c r="E16" s="52"/>
      <c r="F16" s="53"/>
      <c r="G16" s="48"/>
      <c r="I16" s="32"/>
      <c r="N16" s="32"/>
      <c r="O16" s="32"/>
      <c r="P16" s="32"/>
      <c r="R16" s="114">
        <f t="shared" si="0"/>
        <v>0</v>
      </c>
      <c r="S16" s="114">
        <f t="shared" si="1"/>
        <v>0</v>
      </c>
    </row>
    <row r="17" spans="2:19" x14ac:dyDescent="0.4">
      <c r="B17" s="52" t="s">
        <v>227</v>
      </c>
      <c r="C17" s="54">
        <v>0.5</v>
      </c>
      <c r="D17" s="50"/>
      <c r="E17" s="52"/>
      <c r="F17" s="53"/>
      <c r="G17" s="48"/>
      <c r="I17" s="32"/>
      <c r="O17" s="32"/>
      <c r="P17" s="32"/>
      <c r="R17" s="114">
        <f t="shared" ref="R17:R80" si="2">IF($H17="#",I17,0)</f>
        <v>0</v>
      </c>
      <c r="S17" s="114">
        <f t="shared" ref="S17:S80" si="3">IF($H17="#",N17,0)</f>
        <v>0</v>
      </c>
    </row>
    <row r="18" spans="2:19" x14ac:dyDescent="0.4">
      <c r="B18" s="52" t="s">
        <v>228</v>
      </c>
      <c r="C18" s="54">
        <v>2</v>
      </c>
      <c r="D18" s="50"/>
      <c r="E18" s="52"/>
      <c r="F18" s="53"/>
      <c r="G18" s="48"/>
      <c r="I18" s="32"/>
      <c r="N18" s="32"/>
      <c r="O18" s="32"/>
      <c r="P18" s="32"/>
      <c r="R18" s="114">
        <f t="shared" si="2"/>
        <v>0</v>
      </c>
      <c r="S18" s="114">
        <f t="shared" si="3"/>
        <v>0</v>
      </c>
    </row>
    <row r="19" spans="2:19" x14ac:dyDescent="0.4">
      <c r="B19" s="52" t="s">
        <v>229</v>
      </c>
      <c r="C19" s="54">
        <v>1</v>
      </c>
      <c r="D19" s="50"/>
      <c r="E19" s="52"/>
      <c r="F19" s="53"/>
      <c r="G19" s="48"/>
      <c r="I19" s="32"/>
      <c r="N19" s="32"/>
      <c r="O19" s="32"/>
      <c r="P19" s="32"/>
      <c r="R19" s="114">
        <f t="shared" si="2"/>
        <v>0</v>
      </c>
      <c r="S19" s="114">
        <f t="shared" si="3"/>
        <v>0</v>
      </c>
    </row>
    <row r="20" spans="2:19" x14ac:dyDescent="0.4">
      <c r="B20" s="43" t="s">
        <v>230</v>
      </c>
      <c r="C20" s="50">
        <v>0.5</v>
      </c>
      <c r="D20" s="50"/>
      <c r="E20" s="43"/>
      <c r="F20" s="44"/>
      <c r="G20" s="32"/>
      <c r="I20" s="32"/>
      <c r="N20" s="152" t="s">
        <v>458</v>
      </c>
      <c r="O20" s="32"/>
      <c r="P20" s="32"/>
      <c r="R20" s="114">
        <f t="shared" si="2"/>
        <v>0</v>
      </c>
      <c r="S20" s="114">
        <f t="shared" si="3"/>
        <v>0</v>
      </c>
    </row>
    <row r="21" spans="2:19" x14ac:dyDescent="0.4">
      <c r="B21" s="43" t="s">
        <v>231</v>
      </c>
      <c r="C21" s="50">
        <v>0.5</v>
      </c>
      <c r="D21" s="50"/>
      <c r="E21" s="43"/>
      <c r="F21" s="44"/>
      <c r="G21" s="32"/>
      <c r="I21" s="32"/>
      <c r="N21" s="122"/>
      <c r="O21" s="32"/>
      <c r="P21" s="32"/>
      <c r="R21" s="114">
        <f t="shared" si="2"/>
        <v>0</v>
      </c>
      <c r="S21" s="114">
        <f t="shared" si="3"/>
        <v>0</v>
      </c>
    </row>
    <row r="22" spans="2:19" x14ac:dyDescent="0.4">
      <c r="B22" s="43" t="s">
        <v>350</v>
      </c>
      <c r="C22" s="50">
        <v>4</v>
      </c>
      <c r="D22" s="50"/>
      <c r="E22" s="43"/>
      <c r="F22" s="44"/>
      <c r="G22" s="32"/>
      <c r="I22" s="32"/>
      <c r="N22" s="152" t="s">
        <v>459</v>
      </c>
      <c r="O22" s="32"/>
      <c r="P22" s="32"/>
      <c r="R22" s="114">
        <f t="shared" si="2"/>
        <v>0</v>
      </c>
      <c r="S22" s="114">
        <f t="shared" si="3"/>
        <v>0</v>
      </c>
    </row>
    <row r="23" spans="2:19" x14ac:dyDescent="0.4">
      <c r="B23" s="38" t="s">
        <v>223</v>
      </c>
      <c r="C23" s="50">
        <v>1</v>
      </c>
      <c r="D23" s="50"/>
      <c r="E23" s="38"/>
      <c r="F23" s="42"/>
      <c r="G23" s="32"/>
      <c r="I23" s="32"/>
      <c r="N23" s="152" t="s">
        <v>460</v>
      </c>
      <c r="O23" s="32"/>
      <c r="P23" s="32"/>
      <c r="R23" s="114">
        <f t="shared" si="2"/>
        <v>0</v>
      </c>
      <c r="S23" s="114">
        <f t="shared" si="3"/>
        <v>0</v>
      </c>
    </row>
    <row r="24" spans="2:19" s="32" customFormat="1" x14ac:dyDescent="0.4">
      <c r="B24" s="38" t="s">
        <v>361</v>
      </c>
      <c r="C24" s="50">
        <v>1</v>
      </c>
      <c r="D24" s="50"/>
      <c r="E24" s="38"/>
      <c r="F24" s="42"/>
      <c r="H24" s="303"/>
      <c r="J24" s="297"/>
      <c r="K24" s="297"/>
      <c r="L24" s="297"/>
      <c r="M24" s="297"/>
      <c r="R24" s="114">
        <f t="shared" si="2"/>
        <v>0</v>
      </c>
      <c r="S24" s="114">
        <f t="shared" si="3"/>
        <v>0</v>
      </c>
    </row>
    <row r="25" spans="2:19" x14ac:dyDescent="0.4">
      <c r="B25" s="43" t="s">
        <v>232</v>
      </c>
      <c r="C25" s="50">
        <v>1</v>
      </c>
      <c r="D25" s="50"/>
      <c r="E25" s="43"/>
      <c r="F25" s="44"/>
      <c r="G25" s="32"/>
      <c r="I25" s="32"/>
      <c r="N25" s="32"/>
      <c r="O25" s="32"/>
      <c r="P25" s="32"/>
      <c r="R25" s="114">
        <f t="shared" si="2"/>
        <v>0</v>
      </c>
      <c r="S25" s="114">
        <f t="shared" si="3"/>
        <v>0</v>
      </c>
    </row>
    <row r="26" spans="2:19" x14ac:dyDescent="0.4">
      <c r="B26" s="43" t="s">
        <v>233</v>
      </c>
      <c r="C26" s="50">
        <v>1</v>
      </c>
      <c r="D26" s="50"/>
      <c r="E26" s="43"/>
      <c r="F26" s="44"/>
      <c r="G26" s="32"/>
      <c r="I26" s="32"/>
      <c r="N26" s="32"/>
      <c r="O26" s="32"/>
      <c r="P26" s="32"/>
      <c r="R26" s="114">
        <f t="shared" si="2"/>
        <v>0</v>
      </c>
      <c r="S26" s="114">
        <f t="shared" si="3"/>
        <v>0</v>
      </c>
    </row>
    <row r="27" spans="2:19" x14ac:dyDescent="0.4">
      <c r="B27" s="43" t="s">
        <v>234</v>
      </c>
      <c r="C27" s="50">
        <v>1</v>
      </c>
      <c r="D27" s="50"/>
      <c r="E27" s="43"/>
      <c r="F27" s="44"/>
      <c r="G27" s="32"/>
      <c r="I27" s="32"/>
      <c r="N27" s="32"/>
      <c r="O27" s="32"/>
      <c r="P27" s="32"/>
      <c r="R27" s="114">
        <f t="shared" si="2"/>
        <v>0</v>
      </c>
      <c r="S27" s="114">
        <f t="shared" si="3"/>
        <v>0</v>
      </c>
    </row>
    <row r="28" spans="2:19" x14ac:dyDescent="0.4">
      <c r="B28" s="43" t="s">
        <v>235</v>
      </c>
      <c r="C28" s="50">
        <v>1.5</v>
      </c>
      <c r="D28" s="50"/>
      <c r="E28" s="43"/>
      <c r="F28" s="44"/>
      <c r="G28" s="32"/>
      <c r="I28" s="32"/>
      <c r="N28" s="32"/>
      <c r="O28" s="32"/>
      <c r="P28" s="32"/>
      <c r="R28" s="114">
        <f t="shared" si="2"/>
        <v>0</v>
      </c>
      <c r="S28" s="114">
        <f t="shared" si="3"/>
        <v>0</v>
      </c>
    </row>
    <row r="29" spans="2:19" x14ac:dyDescent="0.4">
      <c r="B29" s="43" t="s">
        <v>236</v>
      </c>
      <c r="C29" s="50">
        <v>4</v>
      </c>
      <c r="D29" s="67"/>
      <c r="E29" s="43"/>
      <c r="F29" s="44"/>
      <c r="G29" s="32"/>
      <c r="I29" s="32"/>
      <c r="N29" s="32"/>
      <c r="O29" s="32"/>
      <c r="P29" s="32"/>
      <c r="R29" s="114">
        <f t="shared" si="2"/>
        <v>0</v>
      </c>
      <c r="S29" s="114">
        <f t="shared" si="3"/>
        <v>0</v>
      </c>
    </row>
    <row r="30" spans="2:19" x14ac:dyDescent="0.4">
      <c r="B30" s="43" t="s">
        <v>237</v>
      </c>
      <c r="C30" s="50">
        <v>0.5</v>
      </c>
      <c r="D30" s="50"/>
      <c r="E30" s="43"/>
      <c r="F30" s="44"/>
      <c r="G30" s="32"/>
      <c r="I30" s="32"/>
      <c r="N30" s="32"/>
      <c r="O30" s="32"/>
      <c r="P30" s="32"/>
      <c r="R30" s="114">
        <f t="shared" si="2"/>
        <v>0</v>
      </c>
      <c r="S30" s="114">
        <f t="shared" si="3"/>
        <v>0</v>
      </c>
    </row>
    <row r="31" spans="2:19" x14ac:dyDescent="0.4">
      <c r="B31" s="43" t="s">
        <v>238</v>
      </c>
      <c r="C31" s="50">
        <v>16</v>
      </c>
      <c r="D31" s="50"/>
      <c r="E31" s="43"/>
      <c r="F31" s="44"/>
      <c r="G31" s="32"/>
      <c r="I31" s="32"/>
      <c r="N31" s="32"/>
      <c r="O31" s="32"/>
      <c r="P31" s="32"/>
      <c r="R31" s="114">
        <f t="shared" si="2"/>
        <v>0</v>
      </c>
      <c r="S31" s="114">
        <f t="shared" si="3"/>
        <v>0</v>
      </c>
    </row>
    <row r="32" spans="2:19" x14ac:dyDescent="0.4">
      <c r="B32" s="43" t="s">
        <v>239</v>
      </c>
      <c r="C32" s="50">
        <v>0.25</v>
      </c>
      <c r="D32" s="50"/>
      <c r="E32" s="43"/>
      <c r="F32" s="44"/>
      <c r="G32" s="32"/>
      <c r="I32" s="32"/>
      <c r="N32" s="32"/>
      <c r="O32" s="32"/>
      <c r="P32" s="32"/>
      <c r="R32" s="114">
        <f t="shared" si="2"/>
        <v>0</v>
      </c>
      <c r="S32" s="114">
        <f t="shared" si="3"/>
        <v>0</v>
      </c>
    </row>
    <row r="33" spans="1:19" x14ac:dyDescent="0.4">
      <c r="B33" s="43" t="s">
        <v>240</v>
      </c>
      <c r="C33" s="50">
        <v>1</v>
      </c>
      <c r="D33" s="50"/>
      <c r="E33" s="43"/>
      <c r="F33" s="44"/>
      <c r="G33" s="32"/>
      <c r="I33" s="32"/>
      <c r="N33" s="32"/>
      <c r="O33" s="32"/>
      <c r="P33" s="32"/>
      <c r="R33" s="114">
        <f t="shared" si="2"/>
        <v>0</v>
      </c>
      <c r="S33" s="114">
        <f t="shared" si="3"/>
        <v>0</v>
      </c>
    </row>
    <row r="34" spans="1:19" x14ac:dyDescent="0.4">
      <c r="B34" s="38" t="s">
        <v>241</v>
      </c>
      <c r="C34" s="50">
        <v>2</v>
      </c>
      <c r="D34" s="50"/>
      <c r="E34" s="38"/>
      <c r="F34" s="44"/>
      <c r="G34" s="32"/>
      <c r="I34" s="32"/>
      <c r="N34" s="32"/>
      <c r="O34" s="32"/>
      <c r="P34" s="32"/>
      <c r="R34" s="114">
        <f t="shared" si="2"/>
        <v>0</v>
      </c>
      <c r="S34" s="114">
        <f t="shared" si="3"/>
        <v>0</v>
      </c>
    </row>
    <row r="35" spans="1:19" x14ac:dyDescent="0.4">
      <c r="B35" s="38" t="s">
        <v>242</v>
      </c>
      <c r="C35" s="50">
        <v>2</v>
      </c>
      <c r="D35" s="50"/>
      <c r="E35" s="38"/>
      <c r="F35" s="44"/>
      <c r="G35" s="32"/>
      <c r="I35" s="32"/>
      <c r="N35" s="32"/>
      <c r="O35" s="32"/>
      <c r="P35" s="32"/>
      <c r="R35" s="114">
        <f t="shared" si="2"/>
        <v>0</v>
      </c>
      <c r="S35" s="114">
        <f t="shared" si="3"/>
        <v>0</v>
      </c>
    </row>
    <row r="36" spans="1:19" s="32" customFormat="1" x14ac:dyDescent="0.4">
      <c r="B36" s="38" t="s">
        <v>362</v>
      </c>
      <c r="C36" s="50">
        <v>1</v>
      </c>
      <c r="D36" s="50"/>
      <c r="E36" s="38"/>
      <c r="F36" s="44"/>
      <c r="H36" s="303"/>
      <c r="J36" s="297"/>
      <c r="K36" s="297"/>
      <c r="L36" s="297"/>
      <c r="M36" s="297"/>
      <c r="R36" s="114">
        <f t="shared" si="2"/>
        <v>0</v>
      </c>
      <c r="S36" s="114">
        <f t="shared" si="3"/>
        <v>0</v>
      </c>
    </row>
    <row r="37" spans="1:19" s="32" customFormat="1" x14ac:dyDescent="0.4">
      <c r="B37" s="38" t="s">
        <v>363</v>
      </c>
      <c r="C37" s="50">
        <v>1</v>
      </c>
      <c r="D37" s="50"/>
      <c r="E37" s="38"/>
      <c r="F37" s="44"/>
      <c r="H37" s="303"/>
      <c r="J37" s="297"/>
      <c r="K37" s="297"/>
      <c r="L37" s="297"/>
      <c r="M37" s="297"/>
      <c r="R37" s="114">
        <f t="shared" si="2"/>
        <v>0</v>
      </c>
      <c r="S37" s="114">
        <f t="shared" si="3"/>
        <v>0</v>
      </c>
    </row>
    <row r="38" spans="1:19" s="32" customFormat="1" x14ac:dyDescent="0.4">
      <c r="B38" s="38" t="s">
        <v>364</v>
      </c>
      <c r="C38" s="50">
        <v>2</v>
      </c>
      <c r="D38" s="50"/>
      <c r="E38" s="38"/>
      <c r="F38" s="44"/>
      <c r="H38" s="303"/>
      <c r="J38" s="297"/>
      <c r="K38" s="297"/>
      <c r="L38" s="297"/>
      <c r="M38" s="297"/>
      <c r="R38" s="114">
        <f t="shared" si="2"/>
        <v>0</v>
      </c>
      <c r="S38" s="114">
        <f t="shared" si="3"/>
        <v>0</v>
      </c>
    </row>
    <row r="39" spans="1:19" s="114" customFormat="1" x14ac:dyDescent="0.4">
      <c r="B39" s="117" t="s">
        <v>600</v>
      </c>
      <c r="C39" s="137">
        <v>1.5</v>
      </c>
      <c r="D39" s="137"/>
      <c r="E39" s="117"/>
      <c r="F39" s="136"/>
      <c r="H39" s="303"/>
      <c r="J39" s="297"/>
      <c r="K39" s="297"/>
      <c r="L39" s="297"/>
      <c r="M39" s="297"/>
      <c r="R39" s="114">
        <f t="shared" si="2"/>
        <v>0</v>
      </c>
      <c r="S39" s="114">
        <f t="shared" si="3"/>
        <v>0</v>
      </c>
    </row>
    <row r="40" spans="1:19" s="114" customFormat="1" x14ac:dyDescent="0.4">
      <c r="B40" s="117" t="s">
        <v>690</v>
      </c>
      <c r="C40" s="137">
        <v>2.5</v>
      </c>
      <c r="D40" s="137"/>
      <c r="E40" s="117"/>
      <c r="F40" s="136"/>
      <c r="H40" s="303"/>
      <c r="J40" s="297"/>
      <c r="K40" s="297"/>
      <c r="L40" s="297"/>
      <c r="M40" s="297"/>
      <c r="R40" s="114">
        <f t="shared" si="2"/>
        <v>0</v>
      </c>
      <c r="S40" s="114">
        <f t="shared" si="3"/>
        <v>0</v>
      </c>
    </row>
    <row r="41" spans="1:19" s="32" customFormat="1" x14ac:dyDescent="0.4">
      <c r="B41" s="38" t="s">
        <v>433</v>
      </c>
      <c r="C41" s="50">
        <f>20/60</f>
        <v>0.33333333333333331</v>
      </c>
      <c r="D41" s="50"/>
      <c r="E41" s="38"/>
      <c r="F41" s="44"/>
      <c r="H41" s="303"/>
      <c r="J41" s="297"/>
      <c r="K41" s="297"/>
      <c r="L41" s="297"/>
      <c r="M41" s="297"/>
      <c r="R41" s="114">
        <f t="shared" si="2"/>
        <v>0</v>
      </c>
      <c r="S41" s="114">
        <f t="shared" si="3"/>
        <v>0</v>
      </c>
    </row>
    <row r="42" spans="1:19" s="32" customFormat="1" x14ac:dyDescent="0.4">
      <c r="B42" s="38" t="s">
        <v>434</v>
      </c>
      <c r="C42" s="50">
        <f>(20/60)/2.4</f>
        <v>0.1388888888888889</v>
      </c>
      <c r="D42" s="50"/>
      <c r="E42" s="38"/>
      <c r="F42" s="44"/>
      <c r="H42" s="303"/>
      <c r="J42" s="297"/>
      <c r="K42" s="297"/>
      <c r="L42" s="297"/>
      <c r="M42" s="297"/>
      <c r="R42" s="114">
        <f t="shared" si="2"/>
        <v>0</v>
      </c>
      <c r="S42" s="114">
        <f t="shared" si="3"/>
        <v>0</v>
      </c>
    </row>
    <row r="43" spans="1:19" x14ac:dyDescent="0.4">
      <c r="B43" s="43" t="s">
        <v>243</v>
      </c>
      <c r="C43" s="50">
        <v>0</v>
      </c>
      <c r="D43" s="50"/>
      <c r="E43" s="43"/>
      <c r="F43" s="44"/>
      <c r="G43" s="32"/>
      <c r="I43" s="32"/>
      <c r="N43" s="32"/>
      <c r="O43" s="32"/>
      <c r="P43" s="32"/>
      <c r="R43" s="114">
        <f t="shared" si="2"/>
        <v>0</v>
      </c>
      <c r="S43" s="114">
        <f t="shared" si="3"/>
        <v>0</v>
      </c>
    </row>
    <row r="44" spans="1:19" s="32" customFormat="1" x14ac:dyDescent="0.4">
      <c r="B44" s="43"/>
      <c r="C44" s="50"/>
      <c r="D44" s="50"/>
      <c r="E44" s="43"/>
      <c r="F44" s="44"/>
      <c r="H44" s="303"/>
      <c r="J44" s="297"/>
      <c r="K44" s="297"/>
      <c r="L44" s="297"/>
      <c r="M44" s="297"/>
      <c r="R44" s="114">
        <f t="shared" si="2"/>
        <v>0</v>
      </c>
      <c r="S44" s="114">
        <f t="shared" si="3"/>
        <v>0</v>
      </c>
    </row>
    <row r="45" spans="1:19" x14ac:dyDescent="0.4">
      <c r="B45" s="43" t="s">
        <v>292</v>
      </c>
      <c r="C45" s="50">
        <v>0</v>
      </c>
      <c r="D45" s="50"/>
      <c r="E45" s="43"/>
      <c r="F45" s="44"/>
      <c r="G45" s="32"/>
      <c r="I45" s="32"/>
      <c r="N45" s="32"/>
      <c r="O45" s="32"/>
      <c r="P45" s="32"/>
      <c r="R45" s="114">
        <f t="shared" si="2"/>
        <v>0</v>
      </c>
      <c r="S45" s="114">
        <f t="shared" si="3"/>
        <v>0</v>
      </c>
    </row>
    <row r="46" spans="1:19" x14ac:dyDescent="0.4">
      <c r="B46" s="39"/>
      <c r="C46" s="40"/>
      <c r="D46" s="40"/>
      <c r="E46" s="40"/>
      <c r="F46" s="41"/>
      <c r="G46" s="32"/>
      <c r="N46" s="32"/>
      <c r="O46" s="33"/>
      <c r="P46" s="33"/>
      <c r="R46" s="114">
        <f t="shared" si="2"/>
        <v>0</v>
      </c>
      <c r="S46" s="114">
        <f t="shared" si="3"/>
        <v>0</v>
      </c>
    </row>
    <row r="47" spans="1:19" ht="15.9" x14ac:dyDescent="0.45">
      <c r="A47" s="32"/>
      <c r="B47" s="37" t="s">
        <v>244</v>
      </c>
      <c r="C47" s="38"/>
      <c r="D47" s="38"/>
      <c r="E47" s="38"/>
      <c r="F47" s="44"/>
      <c r="G47" s="32"/>
      <c r="R47" s="114">
        <f t="shared" si="2"/>
        <v>0</v>
      </c>
      <c r="S47" s="114">
        <f t="shared" si="3"/>
        <v>0</v>
      </c>
    </row>
    <row r="48" spans="1:19" x14ac:dyDescent="0.4">
      <c r="A48" s="32"/>
      <c r="B48" s="43" t="s">
        <v>245</v>
      </c>
      <c r="C48" s="136">
        <f t="shared" ref="C48:C111" si="4">M48</f>
        <v>46.463999999999999</v>
      </c>
      <c r="D48" s="44"/>
      <c r="E48" s="43"/>
      <c r="F48" s="44"/>
      <c r="G48" s="32"/>
      <c r="I48" s="135" t="str">
        <f>B48</f>
        <v>3 phase isolator 63A WP363</v>
      </c>
      <c r="J48" s="297" t="s">
        <v>744</v>
      </c>
      <c r="K48" s="297" t="s">
        <v>748</v>
      </c>
      <c r="L48" s="300">
        <v>38.72</v>
      </c>
      <c r="M48" s="300">
        <f>IF(L48=0,N48,L48)*(1+$E$2)</f>
        <v>46.463999999999999</v>
      </c>
      <c r="N48" s="136">
        <v>16</v>
      </c>
      <c r="O48" s="295">
        <f>IF(L48=0,0,ABS(L48-N48)/L48)</f>
        <v>0.58677685950413216</v>
      </c>
      <c r="R48" s="114">
        <f t="shared" si="2"/>
        <v>0</v>
      </c>
      <c r="S48" s="114">
        <f t="shared" si="3"/>
        <v>0</v>
      </c>
    </row>
    <row r="49" spans="1:19" x14ac:dyDescent="0.4">
      <c r="A49" s="32"/>
      <c r="B49" s="43" t="s">
        <v>246</v>
      </c>
      <c r="C49" s="136">
        <f t="shared" si="4"/>
        <v>109.02</v>
      </c>
      <c r="D49" s="44"/>
      <c r="E49" s="43"/>
      <c r="F49" s="44"/>
      <c r="G49" s="32"/>
      <c r="I49" s="135" t="str">
        <f t="shared" ref="I49:I112" si="5">B49</f>
        <v>RCDBO 10A + GPO Din Mtg</v>
      </c>
      <c r="J49" s="297" t="s">
        <v>756</v>
      </c>
      <c r="K49" s="297" t="s">
        <v>762</v>
      </c>
      <c r="L49" s="300">
        <f>35.2 + 55.65</f>
        <v>90.85</v>
      </c>
      <c r="M49" s="300">
        <f t="shared" ref="M49:M112" si="6">IF(L49=0,N49,L49)*(1+$E$2)</f>
        <v>109.02</v>
      </c>
      <c r="N49" s="136">
        <v>80</v>
      </c>
      <c r="O49" s="295">
        <f>IF(L49=0,0,ABS(L49-N49)/L49)</f>
        <v>0.11942762795817276</v>
      </c>
      <c r="R49" s="114">
        <f t="shared" si="2"/>
        <v>0</v>
      </c>
      <c r="S49" s="114">
        <f t="shared" si="3"/>
        <v>0</v>
      </c>
    </row>
    <row r="50" spans="1:19" x14ac:dyDescent="0.4">
      <c r="A50" s="32"/>
      <c r="B50" s="43" t="s">
        <v>247</v>
      </c>
      <c r="C50" s="136">
        <f t="shared" si="4"/>
        <v>23.76</v>
      </c>
      <c r="D50" s="44"/>
      <c r="E50" s="43"/>
      <c r="F50" s="44"/>
      <c r="G50" s="32"/>
      <c r="I50" s="135" t="str">
        <f t="shared" si="5"/>
        <v>1 phase isolator  WP135</v>
      </c>
      <c r="J50" s="297" t="s">
        <v>745</v>
      </c>
      <c r="K50" s="297" t="s">
        <v>748</v>
      </c>
      <c r="L50" s="300">
        <v>19.8</v>
      </c>
      <c r="M50" s="300">
        <f t="shared" si="6"/>
        <v>23.76</v>
      </c>
      <c r="N50" s="136">
        <v>11.8</v>
      </c>
      <c r="O50" s="295">
        <f t="shared" ref="O50:O113" si="7">IF(L50=0,0,ABS(L50-N50)/L50)</f>
        <v>0.40404040404040403</v>
      </c>
      <c r="R50" s="114">
        <f t="shared" si="2"/>
        <v>0</v>
      </c>
      <c r="S50" s="114">
        <f t="shared" si="3"/>
        <v>0</v>
      </c>
    </row>
    <row r="51" spans="1:19" x14ac:dyDescent="0.4">
      <c r="A51" s="32"/>
      <c r="B51" s="43" t="s">
        <v>248</v>
      </c>
      <c r="C51" s="136">
        <f t="shared" si="4"/>
        <v>7440</v>
      </c>
      <c r="D51" s="44"/>
      <c r="E51" s="43"/>
      <c r="F51" s="44"/>
      <c r="G51" s="32"/>
      <c r="I51" s="135" t="str">
        <f t="shared" si="5"/>
        <v>Eureka  60 Pole 400A MS</v>
      </c>
      <c r="L51" s="300"/>
      <c r="M51" s="300">
        <f t="shared" si="6"/>
        <v>7440</v>
      </c>
      <c r="N51" s="136">
        <v>6200</v>
      </c>
      <c r="O51" s="295"/>
      <c r="R51" s="114">
        <f t="shared" si="2"/>
        <v>0</v>
      </c>
      <c r="S51" s="114">
        <f t="shared" si="3"/>
        <v>0</v>
      </c>
    </row>
    <row r="52" spans="1:19" x14ac:dyDescent="0.4">
      <c r="A52" s="32"/>
      <c r="B52" s="43" t="s">
        <v>416</v>
      </c>
      <c r="C52" s="136">
        <f t="shared" si="4"/>
        <v>4560</v>
      </c>
      <c r="D52" s="44"/>
      <c r="E52" s="43"/>
      <c r="F52" s="44"/>
      <c r="G52" s="32"/>
      <c r="I52" s="135" t="str">
        <f t="shared" si="5"/>
        <v>Eureka 18-42 Pole 250A MS</v>
      </c>
      <c r="L52" s="300"/>
      <c r="M52" s="300">
        <f t="shared" si="6"/>
        <v>4560</v>
      </c>
      <c r="N52" s="136">
        <v>3800</v>
      </c>
      <c r="O52" s="295"/>
      <c r="R52" s="114">
        <f t="shared" si="2"/>
        <v>0</v>
      </c>
      <c r="S52" s="114">
        <f t="shared" si="3"/>
        <v>0</v>
      </c>
    </row>
    <row r="53" spans="1:19" s="32" customFormat="1" x14ac:dyDescent="0.4">
      <c r="B53" s="95" t="s">
        <v>417</v>
      </c>
      <c r="C53" s="136">
        <f t="shared" si="4"/>
        <v>586.15199999999993</v>
      </c>
      <c r="D53" s="44"/>
      <c r="E53" s="43"/>
      <c r="F53" s="44"/>
      <c r="H53" s="303"/>
      <c r="I53" s="135" t="str">
        <f t="shared" si="5"/>
        <v>Small Form 1 MSSB ( upto 18 poles)</v>
      </c>
      <c r="J53" s="297"/>
      <c r="K53" s="297"/>
      <c r="L53" s="300"/>
      <c r="M53" s="300">
        <f t="shared" si="6"/>
        <v>586.15199999999993</v>
      </c>
      <c r="N53" s="136">
        <f>420+12.46+13+26+17</f>
        <v>488.46</v>
      </c>
      <c r="O53" s="295"/>
      <c r="R53" s="114">
        <f t="shared" si="2"/>
        <v>0</v>
      </c>
      <c r="S53" s="114">
        <f t="shared" si="3"/>
        <v>0</v>
      </c>
    </row>
    <row r="54" spans="1:19" x14ac:dyDescent="0.4">
      <c r="A54" s="32"/>
      <c r="B54" s="43" t="s">
        <v>249</v>
      </c>
      <c r="C54" s="136">
        <f t="shared" si="4"/>
        <v>353.52000000000004</v>
      </c>
      <c r="D54" s="44"/>
      <c r="E54" s="43"/>
      <c r="F54" s="44"/>
      <c r="G54" s="32"/>
      <c r="I54" s="135" t="str">
        <f t="shared" si="5"/>
        <v>MBO06530 600 x 500 Enclosure, Orange</v>
      </c>
      <c r="J54" s="297" t="s">
        <v>746</v>
      </c>
      <c r="K54" s="297" t="s">
        <v>747</v>
      </c>
      <c r="L54" s="300">
        <v>294.60000000000002</v>
      </c>
      <c r="M54" s="300">
        <f t="shared" si="6"/>
        <v>353.52000000000004</v>
      </c>
      <c r="N54" s="136">
        <v>420</v>
      </c>
      <c r="O54" s="295">
        <f t="shared" si="7"/>
        <v>0.42566191446028501</v>
      </c>
      <c r="R54" s="114">
        <f t="shared" si="2"/>
        <v>0</v>
      </c>
      <c r="S54" s="114">
        <f t="shared" si="3"/>
        <v>0</v>
      </c>
    </row>
    <row r="55" spans="1:19" s="32" customFormat="1" x14ac:dyDescent="0.4">
      <c r="B55" s="95" t="s">
        <v>372</v>
      </c>
      <c r="C55" s="136">
        <f t="shared" si="4"/>
        <v>0</v>
      </c>
      <c r="D55" s="44"/>
      <c r="E55" s="43"/>
      <c r="F55" s="44"/>
      <c r="H55" s="303"/>
      <c r="I55" s="135"/>
      <c r="J55" s="297"/>
      <c r="K55" s="297"/>
      <c r="L55" s="300"/>
      <c r="M55" s="300">
        <f t="shared" si="6"/>
        <v>0</v>
      </c>
      <c r="N55" s="136"/>
      <c r="O55" s="295"/>
      <c r="R55" s="114">
        <f t="shared" si="2"/>
        <v>0</v>
      </c>
      <c r="S55" s="114">
        <f t="shared" si="3"/>
        <v>0</v>
      </c>
    </row>
    <row r="56" spans="1:19" x14ac:dyDescent="0.4">
      <c r="A56" s="32"/>
      <c r="B56" s="43" t="s">
        <v>250</v>
      </c>
      <c r="C56" s="136">
        <f t="shared" si="4"/>
        <v>43.440000000000005</v>
      </c>
      <c r="D56" s="44"/>
      <c r="E56" s="43"/>
      <c r="F56" s="44"/>
      <c r="G56" s="32"/>
      <c r="I56" s="135" t="str">
        <f t="shared" si="5"/>
        <v>CB 3 phase 50A (aprox size)</v>
      </c>
      <c r="J56" s="297" t="s">
        <v>759</v>
      </c>
      <c r="K56" s="297" t="s">
        <v>763</v>
      </c>
      <c r="L56" s="301">
        <v>36.200000000000003</v>
      </c>
      <c r="M56" s="300">
        <f t="shared" si="6"/>
        <v>43.440000000000005</v>
      </c>
      <c r="N56" s="136">
        <v>17</v>
      </c>
      <c r="O56" s="295">
        <f t="shared" si="7"/>
        <v>0.5303867403314918</v>
      </c>
      <c r="R56" s="114">
        <f t="shared" si="2"/>
        <v>0</v>
      </c>
      <c r="S56" s="114">
        <f t="shared" si="3"/>
        <v>0</v>
      </c>
    </row>
    <row r="57" spans="1:19" x14ac:dyDescent="0.4">
      <c r="A57" s="48"/>
      <c r="B57" s="52" t="s">
        <v>251</v>
      </c>
      <c r="C57" s="136">
        <f t="shared" si="4"/>
        <v>122.39999999999999</v>
      </c>
      <c r="D57" s="53"/>
      <c r="E57" s="52"/>
      <c r="F57" s="53"/>
      <c r="G57" s="48"/>
      <c r="I57" s="135" t="str">
        <f t="shared" si="5"/>
        <v>CB Enclosure 12 pole surface</v>
      </c>
      <c r="J57" s="297" t="s">
        <v>770</v>
      </c>
      <c r="K57" s="297" t="s">
        <v>760</v>
      </c>
      <c r="L57" s="300">
        <v>102</v>
      </c>
      <c r="M57" s="300">
        <f t="shared" si="6"/>
        <v>122.39999999999999</v>
      </c>
      <c r="N57" s="53">
        <v>22</v>
      </c>
      <c r="O57" s="295">
        <f t="shared" si="7"/>
        <v>0.78431372549019607</v>
      </c>
      <c r="R57" s="114">
        <f t="shared" si="2"/>
        <v>0</v>
      </c>
      <c r="S57" s="114">
        <f t="shared" si="3"/>
        <v>0</v>
      </c>
    </row>
    <row r="58" spans="1:19" x14ac:dyDescent="0.4">
      <c r="A58" s="48"/>
      <c r="B58" s="52" t="s">
        <v>252</v>
      </c>
      <c r="C58" s="136">
        <f t="shared" si="4"/>
        <v>43.440000000000005</v>
      </c>
      <c r="D58" s="53"/>
      <c r="E58" s="52"/>
      <c r="F58" s="53"/>
      <c r="G58" s="48"/>
      <c r="I58" s="135" t="str">
        <f t="shared" si="5"/>
        <v>CB 3 Phase 25A</v>
      </c>
      <c r="J58" s="297" t="s">
        <v>758</v>
      </c>
      <c r="K58" s="297" t="s">
        <v>763</v>
      </c>
      <c r="L58" s="301">
        <v>36.200000000000003</v>
      </c>
      <c r="M58" s="300">
        <f t="shared" si="6"/>
        <v>43.440000000000005</v>
      </c>
      <c r="N58" s="53">
        <v>17</v>
      </c>
      <c r="O58" s="295">
        <f t="shared" si="7"/>
        <v>0.5303867403314918</v>
      </c>
      <c r="R58" s="114">
        <f t="shared" si="2"/>
        <v>0</v>
      </c>
      <c r="S58" s="114">
        <f t="shared" si="3"/>
        <v>0</v>
      </c>
    </row>
    <row r="59" spans="1:19" x14ac:dyDescent="0.4">
      <c r="A59" s="48"/>
      <c r="B59" s="52" t="s">
        <v>253</v>
      </c>
      <c r="C59" s="136">
        <f t="shared" si="4"/>
        <v>10.139999999999999</v>
      </c>
      <c r="D59" s="53"/>
      <c r="E59" s="52"/>
      <c r="F59" s="53"/>
      <c r="G59" s="48"/>
      <c r="I59" s="135" t="str">
        <f t="shared" si="5"/>
        <v>CB 1 Phase 10A</v>
      </c>
      <c r="J59" s="297" t="s">
        <v>757</v>
      </c>
      <c r="K59" s="297" t="s">
        <v>763</v>
      </c>
      <c r="L59" s="301">
        <v>8.4499999999999993</v>
      </c>
      <c r="M59" s="300">
        <f t="shared" si="6"/>
        <v>10.139999999999999</v>
      </c>
      <c r="N59" s="53">
        <v>4.2</v>
      </c>
      <c r="O59" s="295">
        <f t="shared" si="7"/>
        <v>0.50295857988165671</v>
      </c>
      <c r="R59" s="114">
        <f t="shared" si="2"/>
        <v>0</v>
      </c>
      <c r="S59" s="114">
        <f t="shared" si="3"/>
        <v>0</v>
      </c>
    </row>
    <row r="60" spans="1:19" x14ac:dyDescent="0.4">
      <c r="A60" s="48"/>
      <c r="B60" s="52" t="s">
        <v>254</v>
      </c>
      <c r="C60" s="136">
        <f t="shared" si="4"/>
        <v>3840</v>
      </c>
      <c r="D60" s="53"/>
      <c r="E60" s="52"/>
      <c r="F60" s="53"/>
      <c r="G60" s="48"/>
      <c r="H60" s="303" t="s">
        <v>778</v>
      </c>
      <c r="I60" s="135" t="str">
        <f t="shared" si="5"/>
        <v>Complete Control Panel</v>
      </c>
      <c r="L60" s="301"/>
      <c r="M60" s="300">
        <f t="shared" si="6"/>
        <v>3840</v>
      </c>
      <c r="N60" s="53">
        <v>3200</v>
      </c>
      <c r="O60" s="295"/>
      <c r="R60" s="114" t="str">
        <f t="shared" si="2"/>
        <v>Complete Control Panel</v>
      </c>
      <c r="S60" s="114">
        <f t="shared" si="3"/>
        <v>3200</v>
      </c>
    </row>
    <row r="61" spans="1:19" x14ac:dyDescent="0.4">
      <c r="A61" s="48"/>
      <c r="B61" s="52" t="s">
        <v>255</v>
      </c>
      <c r="C61" s="136">
        <f t="shared" si="4"/>
        <v>6</v>
      </c>
      <c r="D61" s="53"/>
      <c r="E61" s="52"/>
      <c r="F61" s="53"/>
      <c r="G61" s="48"/>
      <c r="H61" s="303" t="s">
        <v>778</v>
      </c>
      <c r="I61" s="135" t="str">
        <f t="shared" si="5"/>
        <v xml:space="preserve">Reed Sw 15mm barrel </v>
      </c>
      <c r="L61" s="301"/>
      <c r="M61" s="300">
        <f t="shared" si="6"/>
        <v>6</v>
      </c>
      <c r="N61" s="53">
        <v>5</v>
      </c>
      <c r="O61" s="295"/>
      <c r="R61" s="114" t="str">
        <f t="shared" si="2"/>
        <v xml:space="preserve">Reed Sw 15mm barrel </v>
      </c>
      <c r="S61" s="114">
        <f t="shared" si="3"/>
        <v>5</v>
      </c>
    </row>
    <row r="62" spans="1:19" x14ac:dyDescent="0.4">
      <c r="A62" s="48"/>
      <c r="B62" s="52" t="s">
        <v>256</v>
      </c>
      <c r="C62" s="136">
        <f t="shared" si="4"/>
        <v>1266</v>
      </c>
      <c r="D62" s="53"/>
      <c r="E62" s="52"/>
      <c r="F62" s="53"/>
      <c r="G62" s="48"/>
      <c r="I62" s="135" t="str">
        <f t="shared" si="5"/>
        <v>CDIX-400</v>
      </c>
      <c r="L62" s="301"/>
      <c r="M62" s="300">
        <f t="shared" si="6"/>
        <v>1266</v>
      </c>
      <c r="N62" s="53">
        <v>1055</v>
      </c>
      <c r="O62" s="295"/>
      <c r="P62" t="s">
        <v>771</v>
      </c>
      <c r="R62" s="114">
        <f t="shared" si="2"/>
        <v>0</v>
      </c>
      <c r="S62" s="114">
        <f t="shared" si="3"/>
        <v>0</v>
      </c>
    </row>
    <row r="63" spans="1:19" x14ac:dyDescent="0.4">
      <c r="A63" s="32"/>
      <c r="B63" s="43" t="s">
        <v>257</v>
      </c>
      <c r="C63" s="136">
        <f t="shared" si="4"/>
        <v>78</v>
      </c>
      <c r="D63" s="44"/>
      <c r="E63" s="43"/>
      <c r="F63" s="44"/>
      <c r="G63" s="32"/>
      <c r="I63" s="135" t="str">
        <f t="shared" si="5"/>
        <v xml:space="preserve">IO-DIM6 </v>
      </c>
      <c r="L63" s="301"/>
      <c r="M63" s="300">
        <f t="shared" si="6"/>
        <v>78</v>
      </c>
      <c r="N63" s="136">
        <v>65</v>
      </c>
      <c r="O63" s="295"/>
      <c r="P63" s="114" t="s">
        <v>771</v>
      </c>
      <c r="R63" s="114">
        <f t="shared" si="2"/>
        <v>0</v>
      </c>
      <c r="S63" s="114">
        <f t="shared" si="3"/>
        <v>0</v>
      </c>
    </row>
    <row r="64" spans="1:19" x14ac:dyDescent="0.4">
      <c r="A64" s="32"/>
      <c r="B64" s="43" t="s">
        <v>258</v>
      </c>
      <c r="C64" s="136">
        <f t="shared" si="4"/>
        <v>270</v>
      </c>
      <c r="D64" s="44"/>
      <c r="E64" s="43"/>
      <c r="F64" s="44"/>
      <c r="G64" s="32"/>
      <c r="I64" s="135" t="str">
        <f t="shared" si="5"/>
        <v>GSTA-C</v>
      </c>
      <c r="L64" s="301"/>
      <c r="M64" s="300">
        <f t="shared" si="6"/>
        <v>270</v>
      </c>
      <c r="N64" s="136">
        <v>225</v>
      </c>
      <c r="O64" s="295"/>
      <c r="P64" s="114" t="s">
        <v>771</v>
      </c>
      <c r="R64" s="114">
        <f t="shared" si="2"/>
        <v>0</v>
      </c>
      <c r="S64" s="114">
        <f t="shared" si="3"/>
        <v>0</v>
      </c>
    </row>
    <row r="65" spans="2:19" x14ac:dyDescent="0.4">
      <c r="B65" s="43" t="s">
        <v>259</v>
      </c>
      <c r="C65" s="136">
        <f t="shared" si="4"/>
        <v>2100</v>
      </c>
      <c r="D65" s="44"/>
      <c r="E65" s="43"/>
      <c r="F65" s="44"/>
      <c r="G65" s="32"/>
      <c r="I65" s="135" t="str">
        <f t="shared" si="5"/>
        <v>CDIB-650</v>
      </c>
      <c r="L65" s="301"/>
      <c r="M65" s="300">
        <f t="shared" si="6"/>
        <v>2100</v>
      </c>
      <c r="N65" s="136">
        <v>1750</v>
      </c>
      <c r="O65" s="295"/>
      <c r="P65" s="114" t="s">
        <v>771</v>
      </c>
      <c r="R65" s="114">
        <f t="shared" si="2"/>
        <v>0</v>
      </c>
      <c r="S65" s="114">
        <f t="shared" si="3"/>
        <v>0</v>
      </c>
    </row>
    <row r="66" spans="2:19" x14ac:dyDescent="0.4">
      <c r="B66" s="43" t="s">
        <v>260</v>
      </c>
      <c r="C66" s="136">
        <f t="shared" si="4"/>
        <v>56.4</v>
      </c>
      <c r="D66" s="44"/>
      <c r="E66" s="43"/>
      <c r="F66" s="44"/>
      <c r="G66" s="32"/>
      <c r="I66" s="135" t="str">
        <f t="shared" si="5"/>
        <v>TF63-240-24</v>
      </c>
      <c r="J66" s="297" t="s">
        <v>752</v>
      </c>
      <c r="K66" s="297" t="s">
        <v>753</v>
      </c>
      <c r="L66" s="300">
        <v>47</v>
      </c>
      <c r="M66" s="300">
        <f t="shared" si="6"/>
        <v>56.4</v>
      </c>
      <c r="N66" s="136">
        <v>100</v>
      </c>
      <c r="O66" s="295">
        <f t="shared" si="7"/>
        <v>1.1276595744680851</v>
      </c>
      <c r="R66" s="114">
        <f t="shared" si="2"/>
        <v>0</v>
      </c>
      <c r="S66" s="114">
        <f t="shared" si="3"/>
        <v>0</v>
      </c>
    </row>
    <row r="67" spans="2:19" x14ac:dyDescent="0.4">
      <c r="B67" s="43" t="s">
        <v>422</v>
      </c>
      <c r="C67" s="136">
        <f t="shared" si="4"/>
        <v>23.4</v>
      </c>
      <c r="D67" s="44"/>
      <c r="E67" s="43"/>
      <c r="F67" s="44"/>
      <c r="G67" s="32"/>
      <c r="H67" s="303" t="s">
        <v>778</v>
      </c>
      <c r="I67" s="135" t="str">
        <f t="shared" si="5"/>
        <v>Current Switch CCS131</v>
      </c>
      <c r="L67" s="301"/>
      <c r="M67" s="300">
        <f t="shared" si="6"/>
        <v>23.4</v>
      </c>
      <c r="N67" s="136">
        <v>19.5</v>
      </c>
      <c r="O67" s="295">
        <f t="shared" si="7"/>
        <v>0</v>
      </c>
      <c r="R67" s="114" t="str">
        <f t="shared" si="2"/>
        <v>Current Switch CCS131</v>
      </c>
      <c r="S67" s="114">
        <f t="shared" si="3"/>
        <v>19.5</v>
      </c>
    </row>
    <row r="68" spans="2:19" x14ac:dyDescent="0.4">
      <c r="B68" s="43" t="s">
        <v>261</v>
      </c>
      <c r="C68" s="136">
        <f t="shared" si="4"/>
        <v>282</v>
      </c>
      <c r="D68" s="44"/>
      <c r="E68" s="43"/>
      <c r="F68" s="114" t="s">
        <v>774</v>
      </c>
      <c r="G68" s="32"/>
      <c r="I68" s="135" t="s">
        <v>772</v>
      </c>
      <c r="L68" s="301"/>
      <c r="M68" s="300">
        <f t="shared" si="6"/>
        <v>282</v>
      </c>
      <c r="N68" s="136">
        <v>235</v>
      </c>
      <c r="O68" s="295">
        <f t="shared" si="7"/>
        <v>0</v>
      </c>
      <c r="P68" t="s">
        <v>773</v>
      </c>
      <c r="R68" s="114">
        <f t="shared" si="2"/>
        <v>0</v>
      </c>
      <c r="S68" s="114">
        <f t="shared" si="3"/>
        <v>0</v>
      </c>
    </row>
    <row r="69" spans="2:19" x14ac:dyDescent="0.4">
      <c r="B69" s="43" t="s">
        <v>262</v>
      </c>
      <c r="C69" s="136">
        <f t="shared" si="4"/>
        <v>530.64</v>
      </c>
      <c r="D69" s="44"/>
      <c r="E69" s="43"/>
      <c r="F69" s="44"/>
      <c r="G69" s="32"/>
      <c r="I69" s="135" t="str">
        <f t="shared" si="5"/>
        <v>VSD Car Park 1.5kW</v>
      </c>
      <c r="J69" s="297" t="s">
        <v>785</v>
      </c>
      <c r="L69" s="301">
        <v>442.2</v>
      </c>
      <c r="M69" s="300">
        <f t="shared" si="6"/>
        <v>530.64</v>
      </c>
      <c r="N69" s="136">
        <v>770</v>
      </c>
      <c r="O69" s="295">
        <f t="shared" si="7"/>
        <v>0.74129353233830853</v>
      </c>
      <c r="P69" s="114" t="s">
        <v>771</v>
      </c>
      <c r="R69" s="114">
        <f t="shared" si="2"/>
        <v>0</v>
      </c>
      <c r="S69" s="114">
        <f t="shared" si="3"/>
        <v>0</v>
      </c>
    </row>
    <row r="70" spans="2:19" x14ac:dyDescent="0.4">
      <c r="B70" s="43" t="s">
        <v>263</v>
      </c>
      <c r="C70" s="136">
        <f t="shared" si="4"/>
        <v>649.44000000000005</v>
      </c>
      <c r="D70" s="44"/>
      <c r="E70" s="43"/>
      <c r="F70" s="44"/>
      <c r="G70" s="32"/>
      <c r="I70" s="135" t="str">
        <f t="shared" si="5"/>
        <v>VSD Car Park 2.2kW</v>
      </c>
      <c r="J70" s="297" t="s">
        <v>786</v>
      </c>
      <c r="L70" s="301">
        <v>541.20000000000005</v>
      </c>
      <c r="M70" s="300">
        <f t="shared" si="6"/>
        <v>649.44000000000005</v>
      </c>
      <c r="N70" s="136">
        <v>550</v>
      </c>
      <c r="O70" s="295">
        <f t="shared" si="7"/>
        <v>1.6260162601625931E-2</v>
      </c>
      <c r="P70" s="114" t="s">
        <v>771</v>
      </c>
      <c r="R70" s="114">
        <f t="shared" si="2"/>
        <v>0</v>
      </c>
      <c r="S70" s="114">
        <f t="shared" si="3"/>
        <v>0</v>
      </c>
    </row>
    <row r="71" spans="2:19" x14ac:dyDescent="0.4">
      <c r="B71" s="43" t="s">
        <v>264</v>
      </c>
      <c r="C71" s="136">
        <f t="shared" si="4"/>
        <v>751.07999999999993</v>
      </c>
      <c r="D71" s="44"/>
      <c r="E71" s="43"/>
      <c r="F71" s="44"/>
      <c r="G71" s="32"/>
      <c r="I71" s="135" t="str">
        <f t="shared" si="5"/>
        <v>VSD Car Park 3kW</v>
      </c>
      <c r="J71" s="297" t="s">
        <v>788</v>
      </c>
      <c r="L71" s="301">
        <v>625.9</v>
      </c>
      <c r="M71" s="300">
        <f t="shared" si="6"/>
        <v>751.07999999999993</v>
      </c>
      <c r="N71" s="136">
        <v>750</v>
      </c>
      <c r="O71" s="295">
        <f t="shared" si="7"/>
        <v>0.1982744847419716</v>
      </c>
      <c r="P71" s="114" t="s">
        <v>771</v>
      </c>
      <c r="R71" s="114">
        <f t="shared" si="2"/>
        <v>0</v>
      </c>
      <c r="S71" s="114">
        <f t="shared" si="3"/>
        <v>0</v>
      </c>
    </row>
    <row r="72" spans="2:19" x14ac:dyDescent="0.4">
      <c r="B72" s="43" t="s">
        <v>265</v>
      </c>
      <c r="C72" s="136">
        <f t="shared" si="4"/>
        <v>971.52</v>
      </c>
      <c r="D72" s="44"/>
      <c r="E72" s="43"/>
      <c r="F72" s="44"/>
      <c r="G72" s="32"/>
      <c r="I72" s="135" t="str">
        <f t="shared" si="5"/>
        <v>VSD Stair Press 7.5kW</v>
      </c>
      <c r="J72" s="297" t="s">
        <v>787</v>
      </c>
      <c r="L72" s="301">
        <v>809.6</v>
      </c>
      <c r="M72" s="300">
        <f t="shared" si="6"/>
        <v>971.52</v>
      </c>
      <c r="N72" s="136">
        <v>750</v>
      </c>
      <c r="O72" s="295">
        <f t="shared" si="7"/>
        <v>7.3616600790513853E-2</v>
      </c>
      <c r="P72" s="114" t="s">
        <v>771</v>
      </c>
      <c r="R72" s="114">
        <f t="shared" si="2"/>
        <v>0</v>
      </c>
      <c r="S72" s="114">
        <f t="shared" si="3"/>
        <v>0</v>
      </c>
    </row>
    <row r="73" spans="2:19" s="114" customFormat="1" x14ac:dyDescent="0.4">
      <c r="B73" s="135" t="s">
        <v>490</v>
      </c>
      <c r="C73" s="136">
        <f t="shared" si="4"/>
        <v>1226.28</v>
      </c>
      <c r="D73" s="136"/>
      <c r="E73" s="135"/>
      <c r="F73" s="136"/>
      <c r="H73" s="303"/>
      <c r="I73" s="135" t="str">
        <f t="shared" si="5"/>
        <v>VSD 11 kW</v>
      </c>
      <c r="J73" s="297" t="s">
        <v>789</v>
      </c>
      <c r="K73" s="297"/>
      <c r="L73" s="301">
        <v>1021.9</v>
      </c>
      <c r="M73" s="300">
        <f t="shared" si="6"/>
        <v>1226.28</v>
      </c>
      <c r="N73" s="136">
        <v>1100</v>
      </c>
      <c r="O73" s="295">
        <f t="shared" si="7"/>
        <v>7.6426264800861163E-2</v>
      </c>
      <c r="P73" s="114" t="s">
        <v>771</v>
      </c>
      <c r="R73" s="114">
        <f t="shared" si="2"/>
        <v>0</v>
      </c>
      <c r="S73" s="114">
        <f t="shared" si="3"/>
        <v>0</v>
      </c>
    </row>
    <row r="74" spans="2:19" s="114" customFormat="1" x14ac:dyDescent="0.4">
      <c r="B74" s="135" t="s">
        <v>542</v>
      </c>
      <c r="C74" s="136">
        <f t="shared" si="4"/>
        <v>530.64</v>
      </c>
      <c r="D74" s="136"/>
      <c r="E74" s="135"/>
      <c r="F74" s="136"/>
      <c r="H74" s="303"/>
      <c r="I74" s="135" t="str">
        <f t="shared" si="5"/>
        <v>VSD 1.5kW</v>
      </c>
      <c r="J74" s="297" t="s">
        <v>785</v>
      </c>
      <c r="K74" s="297"/>
      <c r="L74" s="301">
        <v>442.2</v>
      </c>
      <c r="M74" s="300">
        <f t="shared" si="6"/>
        <v>530.64</v>
      </c>
      <c r="N74" s="136">
        <v>770</v>
      </c>
      <c r="O74" s="295">
        <f t="shared" si="7"/>
        <v>0.74129353233830853</v>
      </c>
      <c r="P74" s="114" t="s">
        <v>771</v>
      </c>
      <c r="R74" s="114">
        <f t="shared" si="2"/>
        <v>0</v>
      </c>
      <c r="S74" s="114">
        <f t="shared" si="3"/>
        <v>0</v>
      </c>
    </row>
    <row r="75" spans="2:19" s="114" customFormat="1" x14ac:dyDescent="0.4">
      <c r="B75" s="135" t="s">
        <v>543</v>
      </c>
      <c r="C75" s="136">
        <f t="shared" si="4"/>
        <v>649.44000000000005</v>
      </c>
      <c r="D75" s="136"/>
      <c r="E75" s="135"/>
      <c r="F75" s="136"/>
      <c r="H75" s="303"/>
      <c r="I75" s="135" t="str">
        <f t="shared" si="5"/>
        <v>VSD 2.2kW</v>
      </c>
      <c r="J75" s="297" t="s">
        <v>786</v>
      </c>
      <c r="K75" s="297"/>
      <c r="L75" s="301">
        <v>541.20000000000005</v>
      </c>
      <c r="M75" s="300">
        <f t="shared" si="6"/>
        <v>649.44000000000005</v>
      </c>
      <c r="N75" s="136">
        <v>750</v>
      </c>
      <c r="O75" s="295">
        <f t="shared" si="7"/>
        <v>0.38580931263858081</v>
      </c>
      <c r="P75" s="114" t="s">
        <v>771</v>
      </c>
      <c r="R75" s="114">
        <f t="shared" si="2"/>
        <v>0</v>
      </c>
      <c r="S75" s="114">
        <f t="shared" si="3"/>
        <v>0</v>
      </c>
    </row>
    <row r="76" spans="2:19" s="114" customFormat="1" x14ac:dyDescent="0.4">
      <c r="B76" s="135" t="s">
        <v>544</v>
      </c>
      <c r="C76" s="136">
        <f t="shared" si="4"/>
        <v>751.07999999999993</v>
      </c>
      <c r="D76" s="136"/>
      <c r="E76" s="135"/>
      <c r="F76" s="136"/>
      <c r="H76" s="303"/>
      <c r="I76" s="135" t="str">
        <f t="shared" si="5"/>
        <v>VSD 3kW</v>
      </c>
      <c r="J76" s="297" t="s">
        <v>788</v>
      </c>
      <c r="K76" s="297"/>
      <c r="L76" s="301">
        <v>625.9</v>
      </c>
      <c r="M76" s="300">
        <f t="shared" si="6"/>
        <v>751.07999999999993</v>
      </c>
      <c r="N76" s="136">
        <v>750</v>
      </c>
      <c r="O76" s="295">
        <f t="shared" si="7"/>
        <v>0.1982744847419716</v>
      </c>
      <c r="P76" s="114" t="s">
        <v>771</v>
      </c>
      <c r="R76" s="114">
        <f t="shared" si="2"/>
        <v>0</v>
      </c>
      <c r="S76" s="114">
        <f t="shared" si="3"/>
        <v>0</v>
      </c>
    </row>
    <row r="77" spans="2:19" s="114" customFormat="1" x14ac:dyDescent="0.4">
      <c r="B77" s="135" t="s">
        <v>546</v>
      </c>
      <c r="C77" s="136">
        <f t="shared" si="4"/>
        <v>865.92</v>
      </c>
      <c r="D77" s="136"/>
      <c r="E77" s="135"/>
      <c r="F77" s="136"/>
      <c r="H77" s="303"/>
      <c r="I77" s="135" t="str">
        <f t="shared" si="5"/>
        <v>VSD 5.5kW</v>
      </c>
      <c r="J77" s="297" t="s">
        <v>790</v>
      </c>
      <c r="K77" s="297"/>
      <c r="L77" s="301">
        <v>721.6</v>
      </c>
      <c r="M77" s="300">
        <f t="shared" si="6"/>
        <v>865.92</v>
      </c>
      <c r="N77" s="136">
        <v>750</v>
      </c>
      <c r="O77" s="295">
        <f t="shared" si="7"/>
        <v>3.9356984478935667E-2</v>
      </c>
      <c r="P77" s="114" t="s">
        <v>771</v>
      </c>
      <c r="R77" s="114">
        <f t="shared" si="2"/>
        <v>0</v>
      </c>
      <c r="S77" s="114">
        <f t="shared" si="3"/>
        <v>0</v>
      </c>
    </row>
    <row r="78" spans="2:19" s="114" customFormat="1" x14ac:dyDescent="0.4">
      <c r="B78" s="135" t="s">
        <v>545</v>
      </c>
      <c r="C78" s="136">
        <f t="shared" si="4"/>
        <v>971.52</v>
      </c>
      <c r="D78" s="136"/>
      <c r="E78" s="135"/>
      <c r="F78" s="136"/>
      <c r="H78" s="303"/>
      <c r="I78" s="135" t="str">
        <f t="shared" si="5"/>
        <v>VSD 7.5kW</v>
      </c>
      <c r="J78" s="297" t="s">
        <v>787</v>
      </c>
      <c r="K78" s="297"/>
      <c r="L78" s="301">
        <v>809.6</v>
      </c>
      <c r="M78" s="300">
        <f t="shared" si="6"/>
        <v>971.52</v>
      </c>
      <c r="N78" s="136">
        <v>750</v>
      </c>
      <c r="O78" s="295">
        <f t="shared" si="7"/>
        <v>7.3616600790513853E-2</v>
      </c>
      <c r="P78" s="114" t="s">
        <v>771</v>
      </c>
      <c r="R78" s="114">
        <f t="shared" si="2"/>
        <v>0</v>
      </c>
      <c r="S78" s="114">
        <f t="shared" si="3"/>
        <v>0</v>
      </c>
    </row>
    <row r="79" spans="2:19" x14ac:dyDescent="0.4">
      <c r="B79" s="43" t="s">
        <v>266</v>
      </c>
      <c r="C79" s="136">
        <f t="shared" si="4"/>
        <v>4.5599999999999996</v>
      </c>
      <c r="D79" s="44"/>
      <c r="E79" s="43"/>
      <c r="F79" s="44"/>
      <c r="G79" s="32"/>
      <c r="I79" s="135" t="str">
        <f t="shared" si="5"/>
        <v>6mm Cable 3 core and Earth</v>
      </c>
      <c r="L79" s="301"/>
      <c r="M79" s="300">
        <f t="shared" si="6"/>
        <v>4.5599999999999996</v>
      </c>
      <c r="N79" s="136">
        <v>3.8</v>
      </c>
      <c r="O79" s="295">
        <f t="shared" si="7"/>
        <v>0</v>
      </c>
      <c r="P79" t="s">
        <v>774</v>
      </c>
      <c r="R79" s="114">
        <f t="shared" si="2"/>
        <v>0</v>
      </c>
      <c r="S79" s="114">
        <f t="shared" si="3"/>
        <v>0</v>
      </c>
    </row>
    <row r="80" spans="2:19" x14ac:dyDescent="0.4">
      <c r="B80" s="52" t="s">
        <v>267</v>
      </c>
      <c r="C80" s="136">
        <f t="shared" si="4"/>
        <v>3.48</v>
      </c>
      <c r="D80" s="53"/>
      <c r="E80" s="52"/>
      <c r="F80" s="53"/>
      <c r="G80" s="32"/>
      <c r="I80" s="135" t="str">
        <f t="shared" si="5"/>
        <v>4mm Cable 3 core and Earth</v>
      </c>
      <c r="L80" s="301"/>
      <c r="M80" s="300">
        <f t="shared" si="6"/>
        <v>3.48</v>
      </c>
      <c r="N80" s="53">
        <v>2.9</v>
      </c>
      <c r="O80" s="295">
        <f t="shared" si="7"/>
        <v>0</v>
      </c>
      <c r="P80" s="114" t="s">
        <v>774</v>
      </c>
      <c r="R80" s="114">
        <f t="shared" si="2"/>
        <v>0</v>
      </c>
      <c r="S80" s="114">
        <f t="shared" si="3"/>
        <v>0</v>
      </c>
    </row>
    <row r="81" spans="2:19" s="32" customFormat="1" x14ac:dyDescent="0.4">
      <c r="B81" s="52" t="s">
        <v>418</v>
      </c>
      <c r="C81" s="136">
        <f t="shared" si="4"/>
        <v>0.33600000000000002</v>
      </c>
      <c r="D81" s="53"/>
      <c r="E81" s="52"/>
      <c r="F81" s="53"/>
      <c r="H81" s="303"/>
      <c r="I81" s="135" t="str">
        <f t="shared" si="5"/>
        <v>Switchboard Cable 1mm</v>
      </c>
      <c r="J81" s="297"/>
      <c r="K81" s="297"/>
      <c r="L81" s="301"/>
      <c r="M81" s="300">
        <f t="shared" si="6"/>
        <v>0.33600000000000002</v>
      </c>
      <c r="N81" s="53">
        <v>0.28000000000000003</v>
      </c>
      <c r="O81" s="295"/>
      <c r="P81" s="114" t="s">
        <v>774</v>
      </c>
      <c r="R81" s="114">
        <f t="shared" ref="R81:R123" si="8">IF($H81="#",I81,0)</f>
        <v>0</v>
      </c>
      <c r="S81" s="114">
        <f t="shared" ref="S81:S123" si="9">IF($H81="#",N81,0)</f>
        <v>0</v>
      </c>
    </row>
    <row r="82" spans="2:19" x14ac:dyDescent="0.4">
      <c r="B82" s="43" t="s">
        <v>268</v>
      </c>
      <c r="C82" s="136">
        <f t="shared" si="4"/>
        <v>1.02</v>
      </c>
      <c r="D82" s="44"/>
      <c r="E82" s="43"/>
      <c r="F82" s="44"/>
      <c r="G82" s="32"/>
      <c r="I82" s="135" t="str">
        <f t="shared" si="5"/>
        <v>2.5mm Twin and Earth</v>
      </c>
      <c r="L82" s="301"/>
      <c r="M82" s="300">
        <f t="shared" si="6"/>
        <v>1.02</v>
      </c>
      <c r="N82" s="136">
        <v>0.85</v>
      </c>
      <c r="O82" s="295"/>
      <c r="P82" s="114" t="s">
        <v>774</v>
      </c>
      <c r="R82" s="114">
        <f t="shared" si="8"/>
        <v>0</v>
      </c>
      <c r="S82" s="114">
        <f t="shared" si="9"/>
        <v>0</v>
      </c>
    </row>
    <row r="83" spans="2:19" x14ac:dyDescent="0.4">
      <c r="B83" s="43" t="s">
        <v>269</v>
      </c>
      <c r="C83" s="136">
        <f t="shared" si="4"/>
        <v>1.056</v>
      </c>
      <c r="D83" s="44"/>
      <c r="E83" s="43"/>
      <c r="F83" s="44"/>
      <c r="G83" s="32"/>
      <c r="I83" s="135" t="str">
        <f t="shared" si="5"/>
        <v>7030 2 pair TCAS7302P</v>
      </c>
      <c r="L83" s="301"/>
      <c r="M83" s="300">
        <f t="shared" si="6"/>
        <v>1.056</v>
      </c>
      <c r="N83" s="136">
        <v>0.88</v>
      </c>
      <c r="O83" s="295"/>
      <c r="P83" s="114" t="s">
        <v>774</v>
      </c>
      <c r="R83" s="114">
        <f t="shared" si="8"/>
        <v>0</v>
      </c>
      <c r="S83" s="114">
        <f t="shared" si="9"/>
        <v>0</v>
      </c>
    </row>
    <row r="84" spans="2:19" s="32" customFormat="1" x14ac:dyDescent="0.4">
      <c r="B84" s="95" t="s">
        <v>373</v>
      </c>
      <c r="C84" s="136">
        <f t="shared" si="4"/>
        <v>0</v>
      </c>
      <c r="D84" s="44"/>
      <c r="E84" s="43"/>
      <c r="F84" s="44"/>
      <c r="H84" s="303"/>
      <c r="I84" s="135"/>
      <c r="J84" s="297"/>
      <c r="K84" s="297"/>
      <c r="L84" s="301"/>
      <c r="M84" s="300">
        <f t="shared" si="6"/>
        <v>0</v>
      </c>
      <c r="N84" s="136"/>
      <c r="O84" s="295"/>
      <c r="R84" s="114">
        <f t="shared" si="8"/>
        <v>0</v>
      </c>
      <c r="S84" s="114">
        <f t="shared" si="9"/>
        <v>0</v>
      </c>
    </row>
    <row r="85" spans="2:19" x14ac:dyDescent="0.4">
      <c r="B85" s="43" t="s">
        <v>270</v>
      </c>
      <c r="C85" s="136">
        <f t="shared" si="4"/>
        <v>5.7960000000000003</v>
      </c>
      <c r="D85" s="44"/>
      <c r="E85" s="43"/>
      <c r="F85" s="44"/>
      <c r="G85" s="32"/>
      <c r="I85" s="135" t="str">
        <f t="shared" si="5"/>
        <v>FRC3025+E 2 hour fire for stair p</v>
      </c>
      <c r="L85" s="301"/>
      <c r="M85" s="300">
        <f t="shared" si="6"/>
        <v>5.7960000000000003</v>
      </c>
      <c r="N85" s="136">
        <v>4.83</v>
      </c>
      <c r="O85" s="295"/>
      <c r="P85" s="114" t="s">
        <v>774</v>
      </c>
      <c r="R85" s="114">
        <f t="shared" si="8"/>
        <v>0</v>
      </c>
      <c r="S85" s="114">
        <f t="shared" si="9"/>
        <v>0</v>
      </c>
    </row>
    <row r="86" spans="2:19" x14ac:dyDescent="0.4">
      <c r="B86" s="43" t="s">
        <v>271</v>
      </c>
      <c r="C86" s="136">
        <f t="shared" si="4"/>
        <v>3.972</v>
      </c>
      <c r="D86" s="44"/>
      <c r="E86" s="43"/>
      <c r="F86" s="44"/>
      <c r="G86" s="32"/>
      <c r="I86" s="135" t="str">
        <f t="shared" si="5"/>
        <v>VSD3015E 1.5mm Screened Cable</v>
      </c>
      <c r="L86" s="301"/>
      <c r="M86" s="300">
        <f t="shared" si="6"/>
        <v>3.972</v>
      </c>
      <c r="N86" s="136">
        <v>3.31</v>
      </c>
      <c r="O86" s="295"/>
      <c r="P86" s="114" t="s">
        <v>774</v>
      </c>
      <c r="R86" s="114">
        <f t="shared" si="8"/>
        <v>0</v>
      </c>
      <c r="S86" s="114">
        <f t="shared" si="9"/>
        <v>0</v>
      </c>
    </row>
    <row r="87" spans="2:19" s="32" customFormat="1" x14ac:dyDescent="0.4">
      <c r="B87" s="43" t="s">
        <v>360</v>
      </c>
      <c r="C87" s="136">
        <f t="shared" si="4"/>
        <v>2.4</v>
      </c>
      <c r="D87" s="44"/>
      <c r="E87" s="43"/>
      <c r="F87" s="44"/>
      <c r="H87" s="303"/>
      <c r="I87" s="135" t="str">
        <f t="shared" si="5"/>
        <v>Network cable</v>
      </c>
      <c r="J87" s="297"/>
      <c r="K87" s="297"/>
      <c r="L87" s="301"/>
      <c r="M87" s="300">
        <f t="shared" si="6"/>
        <v>2.4</v>
      </c>
      <c r="N87" s="151">
        <v>2</v>
      </c>
      <c r="O87" s="295"/>
      <c r="P87" s="114" t="s">
        <v>774</v>
      </c>
      <c r="R87" s="114">
        <f t="shared" si="8"/>
        <v>0</v>
      </c>
      <c r="S87" s="114">
        <f t="shared" si="9"/>
        <v>0</v>
      </c>
    </row>
    <row r="88" spans="2:19" x14ac:dyDescent="0.4">
      <c r="B88" s="43" t="s">
        <v>272</v>
      </c>
      <c r="C88" s="136">
        <f t="shared" si="4"/>
        <v>0.624</v>
      </c>
      <c r="D88" s="44"/>
      <c r="E88" s="43"/>
      <c r="F88" s="44"/>
      <c r="G88" s="32"/>
      <c r="I88" s="135" t="str">
        <f t="shared" si="5"/>
        <v>Caternery 120m per level x 15</v>
      </c>
      <c r="L88" s="301"/>
      <c r="M88" s="300">
        <f t="shared" si="6"/>
        <v>0.624</v>
      </c>
      <c r="N88" s="136">
        <v>0.52</v>
      </c>
      <c r="O88" s="295"/>
      <c r="P88" t="s">
        <v>775</v>
      </c>
      <c r="R88" s="114">
        <f t="shared" si="8"/>
        <v>0</v>
      </c>
      <c r="S88" s="114">
        <f t="shared" si="9"/>
        <v>0</v>
      </c>
    </row>
    <row r="89" spans="2:19" x14ac:dyDescent="0.4">
      <c r="B89" s="43" t="s">
        <v>439</v>
      </c>
      <c r="C89" s="136">
        <f t="shared" si="4"/>
        <v>0.6</v>
      </c>
      <c r="D89" s="44"/>
      <c r="E89" s="43"/>
      <c r="F89" s="44"/>
      <c r="G89" s="32"/>
      <c r="H89" s="303" t="s">
        <v>778</v>
      </c>
      <c r="I89" s="135" t="str">
        <f t="shared" si="5"/>
        <v>Hardware Misc Screws etc per m of cable</v>
      </c>
      <c r="L89" s="301"/>
      <c r="M89" s="300">
        <f t="shared" si="6"/>
        <v>0.6</v>
      </c>
      <c r="N89" s="136">
        <v>0.5</v>
      </c>
      <c r="O89" s="295"/>
      <c r="R89" s="114" t="str">
        <f t="shared" si="8"/>
        <v>Hardware Misc Screws etc per m of cable</v>
      </c>
      <c r="S89" s="114">
        <f t="shared" si="9"/>
        <v>0.5</v>
      </c>
    </row>
    <row r="90" spans="2:19" x14ac:dyDescent="0.4">
      <c r="B90" s="95" t="s">
        <v>273</v>
      </c>
      <c r="C90" s="136">
        <f t="shared" si="4"/>
        <v>307.2</v>
      </c>
      <c r="D90" s="44"/>
      <c r="E90" s="43"/>
      <c r="F90" s="44"/>
      <c r="G90" s="32"/>
      <c r="I90" s="135" t="str">
        <f t="shared" si="5"/>
        <v>mech thermostat</v>
      </c>
      <c r="J90" s="114" t="s">
        <v>764</v>
      </c>
      <c r="L90" s="301"/>
      <c r="M90" s="300">
        <f t="shared" si="6"/>
        <v>307.2</v>
      </c>
      <c r="N90" s="151">
        <v>256</v>
      </c>
      <c r="O90" s="295"/>
      <c r="P90" s="114" t="s">
        <v>771</v>
      </c>
      <c r="R90" s="114">
        <f t="shared" si="8"/>
        <v>0</v>
      </c>
      <c r="S90" s="114">
        <f t="shared" si="9"/>
        <v>0</v>
      </c>
    </row>
    <row r="91" spans="2:19" s="32" customFormat="1" x14ac:dyDescent="0.4">
      <c r="B91" s="95" t="s">
        <v>419</v>
      </c>
      <c r="C91" s="136">
        <f t="shared" si="4"/>
        <v>960</v>
      </c>
      <c r="D91" s="44"/>
      <c r="E91" s="43"/>
      <c r="F91" s="44"/>
      <c r="H91" s="303"/>
      <c r="I91" s="135" t="str">
        <f t="shared" si="5"/>
        <v>Mech thermostat control relay, control relay, enclosure, terminals etc.</v>
      </c>
      <c r="J91" s="114" t="s">
        <v>764</v>
      </c>
      <c r="K91" s="297"/>
      <c r="L91" s="301"/>
      <c r="M91" s="300">
        <f t="shared" si="6"/>
        <v>960</v>
      </c>
      <c r="N91" s="151">
        <v>800</v>
      </c>
      <c r="O91" s="295"/>
      <c r="P91" s="114" t="s">
        <v>771</v>
      </c>
      <c r="R91" s="114">
        <f t="shared" si="8"/>
        <v>0</v>
      </c>
      <c r="S91" s="114">
        <f t="shared" si="9"/>
        <v>0</v>
      </c>
    </row>
    <row r="92" spans="2:19" x14ac:dyDescent="0.4">
      <c r="B92" s="43" t="s">
        <v>274</v>
      </c>
      <c r="C92" s="136">
        <f t="shared" si="4"/>
        <v>360</v>
      </c>
      <c r="D92" s="44"/>
      <c r="E92" s="43"/>
      <c r="F92" s="44"/>
      <c r="G92" s="32"/>
      <c r="I92" s="135" t="str">
        <f t="shared" si="5"/>
        <v>trefolite</v>
      </c>
      <c r="L92" s="301">
        <v>300</v>
      </c>
      <c r="M92" s="300">
        <f t="shared" si="6"/>
        <v>360</v>
      </c>
      <c r="N92" s="99">
        <v>50</v>
      </c>
      <c r="O92" s="295">
        <f t="shared" si="7"/>
        <v>0.83333333333333337</v>
      </c>
      <c r="R92" s="114">
        <f t="shared" si="8"/>
        <v>0</v>
      </c>
      <c r="S92" s="114">
        <f t="shared" si="9"/>
        <v>0</v>
      </c>
    </row>
    <row r="93" spans="2:19" x14ac:dyDescent="0.4">
      <c r="B93" s="43" t="s">
        <v>275</v>
      </c>
      <c r="C93" s="136">
        <f t="shared" si="4"/>
        <v>420</v>
      </c>
      <c r="D93" s="44"/>
      <c r="E93" s="43"/>
      <c r="F93" s="44"/>
      <c r="G93" s="32"/>
      <c r="H93" s="303" t="s">
        <v>778</v>
      </c>
      <c r="I93" s="135" t="str">
        <f t="shared" si="5"/>
        <v>Wall plates (on off or 2 speed)</v>
      </c>
      <c r="L93" s="300"/>
      <c r="M93" s="300">
        <f t="shared" si="6"/>
        <v>420</v>
      </c>
      <c r="N93" s="136">
        <v>350</v>
      </c>
      <c r="O93" s="295"/>
      <c r="R93" s="114" t="str">
        <f t="shared" si="8"/>
        <v>Wall plates (on off or 2 speed)</v>
      </c>
      <c r="S93" s="114">
        <f t="shared" si="9"/>
        <v>350</v>
      </c>
    </row>
    <row r="94" spans="2:19" x14ac:dyDescent="0.4">
      <c r="B94" s="43" t="s">
        <v>276</v>
      </c>
      <c r="C94" s="136">
        <f t="shared" si="4"/>
        <v>6000</v>
      </c>
      <c r="D94" s="44"/>
      <c r="E94" s="43"/>
      <c r="F94" s="44"/>
      <c r="G94" s="32"/>
      <c r="H94" s="303" t="s">
        <v>778</v>
      </c>
      <c r="I94" s="135" t="str">
        <f t="shared" si="5"/>
        <v>PC Amt stuff</v>
      </c>
      <c r="L94" s="300"/>
      <c r="M94" s="300">
        <f t="shared" si="6"/>
        <v>6000</v>
      </c>
      <c r="N94" s="136">
        <v>5000</v>
      </c>
      <c r="O94" s="295"/>
      <c r="R94" s="114" t="str">
        <f t="shared" si="8"/>
        <v>PC Amt stuff</v>
      </c>
      <c r="S94" s="114">
        <f t="shared" si="9"/>
        <v>5000</v>
      </c>
    </row>
    <row r="95" spans="2:19" x14ac:dyDescent="0.4">
      <c r="B95" s="43" t="s">
        <v>277</v>
      </c>
      <c r="C95" s="136">
        <f t="shared" si="4"/>
        <v>69.540000000000006</v>
      </c>
      <c r="D95" s="44"/>
      <c r="E95" s="43"/>
      <c r="F95" s="44"/>
      <c r="G95" s="32"/>
      <c r="I95" s="135" t="str">
        <f t="shared" si="5"/>
        <v>AOM Switches</v>
      </c>
      <c r="J95" s="297" t="s">
        <v>766</v>
      </c>
      <c r="K95" s="297" t="s">
        <v>761</v>
      </c>
      <c r="L95" s="300">
        <f>1.5 + 56.45</f>
        <v>57.95</v>
      </c>
      <c r="M95" s="300">
        <f t="shared" si="6"/>
        <v>69.540000000000006</v>
      </c>
      <c r="N95" s="99">
        <v>45</v>
      </c>
      <c r="O95" s="295">
        <f t="shared" si="7"/>
        <v>0.22346850733390858</v>
      </c>
      <c r="R95" s="114">
        <f t="shared" si="8"/>
        <v>0</v>
      </c>
      <c r="S95" s="114">
        <f t="shared" si="9"/>
        <v>0</v>
      </c>
    </row>
    <row r="96" spans="2:19" x14ac:dyDescent="0.4">
      <c r="B96" s="49" t="s">
        <v>278</v>
      </c>
      <c r="C96" s="136">
        <f t="shared" si="4"/>
        <v>36</v>
      </c>
      <c r="D96" s="44"/>
      <c r="E96" s="49"/>
      <c r="F96" s="44"/>
      <c r="G96" s="48"/>
      <c r="H96" s="303" t="s">
        <v>778</v>
      </c>
      <c r="I96" s="135" t="str">
        <f t="shared" si="5"/>
        <v>003 Keyed Padlocks</v>
      </c>
      <c r="L96" s="300"/>
      <c r="M96" s="300">
        <f t="shared" si="6"/>
        <v>36</v>
      </c>
      <c r="N96" s="136">
        <v>30</v>
      </c>
      <c r="O96" s="295"/>
      <c r="R96" s="114" t="str">
        <f t="shared" si="8"/>
        <v>003 Keyed Padlocks</v>
      </c>
      <c r="S96" s="114">
        <f t="shared" si="9"/>
        <v>30</v>
      </c>
    </row>
    <row r="97" spans="2:19" x14ac:dyDescent="0.4">
      <c r="B97" s="49" t="s">
        <v>279</v>
      </c>
      <c r="C97" s="136">
        <f t="shared" si="4"/>
        <v>27.599999999999998</v>
      </c>
      <c r="D97" s="53"/>
      <c r="E97" s="49"/>
      <c r="F97" s="53"/>
      <c r="G97" s="48"/>
      <c r="I97" s="135" t="str">
        <f t="shared" si="5"/>
        <v>Cable Tray 225mm wide 2.4mtr</v>
      </c>
      <c r="J97" s="298"/>
      <c r="K97" s="298"/>
      <c r="L97" s="302"/>
      <c r="M97" s="300">
        <f t="shared" si="6"/>
        <v>27.599999999999998</v>
      </c>
      <c r="N97" s="53">
        <v>23</v>
      </c>
      <c r="O97" s="295"/>
      <c r="P97" t="s">
        <v>775</v>
      </c>
      <c r="R97" s="114">
        <f t="shared" si="8"/>
        <v>0</v>
      </c>
      <c r="S97" s="114">
        <f t="shared" si="9"/>
        <v>0</v>
      </c>
    </row>
    <row r="98" spans="2:19" s="32" customFormat="1" x14ac:dyDescent="0.4">
      <c r="B98" s="49" t="s">
        <v>430</v>
      </c>
      <c r="C98" s="136">
        <f t="shared" si="4"/>
        <v>21.599999999999998</v>
      </c>
      <c r="D98" s="53"/>
      <c r="E98" s="49"/>
      <c r="F98" s="53"/>
      <c r="G98" s="48"/>
      <c r="H98" s="303"/>
      <c r="I98" s="135" t="str">
        <f t="shared" si="5"/>
        <v>Cable Tray 80mm wide 2.4mtr</v>
      </c>
      <c r="J98" s="298"/>
      <c r="K98" s="298"/>
      <c r="L98" s="302"/>
      <c r="M98" s="300">
        <f t="shared" si="6"/>
        <v>21.599999999999998</v>
      </c>
      <c r="N98" s="53">
        <v>18</v>
      </c>
      <c r="O98" s="295"/>
      <c r="P98" s="114" t="s">
        <v>775</v>
      </c>
      <c r="R98" s="114">
        <f t="shared" si="8"/>
        <v>0</v>
      </c>
      <c r="S98" s="114">
        <f t="shared" si="9"/>
        <v>0</v>
      </c>
    </row>
    <row r="99" spans="2:19" s="32" customFormat="1" x14ac:dyDescent="0.4">
      <c r="B99" s="49" t="s">
        <v>435</v>
      </c>
      <c r="C99" s="136">
        <f t="shared" si="4"/>
        <v>11.700000000000001</v>
      </c>
      <c r="D99" s="53"/>
      <c r="E99" s="49"/>
      <c r="F99" s="53"/>
      <c r="G99" s="48"/>
      <c r="H99" s="303"/>
      <c r="I99" s="135" t="str">
        <f t="shared" si="5"/>
        <v>Cable Tray 80mm wide per metre</v>
      </c>
      <c r="J99" s="298"/>
      <c r="K99" s="298"/>
      <c r="L99" s="302"/>
      <c r="M99" s="300">
        <f t="shared" si="6"/>
        <v>11.700000000000001</v>
      </c>
      <c r="N99" s="53">
        <f>1.3*N98/2.4</f>
        <v>9.7500000000000018</v>
      </c>
      <c r="O99" s="295"/>
      <c r="P99" s="114" t="s">
        <v>775</v>
      </c>
      <c r="R99" s="114">
        <f t="shared" si="8"/>
        <v>0</v>
      </c>
      <c r="S99" s="114">
        <f t="shared" si="9"/>
        <v>0</v>
      </c>
    </row>
    <row r="100" spans="2:19" s="32" customFormat="1" x14ac:dyDescent="0.4">
      <c r="B100" s="49" t="s">
        <v>431</v>
      </c>
      <c r="C100" s="136">
        <f t="shared" si="4"/>
        <v>216</v>
      </c>
      <c r="D100" s="53"/>
      <c r="E100" s="49"/>
      <c r="F100" s="53"/>
      <c r="G100" s="48"/>
      <c r="H100" s="303"/>
      <c r="I100" s="135" t="str">
        <f t="shared" si="5"/>
        <v>Ladder Tray 300mm wid 2.4mtr</v>
      </c>
      <c r="J100" s="298"/>
      <c r="K100" s="298"/>
      <c r="L100" s="302"/>
      <c r="M100" s="300">
        <f t="shared" si="6"/>
        <v>216</v>
      </c>
      <c r="N100" s="53">
        <v>180</v>
      </c>
      <c r="O100" s="295"/>
      <c r="P100" s="114" t="s">
        <v>775</v>
      </c>
      <c r="R100" s="114">
        <f t="shared" si="8"/>
        <v>0</v>
      </c>
      <c r="S100" s="114">
        <f t="shared" si="9"/>
        <v>0</v>
      </c>
    </row>
    <row r="101" spans="2:19" s="32" customFormat="1" x14ac:dyDescent="0.4">
      <c r="B101" s="49" t="s">
        <v>432</v>
      </c>
      <c r="C101" s="136">
        <f t="shared" si="4"/>
        <v>117</v>
      </c>
      <c r="D101" s="53"/>
      <c r="E101" s="49"/>
      <c r="F101" s="53"/>
      <c r="G101" s="48"/>
      <c r="H101" s="303"/>
      <c r="I101" s="135" t="str">
        <f t="shared" si="5"/>
        <v>Ladder Tray 300mm wid  per metre</v>
      </c>
      <c r="J101" s="298"/>
      <c r="K101" s="298"/>
      <c r="L101" s="302"/>
      <c r="M101" s="300">
        <f t="shared" si="6"/>
        <v>117</v>
      </c>
      <c r="N101" s="53">
        <f>1.3*N100/2.4</f>
        <v>97.5</v>
      </c>
      <c r="O101" s="295"/>
      <c r="P101" s="114" t="s">
        <v>775</v>
      </c>
      <c r="R101" s="114">
        <f t="shared" si="8"/>
        <v>0</v>
      </c>
      <c r="S101" s="114">
        <f t="shared" si="9"/>
        <v>0</v>
      </c>
    </row>
    <row r="102" spans="2:19" s="32" customFormat="1" x14ac:dyDescent="0.4">
      <c r="B102" s="49" t="s">
        <v>436</v>
      </c>
      <c r="C102" s="136">
        <f t="shared" si="4"/>
        <v>1.2</v>
      </c>
      <c r="D102" s="53"/>
      <c r="E102" s="49"/>
      <c r="F102" s="53"/>
      <c r="G102" s="48"/>
      <c r="H102" s="303"/>
      <c r="I102" s="135" t="str">
        <f t="shared" si="5"/>
        <v>Catenery/Conduit per metre</v>
      </c>
      <c r="J102" s="298"/>
      <c r="K102" s="298"/>
      <c r="L102" s="302"/>
      <c r="M102" s="300">
        <f t="shared" si="6"/>
        <v>1.2</v>
      </c>
      <c r="N102" s="53">
        <v>1</v>
      </c>
      <c r="O102" s="295"/>
      <c r="P102" s="114" t="s">
        <v>775</v>
      </c>
      <c r="R102" s="114">
        <f t="shared" si="8"/>
        <v>0</v>
      </c>
      <c r="S102" s="114">
        <f t="shared" si="9"/>
        <v>0</v>
      </c>
    </row>
    <row r="103" spans="2:19" x14ac:dyDescent="0.4">
      <c r="B103" s="43" t="s">
        <v>280</v>
      </c>
      <c r="C103" s="136">
        <f t="shared" si="4"/>
        <v>19.2</v>
      </c>
      <c r="D103" s="44"/>
      <c r="E103" s="43"/>
      <c r="F103" s="44"/>
      <c r="G103" s="32"/>
      <c r="I103" s="135" t="str">
        <f t="shared" si="5"/>
        <v xml:space="preserve">run and fault leds </v>
      </c>
      <c r="J103" s="298" t="s">
        <v>755</v>
      </c>
      <c r="K103" s="298" t="s">
        <v>754</v>
      </c>
      <c r="L103" s="302">
        <f>2*8</f>
        <v>16</v>
      </c>
      <c r="M103" s="300">
        <f t="shared" si="6"/>
        <v>19.2</v>
      </c>
      <c r="N103" s="151">
        <v>30</v>
      </c>
      <c r="O103" s="295">
        <f t="shared" si="7"/>
        <v>0.875</v>
      </c>
      <c r="R103" s="114">
        <f t="shared" si="8"/>
        <v>0</v>
      </c>
      <c r="S103" s="114">
        <f t="shared" si="9"/>
        <v>0</v>
      </c>
    </row>
    <row r="104" spans="2:19" s="32" customFormat="1" x14ac:dyDescent="0.4">
      <c r="B104" s="43" t="s">
        <v>319</v>
      </c>
      <c r="C104" s="136">
        <f t="shared" si="4"/>
        <v>120</v>
      </c>
      <c r="D104" s="44"/>
      <c r="E104" s="43"/>
      <c r="F104" s="44"/>
      <c r="H104" s="303" t="s">
        <v>778</v>
      </c>
      <c r="I104" s="135" t="str">
        <f t="shared" si="5"/>
        <v>Stair press sensor</v>
      </c>
      <c r="J104" s="297"/>
      <c r="K104" s="297"/>
      <c r="L104" s="300"/>
      <c r="M104" s="300">
        <f t="shared" si="6"/>
        <v>120</v>
      </c>
      <c r="N104" s="136">
        <v>100</v>
      </c>
      <c r="O104" s="295"/>
      <c r="R104" s="114" t="str">
        <f t="shared" si="8"/>
        <v>Stair press sensor</v>
      </c>
      <c r="S104" s="114">
        <f t="shared" si="9"/>
        <v>100</v>
      </c>
    </row>
    <row r="105" spans="2:19" s="32" customFormat="1" x14ac:dyDescent="0.4">
      <c r="B105" s="43" t="s">
        <v>320</v>
      </c>
      <c r="C105" s="136">
        <f t="shared" si="4"/>
        <v>0</v>
      </c>
      <c r="D105" s="44"/>
      <c r="E105" s="43"/>
      <c r="F105" s="44"/>
      <c r="H105" s="303"/>
      <c r="I105" s="135"/>
      <c r="J105" s="297"/>
      <c r="K105" s="297"/>
      <c r="L105" s="300"/>
      <c r="M105" s="300">
        <f t="shared" si="6"/>
        <v>0</v>
      </c>
      <c r="N105" s="136"/>
      <c r="O105" s="295"/>
      <c r="R105" s="114">
        <f t="shared" si="8"/>
        <v>0</v>
      </c>
      <c r="S105" s="114">
        <f t="shared" si="9"/>
        <v>0</v>
      </c>
    </row>
    <row r="106" spans="2:19" s="32" customFormat="1" x14ac:dyDescent="0.4">
      <c r="B106" s="43" t="s">
        <v>321</v>
      </c>
      <c r="C106" s="136">
        <f t="shared" si="4"/>
        <v>60</v>
      </c>
      <c r="D106" s="44"/>
      <c r="E106" s="43"/>
      <c r="F106" s="44"/>
      <c r="H106" s="303" t="s">
        <v>778</v>
      </c>
      <c r="I106" s="135" t="str">
        <f t="shared" si="5"/>
        <v>Air Pressure switch</v>
      </c>
      <c r="J106" s="297"/>
      <c r="K106" s="297"/>
      <c r="L106" s="300"/>
      <c r="M106" s="300">
        <f t="shared" si="6"/>
        <v>60</v>
      </c>
      <c r="N106" s="151">
        <v>50</v>
      </c>
      <c r="O106" s="295"/>
      <c r="R106" s="114" t="str">
        <f t="shared" si="8"/>
        <v>Air Pressure switch</v>
      </c>
      <c r="S106" s="114">
        <f t="shared" si="9"/>
        <v>50</v>
      </c>
    </row>
    <row r="107" spans="2:19" s="32" customFormat="1" x14ac:dyDescent="0.4">
      <c r="B107" s="13" t="s">
        <v>332</v>
      </c>
      <c r="C107" s="136">
        <f t="shared" si="4"/>
        <v>127.19999999999999</v>
      </c>
      <c r="D107" s="44"/>
      <c r="E107" s="43"/>
      <c r="F107" s="44"/>
      <c r="H107" s="303"/>
      <c r="I107" s="135" t="str">
        <f t="shared" si="5"/>
        <v>Strobe-alarm</v>
      </c>
      <c r="J107" s="297" t="s">
        <v>777</v>
      </c>
      <c r="K107" s="297" t="s">
        <v>776</v>
      </c>
      <c r="L107" s="300">
        <v>106</v>
      </c>
      <c r="M107" s="300">
        <f t="shared" si="6"/>
        <v>127.19999999999999</v>
      </c>
      <c r="N107" s="151">
        <v>100</v>
      </c>
      <c r="O107" s="295">
        <f t="shared" si="7"/>
        <v>5.6603773584905662E-2</v>
      </c>
      <c r="R107" s="114">
        <f t="shared" si="8"/>
        <v>0</v>
      </c>
      <c r="S107" s="114">
        <f t="shared" si="9"/>
        <v>0</v>
      </c>
    </row>
    <row r="108" spans="2:19" s="32" customFormat="1" x14ac:dyDescent="0.4">
      <c r="B108" s="43" t="s">
        <v>322</v>
      </c>
      <c r="C108" s="136">
        <f t="shared" si="4"/>
        <v>48</v>
      </c>
      <c r="D108" s="44"/>
      <c r="E108" s="43"/>
      <c r="F108" s="44"/>
      <c r="H108" s="303" t="s">
        <v>778</v>
      </c>
      <c r="I108" s="135" t="str">
        <f t="shared" si="5"/>
        <v>Interface for fire trade fan control</v>
      </c>
      <c r="J108" s="297"/>
      <c r="K108" s="297"/>
      <c r="L108" s="300"/>
      <c r="M108" s="300">
        <f t="shared" si="6"/>
        <v>48</v>
      </c>
      <c r="N108" s="136">
        <v>40</v>
      </c>
      <c r="O108" s="295"/>
      <c r="R108" s="114" t="str">
        <f t="shared" si="8"/>
        <v>Interface for fire trade fan control</v>
      </c>
      <c r="S108" s="114">
        <f t="shared" si="9"/>
        <v>40</v>
      </c>
    </row>
    <row r="109" spans="2:19" s="32" customFormat="1" x14ac:dyDescent="0.4">
      <c r="B109" s="43" t="s">
        <v>326</v>
      </c>
      <c r="C109" s="136">
        <f t="shared" si="4"/>
        <v>29.04</v>
      </c>
      <c r="D109" s="44"/>
      <c r="E109" s="43"/>
      <c r="F109" s="44"/>
      <c r="H109" s="303"/>
      <c r="I109" s="135" t="str">
        <f t="shared" si="5"/>
        <v>Fire Relay</v>
      </c>
      <c r="J109" s="297" t="str">
        <f>J110</f>
        <v>882DC24SLS or 882DC12SLS</v>
      </c>
      <c r="K109" s="297" t="str">
        <f t="shared" ref="K109:L109" si="10">K110</f>
        <v>B30</v>
      </c>
      <c r="L109" s="297">
        <f t="shared" si="10"/>
        <v>24.2</v>
      </c>
      <c r="M109" s="300">
        <f t="shared" si="6"/>
        <v>29.04</v>
      </c>
      <c r="N109" s="151">
        <v>30</v>
      </c>
      <c r="O109" s="295">
        <f t="shared" si="7"/>
        <v>0.23966942148760334</v>
      </c>
      <c r="R109" s="114">
        <f t="shared" si="8"/>
        <v>0</v>
      </c>
      <c r="S109" s="114">
        <f t="shared" si="9"/>
        <v>0</v>
      </c>
    </row>
    <row r="110" spans="2:19" s="114" customFormat="1" x14ac:dyDescent="0.4">
      <c r="B110" s="135" t="s">
        <v>697</v>
      </c>
      <c r="C110" s="136">
        <f t="shared" si="4"/>
        <v>29.04</v>
      </c>
      <c r="D110" s="136"/>
      <c r="E110" s="135"/>
      <c r="F110" s="136"/>
      <c r="H110" s="303"/>
      <c r="I110" s="135" t="str">
        <f t="shared" si="5"/>
        <v>General Relay</v>
      </c>
      <c r="J110" s="297" t="s">
        <v>769</v>
      </c>
      <c r="K110" s="297" t="s">
        <v>768</v>
      </c>
      <c r="L110" s="300">
        <v>24.2</v>
      </c>
      <c r="M110" s="300">
        <f t="shared" si="6"/>
        <v>29.04</v>
      </c>
      <c r="N110" s="151">
        <v>30</v>
      </c>
      <c r="O110" s="295">
        <f t="shared" si="7"/>
        <v>0.23966942148760334</v>
      </c>
      <c r="R110" s="114">
        <f t="shared" si="8"/>
        <v>0</v>
      </c>
      <c r="S110" s="114">
        <f t="shared" si="9"/>
        <v>0</v>
      </c>
    </row>
    <row r="111" spans="2:19" s="32" customFormat="1" x14ac:dyDescent="0.4">
      <c r="B111" s="43" t="s">
        <v>333</v>
      </c>
      <c r="C111" s="136">
        <f t="shared" si="4"/>
        <v>60</v>
      </c>
      <c r="D111" s="44"/>
      <c r="E111" s="43"/>
      <c r="F111" s="44"/>
      <c r="H111" s="303" t="s">
        <v>778</v>
      </c>
      <c r="I111" s="135" t="str">
        <f t="shared" si="5"/>
        <v>Control box - Plastic</v>
      </c>
      <c r="J111" s="297"/>
      <c r="K111" s="297"/>
      <c r="L111" s="300"/>
      <c r="M111" s="300">
        <f t="shared" si="6"/>
        <v>60</v>
      </c>
      <c r="N111" s="136">
        <v>50</v>
      </c>
      <c r="O111" s="295"/>
      <c r="R111" s="114" t="str">
        <f t="shared" si="8"/>
        <v>Control box - Plastic</v>
      </c>
      <c r="S111" s="114">
        <f t="shared" si="9"/>
        <v>50</v>
      </c>
    </row>
    <row r="112" spans="2:19" s="114" customFormat="1" x14ac:dyDescent="0.4">
      <c r="B112" s="135" t="s">
        <v>669</v>
      </c>
      <c r="C112" s="136">
        <f t="shared" ref="C112:C123" si="11">M112</f>
        <v>60</v>
      </c>
      <c r="D112" s="136"/>
      <c r="E112" s="135"/>
      <c r="F112" s="136"/>
      <c r="H112" s="303" t="s">
        <v>778</v>
      </c>
      <c r="I112" s="135" t="str">
        <f t="shared" si="5"/>
        <v>Reed Switch</v>
      </c>
      <c r="J112" s="297"/>
      <c r="K112" s="297"/>
      <c r="L112" s="300"/>
      <c r="M112" s="300">
        <f t="shared" si="6"/>
        <v>60</v>
      </c>
      <c r="N112" s="136">
        <v>50</v>
      </c>
      <c r="O112" s="295"/>
      <c r="R112" s="114" t="str">
        <f t="shared" si="8"/>
        <v>Reed Switch</v>
      </c>
      <c r="S112" s="114">
        <f t="shared" si="9"/>
        <v>50</v>
      </c>
    </row>
    <row r="113" spans="2:19" s="32" customFormat="1" x14ac:dyDescent="0.4">
      <c r="B113" s="43" t="s">
        <v>334</v>
      </c>
      <c r="C113" s="136">
        <f t="shared" si="11"/>
        <v>56.4</v>
      </c>
      <c r="D113" s="44"/>
      <c r="E113" s="43"/>
      <c r="F113" s="44"/>
      <c r="G113" s="32">
        <f>400*1.35</f>
        <v>540</v>
      </c>
      <c r="H113" s="303"/>
      <c r="I113" s="135" t="str">
        <f t="shared" ref="I113:I124" si="12">B113</f>
        <v>Controls transformer</v>
      </c>
      <c r="J113" s="297" t="s">
        <v>752</v>
      </c>
      <c r="K113" s="297" t="s">
        <v>753</v>
      </c>
      <c r="L113" s="300">
        <v>47</v>
      </c>
      <c r="M113" s="300">
        <f t="shared" ref="M113:M124" si="13">IF(L113=0,N113,L113)*(1+$E$2)</f>
        <v>56.4</v>
      </c>
      <c r="N113" s="136">
        <v>50</v>
      </c>
      <c r="O113" s="295">
        <f t="shared" si="7"/>
        <v>6.3829787234042548E-2</v>
      </c>
      <c r="R113" s="114">
        <f t="shared" si="8"/>
        <v>0</v>
      </c>
      <c r="S113" s="114">
        <f t="shared" si="9"/>
        <v>0</v>
      </c>
    </row>
    <row r="114" spans="2:19" s="114" customFormat="1" x14ac:dyDescent="0.4">
      <c r="B114" s="135" t="s">
        <v>461</v>
      </c>
      <c r="C114" s="136">
        <f t="shared" si="11"/>
        <v>420</v>
      </c>
      <c r="D114" s="136"/>
      <c r="E114" s="135"/>
      <c r="F114" s="136"/>
      <c r="G114" s="114">
        <f>G113/4</f>
        <v>135</v>
      </c>
      <c r="H114" s="303" t="s">
        <v>778</v>
      </c>
      <c r="I114" s="135" t="str">
        <f t="shared" si="12"/>
        <v>Stainless switchplate - 4 switches</v>
      </c>
      <c r="J114" s="297"/>
      <c r="K114" s="297"/>
      <c r="L114" s="300"/>
      <c r="M114" s="300">
        <f t="shared" si="13"/>
        <v>420</v>
      </c>
      <c r="N114" s="136">
        <v>350</v>
      </c>
      <c r="O114" s="295"/>
      <c r="R114" s="114" t="str">
        <f t="shared" si="8"/>
        <v>Stainless switchplate - 4 switches</v>
      </c>
      <c r="S114" s="114">
        <f t="shared" si="9"/>
        <v>350</v>
      </c>
    </row>
    <row r="115" spans="2:19" s="114" customFormat="1" x14ac:dyDescent="0.4">
      <c r="B115" s="135" t="s">
        <v>459</v>
      </c>
      <c r="C115" s="136">
        <f t="shared" si="11"/>
        <v>11.46</v>
      </c>
      <c r="D115" s="136"/>
      <c r="E115" s="135"/>
      <c r="F115" s="136"/>
      <c r="H115" s="303"/>
      <c r="I115" s="135" t="str">
        <f t="shared" si="12"/>
        <v>push button switch</v>
      </c>
      <c r="J115" s="297" t="s">
        <v>765</v>
      </c>
      <c r="K115" s="297" t="s">
        <v>767</v>
      </c>
      <c r="L115" s="300">
        <v>9.5500000000000007</v>
      </c>
      <c r="M115" s="300">
        <f t="shared" si="13"/>
        <v>11.46</v>
      </c>
      <c r="N115" s="136">
        <v>30</v>
      </c>
      <c r="O115" s="295">
        <f t="shared" ref="O115:O124" si="14">IF(L115=0,0,ABS(L115-N115)/L115)</f>
        <v>2.1413612565445024</v>
      </c>
      <c r="R115" s="114">
        <f t="shared" si="8"/>
        <v>0</v>
      </c>
      <c r="S115" s="114">
        <f t="shared" si="9"/>
        <v>0</v>
      </c>
    </row>
    <row r="116" spans="2:19" s="114" customFormat="1" x14ac:dyDescent="0.4">
      <c r="B116" s="135" t="s">
        <v>460</v>
      </c>
      <c r="C116" s="136">
        <f t="shared" si="11"/>
        <v>36</v>
      </c>
      <c r="D116" s="136"/>
      <c r="E116" s="135"/>
      <c r="F116" s="136"/>
      <c r="H116" s="303" t="s">
        <v>778</v>
      </c>
      <c r="I116" s="135" t="str">
        <f t="shared" si="12"/>
        <v>speed control dial</v>
      </c>
      <c r="J116" s="297"/>
      <c r="K116" s="297"/>
      <c r="L116" s="300"/>
      <c r="M116" s="300">
        <f t="shared" si="13"/>
        <v>36</v>
      </c>
      <c r="N116" s="136">
        <v>30</v>
      </c>
      <c r="O116" s="295"/>
      <c r="R116" s="114" t="str">
        <f t="shared" si="8"/>
        <v>speed control dial</v>
      </c>
      <c r="S116" s="114">
        <f t="shared" si="9"/>
        <v>30</v>
      </c>
    </row>
    <row r="117" spans="2:19" s="114" customFormat="1" x14ac:dyDescent="0.4">
      <c r="B117" s="135" t="s">
        <v>475</v>
      </c>
      <c r="C117" s="136">
        <f t="shared" si="11"/>
        <v>60</v>
      </c>
      <c r="D117" s="136"/>
      <c r="E117" s="135"/>
      <c r="F117" s="136"/>
      <c r="H117" s="303" t="s">
        <v>778</v>
      </c>
      <c r="I117" s="135" t="str">
        <f t="shared" si="12"/>
        <v>SSR ( 1 phase)</v>
      </c>
      <c r="J117" s="297"/>
      <c r="K117" s="297"/>
      <c r="L117" s="300"/>
      <c r="M117" s="300">
        <f t="shared" si="13"/>
        <v>60</v>
      </c>
      <c r="N117" s="136">
        <v>50</v>
      </c>
      <c r="O117" s="295"/>
      <c r="P117" s="114" t="s">
        <v>749</v>
      </c>
      <c r="R117" s="114" t="str">
        <f t="shared" si="8"/>
        <v>SSR ( 1 phase)</v>
      </c>
      <c r="S117" s="114">
        <f t="shared" si="9"/>
        <v>50</v>
      </c>
    </row>
    <row r="118" spans="2:19" s="114" customFormat="1" x14ac:dyDescent="0.4">
      <c r="B118" s="135" t="s">
        <v>476</v>
      </c>
      <c r="C118" s="136">
        <f t="shared" si="11"/>
        <v>324</v>
      </c>
      <c r="D118" s="136"/>
      <c r="E118" s="135"/>
      <c r="F118" s="136"/>
      <c r="H118" s="303" t="s">
        <v>778</v>
      </c>
      <c r="I118" s="135" t="str">
        <f t="shared" si="12"/>
        <v>SSR (3 phase)</v>
      </c>
      <c r="J118" s="297"/>
      <c r="K118" s="297"/>
      <c r="L118" s="300"/>
      <c r="M118" s="300">
        <f t="shared" si="13"/>
        <v>324</v>
      </c>
      <c r="N118" s="136">
        <v>270</v>
      </c>
      <c r="O118" s="295"/>
      <c r="P118" s="114" t="s">
        <v>749</v>
      </c>
      <c r="R118" s="114" t="str">
        <f t="shared" si="8"/>
        <v>SSR (3 phase)</v>
      </c>
      <c r="S118" s="114">
        <f t="shared" si="9"/>
        <v>270</v>
      </c>
    </row>
    <row r="119" spans="2:19" s="114" customFormat="1" x14ac:dyDescent="0.4">
      <c r="B119" s="135" t="s">
        <v>588</v>
      </c>
      <c r="C119" s="136">
        <f t="shared" si="11"/>
        <v>96</v>
      </c>
      <c r="D119" s="136"/>
      <c r="E119" s="135"/>
      <c r="F119" s="136"/>
      <c r="H119" s="303" t="s">
        <v>778</v>
      </c>
      <c r="I119" s="135" t="str">
        <f t="shared" si="12"/>
        <v>Programable Timeclock controller</v>
      </c>
      <c r="J119" s="297"/>
      <c r="K119" s="297"/>
      <c r="L119" s="300"/>
      <c r="M119" s="300">
        <f t="shared" si="13"/>
        <v>96</v>
      </c>
      <c r="N119" s="136">
        <v>80</v>
      </c>
      <c r="O119" s="295"/>
      <c r="R119" s="114" t="str">
        <f t="shared" si="8"/>
        <v>Programable Timeclock controller</v>
      </c>
      <c r="S119" s="114">
        <f t="shared" si="9"/>
        <v>80</v>
      </c>
    </row>
    <row r="120" spans="2:19" s="114" customFormat="1" x14ac:dyDescent="0.4">
      <c r="B120" s="135" t="s">
        <v>700</v>
      </c>
      <c r="C120" s="136">
        <f t="shared" si="11"/>
        <v>60</v>
      </c>
      <c r="D120" s="136"/>
      <c r="E120" s="135"/>
      <c r="F120" s="136"/>
      <c r="H120" s="303" t="s">
        <v>778</v>
      </c>
      <c r="I120" s="135" t="str">
        <f t="shared" si="12"/>
        <v>Run on timer</v>
      </c>
      <c r="J120" s="297"/>
      <c r="K120" s="297"/>
      <c r="L120" s="300"/>
      <c r="M120" s="300">
        <f t="shared" si="13"/>
        <v>60</v>
      </c>
      <c r="N120" s="136">
        <v>50</v>
      </c>
      <c r="O120" s="295"/>
      <c r="R120" s="114" t="str">
        <f t="shared" si="8"/>
        <v>Run on timer</v>
      </c>
      <c r="S120" s="114">
        <f t="shared" si="9"/>
        <v>50</v>
      </c>
    </row>
    <row r="121" spans="2:19" s="114" customFormat="1" x14ac:dyDescent="0.4">
      <c r="B121" s="135" t="s">
        <v>704</v>
      </c>
      <c r="C121" s="136">
        <f t="shared" si="11"/>
        <v>240</v>
      </c>
      <c r="D121" s="136"/>
      <c r="E121" s="135"/>
      <c r="F121" s="136"/>
      <c r="H121" s="303" t="s">
        <v>778</v>
      </c>
      <c r="I121" s="135" t="str">
        <f t="shared" si="12"/>
        <v>Motion sensor with run on timer</v>
      </c>
      <c r="J121" s="297"/>
      <c r="K121" s="297"/>
      <c r="L121" s="300"/>
      <c r="M121" s="300">
        <f t="shared" si="13"/>
        <v>240</v>
      </c>
      <c r="N121" s="136">
        <v>200</v>
      </c>
      <c r="O121" s="295"/>
      <c r="R121" s="114" t="str">
        <f t="shared" si="8"/>
        <v>Motion sensor with run on timer</v>
      </c>
      <c r="S121" s="114">
        <f t="shared" si="9"/>
        <v>200</v>
      </c>
    </row>
    <row r="122" spans="2:19" s="114" customFormat="1" x14ac:dyDescent="0.4">
      <c r="B122" s="135" t="s">
        <v>477</v>
      </c>
      <c r="C122" s="136">
        <f t="shared" si="11"/>
        <v>180</v>
      </c>
      <c r="D122" s="136"/>
      <c r="E122" s="135"/>
      <c r="F122" s="136"/>
      <c r="H122" s="303" t="s">
        <v>778</v>
      </c>
      <c r="I122" s="135" t="str">
        <f t="shared" si="12"/>
        <v>HPT</v>
      </c>
      <c r="J122" s="297"/>
      <c r="K122" s="297"/>
      <c r="L122" s="300"/>
      <c r="M122" s="300">
        <f t="shared" si="13"/>
        <v>180</v>
      </c>
      <c r="N122" s="151">
        <v>150</v>
      </c>
      <c r="O122" s="295"/>
      <c r="R122" s="114" t="str">
        <f t="shared" si="8"/>
        <v>HPT</v>
      </c>
      <c r="S122" s="114">
        <f t="shared" si="9"/>
        <v>150</v>
      </c>
    </row>
    <row r="123" spans="2:19" s="32" customFormat="1" x14ac:dyDescent="0.4">
      <c r="B123" s="43" t="s">
        <v>325</v>
      </c>
      <c r="C123" s="136">
        <f t="shared" si="11"/>
        <v>240</v>
      </c>
      <c r="D123" s="44"/>
      <c r="E123" s="43"/>
      <c r="F123" s="44"/>
      <c r="H123" s="303" t="s">
        <v>778</v>
      </c>
      <c r="I123" s="135" t="str">
        <f t="shared" si="12"/>
        <v>Spring return damper actuator</v>
      </c>
      <c r="J123" s="297"/>
      <c r="K123" s="297"/>
      <c r="L123" s="300"/>
      <c r="M123" s="300">
        <f t="shared" si="13"/>
        <v>240</v>
      </c>
      <c r="N123" s="151">
        <v>200</v>
      </c>
      <c r="O123" s="295"/>
      <c r="R123" s="114" t="str">
        <f t="shared" si="8"/>
        <v>Spring return damper actuator</v>
      </c>
      <c r="S123" s="114">
        <f t="shared" si="9"/>
        <v>200</v>
      </c>
    </row>
    <row r="124" spans="2:19" x14ac:dyDescent="0.4">
      <c r="B124" s="43" t="s">
        <v>1345</v>
      </c>
      <c r="C124" s="136">
        <f>M124</f>
        <v>109.25999999999999</v>
      </c>
      <c r="D124" s="44"/>
      <c r="E124" s="43"/>
      <c r="F124" s="44"/>
      <c r="G124" s="32"/>
      <c r="H124" s="303" t="s">
        <v>778</v>
      </c>
      <c r="I124" s="135" t="str">
        <f t="shared" si="12"/>
        <v>Contactors &amp; Overloads</v>
      </c>
      <c r="J124" s="297" t="s">
        <v>779</v>
      </c>
      <c r="L124" s="300">
        <f>37.8 +
53.25</f>
        <v>91.05</v>
      </c>
      <c r="M124" s="300">
        <f t="shared" si="13"/>
        <v>109.25999999999999</v>
      </c>
      <c r="N124" s="136">
        <v>120</v>
      </c>
      <c r="O124" s="295">
        <f t="shared" si="14"/>
        <v>0.31795716639209232</v>
      </c>
      <c r="R124" s="114" t="str">
        <f>IF($H124="#",I124,0)</f>
        <v>Contactors &amp; Overloads</v>
      </c>
      <c r="S124" s="114">
        <f>IF($H124="#",N124,0)</f>
        <v>120</v>
      </c>
    </row>
    <row r="125" spans="2:19" x14ac:dyDescent="0.4">
      <c r="B125" s="39"/>
      <c r="C125" s="40" t="s">
        <v>281</v>
      </c>
      <c r="D125" s="40"/>
      <c r="E125" s="39"/>
      <c r="F125" s="41"/>
      <c r="G125" s="32"/>
      <c r="I125" s="32"/>
    </row>
    <row r="128" spans="2:19" x14ac:dyDescent="0.4">
      <c r="B128" s="33"/>
      <c r="C128" s="33"/>
      <c r="D128" s="33"/>
      <c r="E128" s="33"/>
      <c r="F128" s="33"/>
      <c r="G128" s="33"/>
      <c r="I128" s="33"/>
    </row>
    <row r="129" spans="2:9" ht="15.9" x14ac:dyDescent="0.45">
      <c r="B129" s="45"/>
      <c r="C129" s="46" t="s">
        <v>282</v>
      </c>
      <c r="D129" s="46"/>
      <c r="E129" s="46"/>
      <c r="F129" s="47">
        <v>221848.4</v>
      </c>
      <c r="G129" s="32"/>
      <c r="I129" s="32"/>
    </row>
    <row r="130" spans="2:9" x14ac:dyDescent="0.4">
      <c r="B130" s="32"/>
      <c r="C130" s="32" t="s">
        <v>283</v>
      </c>
      <c r="D130" s="32"/>
      <c r="E130" s="32"/>
      <c r="F130" s="51">
        <v>0.25</v>
      </c>
      <c r="G130" s="32"/>
      <c r="I130" s="32"/>
    </row>
    <row r="131" spans="2:9" x14ac:dyDescent="0.4">
      <c r="B131" s="32"/>
      <c r="C131" s="32" t="s">
        <v>284</v>
      </c>
      <c r="D131" s="32"/>
      <c r="E131" s="32"/>
      <c r="F131" s="36">
        <v>277310.5</v>
      </c>
      <c r="G131" s="32"/>
      <c r="I131" s="32"/>
    </row>
  </sheetData>
  <autoFilter ref="R1:S131" xr:uid="{00000000-0009-0000-0000-000001000000}"/>
  <conditionalFormatting sqref="O48:O124">
    <cfRule type="cellIs" dxfId="503" priority="1" operator="equal">
      <formula>0</formula>
    </cfRule>
  </conditionalFormatting>
  <dataValidations disablePrompts="1" count="2">
    <dataValidation type="list" allowBlank="1" showInputMessage="1" showErrorMessage="1" sqref="N20:N23" xr:uid="{00000000-0002-0000-0100-000000000000}">
      <formula1>$B$46:$B$107</formula1>
    </dataValidation>
    <dataValidation type="list" allowBlank="1" showInputMessage="1" showErrorMessage="1" sqref="B107" xr:uid="{00000000-0002-0000-0100-000001000000}">
      <formula1>$B$48:$B$124</formula1>
    </dataValidation>
  </dataValidations>
  <pageMargins left="0.7" right="0.7" top="0.75" bottom="0.75" header="0.3" footer="0.3"/>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V42"/>
  <sheetViews>
    <sheetView workbookViewId="0"/>
  </sheetViews>
  <sheetFormatPr defaultRowHeight="14.6" x14ac:dyDescent="0.4"/>
  <cols>
    <col min="2" max="2" width="27.53515625" customWidth="1"/>
    <col min="18" max="18" width="24.69140625" customWidth="1"/>
    <col min="19" max="19" width="10.15234375" bestFit="1" customWidth="1"/>
  </cols>
  <sheetData>
    <row r="1" spans="1:22" x14ac:dyDescent="0.4">
      <c r="A1" s="114"/>
      <c r="B1" s="114"/>
      <c r="C1" s="114"/>
      <c r="D1" s="114"/>
      <c r="E1" s="114"/>
      <c r="F1" s="114"/>
      <c r="G1" s="114">
        <v>1.3</v>
      </c>
    </row>
    <row r="2" spans="1:22" x14ac:dyDescent="0.4">
      <c r="A2" s="114"/>
      <c r="B2" s="114"/>
      <c r="C2" s="114"/>
      <c r="D2" s="114"/>
      <c r="E2" s="114"/>
      <c r="F2" s="114"/>
      <c r="G2" s="114"/>
      <c r="S2" s="332" t="s">
        <v>880</v>
      </c>
    </row>
    <row r="3" spans="1:22" x14ac:dyDescent="0.4">
      <c r="A3" s="114"/>
      <c r="B3" s="316" t="s">
        <v>845</v>
      </c>
      <c r="C3" s="316" t="s">
        <v>844</v>
      </c>
      <c r="D3" s="316" t="s">
        <v>843</v>
      </c>
      <c r="E3" s="316" t="s">
        <v>842</v>
      </c>
      <c r="F3" s="316" t="s">
        <v>841</v>
      </c>
      <c r="G3" s="114" t="s">
        <v>368</v>
      </c>
      <c r="I3" s="114"/>
      <c r="J3" s="316" t="s">
        <v>845</v>
      </c>
      <c r="K3" s="316" t="s">
        <v>844</v>
      </c>
      <c r="L3" s="316" t="s">
        <v>843</v>
      </c>
      <c r="M3" s="316" t="s">
        <v>842</v>
      </c>
      <c r="N3" s="316" t="s">
        <v>841</v>
      </c>
      <c r="O3" s="114" t="s">
        <v>865</v>
      </c>
      <c r="Q3" s="114"/>
      <c r="R3" s="114" t="str">
        <f t="shared" ref="R3" si="0">J3</f>
        <v>Part</v>
      </c>
      <c r="S3" s="114" t="str">
        <f t="shared" ref="S3" si="1">K3</f>
        <v>Qty</v>
      </c>
      <c r="T3" s="114" t="str">
        <f t="shared" ref="T3" si="2">L3</f>
        <v>Cost  ea</v>
      </c>
      <c r="U3" s="114"/>
      <c r="V3" s="114"/>
    </row>
    <row r="4" spans="1:22" x14ac:dyDescent="0.4">
      <c r="A4" s="114" t="s">
        <v>771</v>
      </c>
      <c r="B4" s="312" t="s">
        <v>840</v>
      </c>
      <c r="C4" s="312">
        <v>0</v>
      </c>
      <c r="D4" s="312">
        <v>714</v>
      </c>
      <c r="E4" s="312">
        <f t="shared" ref="E4:E31" si="3">SUM(D4*C4)</f>
        <v>0</v>
      </c>
      <c r="F4" s="311">
        <v>0</v>
      </c>
      <c r="G4" s="114">
        <f t="shared" ref="G4:G31" si="4">SUM(E4+(E4*F4))</f>
        <v>0</v>
      </c>
      <c r="I4" s="114" t="s">
        <v>771</v>
      </c>
      <c r="J4" s="326" t="s">
        <v>840</v>
      </c>
      <c r="K4" s="326">
        <v>1</v>
      </c>
      <c r="L4" s="326">
        <v>725</v>
      </c>
      <c r="M4" s="326">
        <f t="shared" ref="M4:M33" si="5">SUM(L4*K4)</f>
        <v>725</v>
      </c>
      <c r="N4" s="311">
        <v>0</v>
      </c>
      <c r="O4" s="114">
        <f t="shared" ref="O4:O33" si="6">SUM(M4+(M4*N4))</f>
        <v>725</v>
      </c>
      <c r="Q4" t="str">
        <f>I4</f>
        <v>Controlstore</v>
      </c>
      <c r="R4" s="114" t="str">
        <f t="shared" ref="R4:T4" si="7">J4</f>
        <v>ECB-350</v>
      </c>
      <c r="S4" s="114">
        <f t="shared" si="7"/>
        <v>1</v>
      </c>
      <c r="T4" s="114">
        <f t="shared" si="7"/>
        <v>725</v>
      </c>
      <c r="U4" s="114"/>
      <c r="V4" s="114"/>
    </row>
    <row r="5" spans="1:22" x14ac:dyDescent="0.4">
      <c r="A5" s="114" t="s">
        <v>834</v>
      </c>
      <c r="B5" s="312" t="s">
        <v>839</v>
      </c>
      <c r="C5" s="312">
        <v>0</v>
      </c>
      <c r="D5" s="312">
        <v>100</v>
      </c>
      <c r="E5" s="312">
        <f t="shared" si="3"/>
        <v>0</v>
      </c>
      <c r="F5" s="311">
        <v>0</v>
      </c>
      <c r="G5" s="114">
        <f t="shared" si="4"/>
        <v>0</v>
      </c>
      <c r="I5" s="114" t="s">
        <v>834</v>
      </c>
      <c r="J5" s="326" t="s">
        <v>839</v>
      </c>
      <c r="K5" s="326">
        <v>1</v>
      </c>
      <c r="L5" s="326">
        <v>60</v>
      </c>
      <c r="M5" s="326">
        <f t="shared" si="5"/>
        <v>60</v>
      </c>
      <c r="N5" s="311">
        <v>0</v>
      </c>
      <c r="O5" s="114">
        <f t="shared" si="6"/>
        <v>60</v>
      </c>
      <c r="Q5" s="114" t="str">
        <f t="shared" ref="Q5:Q28" si="8">I5</f>
        <v>Dore</v>
      </c>
      <c r="R5" s="114" t="str">
        <f t="shared" ref="R5:R28" si="9">J5</f>
        <v>TF-100-240/24</v>
      </c>
      <c r="S5" s="114">
        <f t="shared" ref="S5:S28" si="10">K5</f>
        <v>1</v>
      </c>
      <c r="T5" s="114">
        <f t="shared" ref="T5:T28" si="11">L5</f>
        <v>60</v>
      </c>
    </row>
    <row r="6" spans="1:22" x14ac:dyDescent="0.4">
      <c r="A6" s="114" t="s">
        <v>771</v>
      </c>
      <c r="B6" s="312" t="s">
        <v>838</v>
      </c>
      <c r="C6" s="312">
        <v>0</v>
      </c>
      <c r="D6" s="312">
        <v>28</v>
      </c>
      <c r="E6" s="312">
        <f t="shared" si="3"/>
        <v>0</v>
      </c>
      <c r="F6" s="311">
        <v>0</v>
      </c>
      <c r="G6" s="114">
        <f t="shared" si="4"/>
        <v>0</v>
      </c>
      <c r="I6" s="114" t="s">
        <v>771</v>
      </c>
      <c r="J6" s="326" t="s">
        <v>838</v>
      </c>
      <c r="K6" s="326">
        <v>0</v>
      </c>
      <c r="L6" s="326">
        <v>28</v>
      </c>
      <c r="M6" s="326">
        <f t="shared" si="5"/>
        <v>0</v>
      </c>
      <c r="N6" s="311">
        <v>0</v>
      </c>
      <c r="O6" s="114">
        <f t="shared" si="6"/>
        <v>0</v>
      </c>
      <c r="Q6" s="114"/>
      <c r="R6" s="114"/>
      <c r="S6" s="114"/>
      <c r="T6" s="114"/>
    </row>
    <row r="7" spans="1:22" x14ac:dyDescent="0.4">
      <c r="A7" s="114" t="s">
        <v>771</v>
      </c>
      <c r="B7" s="312" t="s">
        <v>837</v>
      </c>
      <c r="C7" s="312">
        <v>0</v>
      </c>
      <c r="D7" s="312">
        <v>14</v>
      </c>
      <c r="E7" s="312">
        <f t="shared" si="3"/>
        <v>0</v>
      </c>
      <c r="F7" s="311">
        <v>0</v>
      </c>
      <c r="G7" s="114">
        <f t="shared" si="4"/>
        <v>0</v>
      </c>
      <c r="I7" s="114" t="s">
        <v>771</v>
      </c>
      <c r="J7" s="326" t="s">
        <v>837</v>
      </c>
      <c r="K7" s="326">
        <v>0</v>
      </c>
      <c r="L7" s="326">
        <v>14</v>
      </c>
      <c r="M7" s="326">
        <f t="shared" si="5"/>
        <v>0</v>
      </c>
      <c r="N7" s="311">
        <v>0</v>
      </c>
      <c r="O7" s="114">
        <f t="shared" si="6"/>
        <v>0</v>
      </c>
      <c r="Q7" s="114"/>
      <c r="R7" s="114"/>
      <c r="S7" s="114"/>
      <c r="T7" s="114"/>
    </row>
    <row r="8" spans="1:22" x14ac:dyDescent="0.4">
      <c r="A8" s="114" t="s">
        <v>834</v>
      </c>
      <c r="B8" s="312" t="s">
        <v>836</v>
      </c>
      <c r="C8" s="312">
        <v>0</v>
      </c>
      <c r="D8" s="312">
        <v>50</v>
      </c>
      <c r="E8" s="312">
        <f t="shared" si="3"/>
        <v>0</v>
      </c>
      <c r="F8" s="311">
        <v>0</v>
      </c>
      <c r="G8" s="114">
        <f t="shared" si="4"/>
        <v>0</v>
      </c>
      <c r="I8" s="114" t="s">
        <v>834</v>
      </c>
      <c r="J8" s="326" t="s">
        <v>836</v>
      </c>
      <c r="K8" s="326">
        <v>4</v>
      </c>
      <c r="L8" s="326">
        <v>40</v>
      </c>
      <c r="M8" s="326">
        <f t="shared" si="5"/>
        <v>160</v>
      </c>
      <c r="N8" s="311">
        <v>0</v>
      </c>
      <c r="O8" s="114">
        <f t="shared" si="6"/>
        <v>160</v>
      </c>
      <c r="Q8" s="114" t="str">
        <f t="shared" si="8"/>
        <v>Dore</v>
      </c>
      <c r="R8" s="114" t="str">
        <f t="shared" si="9"/>
        <v>12VDC Relay</v>
      </c>
      <c r="S8" s="114">
        <f t="shared" si="10"/>
        <v>4</v>
      </c>
      <c r="T8" s="114">
        <f t="shared" si="11"/>
        <v>40</v>
      </c>
    </row>
    <row r="9" spans="1:22" s="114" customFormat="1" x14ac:dyDescent="0.4">
      <c r="A9" s="114" t="s">
        <v>834</v>
      </c>
      <c r="B9" s="326" t="s">
        <v>855</v>
      </c>
      <c r="C9" s="326">
        <v>0</v>
      </c>
      <c r="D9" s="326">
        <v>40</v>
      </c>
      <c r="E9" s="326">
        <f t="shared" si="3"/>
        <v>0</v>
      </c>
      <c r="F9" s="311">
        <v>0</v>
      </c>
      <c r="G9" s="114">
        <f t="shared" ref="G9" si="12">SUM(E9+(E9*F9))</f>
        <v>0</v>
      </c>
      <c r="I9" s="114" t="s">
        <v>834</v>
      </c>
      <c r="J9" s="326" t="s">
        <v>855</v>
      </c>
      <c r="K9" s="326">
        <v>4</v>
      </c>
      <c r="L9" s="326">
        <v>40</v>
      </c>
      <c r="M9" s="326">
        <f t="shared" si="5"/>
        <v>160</v>
      </c>
      <c r="N9" s="311">
        <v>0</v>
      </c>
      <c r="O9" s="114">
        <f t="shared" si="6"/>
        <v>160</v>
      </c>
      <c r="Q9" s="114" t="str">
        <f t="shared" si="8"/>
        <v>Dore</v>
      </c>
      <c r="R9" s="114" t="str">
        <f t="shared" si="9"/>
        <v>24VAC 2 Pole Relay</v>
      </c>
      <c r="S9" s="114">
        <f t="shared" si="10"/>
        <v>4</v>
      </c>
      <c r="T9" s="114">
        <f t="shared" si="11"/>
        <v>40</v>
      </c>
    </row>
    <row r="10" spans="1:22" x14ac:dyDescent="0.4">
      <c r="A10" s="114" t="s">
        <v>771</v>
      </c>
      <c r="B10" s="312" t="s">
        <v>835</v>
      </c>
      <c r="C10" s="312">
        <v>0</v>
      </c>
      <c r="D10" s="312">
        <v>67</v>
      </c>
      <c r="E10" s="312">
        <f t="shared" si="3"/>
        <v>0</v>
      </c>
      <c r="F10" s="311">
        <v>0</v>
      </c>
      <c r="G10" s="114">
        <f t="shared" si="4"/>
        <v>0</v>
      </c>
      <c r="I10" s="114" t="s">
        <v>771</v>
      </c>
      <c r="J10" s="326" t="s">
        <v>835</v>
      </c>
      <c r="K10" s="326">
        <v>0</v>
      </c>
      <c r="L10" s="326">
        <v>67</v>
      </c>
      <c r="M10" s="326">
        <f t="shared" si="5"/>
        <v>0</v>
      </c>
      <c r="N10" s="311">
        <v>0</v>
      </c>
      <c r="O10" s="114">
        <f t="shared" si="6"/>
        <v>0</v>
      </c>
      <c r="Q10" s="114"/>
      <c r="R10" s="114"/>
      <c r="S10" s="114"/>
      <c r="T10" s="114"/>
    </row>
    <row r="11" spans="1:22" s="114" customFormat="1" x14ac:dyDescent="0.4">
      <c r="A11" s="327" t="s">
        <v>856</v>
      </c>
      <c r="B11" s="326" t="s">
        <v>857</v>
      </c>
      <c r="C11" s="326">
        <v>0</v>
      </c>
      <c r="D11" s="326">
        <v>500</v>
      </c>
      <c r="E11" s="326">
        <f t="shared" si="3"/>
        <v>0</v>
      </c>
      <c r="F11" s="311">
        <v>0</v>
      </c>
      <c r="G11" s="114">
        <f t="shared" ref="G11:G12" si="13">SUM(E11+(E11*F11))</f>
        <v>0</v>
      </c>
      <c r="I11" s="327" t="s">
        <v>856</v>
      </c>
      <c r="J11" s="326" t="s">
        <v>857</v>
      </c>
      <c r="K11" s="326">
        <v>0</v>
      </c>
      <c r="L11" s="326">
        <v>500</v>
      </c>
      <c r="M11" s="326">
        <f t="shared" si="5"/>
        <v>0</v>
      </c>
      <c r="N11" s="311">
        <v>0</v>
      </c>
      <c r="O11" s="114">
        <f t="shared" si="6"/>
        <v>0</v>
      </c>
    </row>
    <row r="12" spans="1:22" s="114" customFormat="1" x14ac:dyDescent="0.4">
      <c r="A12" s="327" t="s">
        <v>858</v>
      </c>
      <c r="B12" s="326" t="s">
        <v>859</v>
      </c>
      <c r="C12" s="326">
        <v>0</v>
      </c>
      <c r="D12" s="326">
        <v>360</v>
      </c>
      <c r="E12" s="326">
        <f t="shared" si="3"/>
        <v>0</v>
      </c>
      <c r="F12" s="311">
        <v>0</v>
      </c>
      <c r="G12" s="114">
        <f t="shared" si="13"/>
        <v>0</v>
      </c>
      <c r="I12" s="327" t="s">
        <v>858</v>
      </c>
      <c r="J12" s="326" t="s">
        <v>859</v>
      </c>
      <c r="K12" s="326">
        <v>2</v>
      </c>
      <c r="L12" s="326">
        <v>360</v>
      </c>
      <c r="M12" s="326">
        <f t="shared" si="5"/>
        <v>720</v>
      </c>
      <c r="N12" s="311">
        <v>0</v>
      </c>
      <c r="O12" s="114">
        <f t="shared" si="6"/>
        <v>720</v>
      </c>
      <c r="Q12" s="114" t="str">
        <f t="shared" si="8"/>
        <v xml:space="preserve">GasTech </v>
      </c>
      <c r="R12" s="114" t="str">
        <f t="shared" si="9"/>
        <v>CO detector</v>
      </c>
      <c r="S12" s="114">
        <f t="shared" si="10"/>
        <v>2</v>
      </c>
      <c r="T12" s="114">
        <f t="shared" si="11"/>
        <v>360</v>
      </c>
    </row>
    <row r="13" spans="1:22" x14ac:dyDescent="0.4">
      <c r="A13" s="114" t="s">
        <v>834</v>
      </c>
      <c r="B13" s="312" t="s">
        <v>833</v>
      </c>
      <c r="C13" s="312">
        <v>0</v>
      </c>
      <c r="D13" s="312">
        <v>173.5</v>
      </c>
      <c r="E13" s="312">
        <f t="shared" si="3"/>
        <v>0</v>
      </c>
      <c r="F13" s="311">
        <v>0</v>
      </c>
      <c r="G13" s="114">
        <f t="shared" si="4"/>
        <v>0</v>
      </c>
      <c r="I13" s="114" t="s">
        <v>834</v>
      </c>
      <c r="J13" s="326" t="s">
        <v>833</v>
      </c>
      <c r="K13" s="326">
        <v>0</v>
      </c>
      <c r="L13" s="326">
        <v>173.5</v>
      </c>
      <c r="M13" s="326">
        <f t="shared" si="5"/>
        <v>0</v>
      </c>
      <c r="N13" s="311">
        <v>0</v>
      </c>
      <c r="O13" s="114">
        <f t="shared" si="6"/>
        <v>0</v>
      </c>
      <c r="Q13" s="114"/>
      <c r="R13" s="114"/>
      <c r="S13" s="114"/>
      <c r="T13" s="114"/>
    </row>
    <row r="14" spans="1:22" x14ac:dyDescent="0.4">
      <c r="A14" s="114" t="s">
        <v>771</v>
      </c>
      <c r="B14" s="312" t="s">
        <v>832</v>
      </c>
      <c r="C14" s="312">
        <v>0</v>
      </c>
      <c r="D14" s="312">
        <v>40</v>
      </c>
      <c r="E14" s="312">
        <f t="shared" si="3"/>
        <v>0</v>
      </c>
      <c r="F14" s="311">
        <v>0</v>
      </c>
      <c r="G14" s="114">
        <f t="shared" si="4"/>
        <v>0</v>
      </c>
      <c r="I14" s="114" t="s">
        <v>771</v>
      </c>
      <c r="J14" s="326" t="s">
        <v>832</v>
      </c>
      <c r="K14" s="326">
        <v>2</v>
      </c>
      <c r="L14" s="326">
        <v>35</v>
      </c>
      <c r="M14" s="326">
        <f t="shared" si="5"/>
        <v>70</v>
      </c>
      <c r="N14" s="311">
        <v>0</v>
      </c>
      <c r="O14" s="114">
        <f t="shared" si="6"/>
        <v>70</v>
      </c>
      <c r="Q14" s="114" t="str">
        <f t="shared" si="8"/>
        <v>Controlstore</v>
      </c>
      <c r="R14" s="114" t="str">
        <f t="shared" si="9"/>
        <v>Current Switch</v>
      </c>
      <c r="S14" s="114">
        <f t="shared" si="10"/>
        <v>2</v>
      </c>
      <c r="T14" s="114">
        <f t="shared" si="11"/>
        <v>35</v>
      </c>
    </row>
    <row r="15" spans="1:22" s="114" customFormat="1" x14ac:dyDescent="0.4">
      <c r="A15" s="114" t="s">
        <v>815</v>
      </c>
      <c r="B15" s="326" t="s">
        <v>860</v>
      </c>
      <c r="C15" s="326">
        <v>0</v>
      </c>
      <c r="D15" s="326">
        <v>120</v>
      </c>
      <c r="E15" s="326">
        <f t="shared" si="3"/>
        <v>0</v>
      </c>
      <c r="F15" s="311">
        <v>0</v>
      </c>
      <c r="G15" s="114">
        <f t="shared" ref="G15:G17" si="14">SUM(E15+(E15*F15))</f>
        <v>0</v>
      </c>
      <c r="I15" s="114" t="s">
        <v>815</v>
      </c>
      <c r="J15" s="326" t="s">
        <v>860</v>
      </c>
      <c r="K15" s="326">
        <v>0</v>
      </c>
      <c r="L15" s="326">
        <v>120</v>
      </c>
      <c r="M15" s="326">
        <f t="shared" si="5"/>
        <v>0</v>
      </c>
      <c r="N15" s="311">
        <v>0</v>
      </c>
      <c r="O15" s="114">
        <f t="shared" si="6"/>
        <v>0</v>
      </c>
    </row>
    <row r="16" spans="1:22" s="114" customFormat="1" x14ac:dyDescent="0.4">
      <c r="A16" s="114" t="s">
        <v>834</v>
      </c>
      <c r="B16" s="326" t="s">
        <v>861</v>
      </c>
      <c r="C16" s="326">
        <v>0</v>
      </c>
      <c r="D16" s="326">
        <v>500</v>
      </c>
      <c r="E16" s="326">
        <f t="shared" si="3"/>
        <v>0</v>
      </c>
      <c r="F16" s="311">
        <v>0</v>
      </c>
      <c r="G16" s="114">
        <f t="shared" si="14"/>
        <v>0</v>
      </c>
      <c r="I16" s="114" t="s">
        <v>834</v>
      </c>
      <c r="J16" s="326" t="s">
        <v>861</v>
      </c>
      <c r="K16" s="326">
        <v>1</v>
      </c>
      <c r="L16" s="326">
        <v>500</v>
      </c>
      <c r="M16" s="326">
        <f t="shared" si="5"/>
        <v>500</v>
      </c>
      <c r="N16" s="311">
        <v>0</v>
      </c>
      <c r="O16" s="114">
        <f t="shared" si="6"/>
        <v>500</v>
      </c>
      <c r="Q16" s="114" t="str">
        <f t="shared" si="8"/>
        <v>Dore</v>
      </c>
      <c r="R16" s="114" t="str">
        <f t="shared" si="9"/>
        <v>Enclosure 800 x 600</v>
      </c>
      <c r="S16" s="114">
        <f t="shared" si="10"/>
        <v>1</v>
      </c>
      <c r="T16" s="114">
        <f t="shared" si="11"/>
        <v>500</v>
      </c>
    </row>
    <row r="17" spans="1:20" s="114" customFormat="1" x14ac:dyDescent="0.4">
      <c r="A17" s="114" t="s">
        <v>834</v>
      </c>
      <c r="B17" s="326" t="s">
        <v>862</v>
      </c>
      <c r="C17" s="326">
        <v>0</v>
      </c>
      <c r="D17" s="326">
        <v>155</v>
      </c>
      <c r="E17" s="326">
        <f t="shared" si="3"/>
        <v>0</v>
      </c>
      <c r="F17" s="311">
        <v>0</v>
      </c>
      <c r="G17" s="114">
        <f t="shared" si="14"/>
        <v>0</v>
      </c>
      <c r="I17" s="114" t="s">
        <v>834</v>
      </c>
      <c r="J17" s="326" t="s">
        <v>862</v>
      </c>
      <c r="K17" s="326">
        <v>1</v>
      </c>
      <c r="L17" s="326">
        <v>155</v>
      </c>
      <c r="M17" s="326">
        <f t="shared" si="5"/>
        <v>155</v>
      </c>
      <c r="N17" s="311">
        <v>0</v>
      </c>
      <c r="O17" s="114">
        <f t="shared" si="6"/>
        <v>155</v>
      </c>
      <c r="Q17" s="114" t="str">
        <f t="shared" si="8"/>
        <v>Dore</v>
      </c>
      <c r="R17" s="114" t="str">
        <f t="shared" si="9"/>
        <v>Rotating Light with Buzzer 24VAC</v>
      </c>
      <c r="S17" s="114">
        <f t="shared" si="10"/>
        <v>1</v>
      </c>
      <c r="T17" s="114">
        <f t="shared" si="11"/>
        <v>155</v>
      </c>
    </row>
    <row r="18" spans="1:20" x14ac:dyDescent="0.4">
      <c r="A18" s="114" t="s">
        <v>831</v>
      </c>
      <c r="B18" s="314" t="s">
        <v>830</v>
      </c>
      <c r="C18" s="314">
        <v>0</v>
      </c>
      <c r="D18" s="314">
        <v>110</v>
      </c>
      <c r="E18" s="312">
        <f t="shared" si="3"/>
        <v>0</v>
      </c>
      <c r="F18" s="311">
        <v>0</v>
      </c>
      <c r="G18" s="114">
        <f t="shared" si="4"/>
        <v>0</v>
      </c>
      <c r="I18" s="114" t="s">
        <v>831</v>
      </c>
      <c r="J18" s="314" t="s">
        <v>830</v>
      </c>
      <c r="K18" s="314">
        <v>0</v>
      </c>
      <c r="L18" s="314">
        <v>110</v>
      </c>
      <c r="M18" s="314">
        <f t="shared" si="5"/>
        <v>0</v>
      </c>
      <c r="N18" s="311">
        <v>0</v>
      </c>
      <c r="O18" s="114">
        <f t="shared" si="6"/>
        <v>0</v>
      </c>
      <c r="Q18" s="114"/>
      <c r="R18" s="114"/>
      <c r="S18" s="114"/>
      <c r="T18" s="114"/>
    </row>
    <row r="19" spans="1:20" x14ac:dyDescent="0.4">
      <c r="A19" s="114" t="s">
        <v>828</v>
      </c>
      <c r="B19" s="314" t="s">
        <v>829</v>
      </c>
      <c r="C19" s="314">
        <v>0</v>
      </c>
      <c r="D19" s="314">
        <v>110</v>
      </c>
      <c r="E19" s="312">
        <f t="shared" si="3"/>
        <v>0</v>
      </c>
      <c r="F19" s="311">
        <v>0</v>
      </c>
      <c r="G19" s="114">
        <f t="shared" si="4"/>
        <v>0</v>
      </c>
      <c r="I19" s="114" t="s">
        <v>828</v>
      </c>
      <c r="J19" s="314" t="s">
        <v>829</v>
      </c>
      <c r="K19" s="314">
        <v>8</v>
      </c>
      <c r="L19" s="314">
        <v>110</v>
      </c>
      <c r="M19" s="314">
        <f t="shared" si="5"/>
        <v>880</v>
      </c>
      <c r="N19" s="311">
        <v>0</v>
      </c>
      <c r="O19" s="114">
        <f t="shared" si="6"/>
        <v>880</v>
      </c>
      <c r="Q19" s="114" t="str">
        <f t="shared" si="8"/>
        <v>Labour Eng</v>
      </c>
      <c r="R19" s="114" t="str">
        <f t="shared" si="9"/>
        <v>program</v>
      </c>
      <c r="S19" s="114">
        <f t="shared" si="10"/>
        <v>8</v>
      </c>
      <c r="T19" s="114">
        <f t="shared" si="11"/>
        <v>110</v>
      </c>
    </row>
    <row r="20" spans="1:20" x14ac:dyDescent="0.4">
      <c r="A20" s="114" t="s">
        <v>828</v>
      </c>
      <c r="B20" s="314" t="s">
        <v>827</v>
      </c>
      <c r="C20" s="314">
        <v>0</v>
      </c>
      <c r="D20" s="314">
        <v>110</v>
      </c>
      <c r="E20" s="312">
        <f t="shared" si="3"/>
        <v>0</v>
      </c>
      <c r="F20" s="311">
        <v>0</v>
      </c>
      <c r="G20" s="114">
        <f t="shared" si="4"/>
        <v>0</v>
      </c>
      <c r="I20" s="114" t="s">
        <v>866</v>
      </c>
      <c r="J20" s="314" t="s">
        <v>826</v>
      </c>
      <c r="K20" s="314">
        <v>4</v>
      </c>
      <c r="L20" s="314">
        <v>85</v>
      </c>
      <c r="M20" s="314">
        <f t="shared" si="5"/>
        <v>340</v>
      </c>
      <c r="N20" s="311">
        <v>0</v>
      </c>
      <c r="O20" s="114">
        <f t="shared" si="6"/>
        <v>340</v>
      </c>
      <c r="Q20" s="114" t="str">
        <f t="shared" si="8"/>
        <v>Labour Site Comm</v>
      </c>
      <c r="R20" s="114" t="str">
        <f t="shared" si="9"/>
        <v>comm</v>
      </c>
      <c r="S20" s="114">
        <f t="shared" si="10"/>
        <v>4</v>
      </c>
      <c r="T20" s="114">
        <f t="shared" si="11"/>
        <v>85</v>
      </c>
    </row>
    <row r="21" spans="1:20" x14ac:dyDescent="0.4">
      <c r="A21" s="114" t="s">
        <v>825</v>
      </c>
      <c r="B21" s="314" t="s">
        <v>826</v>
      </c>
      <c r="C21" s="314">
        <v>0</v>
      </c>
      <c r="D21" s="314">
        <v>85</v>
      </c>
      <c r="E21" s="312">
        <f t="shared" si="3"/>
        <v>0</v>
      </c>
      <c r="F21" s="311">
        <v>0</v>
      </c>
      <c r="G21" s="114">
        <f t="shared" si="4"/>
        <v>0</v>
      </c>
      <c r="I21" s="114" t="s">
        <v>825</v>
      </c>
      <c r="J21" s="314" t="s">
        <v>824</v>
      </c>
      <c r="K21" s="314">
        <v>8</v>
      </c>
      <c r="L21" s="314">
        <v>85</v>
      </c>
      <c r="M21" s="314">
        <f t="shared" si="5"/>
        <v>680</v>
      </c>
      <c r="N21" s="311">
        <v>0</v>
      </c>
      <c r="O21" s="114">
        <f t="shared" si="6"/>
        <v>680</v>
      </c>
      <c r="Q21" s="114" t="str">
        <f t="shared" si="8"/>
        <v>Labour Site Install</v>
      </c>
      <c r="R21" s="114" t="str">
        <f t="shared" si="9"/>
        <v>install</v>
      </c>
      <c r="S21" s="114">
        <f t="shared" si="10"/>
        <v>8</v>
      </c>
      <c r="T21" s="114">
        <f t="shared" si="11"/>
        <v>85</v>
      </c>
    </row>
    <row r="22" spans="1:20" x14ac:dyDescent="0.4">
      <c r="A22" s="114" t="s">
        <v>825</v>
      </c>
      <c r="B22" s="314" t="s">
        <v>824</v>
      </c>
      <c r="C22" s="314">
        <v>0</v>
      </c>
      <c r="D22" s="314">
        <v>85</v>
      </c>
      <c r="E22" s="312">
        <f t="shared" si="3"/>
        <v>0</v>
      </c>
      <c r="F22" s="311">
        <v>0</v>
      </c>
      <c r="G22" s="114">
        <f t="shared" si="4"/>
        <v>0</v>
      </c>
      <c r="I22" s="114" t="s">
        <v>867</v>
      </c>
      <c r="J22" s="314" t="s">
        <v>868</v>
      </c>
      <c r="K22" s="314">
        <v>8</v>
      </c>
      <c r="L22" s="314">
        <v>85</v>
      </c>
      <c r="M22" s="314">
        <f t="shared" si="5"/>
        <v>680</v>
      </c>
      <c r="N22" s="311">
        <v>0</v>
      </c>
      <c r="O22" s="114">
        <f t="shared" si="6"/>
        <v>680</v>
      </c>
      <c r="Q22" s="114" t="str">
        <f t="shared" si="8"/>
        <v>Labour Site Install CO Sensor</v>
      </c>
      <c r="R22" s="114" t="str">
        <f t="shared" si="9"/>
        <v>Install (2 hours Ea)</v>
      </c>
      <c r="S22" s="114">
        <f t="shared" si="10"/>
        <v>8</v>
      </c>
      <c r="T22" s="114">
        <f t="shared" si="11"/>
        <v>85</v>
      </c>
    </row>
    <row r="23" spans="1:20" x14ac:dyDescent="0.4">
      <c r="A23" s="315" t="s">
        <v>823</v>
      </c>
      <c r="B23" s="315" t="s">
        <v>822</v>
      </c>
      <c r="C23" s="315">
        <v>0</v>
      </c>
      <c r="D23" s="315">
        <v>110</v>
      </c>
      <c r="E23" s="312">
        <f t="shared" si="3"/>
        <v>0</v>
      </c>
      <c r="F23" s="311">
        <v>0</v>
      </c>
      <c r="G23" s="114">
        <f t="shared" si="4"/>
        <v>0</v>
      </c>
      <c r="I23" s="114" t="s">
        <v>869</v>
      </c>
      <c r="J23" s="314" t="s">
        <v>870</v>
      </c>
      <c r="K23" s="314">
        <v>2</v>
      </c>
      <c r="L23" s="314">
        <v>160</v>
      </c>
      <c r="M23" s="314">
        <f t="shared" si="5"/>
        <v>320</v>
      </c>
      <c r="N23" s="311">
        <v>0</v>
      </c>
      <c r="O23" s="114">
        <f t="shared" si="6"/>
        <v>320</v>
      </c>
      <c r="Q23" s="114" t="str">
        <f t="shared" si="8"/>
        <v>Smoke Detector</v>
      </c>
      <c r="R23" s="114" t="str">
        <f t="shared" si="9"/>
        <v>Apollo Optical Detector</v>
      </c>
      <c r="S23" s="114">
        <f t="shared" si="10"/>
        <v>2</v>
      </c>
      <c r="T23" s="114">
        <f t="shared" si="11"/>
        <v>160</v>
      </c>
    </row>
    <row r="24" spans="1:20" x14ac:dyDescent="0.4">
      <c r="A24" s="315" t="s">
        <v>821</v>
      </c>
      <c r="B24" s="315" t="s">
        <v>803</v>
      </c>
      <c r="C24" s="315">
        <v>0</v>
      </c>
      <c r="D24" s="315">
        <v>110</v>
      </c>
      <c r="E24" s="312">
        <f t="shared" si="3"/>
        <v>0</v>
      </c>
      <c r="F24" s="311">
        <v>0</v>
      </c>
      <c r="G24" s="114">
        <f t="shared" si="4"/>
        <v>0</v>
      </c>
      <c r="I24" s="114" t="s">
        <v>871</v>
      </c>
      <c r="J24" s="314" t="s">
        <v>716</v>
      </c>
      <c r="K24" s="314">
        <v>8</v>
      </c>
      <c r="L24" s="314">
        <v>85</v>
      </c>
      <c r="M24" s="314">
        <f t="shared" si="5"/>
        <v>680</v>
      </c>
      <c r="N24" s="311">
        <v>0</v>
      </c>
      <c r="O24" s="114">
        <f t="shared" si="6"/>
        <v>680</v>
      </c>
      <c r="Q24" s="114" t="str">
        <f t="shared" si="8"/>
        <v>Build Control Panel</v>
      </c>
      <c r="R24" s="114" t="str">
        <f t="shared" si="9"/>
        <v>Labour</v>
      </c>
      <c r="S24" s="114">
        <f t="shared" si="10"/>
        <v>8</v>
      </c>
      <c r="T24" s="114">
        <f t="shared" si="11"/>
        <v>85</v>
      </c>
    </row>
    <row r="25" spans="1:20" x14ac:dyDescent="0.4">
      <c r="A25" s="315" t="s">
        <v>820</v>
      </c>
      <c r="B25" s="315" t="s">
        <v>819</v>
      </c>
      <c r="C25" s="315">
        <v>0</v>
      </c>
      <c r="D25" s="315">
        <v>110</v>
      </c>
      <c r="E25" s="312">
        <f t="shared" si="3"/>
        <v>0</v>
      </c>
      <c r="F25" s="311">
        <v>0</v>
      </c>
      <c r="G25" s="114">
        <f t="shared" si="4"/>
        <v>0</v>
      </c>
      <c r="I25" s="114" t="s">
        <v>815</v>
      </c>
      <c r="J25" s="314" t="s">
        <v>814</v>
      </c>
      <c r="K25" s="314">
        <v>1</v>
      </c>
      <c r="L25" s="314">
        <v>500</v>
      </c>
      <c r="M25" s="314">
        <f t="shared" si="5"/>
        <v>500</v>
      </c>
      <c r="N25" s="311">
        <v>0</v>
      </c>
      <c r="O25" s="114">
        <f t="shared" si="6"/>
        <v>500</v>
      </c>
      <c r="Q25" s="114" t="str">
        <f t="shared" si="8"/>
        <v xml:space="preserve">Turks n that </v>
      </c>
      <c r="R25" s="114" t="str">
        <f t="shared" si="9"/>
        <v>Misc</v>
      </c>
      <c r="S25" s="114">
        <f t="shared" si="10"/>
        <v>1</v>
      </c>
      <c r="T25" s="114">
        <f t="shared" si="11"/>
        <v>500</v>
      </c>
    </row>
    <row r="26" spans="1:20" x14ac:dyDescent="0.4">
      <c r="A26" s="315" t="s">
        <v>817</v>
      </c>
      <c r="B26" s="315" t="s">
        <v>818</v>
      </c>
      <c r="C26" s="315">
        <v>0</v>
      </c>
      <c r="D26" s="315">
        <v>55</v>
      </c>
      <c r="E26" s="312">
        <f t="shared" si="3"/>
        <v>0</v>
      </c>
      <c r="F26" s="311">
        <v>0</v>
      </c>
      <c r="G26" s="114">
        <f t="shared" si="4"/>
        <v>0</v>
      </c>
      <c r="I26" s="114" t="s">
        <v>834</v>
      </c>
      <c r="J26" s="331" t="s">
        <v>872</v>
      </c>
      <c r="K26" s="331">
        <v>1</v>
      </c>
      <c r="L26" s="331">
        <v>154</v>
      </c>
      <c r="M26" s="331">
        <f t="shared" si="5"/>
        <v>154</v>
      </c>
      <c r="N26" s="311">
        <v>0</v>
      </c>
      <c r="O26" s="114">
        <f t="shared" si="6"/>
        <v>154</v>
      </c>
      <c r="Q26" s="114" t="str">
        <f t="shared" si="8"/>
        <v>Dore</v>
      </c>
      <c r="R26" s="114" t="str">
        <f t="shared" si="9"/>
        <v>Enclosure Steel 400 x 300 x 150</v>
      </c>
      <c r="S26" s="114">
        <f t="shared" si="10"/>
        <v>1</v>
      </c>
      <c r="T26" s="114">
        <f t="shared" si="11"/>
        <v>154</v>
      </c>
    </row>
    <row r="27" spans="1:20" x14ac:dyDescent="0.4">
      <c r="A27" s="315" t="s">
        <v>817</v>
      </c>
      <c r="B27" s="315" t="s">
        <v>816</v>
      </c>
      <c r="C27" s="315">
        <v>0</v>
      </c>
      <c r="D27" s="315">
        <v>55</v>
      </c>
      <c r="E27" s="312">
        <f t="shared" si="3"/>
        <v>0</v>
      </c>
      <c r="F27" s="311">
        <v>0</v>
      </c>
      <c r="G27" s="114">
        <f t="shared" si="4"/>
        <v>0</v>
      </c>
      <c r="I27" s="114" t="s">
        <v>873</v>
      </c>
      <c r="J27" s="331" t="s">
        <v>874</v>
      </c>
      <c r="K27" s="331">
        <v>1</v>
      </c>
      <c r="L27" s="331">
        <v>200</v>
      </c>
      <c r="M27" s="331">
        <f t="shared" si="5"/>
        <v>200</v>
      </c>
      <c r="N27" s="311">
        <v>0</v>
      </c>
      <c r="O27" s="114">
        <f t="shared" si="6"/>
        <v>200</v>
      </c>
      <c r="Q27" s="114" t="str">
        <f t="shared" si="8"/>
        <v>Bunnings</v>
      </c>
      <c r="R27" s="114" t="str">
        <f t="shared" si="9"/>
        <v>Clear Perspex – Red Paint</v>
      </c>
      <c r="S27" s="114">
        <f t="shared" si="10"/>
        <v>1</v>
      </c>
      <c r="T27" s="114">
        <f t="shared" si="11"/>
        <v>200</v>
      </c>
    </row>
    <row r="28" spans="1:20" x14ac:dyDescent="0.4">
      <c r="A28" s="114" t="s">
        <v>815</v>
      </c>
      <c r="B28" s="314" t="s">
        <v>814</v>
      </c>
      <c r="C28" s="314">
        <v>0</v>
      </c>
      <c r="D28" s="314">
        <v>200</v>
      </c>
      <c r="E28" s="312">
        <f t="shared" si="3"/>
        <v>0</v>
      </c>
      <c r="F28" s="311">
        <v>0</v>
      </c>
      <c r="G28" s="114">
        <f t="shared" si="4"/>
        <v>0</v>
      </c>
      <c r="I28" s="114" t="s">
        <v>875</v>
      </c>
      <c r="J28" s="331" t="s">
        <v>876</v>
      </c>
      <c r="K28" s="331">
        <v>8</v>
      </c>
      <c r="L28" s="331">
        <v>85</v>
      </c>
      <c r="M28" s="331">
        <f t="shared" si="5"/>
        <v>680</v>
      </c>
      <c r="N28" s="311">
        <v>0</v>
      </c>
      <c r="O28" s="114">
        <f t="shared" si="6"/>
        <v>680</v>
      </c>
      <c r="Q28" s="114" t="str">
        <f t="shared" si="8"/>
        <v>Laboue</v>
      </c>
      <c r="R28" s="114" t="str">
        <f t="shared" si="9"/>
        <v>Assemble Fire AO Panel</v>
      </c>
      <c r="S28" s="114">
        <f t="shared" si="10"/>
        <v>8</v>
      </c>
      <c r="T28" s="114">
        <f t="shared" si="11"/>
        <v>85</v>
      </c>
    </row>
    <row r="29" spans="1:20" x14ac:dyDescent="0.4">
      <c r="A29" s="114" t="s">
        <v>811</v>
      </c>
      <c r="B29" s="313" t="s">
        <v>813</v>
      </c>
      <c r="C29" s="313">
        <v>0</v>
      </c>
      <c r="D29" s="313">
        <v>600</v>
      </c>
      <c r="E29" s="312">
        <f t="shared" si="3"/>
        <v>0</v>
      </c>
      <c r="F29" s="311">
        <v>0</v>
      </c>
      <c r="G29" s="114">
        <f t="shared" si="4"/>
        <v>0</v>
      </c>
      <c r="I29" s="114" t="s">
        <v>811</v>
      </c>
      <c r="J29" s="313" t="s">
        <v>813</v>
      </c>
      <c r="K29" s="313">
        <v>0</v>
      </c>
      <c r="L29" s="313">
        <v>600</v>
      </c>
      <c r="M29" s="313">
        <f t="shared" si="5"/>
        <v>0</v>
      </c>
      <c r="N29" s="311">
        <v>0</v>
      </c>
      <c r="O29" s="114">
        <f t="shared" si="6"/>
        <v>0</v>
      </c>
      <c r="Q29" s="114"/>
      <c r="R29" s="114"/>
      <c r="S29" s="114"/>
      <c r="T29" s="114"/>
    </row>
    <row r="30" spans="1:20" x14ac:dyDescent="0.4">
      <c r="A30" s="114" t="s">
        <v>811</v>
      </c>
      <c r="B30" s="313" t="s">
        <v>812</v>
      </c>
      <c r="C30" s="313">
        <v>0</v>
      </c>
      <c r="D30" s="313">
        <v>100</v>
      </c>
      <c r="E30" s="312">
        <f t="shared" si="3"/>
        <v>0</v>
      </c>
      <c r="F30" s="311">
        <v>0</v>
      </c>
      <c r="G30" s="114">
        <f t="shared" si="4"/>
        <v>0</v>
      </c>
      <c r="I30" s="114" t="s">
        <v>811</v>
      </c>
      <c r="J30" s="313" t="s">
        <v>812</v>
      </c>
      <c r="K30" s="313">
        <v>0</v>
      </c>
      <c r="L30" s="313">
        <v>100</v>
      </c>
      <c r="M30" s="313">
        <f t="shared" si="5"/>
        <v>0</v>
      </c>
      <c r="N30" s="311">
        <v>0</v>
      </c>
      <c r="O30" s="114">
        <f t="shared" si="6"/>
        <v>0</v>
      </c>
      <c r="Q30" s="114"/>
      <c r="R30" s="114"/>
      <c r="S30" s="114"/>
      <c r="T30" s="114"/>
    </row>
    <row r="31" spans="1:20" x14ac:dyDescent="0.4">
      <c r="A31" s="114" t="s">
        <v>811</v>
      </c>
      <c r="B31" s="313" t="s">
        <v>810</v>
      </c>
      <c r="C31" s="313">
        <v>0</v>
      </c>
      <c r="D31" s="313">
        <v>200</v>
      </c>
      <c r="E31" s="312">
        <f t="shared" si="3"/>
        <v>0</v>
      </c>
      <c r="F31" s="311">
        <v>0</v>
      </c>
      <c r="G31" s="114">
        <f t="shared" si="4"/>
        <v>0</v>
      </c>
      <c r="I31" s="114" t="s">
        <v>811</v>
      </c>
      <c r="J31" s="313" t="s">
        <v>810</v>
      </c>
      <c r="K31" s="313">
        <v>0</v>
      </c>
      <c r="L31" s="313">
        <v>200</v>
      </c>
      <c r="M31" s="313">
        <f t="shared" si="5"/>
        <v>0</v>
      </c>
      <c r="N31" s="311">
        <v>0</v>
      </c>
      <c r="O31" s="114">
        <f t="shared" si="6"/>
        <v>0</v>
      </c>
      <c r="Q31" s="114"/>
      <c r="R31" s="114"/>
      <c r="S31" s="114"/>
      <c r="T31" s="114"/>
    </row>
    <row r="32" spans="1:20" x14ac:dyDescent="0.4">
      <c r="A32" s="114"/>
      <c r="B32" s="114"/>
      <c r="C32" s="114"/>
      <c r="D32" s="114"/>
      <c r="E32" s="114"/>
      <c r="F32" s="114"/>
      <c r="G32" s="114"/>
      <c r="I32" s="114"/>
      <c r="J32" s="313" t="s">
        <v>877</v>
      </c>
      <c r="K32" s="313"/>
      <c r="L32" s="313"/>
      <c r="M32" s="313">
        <f t="shared" si="5"/>
        <v>0</v>
      </c>
      <c r="N32" s="311"/>
      <c r="O32" s="114">
        <f t="shared" si="6"/>
        <v>0</v>
      </c>
      <c r="Q32" s="114"/>
      <c r="R32" s="114"/>
      <c r="S32" s="114"/>
      <c r="T32" s="114"/>
    </row>
    <row r="33" spans="1:20" x14ac:dyDescent="0.4">
      <c r="A33" s="114"/>
      <c r="B33" s="114"/>
      <c r="C33" s="114"/>
      <c r="D33" s="114"/>
      <c r="E33" s="114"/>
      <c r="F33" s="114"/>
      <c r="G33" s="114"/>
      <c r="I33" s="114" t="s">
        <v>878</v>
      </c>
      <c r="J33" s="314" t="s">
        <v>879</v>
      </c>
      <c r="K33" s="314">
        <v>0</v>
      </c>
      <c r="L33" s="314">
        <v>85</v>
      </c>
      <c r="M33" s="314">
        <f t="shared" si="5"/>
        <v>0</v>
      </c>
      <c r="N33" s="114">
        <v>0</v>
      </c>
      <c r="O33" s="114">
        <f t="shared" si="6"/>
        <v>0</v>
      </c>
      <c r="Q33" s="114"/>
      <c r="R33" s="114"/>
      <c r="S33" s="114"/>
      <c r="T33" s="114"/>
    </row>
    <row r="34" spans="1:20" x14ac:dyDescent="0.4">
      <c r="A34" s="114"/>
      <c r="B34" s="114"/>
      <c r="C34" s="114"/>
      <c r="D34" s="114"/>
      <c r="E34" s="353">
        <f>SUM(E4:E33)</f>
        <v>0</v>
      </c>
      <c r="F34" s="311" t="s">
        <v>913</v>
      </c>
      <c r="G34" s="114"/>
    </row>
    <row r="35" spans="1:20" x14ac:dyDescent="0.4">
      <c r="A35" s="114"/>
      <c r="B35" s="114"/>
      <c r="C35" s="114"/>
      <c r="D35" s="114"/>
      <c r="E35" s="114"/>
      <c r="F35" s="311"/>
      <c r="G35" s="114"/>
    </row>
    <row r="36" spans="1:20" ht="15" thickBot="1" x14ac:dyDescent="0.45">
      <c r="A36" s="114"/>
      <c r="B36" s="114"/>
      <c r="C36" s="114"/>
      <c r="D36" s="114"/>
      <c r="E36" s="114"/>
      <c r="F36" s="114"/>
      <c r="G36" s="114"/>
    </row>
    <row r="37" spans="1:20" ht="15" thickBot="1" x14ac:dyDescent="0.45">
      <c r="A37" s="114"/>
      <c r="B37" s="323" t="s">
        <v>804</v>
      </c>
      <c r="C37" s="324"/>
      <c r="D37" s="324"/>
      <c r="E37" s="324"/>
      <c r="F37" s="324"/>
      <c r="G37" s="325"/>
    </row>
    <row r="38" spans="1:20" x14ac:dyDescent="0.4">
      <c r="A38" s="114"/>
      <c r="B38" s="317" t="s">
        <v>809</v>
      </c>
      <c r="C38" s="318"/>
      <c r="D38" s="318"/>
      <c r="E38" s="318"/>
      <c r="F38" s="318"/>
      <c r="G38" s="319"/>
    </row>
    <row r="39" spans="1:20" x14ac:dyDescent="0.4">
      <c r="A39" s="114"/>
      <c r="B39" s="317" t="s">
        <v>808</v>
      </c>
      <c r="C39" s="318"/>
      <c r="D39" s="318"/>
      <c r="E39" s="318"/>
      <c r="F39" s="318"/>
      <c r="G39" s="319">
        <f>SUM(G4:G36)</f>
        <v>0</v>
      </c>
    </row>
    <row r="40" spans="1:20" x14ac:dyDescent="0.4">
      <c r="A40" s="114"/>
      <c r="B40" s="317" t="s">
        <v>807</v>
      </c>
      <c r="C40" s="318"/>
      <c r="D40" s="318"/>
      <c r="E40" s="318"/>
      <c r="F40" s="318"/>
      <c r="G40" s="319"/>
    </row>
    <row r="41" spans="1:20" x14ac:dyDescent="0.4">
      <c r="A41" s="114"/>
      <c r="B41" s="317" t="s">
        <v>806</v>
      </c>
      <c r="C41" s="318"/>
      <c r="D41" s="318"/>
      <c r="E41" s="318"/>
      <c r="F41" s="318"/>
      <c r="G41" s="319"/>
    </row>
    <row r="42" spans="1:20" ht="15" thickBot="1" x14ac:dyDescent="0.45">
      <c r="A42" s="114"/>
      <c r="B42" s="320" t="s">
        <v>805</v>
      </c>
      <c r="C42" s="321"/>
      <c r="D42" s="321"/>
      <c r="E42" s="321"/>
      <c r="F42" s="321"/>
      <c r="G42" s="322"/>
    </row>
  </sheetData>
  <conditionalFormatting sqref="F4">
    <cfRule type="expression" priority="106">
      <formula>IF(ROW() = ROW(), 1, 0)</formula>
    </cfRule>
  </conditionalFormatting>
  <conditionalFormatting sqref="F4">
    <cfRule type="cellIs" priority="107" operator="equal">
      <formula>"EITHER"</formula>
    </cfRule>
    <cfRule type="cellIs" priority="108" operator="equal">
      <formula>"MSSB"</formula>
    </cfRule>
    <cfRule type="cellIs" priority="109" operator="equal">
      <formula>"LOCAL"</formula>
    </cfRule>
  </conditionalFormatting>
  <conditionalFormatting sqref="F4">
    <cfRule type="cellIs" priority="110" operator="notEqual">
      <formula>0</formula>
    </cfRule>
  </conditionalFormatting>
  <conditionalFormatting sqref="F34">
    <cfRule type="expression" priority="111">
      <formula>IF(ROW() = ROW(), 1, 0)</formula>
    </cfRule>
  </conditionalFormatting>
  <conditionalFormatting sqref="F34">
    <cfRule type="cellIs" priority="112" operator="equal">
      <formula>"EITHER"</formula>
    </cfRule>
    <cfRule type="cellIs" priority="113" operator="equal">
      <formula>"MSSB"</formula>
    </cfRule>
    <cfRule type="cellIs" priority="114" operator="equal">
      <formula>"LOCAL"</formula>
    </cfRule>
  </conditionalFormatting>
  <conditionalFormatting sqref="F34">
    <cfRule type="cellIs" priority="115" operator="notEqual">
      <formula>0</formula>
    </cfRule>
  </conditionalFormatting>
  <conditionalFormatting sqref="F35">
    <cfRule type="expression" priority="116">
      <formula>IF(ROW() = ROW(), 1, 0)</formula>
    </cfRule>
  </conditionalFormatting>
  <conditionalFormatting sqref="F35">
    <cfRule type="cellIs" priority="117" operator="equal">
      <formula>"EITHER"</formula>
    </cfRule>
    <cfRule type="cellIs" priority="118" operator="equal">
      <formula>"MSSB"</formula>
    </cfRule>
    <cfRule type="cellIs" priority="119" operator="equal">
      <formula>"LOCAL"</formula>
    </cfRule>
  </conditionalFormatting>
  <conditionalFormatting sqref="F35">
    <cfRule type="cellIs" priority="120" operator="notEqual">
      <formula>0</formula>
    </cfRule>
  </conditionalFormatting>
  <conditionalFormatting sqref="F28:F31 F6:F8 F18:F22 F10">
    <cfRule type="expression" priority="121">
      <formula>IF(ROW() = ROW(), 1, 0)</formula>
    </cfRule>
  </conditionalFormatting>
  <conditionalFormatting sqref="F28:F31 F6:F8 F18:F22 F10">
    <cfRule type="cellIs" priority="122" operator="equal">
      <formula>"EITHER"</formula>
    </cfRule>
    <cfRule type="cellIs" priority="123" operator="equal">
      <formula>"MSSB"</formula>
    </cfRule>
    <cfRule type="cellIs" priority="124" operator="equal">
      <formula>"LOCAL"</formula>
    </cfRule>
  </conditionalFormatting>
  <conditionalFormatting sqref="F28:F31 F6:F8 F18:F22 F10">
    <cfRule type="cellIs" priority="125" operator="notEqual">
      <formula>0</formula>
    </cfRule>
  </conditionalFormatting>
  <conditionalFormatting sqref="F5">
    <cfRule type="expression" priority="126">
      <formula>IF(ROW() = ROW(), 1, 0)</formula>
    </cfRule>
  </conditionalFormatting>
  <conditionalFormatting sqref="F5">
    <cfRule type="cellIs" priority="127" operator="equal">
      <formula>"EITHER"</formula>
    </cfRule>
    <cfRule type="cellIs" priority="128" operator="equal">
      <formula>"MSSB"</formula>
    </cfRule>
    <cfRule type="cellIs" priority="129" operator="equal">
      <formula>"LOCAL"</formula>
    </cfRule>
  </conditionalFormatting>
  <conditionalFormatting sqref="F5">
    <cfRule type="cellIs" priority="130" operator="notEqual">
      <formula>0</formula>
    </cfRule>
  </conditionalFormatting>
  <conditionalFormatting sqref="F6">
    <cfRule type="expression" priority="131">
      <formula>IF(ROW() = ROW(), 1, 0)</formula>
    </cfRule>
  </conditionalFormatting>
  <conditionalFormatting sqref="F6">
    <cfRule type="cellIs" priority="132" operator="equal">
      <formula>"EITHER"</formula>
    </cfRule>
    <cfRule type="cellIs" priority="133" operator="equal">
      <formula>"MSSB"</formula>
    </cfRule>
    <cfRule type="cellIs" priority="134" operator="equal">
      <formula>"LOCAL"</formula>
    </cfRule>
  </conditionalFormatting>
  <conditionalFormatting sqref="F6">
    <cfRule type="cellIs" priority="135" operator="notEqual">
      <formula>0</formula>
    </cfRule>
  </conditionalFormatting>
  <conditionalFormatting sqref="F7">
    <cfRule type="expression" priority="136">
      <formula>IF(ROW() = ROW(), 1, 0)</formula>
    </cfRule>
  </conditionalFormatting>
  <conditionalFormatting sqref="F7">
    <cfRule type="cellIs" priority="137" operator="equal">
      <formula>"EITHER"</formula>
    </cfRule>
    <cfRule type="cellIs" priority="138" operator="equal">
      <formula>"MSSB"</formula>
    </cfRule>
    <cfRule type="cellIs" priority="139" operator="equal">
      <formula>"LOCAL"</formula>
    </cfRule>
  </conditionalFormatting>
  <conditionalFormatting sqref="F7">
    <cfRule type="cellIs" priority="140" operator="notEqual">
      <formula>0</formula>
    </cfRule>
  </conditionalFormatting>
  <conditionalFormatting sqref="F8">
    <cfRule type="expression" priority="141">
      <formula>IF(ROW() = ROW(), 1, 0)</formula>
    </cfRule>
  </conditionalFormatting>
  <conditionalFormatting sqref="F8">
    <cfRule type="cellIs" priority="142" operator="equal">
      <formula>"EITHER"</formula>
    </cfRule>
    <cfRule type="cellIs" priority="143" operator="equal">
      <formula>"MSSB"</formula>
    </cfRule>
    <cfRule type="cellIs" priority="144" operator="equal">
      <formula>"LOCAL"</formula>
    </cfRule>
  </conditionalFormatting>
  <conditionalFormatting sqref="F8">
    <cfRule type="cellIs" priority="145" operator="notEqual">
      <formula>0</formula>
    </cfRule>
  </conditionalFormatting>
  <conditionalFormatting sqref="F18 F10">
    <cfRule type="expression" priority="146">
      <formula>IF(ROW() = ROW(), 1, 0)</formula>
    </cfRule>
  </conditionalFormatting>
  <conditionalFormatting sqref="F18 F10">
    <cfRule type="cellIs" priority="147" operator="equal">
      <formula>"EITHER"</formula>
    </cfRule>
    <cfRule type="cellIs" priority="148" operator="equal">
      <formula>"MSSB"</formula>
    </cfRule>
    <cfRule type="cellIs" priority="149" operator="equal">
      <formula>"LOCAL"</formula>
    </cfRule>
  </conditionalFormatting>
  <conditionalFormatting sqref="F18 F10">
    <cfRule type="cellIs" priority="150" operator="notEqual">
      <formula>0</formula>
    </cfRule>
  </conditionalFormatting>
  <conditionalFormatting sqref="F19">
    <cfRule type="expression" priority="151">
      <formula>IF(ROW() = ROW(), 1, 0)</formula>
    </cfRule>
  </conditionalFormatting>
  <conditionalFormatting sqref="F19">
    <cfRule type="cellIs" priority="152" operator="equal">
      <formula>"EITHER"</formula>
    </cfRule>
    <cfRule type="cellIs" priority="153" operator="equal">
      <formula>"MSSB"</formula>
    </cfRule>
    <cfRule type="cellIs" priority="154" operator="equal">
      <formula>"LOCAL"</formula>
    </cfRule>
  </conditionalFormatting>
  <conditionalFormatting sqref="F19">
    <cfRule type="cellIs" priority="155" operator="notEqual">
      <formula>0</formula>
    </cfRule>
  </conditionalFormatting>
  <conditionalFormatting sqref="F20">
    <cfRule type="expression" priority="156">
      <formula>IF(ROW() = ROW(), 1, 0)</formula>
    </cfRule>
  </conditionalFormatting>
  <conditionalFormatting sqref="F20">
    <cfRule type="cellIs" priority="157" operator="equal">
      <formula>"EITHER"</formula>
    </cfRule>
    <cfRule type="cellIs" priority="158" operator="equal">
      <formula>"MSSB"</formula>
    </cfRule>
    <cfRule type="cellIs" priority="159" operator="equal">
      <formula>"LOCAL"</formula>
    </cfRule>
  </conditionalFormatting>
  <conditionalFormatting sqref="F20">
    <cfRule type="cellIs" priority="160" operator="notEqual">
      <formula>0</formula>
    </cfRule>
  </conditionalFormatting>
  <conditionalFormatting sqref="F21">
    <cfRule type="expression" priority="161">
      <formula>IF(ROW() = ROW(), 1, 0)</formula>
    </cfRule>
  </conditionalFormatting>
  <conditionalFormatting sqref="F21">
    <cfRule type="cellIs" priority="162" operator="equal">
      <formula>"EITHER"</formula>
    </cfRule>
    <cfRule type="cellIs" priority="163" operator="equal">
      <formula>"MSSB"</formula>
    </cfRule>
    <cfRule type="cellIs" priority="164" operator="equal">
      <formula>"LOCAL"</formula>
    </cfRule>
  </conditionalFormatting>
  <conditionalFormatting sqref="F21">
    <cfRule type="cellIs" priority="165" operator="notEqual">
      <formula>0</formula>
    </cfRule>
  </conditionalFormatting>
  <conditionalFormatting sqref="F22">
    <cfRule type="expression" priority="166">
      <formula>IF(ROW() = ROW(), 1, 0)</formula>
    </cfRule>
  </conditionalFormatting>
  <conditionalFormatting sqref="F22">
    <cfRule type="cellIs" priority="167" operator="equal">
      <formula>"EITHER"</formula>
    </cfRule>
    <cfRule type="cellIs" priority="168" operator="equal">
      <formula>"MSSB"</formula>
    </cfRule>
    <cfRule type="cellIs" priority="169" operator="equal">
      <formula>"LOCAL"</formula>
    </cfRule>
  </conditionalFormatting>
  <conditionalFormatting sqref="F22">
    <cfRule type="cellIs" priority="170" operator="notEqual">
      <formula>0</formula>
    </cfRule>
  </conditionalFormatting>
  <conditionalFormatting sqref="F28">
    <cfRule type="expression" priority="171">
      <formula>IF(ROW() = ROW(), 1, 0)</formula>
    </cfRule>
  </conditionalFormatting>
  <conditionalFormatting sqref="F28">
    <cfRule type="cellIs" priority="172" operator="equal">
      <formula>"EITHER"</formula>
    </cfRule>
    <cfRule type="cellIs" priority="173" operator="equal">
      <formula>"MSSB"</formula>
    </cfRule>
    <cfRule type="cellIs" priority="174" operator="equal">
      <formula>"LOCAL"</formula>
    </cfRule>
  </conditionalFormatting>
  <conditionalFormatting sqref="F28">
    <cfRule type="cellIs" priority="175" operator="notEqual">
      <formula>0</formula>
    </cfRule>
  </conditionalFormatting>
  <conditionalFormatting sqref="F29">
    <cfRule type="expression" priority="176">
      <formula>IF(ROW() = ROW(), 1, 0)</formula>
    </cfRule>
  </conditionalFormatting>
  <conditionalFormatting sqref="F29">
    <cfRule type="cellIs" priority="177" operator="equal">
      <formula>"EITHER"</formula>
    </cfRule>
    <cfRule type="cellIs" priority="178" operator="equal">
      <formula>"MSSB"</formula>
    </cfRule>
    <cfRule type="cellIs" priority="179" operator="equal">
      <formula>"LOCAL"</formula>
    </cfRule>
  </conditionalFormatting>
  <conditionalFormatting sqref="F29">
    <cfRule type="cellIs" priority="180" operator="notEqual">
      <formula>0</formula>
    </cfRule>
  </conditionalFormatting>
  <conditionalFormatting sqref="F30">
    <cfRule type="expression" priority="181">
      <formula>IF(ROW() = ROW(), 1, 0)</formula>
    </cfRule>
  </conditionalFormatting>
  <conditionalFormatting sqref="F30">
    <cfRule type="cellIs" priority="182" operator="equal">
      <formula>"EITHER"</formula>
    </cfRule>
    <cfRule type="cellIs" priority="183" operator="equal">
      <formula>"MSSB"</formula>
    </cfRule>
    <cfRule type="cellIs" priority="184" operator="equal">
      <formula>"LOCAL"</formula>
    </cfRule>
  </conditionalFormatting>
  <conditionalFormatting sqref="F30">
    <cfRule type="cellIs" priority="185" operator="notEqual">
      <formula>0</formula>
    </cfRule>
  </conditionalFormatting>
  <conditionalFormatting sqref="F13:F14">
    <cfRule type="expression" priority="186">
      <formula>IF(ROW() = ROW(), 1, 0)</formula>
    </cfRule>
  </conditionalFormatting>
  <conditionalFormatting sqref="F13:F14">
    <cfRule type="cellIs" priority="187" operator="equal">
      <formula>"EITHER"</formula>
    </cfRule>
    <cfRule type="cellIs" priority="188" operator="equal">
      <formula>"MSSB"</formula>
    </cfRule>
    <cfRule type="cellIs" priority="189" operator="equal">
      <formula>"LOCAL"</formula>
    </cfRule>
  </conditionalFormatting>
  <conditionalFormatting sqref="F13:F14">
    <cfRule type="cellIs" priority="190" operator="notEqual">
      <formula>0</formula>
    </cfRule>
  </conditionalFormatting>
  <conditionalFormatting sqref="F13:F14">
    <cfRule type="expression" priority="191">
      <formula>IF(ROW() = ROW(), 1, 0)</formula>
    </cfRule>
  </conditionalFormatting>
  <conditionalFormatting sqref="F13:F14">
    <cfRule type="cellIs" priority="192" operator="equal">
      <formula>"EITHER"</formula>
    </cfRule>
    <cfRule type="cellIs" priority="193" operator="equal">
      <formula>"MSSB"</formula>
    </cfRule>
    <cfRule type="cellIs" priority="194" operator="equal">
      <formula>"LOCAL"</formula>
    </cfRule>
  </conditionalFormatting>
  <conditionalFormatting sqref="F13:F14">
    <cfRule type="cellIs" priority="195" operator="notEqual">
      <formula>0</formula>
    </cfRule>
  </conditionalFormatting>
  <conditionalFormatting sqref="F23">
    <cfRule type="expression" priority="196">
      <formula>IF(ROW() = ROW(), 1, 0)</formula>
    </cfRule>
  </conditionalFormatting>
  <conditionalFormatting sqref="F23">
    <cfRule type="cellIs" priority="197" operator="equal">
      <formula>"EITHER"</formula>
    </cfRule>
    <cfRule type="cellIs" priority="198" operator="equal">
      <formula>"MSSB"</formula>
    </cfRule>
    <cfRule type="cellIs" priority="199" operator="equal">
      <formula>"LOCAL"</formula>
    </cfRule>
  </conditionalFormatting>
  <conditionalFormatting sqref="F23">
    <cfRule type="cellIs" priority="200" operator="notEqual">
      <formula>0</formula>
    </cfRule>
  </conditionalFormatting>
  <conditionalFormatting sqref="F23">
    <cfRule type="expression" priority="201">
      <formula>IF(ROW() = ROW(), 1, 0)</formula>
    </cfRule>
  </conditionalFormatting>
  <conditionalFormatting sqref="F23">
    <cfRule type="cellIs" priority="202" operator="equal">
      <formula>"EITHER"</formula>
    </cfRule>
    <cfRule type="cellIs" priority="203" operator="equal">
      <formula>"MSSB"</formula>
    </cfRule>
    <cfRule type="cellIs" priority="204" operator="equal">
      <formula>"LOCAL"</formula>
    </cfRule>
  </conditionalFormatting>
  <conditionalFormatting sqref="F23">
    <cfRule type="cellIs" priority="205" operator="notEqual">
      <formula>0</formula>
    </cfRule>
  </conditionalFormatting>
  <conditionalFormatting sqref="F24:F25">
    <cfRule type="expression" priority="206">
      <formula>IF(ROW() = ROW(), 1, 0)</formula>
    </cfRule>
  </conditionalFormatting>
  <conditionalFormatting sqref="F24:F25">
    <cfRule type="cellIs" priority="207" operator="equal">
      <formula>"EITHER"</formula>
    </cfRule>
    <cfRule type="cellIs" priority="208" operator="equal">
      <formula>"MSSB"</formula>
    </cfRule>
    <cfRule type="cellIs" priority="209" operator="equal">
      <formula>"LOCAL"</formula>
    </cfRule>
  </conditionalFormatting>
  <conditionalFormatting sqref="F24:F25">
    <cfRule type="cellIs" priority="210" operator="notEqual">
      <formula>0</formula>
    </cfRule>
  </conditionalFormatting>
  <conditionalFormatting sqref="F24:F25">
    <cfRule type="expression" priority="211">
      <formula>IF(ROW() = ROW(), 1, 0)</formula>
    </cfRule>
  </conditionalFormatting>
  <conditionalFormatting sqref="F24:F25">
    <cfRule type="cellIs" priority="212" operator="equal">
      <formula>"EITHER"</formula>
    </cfRule>
    <cfRule type="cellIs" priority="213" operator="equal">
      <formula>"MSSB"</formula>
    </cfRule>
    <cfRule type="cellIs" priority="214" operator="equal">
      <formula>"LOCAL"</formula>
    </cfRule>
  </conditionalFormatting>
  <conditionalFormatting sqref="F24:F25">
    <cfRule type="cellIs" priority="215" operator="notEqual">
      <formula>0</formula>
    </cfRule>
  </conditionalFormatting>
  <conditionalFormatting sqref="F26">
    <cfRule type="expression" priority="216">
      <formula>IF(ROW() = ROW(), 1, 0)</formula>
    </cfRule>
  </conditionalFormatting>
  <conditionalFormatting sqref="F26">
    <cfRule type="cellIs" priority="217" operator="equal">
      <formula>"EITHER"</formula>
    </cfRule>
    <cfRule type="cellIs" priority="218" operator="equal">
      <formula>"MSSB"</formula>
    </cfRule>
    <cfRule type="cellIs" priority="219" operator="equal">
      <formula>"LOCAL"</formula>
    </cfRule>
  </conditionalFormatting>
  <conditionalFormatting sqref="F26">
    <cfRule type="cellIs" priority="220" operator="notEqual">
      <formula>0</formula>
    </cfRule>
  </conditionalFormatting>
  <conditionalFormatting sqref="F26">
    <cfRule type="expression" priority="221">
      <formula>IF(ROW() = ROW(), 1, 0)</formula>
    </cfRule>
  </conditionalFormatting>
  <conditionalFormatting sqref="F26">
    <cfRule type="cellIs" priority="222" operator="equal">
      <formula>"EITHER"</formula>
    </cfRule>
    <cfRule type="cellIs" priority="223" operator="equal">
      <formula>"MSSB"</formula>
    </cfRule>
    <cfRule type="cellIs" priority="224" operator="equal">
      <formula>"LOCAL"</formula>
    </cfRule>
  </conditionalFormatting>
  <conditionalFormatting sqref="F26">
    <cfRule type="cellIs" priority="225" operator="notEqual">
      <formula>0</formula>
    </cfRule>
  </conditionalFormatting>
  <conditionalFormatting sqref="F27">
    <cfRule type="expression" priority="226">
      <formula>IF(ROW() = ROW(), 1, 0)</formula>
    </cfRule>
  </conditionalFormatting>
  <conditionalFormatting sqref="F27">
    <cfRule type="cellIs" priority="227" operator="equal">
      <formula>"EITHER"</formula>
    </cfRule>
    <cfRule type="cellIs" priority="228" operator="equal">
      <formula>"MSSB"</formula>
    </cfRule>
    <cfRule type="cellIs" priority="229" operator="equal">
      <formula>"LOCAL"</formula>
    </cfRule>
  </conditionalFormatting>
  <conditionalFormatting sqref="F27">
    <cfRule type="cellIs" priority="230" operator="notEqual">
      <formula>0</formula>
    </cfRule>
  </conditionalFormatting>
  <conditionalFormatting sqref="F27">
    <cfRule type="expression" priority="231">
      <formula>IF(ROW() = ROW(), 1, 0)</formula>
    </cfRule>
  </conditionalFormatting>
  <conditionalFormatting sqref="F27">
    <cfRule type="cellIs" priority="232" operator="equal">
      <formula>"EITHER"</formula>
    </cfRule>
    <cfRule type="cellIs" priority="233" operator="equal">
      <formula>"MSSB"</formula>
    </cfRule>
    <cfRule type="cellIs" priority="234" operator="equal">
      <formula>"LOCAL"</formula>
    </cfRule>
  </conditionalFormatting>
  <conditionalFormatting sqref="F27">
    <cfRule type="cellIs" priority="235" operator="notEqual">
      <formula>0</formula>
    </cfRule>
  </conditionalFormatting>
  <conditionalFormatting sqref="F9">
    <cfRule type="expression" dxfId="104" priority="96">
      <formula>IF(ROW() = ROW(), 1, 0)</formula>
    </cfRule>
  </conditionalFormatting>
  <conditionalFormatting sqref="F9">
    <cfRule type="cellIs" dxfId="103" priority="97" operator="equal">
      <formula>"EITHER"</formula>
    </cfRule>
    <cfRule type="cellIs" dxfId="102" priority="98" operator="equal">
      <formula>"MSSB"</formula>
    </cfRule>
    <cfRule type="cellIs" dxfId="101" priority="99" operator="equal">
      <formula>"LOCAL"</formula>
    </cfRule>
  </conditionalFormatting>
  <conditionalFormatting sqref="F9">
    <cfRule type="cellIs" dxfId="100" priority="100" operator="notEqual">
      <formula>0</formula>
    </cfRule>
  </conditionalFormatting>
  <conditionalFormatting sqref="F9">
    <cfRule type="expression" dxfId="99" priority="101">
      <formula>IF(ROW() = ROW(), 1, 0)</formula>
    </cfRule>
  </conditionalFormatting>
  <conditionalFormatting sqref="F9">
    <cfRule type="cellIs" dxfId="98" priority="102" operator="equal">
      <formula>"EITHER"</formula>
    </cfRule>
    <cfRule type="cellIs" dxfId="97" priority="103" operator="equal">
      <formula>"MSSB"</formula>
    </cfRule>
    <cfRule type="cellIs" dxfId="96" priority="104" operator="equal">
      <formula>"LOCAL"</formula>
    </cfRule>
  </conditionalFormatting>
  <conditionalFormatting sqref="F9">
    <cfRule type="cellIs" dxfId="95" priority="105" operator="notEqual">
      <formula>0</formula>
    </cfRule>
  </conditionalFormatting>
  <conditionalFormatting sqref="F11:F12">
    <cfRule type="expression" dxfId="94" priority="86">
      <formula>IF(ROW() = ROW(), 1, 0)</formula>
    </cfRule>
  </conditionalFormatting>
  <conditionalFormatting sqref="F11:F12">
    <cfRule type="cellIs" dxfId="93" priority="87" operator="equal">
      <formula>"EITHER"</formula>
    </cfRule>
    <cfRule type="cellIs" dxfId="92" priority="88" operator="equal">
      <formula>"MSSB"</formula>
    </cfRule>
    <cfRule type="cellIs" dxfId="91" priority="89" operator="equal">
      <formula>"LOCAL"</formula>
    </cfRule>
  </conditionalFormatting>
  <conditionalFormatting sqref="F11:F12">
    <cfRule type="cellIs" dxfId="90" priority="90" operator="notEqual">
      <formula>0</formula>
    </cfRule>
  </conditionalFormatting>
  <conditionalFormatting sqref="F11:F12">
    <cfRule type="expression" dxfId="89" priority="91">
      <formula>IF(ROW() = ROW(), 1, 0)</formula>
    </cfRule>
  </conditionalFormatting>
  <conditionalFormatting sqref="F11:F12">
    <cfRule type="cellIs" dxfId="88" priority="92" operator="equal">
      <formula>"EITHER"</formula>
    </cfRule>
    <cfRule type="cellIs" dxfId="87" priority="93" operator="equal">
      <formula>"MSSB"</formula>
    </cfRule>
    <cfRule type="cellIs" dxfId="86" priority="94" operator="equal">
      <formula>"LOCAL"</formula>
    </cfRule>
  </conditionalFormatting>
  <conditionalFormatting sqref="F11:F12">
    <cfRule type="cellIs" dxfId="85" priority="95" operator="notEqual">
      <formula>0</formula>
    </cfRule>
  </conditionalFormatting>
  <conditionalFormatting sqref="F15:F17">
    <cfRule type="expression" dxfId="84" priority="76">
      <formula>IF(ROW() = ROW(), 1, 0)</formula>
    </cfRule>
  </conditionalFormatting>
  <conditionalFormatting sqref="F15:F17">
    <cfRule type="cellIs" dxfId="83" priority="77" operator="equal">
      <formula>"EITHER"</formula>
    </cfRule>
    <cfRule type="cellIs" dxfId="82" priority="78" operator="equal">
      <formula>"MSSB"</formula>
    </cfRule>
    <cfRule type="cellIs" dxfId="81" priority="79" operator="equal">
      <formula>"LOCAL"</formula>
    </cfRule>
  </conditionalFormatting>
  <conditionalFormatting sqref="F15:F17">
    <cfRule type="cellIs" dxfId="80" priority="80" operator="notEqual">
      <formula>0</formula>
    </cfRule>
  </conditionalFormatting>
  <conditionalFormatting sqref="F15:F17">
    <cfRule type="expression" dxfId="79" priority="81">
      <formula>IF(ROW() = ROW(), 1, 0)</formula>
    </cfRule>
  </conditionalFormatting>
  <conditionalFormatting sqref="F15:F17">
    <cfRule type="cellIs" dxfId="78" priority="82" operator="equal">
      <formula>"EITHER"</formula>
    </cfRule>
    <cfRule type="cellIs" dxfId="77" priority="83" operator="equal">
      <formula>"MSSB"</formula>
    </cfRule>
    <cfRule type="cellIs" dxfId="76" priority="84" operator="equal">
      <formula>"LOCAL"</formula>
    </cfRule>
  </conditionalFormatting>
  <conditionalFormatting sqref="F15:F17">
    <cfRule type="cellIs" dxfId="75" priority="85" operator="notEqual">
      <formula>0</formula>
    </cfRule>
  </conditionalFormatting>
  <conditionalFormatting sqref="N4">
    <cfRule type="expression" dxfId="74" priority="1">
      <formula>IF(ROW() = ROW(), 1, 0)</formula>
    </cfRule>
  </conditionalFormatting>
  <conditionalFormatting sqref="N4">
    <cfRule type="cellIs" dxfId="73" priority="2" operator="equal">
      <formula>"EITHER"</formula>
    </cfRule>
    <cfRule type="cellIs" dxfId="72" priority="3" operator="equal">
      <formula>"MSSB"</formula>
    </cfRule>
    <cfRule type="cellIs" dxfId="71" priority="4" operator="equal">
      <formula>"LOCAL"</formula>
    </cfRule>
  </conditionalFormatting>
  <conditionalFormatting sqref="N4">
    <cfRule type="cellIs" dxfId="70" priority="5" operator="notEqual">
      <formula>0</formula>
    </cfRule>
  </conditionalFormatting>
  <conditionalFormatting sqref="N6:N12 N18:N32">
    <cfRule type="expression" dxfId="69" priority="6">
      <formula>IF(ROW() = ROW(), 1, 0)</formula>
    </cfRule>
  </conditionalFormatting>
  <conditionalFormatting sqref="N6:N12 N18:N32">
    <cfRule type="cellIs" dxfId="68" priority="7" operator="equal">
      <formula>"EITHER"</formula>
    </cfRule>
    <cfRule type="cellIs" dxfId="67" priority="8" operator="equal">
      <formula>"MSSB"</formula>
    </cfRule>
    <cfRule type="cellIs" dxfId="66" priority="9" operator="equal">
      <formula>"LOCAL"</formula>
    </cfRule>
  </conditionalFormatting>
  <conditionalFormatting sqref="N6:N12 N18:N32">
    <cfRule type="cellIs" dxfId="65" priority="10" operator="notEqual">
      <formula>0</formula>
    </cfRule>
  </conditionalFormatting>
  <conditionalFormatting sqref="N5">
    <cfRule type="expression" dxfId="64" priority="11">
      <formula>IF(ROW() = ROW(), 1, 0)</formula>
    </cfRule>
  </conditionalFormatting>
  <conditionalFormatting sqref="N5">
    <cfRule type="cellIs" dxfId="63" priority="12" operator="equal">
      <formula>"EITHER"</formula>
    </cfRule>
    <cfRule type="cellIs" dxfId="62" priority="13" operator="equal">
      <formula>"MSSB"</formula>
    </cfRule>
    <cfRule type="cellIs" dxfId="61" priority="14" operator="equal">
      <formula>"LOCAL"</formula>
    </cfRule>
  </conditionalFormatting>
  <conditionalFormatting sqref="N5">
    <cfRule type="cellIs" dxfId="60" priority="15" operator="notEqual">
      <formula>0</formula>
    </cfRule>
  </conditionalFormatting>
  <conditionalFormatting sqref="N6">
    <cfRule type="expression" dxfId="59" priority="16">
      <formula>IF(ROW() = ROW(), 1, 0)</formula>
    </cfRule>
  </conditionalFormatting>
  <conditionalFormatting sqref="N6">
    <cfRule type="cellIs" dxfId="58" priority="17" operator="equal">
      <formula>"EITHER"</formula>
    </cfRule>
    <cfRule type="cellIs" dxfId="57" priority="18" operator="equal">
      <formula>"MSSB"</formula>
    </cfRule>
    <cfRule type="cellIs" dxfId="56" priority="19" operator="equal">
      <formula>"LOCAL"</formula>
    </cfRule>
  </conditionalFormatting>
  <conditionalFormatting sqref="N6">
    <cfRule type="cellIs" dxfId="55" priority="20" operator="notEqual">
      <formula>0</formula>
    </cfRule>
  </conditionalFormatting>
  <conditionalFormatting sqref="N7">
    <cfRule type="expression" dxfId="54" priority="21">
      <formula>IF(ROW() = ROW(), 1, 0)</formula>
    </cfRule>
  </conditionalFormatting>
  <conditionalFormatting sqref="N7">
    <cfRule type="cellIs" dxfId="53" priority="22" operator="equal">
      <formula>"EITHER"</formula>
    </cfRule>
    <cfRule type="cellIs" dxfId="52" priority="23" operator="equal">
      <formula>"MSSB"</formula>
    </cfRule>
    <cfRule type="cellIs" dxfId="51" priority="24" operator="equal">
      <formula>"LOCAL"</formula>
    </cfRule>
  </conditionalFormatting>
  <conditionalFormatting sqref="N7">
    <cfRule type="cellIs" dxfId="50" priority="25" operator="notEqual">
      <formula>0</formula>
    </cfRule>
  </conditionalFormatting>
  <conditionalFormatting sqref="N8:N9">
    <cfRule type="expression" dxfId="49" priority="26">
      <formula>IF(ROW() = ROW(), 1, 0)</formula>
    </cfRule>
  </conditionalFormatting>
  <conditionalFormatting sqref="N8:N9">
    <cfRule type="cellIs" dxfId="48" priority="27" operator="equal">
      <formula>"EITHER"</formula>
    </cfRule>
    <cfRule type="cellIs" dxfId="47" priority="28" operator="equal">
      <formula>"MSSB"</formula>
    </cfRule>
    <cfRule type="cellIs" dxfId="46" priority="29" operator="equal">
      <formula>"LOCAL"</formula>
    </cfRule>
  </conditionalFormatting>
  <conditionalFormatting sqref="N8:N9">
    <cfRule type="cellIs" dxfId="45" priority="30" operator="notEqual">
      <formula>0</formula>
    </cfRule>
  </conditionalFormatting>
  <conditionalFormatting sqref="N18 N10:N12">
    <cfRule type="expression" dxfId="44" priority="31">
      <formula>IF(ROW() = ROW(), 1, 0)</formula>
    </cfRule>
  </conditionalFormatting>
  <conditionalFormatting sqref="N18 N10:N12">
    <cfRule type="cellIs" dxfId="43" priority="32" operator="equal">
      <formula>"EITHER"</formula>
    </cfRule>
    <cfRule type="cellIs" dxfId="42" priority="33" operator="equal">
      <formula>"MSSB"</formula>
    </cfRule>
    <cfRule type="cellIs" dxfId="41" priority="34" operator="equal">
      <formula>"LOCAL"</formula>
    </cfRule>
  </conditionalFormatting>
  <conditionalFormatting sqref="N18 N10:N12">
    <cfRule type="cellIs" dxfId="40" priority="35" operator="notEqual">
      <formula>0</formula>
    </cfRule>
  </conditionalFormatting>
  <conditionalFormatting sqref="N19">
    <cfRule type="expression" dxfId="39" priority="36">
      <formula>IF(ROW() = ROW(), 1, 0)</formula>
    </cfRule>
  </conditionalFormatting>
  <conditionalFormatting sqref="N19">
    <cfRule type="cellIs" dxfId="38" priority="37" operator="equal">
      <formula>"EITHER"</formula>
    </cfRule>
    <cfRule type="cellIs" dxfId="37" priority="38" operator="equal">
      <formula>"MSSB"</formula>
    </cfRule>
    <cfRule type="cellIs" dxfId="36" priority="39" operator="equal">
      <formula>"LOCAL"</formula>
    </cfRule>
  </conditionalFormatting>
  <conditionalFormatting sqref="N19">
    <cfRule type="cellIs" dxfId="35" priority="40" operator="notEqual">
      <formula>0</formula>
    </cfRule>
  </conditionalFormatting>
  <conditionalFormatting sqref="N20">
    <cfRule type="expression" dxfId="34" priority="41">
      <formula>IF(ROW() = ROW(), 1, 0)</formula>
    </cfRule>
  </conditionalFormatting>
  <conditionalFormatting sqref="N20">
    <cfRule type="cellIs" dxfId="33" priority="42" operator="equal">
      <formula>"EITHER"</formula>
    </cfRule>
    <cfRule type="cellIs" dxfId="32" priority="43" operator="equal">
      <formula>"MSSB"</formula>
    </cfRule>
    <cfRule type="cellIs" dxfId="31" priority="44" operator="equal">
      <formula>"LOCAL"</formula>
    </cfRule>
  </conditionalFormatting>
  <conditionalFormatting sqref="N20">
    <cfRule type="cellIs" dxfId="30" priority="45" operator="notEqual">
      <formula>0</formula>
    </cfRule>
  </conditionalFormatting>
  <conditionalFormatting sqref="N21:N24">
    <cfRule type="expression" dxfId="29" priority="46">
      <formula>IF(ROW() = ROW(), 1, 0)</formula>
    </cfRule>
  </conditionalFormatting>
  <conditionalFormatting sqref="N21:N24">
    <cfRule type="cellIs" dxfId="28" priority="47" operator="equal">
      <formula>"EITHER"</formula>
    </cfRule>
    <cfRule type="cellIs" dxfId="27" priority="48" operator="equal">
      <formula>"MSSB"</formula>
    </cfRule>
    <cfRule type="cellIs" dxfId="26" priority="49" operator="equal">
      <formula>"LOCAL"</formula>
    </cfRule>
  </conditionalFormatting>
  <conditionalFormatting sqref="N21:N24">
    <cfRule type="cellIs" dxfId="25" priority="50" operator="notEqual">
      <formula>0</formula>
    </cfRule>
  </conditionalFormatting>
  <conditionalFormatting sqref="N25:N28">
    <cfRule type="expression" dxfId="24" priority="51">
      <formula>IF(ROW() = ROW(), 1, 0)</formula>
    </cfRule>
  </conditionalFormatting>
  <conditionalFormatting sqref="N25:N28">
    <cfRule type="cellIs" dxfId="23" priority="52" operator="equal">
      <formula>"EITHER"</formula>
    </cfRule>
    <cfRule type="cellIs" dxfId="22" priority="53" operator="equal">
      <formula>"MSSB"</formula>
    </cfRule>
    <cfRule type="cellIs" dxfId="21" priority="54" operator="equal">
      <formula>"LOCAL"</formula>
    </cfRule>
  </conditionalFormatting>
  <conditionalFormatting sqref="N25:N28">
    <cfRule type="cellIs" dxfId="20" priority="55" operator="notEqual">
      <formula>0</formula>
    </cfRule>
  </conditionalFormatting>
  <conditionalFormatting sqref="N29">
    <cfRule type="expression" dxfId="19" priority="56">
      <formula>IF(ROW() = ROW(), 1, 0)</formula>
    </cfRule>
  </conditionalFormatting>
  <conditionalFormatting sqref="N29">
    <cfRule type="cellIs" dxfId="18" priority="57" operator="equal">
      <formula>"EITHER"</formula>
    </cfRule>
    <cfRule type="cellIs" dxfId="17" priority="58" operator="equal">
      <formula>"MSSB"</formula>
    </cfRule>
    <cfRule type="cellIs" dxfId="16" priority="59" operator="equal">
      <formula>"LOCAL"</formula>
    </cfRule>
  </conditionalFormatting>
  <conditionalFormatting sqref="N29">
    <cfRule type="cellIs" dxfId="15" priority="60" operator="notEqual">
      <formula>0</formula>
    </cfRule>
  </conditionalFormatting>
  <conditionalFormatting sqref="N30">
    <cfRule type="expression" dxfId="14" priority="61">
      <formula>IF(ROW() = ROW(), 1, 0)</formula>
    </cfRule>
  </conditionalFormatting>
  <conditionalFormatting sqref="N30">
    <cfRule type="cellIs" dxfId="13" priority="62" operator="equal">
      <formula>"EITHER"</formula>
    </cfRule>
    <cfRule type="cellIs" dxfId="12" priority="63" operator="equal">
      <formula>"MSSB"</formula>
    </cfRule>
    <cfRule type="cellIs" dxfId="11" priority="64" operator="equal">
      <formula>"LOCAL"</formula>
    </cfRule>
  </conditionalFormatting>
  <conditionalFormatting sqref="N30">
    <cfRule type="cellIs" dxfId="10" priority="65" operator="notEqual">
      <formula>0</formula>
    </cfRule>
  </conditionalFormatting>
  <conditionalFormatting sqref="N13:N17">
    <cfRule type="expression" dxfId="9" priority="66">
      <formula>IF(ROW() = ROW(), 1, 0)</formula>
    </cfRule>
  </conditionalFormatting>
  <conditionalFormatting sqref="N13:N17">
    <cfRule type="cellIs" dxfId="8" priority="67" operator="equal">
      <formula>"EITHER"</formula>
    </cfRule>
    <cfRule type="cellIs" dxfId="7" priority="68" operator="equal">
      <formula>"MSSB"</formula>
    </cfRule>
    <cfRule type="cellIs" dxfId="6" priority="69" operator="equal">
      <formula>"LOCAL"</formula>
    </cfRule>
  </conditionalFormatting>
  <conditionalFormatting sqref="N13:N17">
    <cfRule type="cellIs" dxfId="5" priority="70" operator="notEqual">
      <formula>0</formula>
    </cfRule>
  </conditionalFormatting>
  <conditionalFormatting sqref="N13:N17">
    <cfRule type="expression" dxfId="4" priority="71">
      <formula>IF(ROW() = ROW(), 1, 0)</formula>
    </cfRule>
  </conditionalFormatting>
  <conditionalFormatting sqref="N13:N17">
    <cfRule type="cellIs" dxfId="3" priority="72" operator="equal">
      <formula>"EITHER"</formula>
    </cfRule>
    <cfRule type="cellIs" dxfId="2" priority="73" operator="equal">
      <formula>"MSSB"</formula>
    </cfRule>
    <cfRule type="cellIs" dxfId="1" priority="74" operator="equal">
      <formula>"LOCAL"</formula>
    </cfRule>
  </conditionalFormatting>
  <conditionalFormatting sqref="N13:N17">
    <cfRule type="cellIs" dxfId="0" priority="75" operator="notEqual">
      <formula>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RowHeight="14.6" x14ac:dyDescent="0.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2">
    <pageSetUpPr fitToPage="1"/>
  </sheetPr>
  <dimension ref="A1:CS2626"/>
  <sheetViews>
    <sheetView topLeftCell="O1" zoomScale="40" zoomScaleNormal="40" zoomScaleSheetLayoutView="30" workbookViewId="0">
      <pane ySplit="1" topLeftCell="A596" activePane="bottomLeft" state="frozen"/>
      <selection pane="bottomLeft"/>
    </sheetView>
  </sheetViews>
  <sheetFormatPr defaultColWidth="9.3046875" defaultRowHeight="46.3" x14ac:dyDescent="0.8"/>
  <cols>
    <col min="1" max="1" width="11.3046875" style="262" bestFit="1" customWidth="1"/>
    <col min="2" max="2" width="35.69140625" style="117" customWidth="1"/>
    <col min="3" max="3" width="36.3046875" style="219" customWidth="1"/>
    <col min="4" max="4" width="27.3046875" style="258" bestFit="1" customWidth="1"/>
    <col min="5" max="8" width="72.84375" style="208" hidden="1" customWidth="1"/>
    <col min="9" max="9" width="22" style="294" customWidth="1"/>
    <col min="10" max="10" width="248.15234375" style="117" customWidth="1"/>
    <col min="11" max="11" width="65.53515625" style="221" customWidth="1"/>
    <col min="12" max="12" width="55.3046875" style="231" customWidth="1"/>
    <col min="13" max="13" width="31" customWidth="1"/>
    <col min="14" max="14" width="51.3046875" customWidth="1"/>
    <col min="15" max="15" width="97.69140625" customWidth="1"/>
    <col min="16" max="16" width="37.69140625" style="201" customWidth="1"/>
    <col min="17" max="17" width="40.84375" style="32" customWidth="1"/>
    <col min="18" max="18" width="21.53515625" style="32" customWidth="1"/>
    <col min="19" max="19" width="9.15234375" customWidth="1"/>
    <col min="20" max="20" width="10.69140625" style="8" customWidth="1"/>
    <col min="21" max="21" width="40.84375" customWidth="1"/>
    <col min="22" max="22" width="20" customWidth="1"/>
    <col min="23" max="23" width="20" style="32" customWidth="1"/>
    <col min="24" max="24" width="3.3046875" style="25" customWidth="1"/>
    <col min="25" max="25" width="51.69140625" customWidth="1"/>
    <col min="26" max="26" width="10.84375" style="32" customWidth="1"/>
    <col min="27" max="27" width="18.15234375" style="32" customWidth="1"/>
    <col min="28" max="28" width="51.69140625" style="32" customWidth="1"/>
    <col min="29" max="30" width="21.15234375" style="32" customWidth="1"/>
    <col min="31" max="31" width="2" style="25" customWidth="1"/>
    <col min="32" max="32" width="30.3046875" style="32" customWidth="1"/>
    <col min="33" max="33" width="7" style="32" customWidth="1"/>
    <col min="34" max="34" width="12" style="32" customWidth="1"/>
    <col min="35" max="35" width="29.53515625" style="32" customWidth="1"/>
    <col min="36" max="36" width="12" style="32" customWidth="1"/>
    <col min="37" max="37" width="15.53515625" style="32" customWidth="1"/>
    <col min="38" max="38" width="2" style="25" customWidth="1"/>
    <col min="39" max="39" width="31.84375" style="117" customWidth="1"/>
    <col min="40" max="40" width="71.53515625" style="117" customWidth="1"/>
    <col min="41" max="41" width="16.3046875" style="286" customWidth="1"/>
    <col min="42" max="42" width="41.53515625" style="231" customWidth="1"/>
    <col min="43" max="43" width="37.15234375" style="276" customWidth="1"/>
    <col min="44" max="44" width="24.84375" style="231" customWidth="1"/>
    <col min="45" max="45" width="24.84375" style="276" customWidth="1"/>
    <col min="46" max="46" width="26.3046875" style="231" bestFit="1" customWidth="1"/>
    <col min="47" max="48" width="24.84375" style="117" customWidth="1"/>
    <col min="49" max="49" width="27" style="117" customWidth="1"/>
    <col min="50" max="53" width="9.3046875" style="117" customWidth="1"/>
    <col min="54" max="16384" width="9.3046875" style="117"/>
  </cols>
  <sheetData>
    <row r="1" spans="1:97" x14ac:dyDescent="0.8">
      <c r="A1" s="262">
        <f>ROW()</f>
        <v>1</v>
      </c>
      <c r="C1" s="219" t="s">
        <v>112</v>
      </c>
      <c r="K1" s="242"/>
      <c r="AP1" s="285" t="str">
        <f>AQ16</f>
        <v>Labour</v>
      </c>
      <c r="AQ1" s="413">
        <f>AQ15</f>
        <v>160</v>
      </c>
    </row>
    <row r="2" spans="1:97" customFormat="1" ht="30.9" x14ac:dyDescent="0.8">
      <c r="A2" s="262">
        <f>ROW()</f>
        <v>2</v>
      </c>
      <c r="B2" s="114"/>
      <c r="C2" s="208"/>
      <c r="D2" s="208"/>
      <c r="E2" s="208"/>
      <c r="F2" s="208"/>
      <c r="G2" s="208"/>
      <c r="H2" s="208"/>
      <c r="I2" s="224"/>
      <c r="K2" s="221"/>
      <c r="L2" s="252"/>
      <c r="P2" s="201"/>
      <c r="Q2" s="32"/>
      <c r="R2" s="32"/>
      <c r="T2" s="8"/>
      <c r="W2" s="32"/>
      <c r="X2" s="25"/>
      <c r="Z2" s="32"/>
      <c r="AA2" s="32"/>
      <c r="AB2" s="32"/>
      <c r="AC2" s="32"/>
      <c r="AD2" s="32"/>
      <c r="AE2" s="25"/>
      <c r="AF2" s="32"/>
      <c r="AG2" s="32"/>
      <c r="AH2" s="32"/>
      <c r="AI2" s="32"/>
      <c r="AJ2" s="32"/>
      <c r="AK2" s="32"/>
      <c r="AL2" s="25"/>
      <c r="AN2" s="239"/>
      <c r="AO2" s="286"/>
      <c r="AP2" s="282"/>
      <c r="AQ2" s="277"/>
      <c r="AR2" s="282"/>
      <c r="AS2" s="277"/>
      <c r="AT2" s="282"/>
    </row>
    <row r="3" spans="1:97" customFormat="1" ht="30.9" x14ac:dyDescent="0.8">
      <c r="A3" s="262">
        <f>ROW()</f>
        <v>3</v>
      </c>
      <c r="B3" s="114"/>
      <c r="C3" s="208"/>
      <c r="D3" s="208"/>
      <c r="E3" s="208"/>
      <c r="F3" s="208"/>
      <c r="G3" s="208"/>
      <c r="H3" s="208"/>
      <c r="I3" s="224"/>
      <c r="K3" s="221"/>
      <c r="L3" s="231"/>
      <c r="P3" s="201"/>
      <c r="Q3" s="32"/>
      <c r="R3" s="32"/>
      <c r="T3" s="8"/>
      <c r="W3" s="32"/>
      <c r="X3" s="25"/>
      <c r="Z3" s="32"/>
      <c r="AA3" s="32"/>
      <c r="AB3" s="32"/>
      <c r="AC3" s="32"/>
      <c r="AD3" s="32"/>
      <c r="AE3" s="25"/>
      <c r="AF3" s="32"/>
      <c r="AG3" s="32"/>
      <c r="AH3" s="32"/>
      <c r="AI3" s="32"/>
      <c r="AJ3" s="32"/>
      <c r="AK3" s="32"/>
      <c r="AL3" s="25"/>
      <c r="AN3" s="117"/>
      <c r="AO3" s="286"/>
      <c r="AP3" s="282"/>
      <c r="AQ3" s="277"/>
      <c r="AR3" s="282"/>
      <c r="AS3" s="277"/>
      <c r="AT3" s="282"/>
    </row>
    <row r="4" spans="1:97" customFormat="1" ht="30.9" x14ac:dyDescent="0.8">
      <c r="A4" s="262">
        <f>ROW()</f>
        <v>4</v>
      </c>
      <c r="B4" s="114"/>
      <c r="C4" s="208"/>
      <c r="D4" s="208"/>
      <c r="E4" s="208"/>
      <c r="F4" s="208"/>
      <c r="G4" s="208"/>
      <c r="H4" s="208"/>
      <c r="I4" s="224"/>
      <c r="K4" s="221"/>
      <c r="L4" s="231"/>
      <c r="P4" s="201"/>
      <c r="Q4" s="32"/>
      <c r="R4" s="32"/>
      <c r="T4" s="8"/>
      <c r="W4" s="32"/>
      <c r="X4" s="25"/>
      <c r="Z4" s="32"/>
      <c r="AA4" s="32"/>
      <c r="AB4" s="32"/>
      <c r="AC4" s="32"/>
      <c r="AD4" s="32"/>
      <c r="AE4" s="25"/>
      <c r="AF4" s="32"/>
      <c r="AG4" s="32"/>
      <c r="AH4" s="32"/>
      <c r="AI4" s="32"/>
      <c r="AJ4" s="32"/>
      <c r="AK4" s="32"/>
      <c r="AL4" s="25"/>
      <c r="AN4" s="117"/>
      <c r="AO4" s="286"/>
      <c r="AP4" s="282"/>
      <c r="AQ4" s="277"/>
      <c r="AR4" s="282"/>
      <c r="AS4" s="277"/>
      <c r="AT4" s="282"/>
    </row>
    <row r="5" spans="1:97" customFormat="1" ht="28.3" x14ac:dyDescent="0.75">
      <c r="A5" s="262">
        <f>ROW()</f>
        <v>5</v>
      </c>
      <c r="B5" s="114"/>
      <c r="C5" s="507" t="str">
        <f ca="1">C14</f>
        <v>AAA-MechElec - 2.3.xlsx</v>
      </c>
      <c r="D5" s="507"/>
      <c r="E5" s="507"/>
      <c r="F5" s="507"/>
      <c r="G5" s="507"/>
      <c r="H5" s="507"/>
      <c r="I5" s="508"/>
      <c r="J5" s="507"/>
      <c r="K5" s="221"/>
      <c r="L5" s="231"/>
      <c r="P5" s="201"/>
      <c r="Q5" s="32"/>
      <c r="R5" s="32"/>
      <c r="T5" s="8"/>
      <c r="W5" s="32"/>
      <c r="X5" s="25"/>
      <c r="Z5" s="32"/>
      <c r="AA5" s="32"/>
      <c r="AB5" s="32"/>
      <c r="AC5" s="32"/>
      <c r="AD5" s="32"/>
      <c r="AE5" s="25"/>
      <c r="AF5" s="32"/>
      <c r="AG5" s="32"/>
      <c r="AH5" s="32"/>
      <c r="AI5" s="32"/>
      <c r="AJ5" s="32"/>
      <c r="AK5" s="32"/>
      <c r="AL5" s="25"/>
      <c r="AN5" s="117"/>
      <c r="AO5" s="286"/>
      <c r="AP5" s="282"/>
      <c r="AQ5" s="277"/>
      <c r="AR5" s="282"/>
      <c r="AS5" s="277"/>
      <c r="AT5" s="282"/>
    </row>
    <row r="6" spans="1:97" customFormat="1" ht="28.3" x14ac:dyDescent="0.75">
      <c r="A6" s="262">
        <f>ROW()</f>
        <v>6</v>
      </c>
      <c r="B6" s="114"/>
      <c r="C6" s="507"/>
      <c r="D6" s="507"/>
      <c r="E6" s="507"/>
      <c r="F6" s="507"/>
      <c r="G6" s="507"/>
      <c r="H6" s="507"/>
      <c r="I6" s="508"/>
      <c r="J6" s="507"/>
      <c r="K6" s="221"/>
      <c r="L6" s="231"/>
      <c r="P6" s="201"/>
      <c r="Q6" s="32"/>
      <c r="R6" s="32"/>
      <c r="T6" s="8"/>
      <c r="W6" s="32"/>
      <c r="X6" s="25"/>
      <c r="Z6" s="32"/>
      <c r="AA6" s="32"/>
      <c r="AB6" s="32"/>
      <c r="AC6" s="32"/>
      <c r="AD6" s="32"/>
      <c r="AE6" s="25"/>
      <c r="AF6" s="32"/>
      <c r="AG6" s="32"/>
      <c r="AH6" s="32"/>
      <c r="AI6" s="32"/>
      <c r="AJ6" s="32"/>
      <c r="AK6" s="32"/>
      <c r="AL6" s="25"/>
      <c r="AN6" s="117"/>
      <c r="AO6" s="286"/>
      <c r="AP6" s="282"/>
      <c r="AQ6" s="277"/>
      <c r="AR6" s="282"/>
      <c r="AS6" s="277"/>
      <c r="AT6" s="282"/>
    </row>
    <row r="7" spans="1:97" customFormat="1" ht="28.3" x14ac:dyDescent="0.75">
      <c r="A7" s="262">
        <f>ROW()</f>
        <v>7</v>
      </c>
      <c r="B7" s="114"/>
      <c r="C7" s="507"/>
      <c r="D7" s="507"/>
      <c r="E7" s="507"/>
      <c r="F7" s="507"/>
      <c r="G7" s="507"/>
      <c r="H7" s="507"/>
      <c r="I7" s="508"/>
      <c r="J7" s="507"/>
      <c r="K7" s="221"/>
      <c r="L7" s="231"/>
      <c r="P7" s="201"/>
      <c r="Q7" s="32"/>
      <c r="R7" s="32"/>
      <c r="T7" s="8"/>
      <c r="W7" s="32"/>
      <c r="X7" s="25"/>
      <c r="Z7" s="32"/>
      <c r="AA7" s="32"/>
      <c r="AB7" s="32"/>
      <c r="AC7" s="32"/>
      <c r="AD7" s="32"/>
      <c r="AE7" s="25"/>
      <c r="AF7" s="32"/>
      <c r="AG7" s="32"/>
      <c r="AH7" s="32"/>
      <c r="AI7" s="32"/>
      <c r="AJ7" s="32"/>
      <c r="AK7" s="32"/>
      <c r="AL7" s="25"/>
      <c r="AN7" s="117"/>
      <c r="AO7" s="286"/>
      <c r="AP7" s="282"/>
      <c r="AQ7" s="277"/>
      <c r="AR7" s="282"/>
      <c r="AS7" s="277"/>
      <c r="AT7" s="282"/>
    </row>
    <row r="8" spans="1:97" customFormat="1" x14ac:dyDescent="0.8">
      <c r="A8" s="262">
        <f>ROW()</f>
        <v>8</v>
      </c>
      <c r="B8" s="170" t="s">
        <v>491</v>
      </c>
      <c r="C8" s="209" t="s">
        <v>353</v>
      </c>
      <c r="D8" s="225" t="s">
        <v>369</v>
      </c>
      <c r="E8" s="209"/>
      <c r="F8" s="209"/>
      <c r="G8" s="209"/>
      <c r="H8" s="209"/>
      <c r="I8" s="294"/>
      <c r="J8" s="209" t="s">
        <v>368</v>
      </c>
      <c r="K8" s="221"/>
      <c r="L8" s="231"/>
      <c r="P8" s="201"/>
      <c r="Q8" s="32"/>
      <c r="R8" s="32"/>
      <c r="T8" s="8"/>
      <c r="W8" s="32"/>
      <c r="X8" s="25"/>
      <c r="Z8" s="32"/>
      <c r="AA8" s="32"/>
      <c r="AB8" s="32"/>
      <c r="AC8" s="32"/>
      <c r="AD8" s="32"/>
      <c r="AE8" s="25"/>
      <c r="AF8" s="32"/>
      <c r="AG8" s="32"/>
      <c r="AH8" s="32"/>
      <c r="AI8" s="32"/>
      <c r="AJ8" s="32"/>
      <c r="AK8" s="32"/>
      <c r="AL8" s="25"/>
      <c r="AN8" s="117"/>
      <c r="AO8" s="286"/>
      <c r="AP8" s="282"/>
      <c r="AQ8" s="277"/>
      <c r="AR8" s="282"/>
      <c r="AS8" s="277"/>
      <c r="AT8" s="282"/>
    </row>
    <row r="9" spans="1:97" customFormat="1" x14ac:dyDescent="0.9">
      <c r="A9" s="262">
        <f>ROW()</f>
        <v>9</v>
      </c>
      <c r="B9" s="170" t="s">
        <v>491</v>
      </c>
      <c r="C9" s="210">
        <f>AM13+I11</f>
        <v>365.8</v>
      </c>
      <c r="D9" s="226">
        <v>0.25</v>
      </c>
      <c r="E9" s="210"/>
      <c r="F9" s="210"/>
      <c r="G9" s="210"/>
      <c r="H9" s="210"/>
      <c r="I9" s="294"/>
      <c r="J9" s="182">
        <f>C9+D9*C9</f>
        <v>457.25</v>
      </c>
      <c r="K9" s="221"/>
      <c r="L9" s="231"/>
      <c r="P9" s="201"/>
      <c r="Q9" s="32"/>
      <c r="R9" s="32"/>
      <c r="T9" s="8"/>
      <c r="W9" s="32"/>
      <c r="X9" s="25"/>
      <c r="Z9" s="32"/>
      <c r="AA9" s="32"/>
      <c r="AB9" s="32"/>
      <c r="AC9" s="32"/>
      <c r="AD9" s="32"/>
      <c r="AE9" s="25"/>
      <c r="AF9" s="32"/>
      <c r="AG9" s="32"/>
      <c r="AH9" s="32"/>
      <c r="AI9" s="32"/>
      <c r="AJ9" s="32"/>
      <c r="AK9" s="32"/>
      <c r="AL9" s="25"/>
      <c r="AN9" s="117"/>
      <c r="AO9" s="286"/>
      <c r="AP9" s="282"/>
      <c r="AQ9" s="277"/>
      <c r="AR9" s="282"/>
      <c r="AS9" s="277"/>
      <c r="AT9" s="282"/>
    </row>
    <row r="10" spans="1:97" customFormat="1" x14ac:dyDescent="0.8">
      <c r="A10" s="262">
        <f>ROW()</f>
        <v>10</v>
      </c>
      <c r="B10" s="114"/>
      <c r="C10" s="208"/>
      <c r="D10" s="224"/>
      <c r="E10" s="208"/>
      <c r="F10" s="208"/>
      <c r="G10" s="208"/>
      <c r="H10" s="208"/>
      <c r="I10" s="294"/>
      <c r="K10" s="221"/>
      <c r="L10" s="231"/>
      <c r="P10" s="201"/>
      <c r="Q10" s="32"/>
      <c r="R10" s="32"/>
      <c r="T10" s="8"/>
      <c r="W10" s="32"/>
      <c r="X10" s="25"/>
      <c r="Z10" s="32"/>
      <c r="AA10" s="32"/>
      <c r="AB10" s="32"/>
      <c r="AC10" s="32"/>
      <c r="AD10" s="32"/>
      <c r="AE10" s="25"/>
      <c r="AF10" s="32"/>
      <c r="AG10" s="32"/>
      <c r="AH10" s="32"/>
      <c r="AI10" s="32"/>
      <c r="AJ10" s="32"/>
      <c r="AK10" s="32"/>
      <c r="AL10" s="25"/>
      <c r="AN10" s="117"/>
      <c r="AO10" s="287"/>
      <c r="AP10" s="282"/>
      <c r="AQ10" s="277"/>
      <c r="AR10" s="282"/>
      <c r="AS10" s="277"/>
      <c r="AT10" s="282"/>
    </row>
    <row r="11" spans="1:97" customFormat="1" ht="35.6" x14ac:dyDescent="0.9">
      <c r="A11" s="262">
        <f>ROW()</f>
        <v>11</v>
      </c>
      <c r="B11" s="170" t="s">
        <v>491</v>
      </c>
      <c r="C11" s="208" t="s">
        <v>780</v>
      </c>
      <c r="D11" s="224" t="s">
        <v>582</v>
      </c>
      <c r="E11" s="208"/>
      <c r="F11" s="208"/>
      <c r="G11" s="208"/>
      <c r="H11" s="208"/>
      <c r="I11" s="224"/>
      <c r="J11" s="229"/>
      <c r="K11" s="221"/>
      <c r="L11" s="231"/>
      <c r="P11" s="201"/>
      <c r="Q11" s="32"/>
      <c r="R11" s="32"/>
      <c r="T11" s="8"/>
      <c r="W11" s="32"/>
      <c r="X11" s="25"/>
      <c r="Z11" s="32"/>
      <c r="AA11" s="32"/>
      <c r="AB11" s="32"/>
      <c r="AC11" s="32"/>
      <c r="AD11" s="32"/>
      <c r="AE11" s="25"/>
      <c r="AF11" s="32"/>
      <c r="AG11" s="32"/>
      <c r="AH11" s="32"/>
      <c r="AI11" s="32"/>
      <c r="AJ11" s="32"/>
      <c r="AK11" s="32"/>
      <c r="AL11" s="25"/>
      <c r="AN11" s="117"/>
      <c r="AO11" s="286"/>
      <c r="AP11" s="282"/>
      <c r="AQ11" s="277"/>
      <c r="AR11" s="282"/>
      <c r="AS11" s="277" t="e">
        <f>E</f>
        <v>#NAME?</v>
      </c>
      <c r="AT11" s="282"/>
    </row>
    <row r="12" spans="1:97" customFormat="1" ht="35.6" x14ac:dyDescent="0.9">
      <c r="A12" s="262">
        <f>ROW()</f>
        <v>12</v>
      </c>
      <c r="B12" s="114"/>
      <c r="C12" s="208"/>
      <c r="D12" s="258"/>
      <c r="E12" s="208"/>
      <c r="F12" s="208"/>
      <c r="G12" s="208"/>
      <c r="H12" s="208"/>
      <c r="I12" s="224"/>
      <c r="J12" s="229">
        <f>J11+J9</f>
        <v>457.25</v>
      </c>
      <c r="K12" s="221"/>
      <c r="L12" s="232"/>
      <c r="M12" s="36"/>
      <c r="P12" s="201"/>
      <c r="Q12" s="32"/>
      <c r="R12" s="32"/>
      <c r="T12" s="8"/>
      <c r="W12" s="32"/>
      <c r="X12" s="25"/>
      <c r="Z12" s="32"/>
      <c r="AA12" s="32"/>
      <c r="AB12" s="32"/>
      <c r="AC12" s="32"/>
      <c r="AD12" s="32"/>
      <c r="AE12" s="25"/>
      <c r="AF12" s="32"/>
      <c r="AG12" s="32"/>
      <c r="AH12" s="32"/>
      <c r="AI12" s="32"/>
      <c r="AJ12" s="32"/>
      <c r="AK12" s="32"/>
      <c r="AL12" s="25"/>
      <c r="AN12" s="117"/>
      <c r="AO12" s="286"/>
      <c r="AP12" s="282"/>
      <c r="AQ12" s="277"/>
      <c r="AR12" s="282"/>
      <c r="AS12" s="277"/>
      <c r="AT12" s="282"/>
    </row>
    <row r="13" spans="1:97" customFormat="1" ht="30.9" x14ac:dyDescent="0.8">
      <c r="A13" s="262">
        <f>ROW()</f>
        <v>13</v>
      </c>
      <c r="B13" s="114"/>
      <c r="C13" s="208"/>
      <c r="D13" s="208"/>
      <c r="E13" s="208"/>
      <c r="F13" s="208"/>
      <c r="G13" s="208"/>
      <c r="H13" s="208"/>
      <c r="I13" s="224"/>
      <c r="K13" s="221"/>
      <c r="L13" s="231"/>
      <c r="P13" s="201"/>
      <c r="Q13" s="32"/>
      <c r="R13" s="32"/>
      <c r="T13" s="8"/>
      <c r="W13" s="32"/>
      <c r="X13" s="25"/>
      <c r="Z13" s="68"/>
      <c r="AA13" s="68"/>
      <c r="AB13" s="32"/>
      <c r="AC13" s="32"/>
      <c r="AD13" s="32"/>
      <c r="AE13" s="25"/>
      <c r="AF13" s="32"/>
      <c r="AG13" s="68"/>
      <c r="AH13" s="68"/>
      <c r="AI13" s="32"/>
      <c r="AJ13" s="32"/>
      <c r="AK13" s="32"/>
      <c r="AL13" s="25"/>
      <c r="AM13" s="33">
        <f>SUM(AM16:AM2615)</f>
        <v>365.8</v>
      </c>
      <c r="AN13" s="117"/>
      <c r="AO13" s="286"/>
      <c r="AP13" s="282"/>
      <c r="AQ13" s="277"/>
      <c r="AR13" s="282"/>
      <c r="AS13" s="277"/>
      <c r="AT13" s="282"/>
    </row>
    <row r="14" spans="1:97" ht="82.4" customHeight="1" x14ac:dyDescent="1.55">
      <c r="A14" s="262">
        <f>ROW()</f>
        <v>14</v>
      </c>
      <c r="B14" s="170" t="s">
        <v>491</v>
      </c>
      <c r="C14" s="509" t="str">
        <f ca="1">MID(CELL("filename",A1),FIND("[",CELL("filename",A1))+1,FIND("]", CELL("filename",A1))-FIND("[",CELL("filename",A1))-1)</f>
        <v>AAA-MechElec - 2.3.xlsx</v>
      </c>
      <c r="D14" s="510"/>
      <c r="E14" s="511"/>
      <c r="F14" s="511"/>
      <c r="G14" s="511"/>
      <c r="H14" s="511"/>
      <c r="I14" s="512"/>
      <c r="J14" s="513"/>
      <c r="K14" s="243"/>
      <c r="Z14" s="68"/>
      <c r="AA14" s="68"/>
      <c r="AG14" s="68"/>
      <c r="AH14" s="68"/>
      <c r="AM14" s="256"/>
      <c r="AN14" s="222" t="s">
        <v>605</v>
      </c>
    </row>
    <row r="15" spans="1:97" s="255" customFormat="1" ht="61.3" x14ac:dyDescent="0.9">
      <c r="A15" s="262">
        <f>ROW()</f>
        <v>15</v>
      </c>
      <c r="B15" s="170" t="s">
        <v>491</v>
      </c>
      <c r="C15" s="254"/>
      <c r="D15" s="259"/>
      <c r="E15" s="200"/>
      <c r="F15" s="200"/>
      <c r="G15" s="200"/>
      <c r="H15" s="200"/>
      <c r="I15" s="274" t="s">
        <v>695</v>
      </c>
      <c r="J15" s="275">
        <f ca="1">NOW()</f>
        <v>43306.45175104167</v>
      </c>
      <c r="K15" s="244"/>
      <c r="L15" s="233"/>
      <c r="M15" s="62"/>
      <c r="N15" s="62"/>
      <c r="O15" s="62"/>
      <c r="P15" s="201"/>
      <c r="Q15" s="62"/>
      <c r="R15" s="62"/>
      <c r="S15" s="62"/>
      <c r="T15" s="62"/>
      <c r="U15" s="62"/>
      <c r="V15" s="62"/>
      <c r="W15" s="62"/>
      <c r="X15" s="62"/>
      <c r="Y15" s="62"/>
      <c r="Z15" s="68"/>
      <c r="AA15" s="68"/>
      <c r="AB15" s="62"/>
      <c r="AC15" s="62"/>
      <c r="AD15" s="62"/>
      <c r="AE15" s="62"/>
      <c r="AF15" s="62"/>
      <c r="AG15" s="68"/>
      <c r="AH15" s="68"/>
      <c r="AI15" s="62"/>
      <c r="AJ15" s="62"/>
      <c r="AK15" s="62"/>
      <c r="AL15" s="62"/>
      <c r="AM15" s="237">
        <f>J12</f>
        <v>457.25</v>
      </c>
      <c r="AO15" s="286"/>
      <c r="AP15" s="237">
        <f>SUM(AP17:AP80000)</f>
        <v>365.8</v>
      </c>
      <c r="AQ15" s="237">
        <f t="shared" ref="AQ15:AS15" si="0">SUM(AQ17:AQ80000)</f>
        <v>160</v>
      </c>
      <c r="AR15" s="237">
        <f t="shared" si="0"/>
        <v>172.14000000000001</v>
      </c>
      <c r="AS15" s="237">
        <f t="shared" si="0"/>
        <v>15.66</v>
      </c>
      <c r="AT15" s="237">
        <f>(AP15-(AQ15+AR15+AS15+AV15))</f>
        <v>0</v>
      </c>
      <c r="AU15" s="237">
        <f>I11</f>
        <v>0</v>
      </c>
      <c r="AV15" s="237">
        <f>AP2118</f>
        <v>18</v>
      </c>
      <c r="AW15" s="237"/>
      <c r="AX15" s="117"/>
      <c r="AY15" s="117"/>
      <c r="AZ15" s="117"/>
      <c r="BA15" s="117"/>
      <c r="BB15" s="117"/>
      <c r="BC15" s="117"/>
      <c r="BD15" s="117"/>
      <c r="BE15" s="117"/>
      <c r="BF15" s="117"/>
      <c r="BG15" s="117"/>
      <c r="BH15" s="117"/>
      <c r="BI15" s="117"/>
      <c r="BJ15" s="117"/>
      <c r="BK15" s="117"/>
      <c r="BL15" s="117"/>
      <c r="BM15" s="117"/>
      <c r="BN15" s="117"/>
      <c r="BO15" s="117"/>
      <c r="BP15" s="117"/>
      <c r="BQ15" s="117"/>
      <c r="BR15" s="117"/>
      <c r="BS15" s="117"/>
      <c r="BT15" s="117"/>
      <c r="BU15" s="117"/>
      <c r="BV15" s="117"/>
      <c r="BW15" s="117"/>
      <c r="BX15" s="117"/>
      <c r="BY15" s="117"/>
      <c r="BZ15" s="117"/>
      <c r="CA15" s="117"/>
      <c r="CB15" s="117"/>
      <c r="CC15" s="117"/>
      <c r="CD15" s="117"/>
      <c r="CE15" s="117"/>
      <c r="CF15" s="117"/>
      <c r="CG15" s="117"/>
      <c r="CH15" s="117"/>
      <c r="CI15" s="117"/>
      <c r="CJ15" s="117"/>
      <c r="CK15" s="117"/>
      <c r="CL15" s="117"/>
      <c r="CM15" s="117"/>
      <c r="CN15" s="117"/>
      <c r="CO15" s="117"/>
      <c r="CP15" s="117"/>
      <c r="CQ15" s="117"/>
      <c r="CR15" s="117"/>
      <c r="CS15" s="117"/>
    </row>
    <row r="16" spans="1:97" s="222" customFormat="1" ht="141.44999999999999" x14ac:dyDescent="0.75">
      <c r="A16" s="222">
        <f>ROW()</f>
        <v>16</v>
      </c>
      <c r="B16" s="222" t="s">
        <v>491</v>
      </c>
      <c r="C16" s="222" t="s">
        <v>492</v>
      </c>
      <c r="D16" s="222" t="s">
        <v>676</v>
      </c>
      <c r="I16" s="293" t="s">
        <v>0</v>
      </c>
      <c r="J16" s="222" t="s">
        <v>386</v>
      </c>
      <c r="K16" s="222" t="s">
        <v>607</v>
      </c>
      <c r="L16" s="222" t="s">
        <v>375</v>
      </c>
      <c r="M16" s="222" t="s">
        <v>107</v>
      </c>
      <c r="N16" s="222" t="s">
        <v>108</v>
      </c>
      <c r="O16" s="222" t="s">
        <v>386</v>
      </c>
      <c r="P16" s="222" t="s">
        <v>533</v>
      </c>
      <c r="R16" s="222" t="s">
        <v>452</v>
      </c>
      <c r="S16" s="222" t="s">
        <v>0</v>
      </c>
      <c r="U16" s="222" t="s">
        <v>287</v>
      </c>
      <c r="V16" s="222" t="s">
        <v>288</v>
      </c>
      <c r="W16" s="222" t="s">
        <v>291</v>
      </c>
      <c r="Y16" s="222" t="s">
        <v>289</v>
      </c>
      <c r="Z16" s="222" t="s">
        <v>354</v>
      </c>
      <c r="AA16" s="222" t="s">
        <v>355</v>
      </c>
      <c r="AB16" s="222" t="s">
        <v>317</v>
      </c>
      <c r="AC16" s="222" t="s">
        <v>318</v>
      </c>
      <c r="AD16" s="222" t="s">
        <v>316</v>
      </c>
      <c r="AF16" s="222" t="s">
        <v>293</v>
      </c>
      <c r="AG16" s="222" t="s">
        <v>354</v>
      </c>
      <c r="AH16" s="222" t="s">
        <v>355</v>
      </c>
      <c r="AI16" s="222" t="s">
        <v>296</v>
      </c>
      <c r="AJ16" s="222" t="s">
        <v>294</v>
      </c>
      <c r="AK16" s="222" t="s">
        <v>295</v>
      </c>
      <c r="AO16" s="288"/>
      <c r="AP16" s="285" t="s">
        <v>715</v>
      </c>
      <c r="AQ16" s="285" t="s">
        <v>716</v>
      </c>
      <c r="AR16" s="285" t="s">
        <v>717</v>
      </c>
      <c r="AS16" s="285" t="s">
        <v>718</v>
      </c>
      <c r="AT16" s="285" t="s">
        <v>680</v>
      </c>
      <c r="AU16" s="285" t="s">
        <v>719</v>
      </c>
      <c r="AV16" s="285" t="s">
        <v>720</v>
      </c>
    </row>
    <row r="17" spans="1:46" s="261" customFormat="1" ht="92.6" x14ac:dyDescent="1.2">
      <c r="A17" s="262">
        <f>ROW()</f>
        <v>17</v>
      </c>
      <c r="B17" s="261" t="s">
        <v>491</v>
      </c>
      <c r="D17" s="261" t="str">
        <f>IF(B17="Shopping List",IF(ISNUMBER(SEARCH("MSSB",C17)),"MSSB",IF(ISNUMBER(SEARCH("local",C17)),"LOCAL","")))</f>
        <v/>
      </c>
      <c r="I17" s="269">
        <f>SUM(I41:I209)</f>
        <v>0</v>
      </c>
      <c r="J17" s="261" t="s">
        <v>3</v>
      </c>
      <c r="L17" s="261" t="str">
        <f>J17</f>
        <v>MSSBs</v>
      </c>
      <c r="AN17" s="261">
        <f>K17*1.25</f>
        <v>0</v>
      </c>
      <c r="AO17" s="289"/>
      <c r="AQ17" s="278"/>
      <c r="AS17" s="278"/>
    </row>
    <row r="18" spans="1:46" s="116" customFormat="1" ht="192.75" customHeight="1" x14ac:dyDescent="0.8">
      <c r="A18" s="262">
        <f>ROW()</f>
        <v>18</v>
      </c>
      <c r="C18" s="211"/>
      <c r="D18" s="211"/>
      <c r="E18" s="211"/>
      <c r="F18" s="211"/>
      <c r="G18" s="211"/>
      <c r="H18" s="211"/>
      <c r="K18" s="116" t="s">
        <v>452</v>
      </c>
      <c r="M18" s="116" t="s">
        <v>107</v>
      </c>
      <c r="N18" s="116" t="s">
        <v>108</v>
      </c>
      <c r="O18" s="170" t="s">
        <v>386</v>
      </c>
      <c r="P18" s="504" t="s">
        <v>375</v>
      </c>
      <c r="Q18" s="504"/>
      <c r="R18" s="101" t="s">
        <v>452</v>
      </c>
      <c r="S18" s="116" t="s">
        <v>0</v>
      </c>
      <c r="T18" s="118"/>
      <c r="U18" s="116" t="s">
        <v>287</v>
      </c>
      <c r="V18" s="116" t="s">
        <v>288</v>
      </c>
      <c r="W18" s="116" t="s">
        <v>291</v>
      </c>
      <c r="X18" s="140"/>
      <c r="Y18" s="116" t="s">
        <v>289</v>
      </c>
      <c r="Z18" s="116" t="s">
        <v>354</v>
      </c>
      <c r="AA18" s="116" t="s">
        <v>355</v>
      </c>
      <c r="AB18" s="116" t="s">
        <v>317</v>
      </c>
      <c r="AC18" s="116" t="s">
        <v>318</v>
      </c>
      <c r="AD18" s="116" t="s">
        <v>316</v>
      </c>
      <c r="AE18" s="140"/>
      <c r="AF18" s="116" t="s">
        <v>293</v>
      </c>
      <c r="AG18" s="116" t="s">
        <v>354</v>
      </c>
      <c r="AH18" s="116" t="s">
        <v>355</v>
      </c>
      <c r="AI18" s="116" t="s">
        <v>296</v>
      </c>
      <c r="AJ18" s="116" t="s">
        <v>294</v>
      </c>
      <c r="AK18" s="116" t="s">
        <v>295</v>
      </c>
      <c r="AL18" s="140"/>
      <c r="AO18" s="288"/>
      <c r="AQ18" s="279"/>
      <c r="AS18" s="279"/>
    </row>
    <row r="19" spans="1:46" s="114" customFormat="1" ht="31.5" customHeight="1" x14ac:dyDescent="0.8">
      <c r="A19" s="262">
        <f>ROW()</f>
        <v>19</v>
      </c>
      <c r="C19" s="208"/>
      <c r="D19" s="208"/>
      <c r="E19" s="208"/>
      <c r="F19" s="208"/>
      <c r="G19" s="208"/>
      <c r="H19" s="208"/>
      <c r="L19" s="124" t="str">
        <f>VLOOKUP(M19,Sheet2!$D$2:$E$1024,2,FALSE)</f>
        <v>Zero</v>
      </c>
      <c r="M19" s="121">
        <f>I41</f>
        <v>0</v>
      </c>
      <c r="N19" s="132" t="s">
        <v>526</v>
      </c>
      <c r="O19" s="121" t="s">
        <v>195</v>
      </c>
      <c r="P19" s="173" t="s">
        <v>379</v>
      </c>
      <c r="Q19" s="173" t="s">
        <v>375</v>
      </c>
      <c r="R19" s="173"/>
      <c r="S19" s="174">
        <f>M19</f>
        <v>0</v>
      </c>
      <c r="T19" s="175"/>
      <c r="U19" s="175" t="s">
        <v>292</v>
      </c>
      <c r="V19" s="174">
        <f>S19</f>
        <v>0</v>
      </c>
      <c r="W19" s="174">
        <f>VLOOKUP(U19,Sheet1!$B$6:$C$45,2,FALSE)*V19</f>
        <v>0</v>
      </c>
      <c r="X19" s="174"/>
      <c r="Y19" s="175" t="s">
        <v>292</v>
      </c>
      <c r="Z19" s="168">
        <f>VLOOKUP(Takeoffs!Y19,Sheet1!$B$6:$C$124,2,FALSE)</f>
        <v>0</v>
      </c>
      <c r="AA19" s="168">
        <f>Z19*AB19</f>
        <v>0</v>
      </c>
      <c r="AB19" s="176">
        <f>AD19*AC19</f>
        <v>0</v>
      </c>
      <c r="AC19" s="174">
        <f>S19</f>
        <v>0</v>
      </c>
      <c r="AD19" s="174">
        <v>1</v>
      </c>
      <c r="AE19" s="174"/>
      <c r="AF19" s="175" t="s">
        <v>292</v>
      </c>
      <c r="AG19" s="168">
        <f>VLOOKUP(Takeoffs!AF19,Sheet1!$B$6:$C$124,2,FALSE)</f>
        <v>0</v>
      </c>
      <c r="AH19" s="168">
        <f>AG19*AI19</f>
        <v>0</v>
      </c>
      <c r="AI19" s="176">
        <f>AK19*AJ19</f>
        <v>0</v>
      </c>
      <c r="AJ19" s="174">
        <f>S19</f>
        <v>0</v>
      </c>
      <c r="AK19" s="174"/>
      <c r="AL19" s="141"/>
      <c r="AO19" s="286"/>
      <c r="AP19" s="284">
        <f>IF(AND(I19&gt;0, ISNUMBER(I19)),I19*P19,0)</f>
        <v>0</v>
      </c>
      <c r="AQ19" s="281">
        <f>IF(AND(I19&gt;0, ISNUMBER(I19)),I19*W19*80,0)</f>
        <v>0</v>
      </c>
      <c r="AR19" s="284">
        <f>IF(AND(I19&gt;0, ISNUMBER(I19)),I19*AA19,0)</f>
        <v>0</v>
      </c>
      <c r="AS19" s="281">
        <f>IF(AND(I19&gt;0, ISNUMBER(I19)),I19*AH19,0)</f>
        <v>0</v>
      </c>
      <c r="AT19" s="284">
        <f>IF(AND(I19&gt;0, ISNUMBER(I19)),I19*(AP19-(AQ19+AR19+AS19)),0)</f>
        <v>0</v>
      </c>
    </row>
    <row r="20" spans="1:46" s="114" customFormat="1" ht="30.9" x14ac:dyDescent="0.8">
      <c r="A20" s="262">
        <f>ROW()</f>
        <v>20</v>
      </c>
      <c r="C20" s="208"/>
      <c r="D20" s="208"/>
      <c r="E20" s="208"/>
      <c r="F20" s="208"/>
      <c r="G20" s="208"/>
      <c r="H20" s="208"/>
      <c r="J20" s="114" t="str">
        <f>IF(COUNTBLANK(Q20)&gt;0,"",CONCATENATE("Coordination Note: - ",P20,": Please refer to our exclusions relating to ",Q20))</f>
        <v/>
      </c>
      <c r="K20" s="114" t="str">
        <f>IF(COUNTBLANK(R20)&gt;0,"",CONCATENATE(R20," for ",N19))</f>
        <v/>
      </c>
      <c r="M20" s="117"/>
      <c r="N20" s="123" t="s">
        <v>113</v>
      </c>
      <c r="O20" s="66" t="s">
        <v>534</v>
      </c>
      <c r="P20" s="175"/>
      <c r="Q20" s="175"/>
      <c r="R20" s="175"/>
      <c r="S20" s="174">
        <f>M19</f>
        <v>0</v>
      </c>
      <c r="T20" s="172"/>
      <c r="U20" s="175" t="s">
        <v>292</v>
      </c>
      <c r="V20" s="174">
        <f t="shared" ref="V20:V39" si="1">S20</f>
        <v>0</v>
      </c>
      <c r="W20" s="174">
        <f>VLOOKUP(U20,Sheet1!$B$6:$C$45,2,FALSE)*V20</f>
        <v>0</v>
      </c>
      <c r="X20" s="174"/>
      <c r="Y20" s="175" t="s">
        <v>292</v>
      </c>
      <c r="Z20" s="168">
        <f>VLOOKUP(Takeoffs!Y20,Sheet1!$B$6:$C$124,2,FALSE)</f>
        <v>0</v>
      </c>
      <c r="AA20" s="168">
        <f t="shared" ref="AA20:AA39" si="2">Z20*AB20</f>
        <v>0</v>
      </c>
      <c r="AB20" s="176">
        <f t="shared" ref="AB20:AB39" si="3">AD20*AC20</f>
        <v>0</v>
      </c>
      <c r="AC20" s="174">
        <f>S20</f>
        <v>0</v>
      </c>
      <c r="AD20" s="174">
        <v>1</v>
      </c>
      <c r="AE20" s="174"/>
      <c r="AF20" s="175" t="s">
        <v>292</v>
      </c>
      <c r="AG20" s="168">
        <f>VLOOKUP(Takeoffs!AF20,Sheet1!$B$6:$C$124,2,FALSE)</f>
        <v>0</v>
      </c>
      <c r="AH20" s="168">
        <f t="shared" ref="AH20:AH39" si="4">AG20*AI20</f>
        <v>0</v>
      </c>
      <c r="AI20" s="176">
        <f t="shared" ref="AI20:AI39" si="5">AK20*AJ20</f>
        <v>0</v>
      </c>
      <c r="AJ20" s="174">
        <f t="shared" ref="AJ20:AJ39" si="6">S20</f>
        <v>0</v>
      </c>
      <c r="AK20" s="174"/>
      <c r="AL20" s="141"/>
      <c r="AO20" s="286"/>
      <c r="AP20" s="284">
        <f t="shared" ref="AP20:AP83" si="7">IF(AND(I20&gt;0, ISNUMBER(I20)),I20*P20,0)</f>
        <v>0</v>
      </c>
      <c r="AQ20" s="281">
        <f t="shared" ref="AQ20:AQ83" si="8">IF(AND(I20&gt;0, ISNUMBER(I20)),I20*W20*80,0)</f>
        <v>0</v>
      </c>
      <c r="AR20" s="284">
        <f t="shared" ref="AR20:AR83" si="9">IF(AND(I20&gt;0, ISNUMBER(I20)),I20*AA20,0)</f>
        <v>0</v>
      </c>
      <c r="AS20" s="281">
        <f t="shared" ref="AS20:AS83" si="10">IF(AND(I20&gt;0, ISNUMBER(I20)),I20*AH20,0)</f>
        <v>0</v>
      </c>
      <c r="AT20" s="284">
        <f t="shared" ref="AT20:AT83" si="11">IF(AND(I20&gt;0, ISNUMBER(I20)),I20*(AP20-(AQ20+AR20+AS20)),0)</f>
        <v>0</v>
      </c>
    </row>
    <row r="21" spans="1:46" s="114" customFormat="1" ht="30.9" x14ac:dyDescent="0.8">
      <c r="A21" s="262">
        <f>ROW()</f>
        <v>21</v>
      </c>
      <c r="C21" s="208"/>
      <c r="D21" s="208"/>
      <c r="E21" s="208"/>
      <c r="F21" s="208"/>
      <c r="G21" s="208"/>
      <c r="H21" s="208"/>
      <c r="J21" s="114" t="str">
        <f t="shared" ref="J21:J39" si="12">IF(COUNTBLANK(Q21)&gt;0,"",CONCATENATE("Coordination Note: - ",P21,": Please refer to our exclusions relating to ",Q21))</f>
        <v/>
      </c>
      <c r="K21" s="114" t="str">
        <f>IF(COUNTBLANK(R21)&gt;0,"",CONCATENATE(R21," for ",N19))</f>
        <v/>
      </c>
      <c r="M21" s="117"/>
      <c r="N21" s="123" t="s">
        <v>114</v>
      </c>
      <c r="O21" s="66" t="s">
        <v>399</v>
      </c>
      <c r="P21" s="175"/>
      <c r="Q21" s="175"/>
      <c r="R21" s="175"/>
      <c r="S21" s="174">
        <f>M19</f>
        <v>0</v>
      </c>
      <c r="T21" s="172"/>
      <c r="U21" s="175" t="s">
        <v>292</v>
      </c>
      <c r="V21" s="174">
        <f t="shared" si="1"/>
        <v>0</v>
      </c>
      <c r="W21" s="174">
        <f>VLOOKUP(U21,Sheet1!$B$6:$C$45,2,FALSE)*V21</f>
        <v>0</v>
      </c>
      <c r="X21" s="174"/>
      <c r="Y21" s="175" t="s">
        <v>292</v>
      </c>
      <c r="Z21" s="168">
        <f>VLOOKUP(Takeoffs!Y21,Sheet1!$B$6:$C$124,2,FALSE)</f>
        <v>0</v>
      </c>
      <c r="AA21" s="168">
        <f t="shared" si="2"/>
        <v>0</v>
      </c>
      <c r="AB21" s="176">
        <f t="shared" si="3"/>
        <v>0</v>
      </c>
      <c r="AC21" s="174">
        <f>S21</f>
        <v>0</v>
      </c>
      <c r="AD21" s="174">
        <v>1</v>
      </c>
      <c r="AE21" s="174"/>
      <c r="AF21" s="175" t="s">
        <v>292</v>
      </c>
      <c r="AG21" s="168">
        <f>VLOOKUP(Takeoffs!AF21,Sheet1!$B$6:$C$124,2,FALSE)</f>
        <v>0</v>
      </c>
      <c r="AH21" s="168">
        <f t="shared" si="4"/>
        <v>0</v>
      </c>
      <c r="AI21" s="176">
        <f t="shared" si="5"/>
        <v>0</v>
      </c>
      <c r="AJ21" s="174">
        <f t="shared" si="6"/>
        <v>0</v>
      </c>
      <c r="AK21" s="174"/>
      <c r="AL21" s="141"/>
      <c r="AO21" s="286"/>
      <c r="AP21" s="284">
        <f t="shared" si="7"/>
        <v>0</v>
      </c>
      <c r="AQ21" s="281">
        <f t="shared" si="8"/>
        <v>0</v>
      </c>
      <c r="AR21" s="284">
        <f t="shared" si="9"/>
        <v>0</v>
      </c>
      <c r="AS21" s="281">
        <f t="shared" si="10"/>
        <v>0</v>
      </c>
      <c r="AT21" s="284">
        <f t="shared" si="11"/>
        <v>0</v>
      </c>
    </row>
    <row r="22" spans="1:46" s="114" customFormat="1" ht="30.9" x14ac:dyDescent="0.8">
      <c r="A22" s="262">
        <f>ROW()</f>
        <v>22</v>
      </c>
      <c r="C22" s="208"/>
      <c r="D22" s="208"/>
      <c r="E22" s="208"/>
      <c r="F22" s="208"/>
      <c r="G22" s="208"/>
      <c r="H22" s="208"/>
      <c r="J22" s="114" t="str">
        <f t="shared" si="12"/>
        <v/>
      </c>
      <c r="K22" s="114" t="str">
        <f>IF(COUNTBLANK(R22)&gt;0,"",CONCATENATE(R22," for ",N19))</f>
        <v/>
      </c>
      <c r="M22" s="117"/>
      <c r="N22" s="123" t="s">
        <v>115</v>
      </c>
      <c r="O22" s="66" t="s">
        <v>400</v>
      </c>
      <c r="P22" s="175"/>
      <c r="Q22" s="175"/>
      <c r="R22" s="175"/>
      <c r="S22" s="174">
        <f>M19</f>
        <v>0</v>
      </c>
      <c r="T22" s="172"/>
      <c r="U22" s="175" t="s">
        <v>292</v>
      </c>
      <c r="V22" s="174">
        <f t="shared" si="1"/>
        <v>0</v>
      </c>
      <c r="W22" s="174">
        <f>VLOOKUP(U22,Sheet1!$B$6:$C$45,2,FALSE)*V22</f>
        <v>0</v>
      </c>
      <c r="X22" s="174"/>
      <c r="Y22" s="175" t="s">
        <v>292</v>
      </c>
      <c r="Z22" s="168">
        <f>VLOOKUP(Takeoffs!Y22,Sheet1!$B$6:$C$124,2,FALSE)</f>
        <v>0</v>
      </c>
      <c r="AA22" s="168">
        <f t="shared" si="2"/>
        <v>0</v>
      </c>
      <c r="AB22" s="176">
        <f t="shared" si="3"/>
        <v>0</v>
      </c>
      <c r="AC22" s="174">
        <f t="shared" ref="AC22:AC39" si="13">S22</f>
        <v>0</v>
      </c>
      <c r="AD22" s="174">
        <v>1</v>
      </c>
      <c r="AE22" s="174"/>
      <c r="AF22" s="175" t="s">
        <v>292</v>
      </c>
      <c r="AG22" s="168">
        <f>VLOOKUP(Takeoffs!AF22,Sheet1!$B$6:$C$124,2,FALSE)</f>
        <v>0</v>
      </c>
      <c r="AH22" s="168">
        <f t="shared" si="4"/>
        <v>0</v>
      </c>
      <c r="AI22" s="176">
        <f t="shared" si="5"/>
        <v>0</v>
      </c>
      <c r="AJ22" s="174">
        <f t="shared" si="6"/>
        <v>0</v>
      </c>
      <c r="AK22" s="174"/>
      <c r="AL22" s="141"/>
      <c r="AO22" s="286"/>
      <c r="AP22" s="284">
        <f t="shared" si="7"/>
        <v>0</v>
      </c>
      <c r="AQ22" s="281">
        <f t="shared" si="8"/>
        <v>0</v>
      </c>
      <c r="AR22" s="284">
        <f t="shared" si="9"/>
        <v>0</v>
      </c>
      <c r="AS22" s="281">
        <f t="shared" si="10"/>
        <v>0</v>
      </c>
      <c r="AT22" s="284">
        <f t="shared" si="11"/>
        <v>0</v>
      </c>
    </row>
    <row r="23" spans="1:46" s="114" customFormat="1" ht="30.9" x14ac:dyDescent="0.8">
      <c r="A23" s="262">
        <f>ROW()</f>
        <v>23</v>
      </c>
      <c r="C23" s="208"/>
      <c r="D23" s="208"/>
      <c r="E23" s="208"/>
      <c r="F23" s="208"/>
      <c r="G23" s="208"/>
      <c r="H23" s="208"/>
      <c r="J23" s="114" t="str">
        <f t="shared" si="12"/>
        <v/>
      </c>
      <c r="K23" s="114" t="str">
        <f>IF(COUNTBLANK(R23)&gt;0,"",CONCATENATE(R23," for ",N19))</f>
        <v/>
      </c>
      <c r="M23" s="117"/>
      <c r="N23" s="123" t="s">
        <v>116</v>
      </c>
      <c r="O23" s="66" t="s">
        <v>401</v>
      </c>
      <c r="P23" s="175"/>
      <c r="Q23" s="175"/>
      <c r="R23" s="175"/>
      <c r="S23" s="174">
        <f>M19</f>
        <v>0</v>
      </c>
      <c r="T23" s="172"/>
      <c r="U23" s="175" t="s">
        <v>292</v>
      </c>
      <c r="V23" s="174">
        <f t="shared" si="1"/>
        <v>0</v>
      </c>
      <c r="W23" s="174">
        <f>VLOOKUP(U23,Sheet1!$B$6:$C$45,2,FALSE)*V23</f>
        <v>0</v>
      </c>
      <c r="X23" s="174"/>
      <c r="Y23" s="175" t="s">
        <v>292</v>
      </c>
      <c r="Z23" s="168">
        <f>VLOOKUP(Takeoffs!Y23,Sheet1!$B$6:$C$124,2,FALSE)</f>
        <v>0</v>
      </c>
      <c r="AA23" s="168">
        <f t="shared" si="2"/>
        <v>0</v>
      </c>
      <c r="AB23" s="176">
        <f t="shared" si="3"/>
        <v>0</v>
      </c>
      <c r="AC23" s="174">
        <f t="shared" si="13"/>
        <v>0</v>
      </c>
      <c r="AD23" s="174">
        <v>1</v>
      </c>
      <c r="AE23" s="174"/>
      <c r="AF23" s="175" t="s">
        <v>292</v>
      </c>
      <c r="AG23" s="168">
        <f>VLOOKUP(Takeoffs!AF23,Sheet1!$B$6:$C$124,2,FALSE)</f>
        <v>0</v>
      </c>
      <c r="AH23" s="168">
        <f t="shared" si="4"/>
        <v>0</v>
      </c>
      <c r="AI23" s="176">
        <f t="shared" si="5"/>
        <v>0</v>
      </c>
      <c r="AJ23" s="174">
        <f t="shared" si="6"/>
        <v>0</v>
      </c>
      <c r="AK23" s="174"/>
      <c r="AL23" s="141"/>
      <c r="AO23" s="286"/>
      <c r="AP23" s="284">
        <f t="shared" si="7"/>
        <v>0</v>
      </c>
      <c r="AQ23" s="281">
        <f t="shared" si="8"/>
        <v>0</v>
      </c>
      <c r="AR23" s="284">
        <f t="shared" si="9"/>
        <v>0</v>
      </c>
      <c r="AS23" s="281">
        <f t="shared" si="10"/>
        <v>0</v>
      </c>
      <c r="AT23" s="284">
        <f t="shared" si="11"/>
        <v>0</v>
      </c>
    </row>
    <row r="24" spans="1:46" s="114" customFormat="1" ht="30.9" x14ac:dyDescent="0.8">
      <c r="A24" s="262">
        <f>ROW()</f>
        <v>24</v>
      </c>
      <c r="C24" s="208"/>
      <c r="D24" s="208"/>
      <c r="E24" s="208"/>
      <c r="F24" s="208"/>
      <c r="G24" s="208"/>
      <c r="H24" s="208"/>
      <c r="J24" s="114" t="str">
        <f t="shared" si="12"/>
        <v/>
      </c>
      <c r="K24" s="114" t="str">
        <f>IF(COUNTBLANK(R24)&gt;0,"",CONCATENATE(R24," for ",N19))</f>
        <v/>
      </c>
      <c r="M24" s="117"/>
      <c r="N24" s="123" t="s">
        <v>117</v>
      </c>
      <c r="O24" s="66" t="s">
        <v>402</v>
      </c>
      <c r="P24" s="175"/>
      <c r="Q24" s="175"/>
      <c r="R24" s="175"/>
      <c r="S24" s="174">
        <f>M19</f>
        <v>0</v>
      </c>
      <c r="T24" s="172"/>
      <c r="U24" s="175" t="s">
        <v>292</v>
      </c>
      <c r="V24" s="174">
        <f t="shared" si="1"/>
        <v>0</v>
      </c>
      <c r="W24" s="174">
        <f>VLOOKUP(U24,Sheet1!$B$6:$C$45,2,FALSE)*V24</f>
        <v>0</v>
      </c>
      <c r="X24" s="174"/>
      <c r="Y24" s="175" t="s">
        <v>292</v>
      </c>
      <c r="Z24" s="168">
        <f>VLOOKUP(Takeoffs!Y24,Sheet1!$B$6:$C$124,2,FALSE)</f>
        <v>0</v>
      </c>
      <c r="AA24" s="168">
        <f t="shared" si="2"/>
        <v>0</v>
      </c>
      <c r="AB24" s="176">
        <f t="shared" si="3"/>
        <v>0</v>
      </c>
      <c r="AC24" s="174">
        <f t="shared" si="13"/>
        <v>0</v>
      </c>
      <c r="AD24" s="174">
        <v>1</v>
      </c>
      <c r="AE24" s="174"/>
      <c r="AF24" s="175" t="s">
        <v>292</v>
      </c>
      <c r="AG24" s="168">
        <f>VLOOKUP(Takeoffs!AF24,Sheet1!$B$6:$C$124,2,FALSE)</f>
        <v>0</v>
      </c>
      <c r="AH24" s="168">
        <f t="shared" si="4"/>
        <v>0</v>
      </c>
      <c r="AI24" s="176">
        <f t="shared" si="5"/>
        <v>0</v>
      </c>
      <c r="AJ24" s="174">
        <f t="shared" si="6"/>
        <v>0</v>
      </c>
      <c r="AK24" s="174"/>
      <c r="AL24" s="141"/>
      <c r="AO24" s="286"/>
      <c r="AP24" s="284">
        <f t="shared" si="7"/>
        <v>0</v>
      </c>
      <c r="AQ24" s="281">
        <f t="shared" si="8"/>
        <v>0</v>
      </c>
      <c r="AR24" s="284">
        <f t="shared" si="9"/>
        <v>0</v>
      </c>
      <c r="AS24" s="281">
        <f t="shared" si="10"/>
        <v>0</v>
      </c>
      <c r="AT24" s="284">
        <f t="shared" si="11"/>
        <v>0</v>
      </c>
    </row>
    <row r="25" spans="1:46" s="114" customFormat="1" ht="30.9" x14ac:dyDescent="0.8">
      <c r="A25" s="262">
        <f>ROW()</f>
        <v>25</v>
      </c>
      <c r="C25" s="208"/>
      <c r="D25" s="208"/>
      <c r="E25" s="208"/>
      <c r="F25" s="208"/>
      <c r="G25" s="208"/>
      <c r="H25" s="208"/>
      <c r="J25" s="114" t="str">
        <f t="shared" si="12"/>
        <v/>
      </c>
      <c r="K25" s="114" t="str">
        <f>IF(COUNTBLANK(R25)&gt;0,"",CONCATENATE(R25," for ",N19))</f>
        <v/>
      </c>
      <c r="M25" s="117"/>
      <c r="N25" s="123" t="s">
        <v>118</v>
      </c>
      <c r="O25" s="66" t="s">
        <v>403</v>
      </c>
      <c r="P25" s="175"/>
      <c r="Q25" s="175"/>
      <c r="R25" s="175"/>
      <c r="S25" s="174">
        <f>M19</f>
        <v>0</v>
      </c>
      <c r="T25" s="172"/>
      <c r="U25" s="175" t="s">
        <v>292</v>
      </c>
      <c r="V25" s="174">
        <f t="shared" si="1"/>
        <v>0</v>
      </c>
      <c r="W25" s="174">
        <f>VLOOKUP(U25,Sheet1!$B$6:$C$45,2,FALSE)*V25</f>
        <v>0</v>
      </c>
      <c r="X25" s="174"/>
      <c r="Y25" s="175" t="s">
        <v>292</v>
      </c>
      <c r="Z25" s="168">
        <f>VLOOKUP(Takeoffs!Y25,Sheet1!$B$6:$C$124,2,FALSE)</f>
        <v>0</v>
      </c>
      <c r="AA25" s="168">
        <f t="shared" si="2"/>
        <v>0</v>
      </c>
      <c r="AB25" s="176">
        <f t="shared" si="3"/>
        <v>0</v>
      </c>
      <c r="AC25" s="174">
        <f t="shared" si="13"/>
        <v>0</v>
      </c>
      <c r="AD25" s="174">
        <v>1</v>
      </c>
      <c r="AE25" s="174"/>
      <c r="AF25" s="175" t="s">
        <v>292</v>
      </c>
      <c r="AG25" s="168">
        <f>VLOOKUP(Takeoffs!AF25,Sheet1!$B$6:$C$124,2,FALSE)</f>
        <v>0</v>
      </c>
      <c r="AH25" s="168">
        <f t="shared" si="4"/>
        <v>0</v>
      </c>
      <c r="AI25" s="176">
        <f t="shared" si="5"/>
        <v>0</v>
      </c>
      <c r="AJ25" s="174">
        <f t="shared" si="6"/>
        <v>0</v>
      </c>
      <c r="AK25" s="174"/>
      <c r="AL25" s="141"/>
      <c r="AO25" s="286"/>
      <c r="AP25" s="284">
        <f t="shared" si="7"/>
        <v>0</v>
      </c>
      <c r="AQ25" s="281">
        <f t="shared" si="8"/>
        <v>0</v>
      </c>
      <c r="AR25" s="284">
        <f t="shared" si="9"/>
        <v>0</v>
      </c>
      <c r="AS25" s="281">
        <f t="shared" si="10"/>
        <v>0</v>
      </c>
      <c r="AT25" s="284">
        <f t="shared" si="11"/>
        <v>0</v>
      </c>
    </row>
    <row r="26" spans="1:46" s="114" customFormat="1" ht="30.9" x14ac:dyDescent="0.8">
      <c r="A26" s="262">
        <f>ROW()</f>
        <v>26</v>
      </c>
      <c r="C26" s="208"/>
      <c r="D26" s="208"/>
      <c r="E26" s="208"/>
      <c r="F26" s="208"/>
      <c r="G26" s="208"/>
      <c r="H26" s="208"/>
      <c r="J26" s="114" t="str">
        <f t="shared" si="12"/>
        <v/>
      </c>
      <c r="K26" s="114" t="str">
        <f>IF(COUNTBLANK(R26)&gt;0,"",CONCATENATE(R26," for ",N19))</f>
        <v/>
      </c>
      <c r="N26" s="123" t="s">
        <v>119</v>
      </c>
      <c r="O26" s="66" t="s">
        <v>404</v>
      </c>
      <c r="P26" s="175"/>
      <c r="Q26" s="175"/>
      <c r="R26" s="175"/>
      <c r="S26" s="174">
        <f>M19</f>
        <v>0</v>
      </c>
      <c r="T26" s="172"/>
      <c r="U26" s="175" t="s">
        <v>292</v>
      </c>
      <c r="V26" s="174">
        <f t="shared" si="1"/>
        <v>0</v>
      </c>
      <c r="W26" s="174">
        <f>VLOOKUP(U26,Sheet1!$B$6:$C$45,2,FALSE)*V26</f>
        <v>0</v>
      </c>
      <c r="X26" s="174"/>
      <c r="Y26" s="175" t="s">
        <v>292</v>
      </c>
      <c r="Z26" s="168">
        <f>VLOOKUP(Takeoffs!Y26,Sheet1!$B$6:$C$124,2,FALSE)</f>
        <v>0</v>
      </c>
      <c r="AA26" s="168">
        <f t="shared" si="2"/>
        <v>0</v>
      </c>
      <c r="AB26" s="176">
        <f t="shared" si="3"/>
        <v>0</v>
      </c>
      <c r="AC26" s="174">
        <f t="shared" si="13"/>
        <v>0</v>
      </c>
      <c r="AD26" s="174">
        <v>1</v>
      </c>
      <c r="AE26" s="174"/>
      <c r="AF26" s="175" t="s">
        <v>292</v>
      </c>
      <c r="AG26" s="168">
        <f>VLOOKUP(Takeoffs!AF26,Sheet1!$B$6:$C$124,2,FALSE)</f>
        <v>0</v>
      </c>
      <c r="AH26" s="168">
        <f t="shared" si="4"/>
        <v>0</v>
      </c>
      <c r="AI26" s="176">
        <f t="shared" si="5"/>
        <v>0</v>
      </c>
      <c r="AJ26" s="174">
        <f t="shared" si="6"/>
        <v>0</v>
      </c>
      <c r="AK26" s="174"/>
      <c r="AL26" s="141"/>
      <c r="AO26" s="286"/>
      <c r="AP26" s="284">
        <f t="shared" si="7"/>
        <v>0</v>
      </c>
      <c r="AQ26" s="281">
        <f t="shared" si="8"/>
        <v>0</v>
      </c>
      <c r="AR26" s="284">
        <f t="shared" si="9"/>
        <v>0</v>
      </c>
      <c r="AS26" s="281">
        <f t="shared" si="10"/>
        <v>0</v>
      </c>
      <c r="AT26" s="284">
        <f t="shared" si="11"/>
        <v>0</v>
      </c>
    </row>
    <row r="27" spans="1:46" s="114" customFormat="1" ht="30.9" x14ac:dyDescent="0.8">
      <c r="A27" s="262">
        <f>ROW()</f>
        <v>27</v>
      </c>
      <c r="C27" s="208"/>
      <c r="D27" s="208"/>
      <c r="E27" s="208"/>
      <c r="F27" s="208"/>
      <c r="G27" s="208"/>
      <c r="H27" s="208"/>
      <c r="J27" s="114" t="str">
        <f t="shared" si="12"/>
        <v/>
      </c>
      <c r="K27" s="114" t="str">
        <f>IF(COUNTBLANK(R27)&gt;0,"",CONCATENATE(R27," for ",N19))</f>
        <v/>
      </c>
      <c r="N27" s="123" t="s">
        <v>120</v>
      </c>
      <c r="O27" s="66" t="s">
        <v>509</v>
      </c>
      <c r="P27" s="175"/>
      <c r="Q27" s="175"/>
      <c r="R27" s="175"/>
      <c r="S27" s="174">
        <f>M19</f>
        <v>0</v>
      </c>
      <c r="T27" s="172"/>
      <c r="U27" s="175" t="s">
        <v>292</v>
      </c>
      <c r="V27" s="174">
        <f t="shared" si="1"/>
        <v>0</v>
      </c>
      <c r="W27" s="174">
        <f>VLOOKUP(U27,Sheet1!$B$6:$C$45,2,FALSE)*V27</f>
        <v>0</v>
      </c>
      <c r="X27" s="174"/>
      <c r="Y27" s="175" t="s">
        <v>292</v>
      </c>
      <c r="Z27" s="168">
        <f>VLOOKUP(Takeoffs!Y27,Sheet1!$B$6:$C$124,2,FALSE)</f>
        <v>0</v>
      </c>
      <c r="AA27" s="168">
        <f t="shared" si="2"/>
        <v>0</v>
      </c>
      <c r="AB27" s="176">
        <f t="shared" si="3"/>
        <v>0</v>
      </c>
      <c r="AC27" s="174">
        <f t="shared" si="13"/>
        <v>0</v>
      </c>
      <c r="AD27" s="174">
        <v>1</v>
      </c>
      <c r="AE27" s="174"/>
      <c r="AF27" s="175" t="s">
        <v>292</v>
      </c>
      <c r="AG27" s="168">
        <f>VLOOKUP(Takeoffs!AF27,Sheet1!$B$6:$C$124,2,FALSE)</f>
        <v>0</v>
      </c>
      <c r="AH27" s="168">
        <f t="shared" si="4"/>
        <v>0</v>
      </c>
      <c r="AI27" s="176">
        <f t="shared" si="5"/>
        <v>0</v>
      </c>
      <c r="AJ27" s="174">
        <f t="shared" si="6"/>
        <v>0</v>
      </c>
      <c r="AK27" s="174"/>
      <c r="AL27" s="141"/>
      <c r="AO27" s="286"/>
      <c r="AP27" s="284">
        <f t="shared" si="7"/>
        <v>0</v>
      </c>
      <c r="AQ27" s="281">
        <f t="shared" si="8"/>
        <v>0</v>
      </c>
      <c r="AR27" s="284">
        <f t="shared" si="9"/>
        <v>0</v>
      </c>
      <c r="AS27" s="281">
        <f t="shared" si="10"/>
        <v>0</v>
      </c>
      <c r="AT27" s="284">
        <f t="shared" si="11"/>
        <v>0</v>
      </c>
    </row>
    <row r="28" spans="1:46" s="114" customFormat="1" ht="30.9" x14ac:dyDescent="0.8">
      <c r="A28" s="262">
        <f>ROW()</f>
        <v>28</v>
      </c>
      <c r="C28" s="208"/>
      <c r="D28" s="208"/>
      <c r="E28" s="208"/>
      <c r="F28" s="208"/>
      <c r="G28" s="208"/>
      <c r="H28" s="208"/>
      <c r="J28" s="114" t="str">
        <f t="shared" si="12"/>
        <v/>
      </c>
      <c r="K28" s="114" t="str">
        <f>IF(COUNTBLANK(R28)&gt;0,"",CONCATENATE(R28," for ",N19))</f>
        <v/>
      </c>
      <c r="N28" s="123" t="s">
        <v>121</v>
      </c>
      <c r="O28" s="66" t="s">
        <v>440</v>
      </c>
      <c r="P28" s="175"/>
      <c r="Q28" s="175"/>
      <c r="R28" s="175"/>
      <c r="S28" s="174">
        <f>M19</f>
        <v>0</v>
      </c>
      <c r="T28" s="172"/>
      <c r="U28" s="175" t="s">
        <v>292</v>
      </c>
      <c r="V28" s="174">
        <f t="shared" si="1"/>
        <v>0</v>
      </c>
      <c r="W28" s="174">
        <f>VLOOKUP(U28,Sheet1!$B$6:$C$45,2,FALSE)*V28</f>
        <v>0</v>
      </c>
      <c r="X28" s="174"/>
      <c r="Y28" s="175" t="s">
        <v>292</v>
      </c>
      <c r="Z28" s="168">
        <f>VLOOKUP(Takeoffs!Y28,Sheet1!$B$6:$C$124,2,FALSE)</f>
        <v>0</v>
      </c>
      <c r="AA28" s="168">
        <f t="shared" si="2"/>
        <v>0</v>
      </c>
      <c r="AB28" s="176">
        <f t="shared" si="3"/>
        <v>0</v>
      </c>
      <c r="AC28" s="174">
        <f t="shared" si="13"/>
        <v>0</v>
      </c>
      <c r="AD28" s="174">
        <v>1</v>
      </c>
      <c r="AE28" s="174"/>
      <c r="AF28" s="175" t="s">
        <v>292</v>
      </c>
      <c r="AG28" s="168">
        <f>VLOOKUP(Takeoffs!AF28,Sheet1!$B$6:$C$124,2,FALSE)</f>
        <v>0</v>
      </c>
      <c r="AH28" s="168">
        <f t="shared" si="4"/>
        <v>0</v>
      </c>
      <c r="AI28" s="176">
        <f t="shared" si="5"/>
        <v>0</v>
      </c>
      <c r="AJ28" s="174">
        <f t="shared" si="6"/>
        <v>0</v>
      </c>
      <c r="AK28" s="174"/>
      <c r="AL28" s="141"/>
      <c r="AO28" s="286"/>
      <c r="AP28" s="284">
        <f t="shared" si="7"/>
        <v>0</v>
      </c>
      <c r="AQ28" s="281">
        <f t="shared" si="8"/>
        <v>0</v>
      </c>
      <c r="AR28" s="284">
        <f t="shared" si="9"/>
        <v>0</v>
      </c>
      <c r="AS28" s="281">
        <f t="shared" si="10"/>
        <v>0</v>
      </c>
      <c r="AT28" s="284">
        <f t="shared" si="11"/>
        <v>0</v>
      </c>
    </row>
    <row r="29" spans="1:46" s="114" customFormat="1" ht="30.9" x14ac:dyDescent="0.8">
      <c r="A29" s="262">
        <f>ROW()</f>
        <v>29</v>
      </c>
      <c r="C29" s="208"/>
      <c r="D29" s="208"/>
      <c r="E29" s="208"/>
      <c r="F29" s="208"/>
      <c r="G29" s="208"/>
      <c r="H29" s="208"/>
      <c r="J29" s="114" t="str">
        <f t="shared" si="12"/>
        <v/>
      </c>
      <c r="K29" s="114" t="str">
        <f>IF(COUNTBLANK(R29)&gt;0,"",CONCATENATE(R29," for ",N19))</f>
        <v/>
      </c>
      <c r="N29" s="123" t="s">
        <v>122</v>
      </c>
      <c r="O29" s="175" t="s">
        <v>532</v>
      </c>
      <c r="P29" s="175"/>
      <c r="Q29" s="175"/>
      <c r="R29" s="175"/>
      <c r="S29" s="174">
        <f>M19</f>
        <v>0</v>
      </c>
      <c r="T29" s="172"/>
      <c r="U29" s="175" t="s">
        <v>292</v>
      </c>
      <c r="V29" s="174">
        <f t="shared" si="1"/>
        <v>0</v>
      </c>
      <c r="W29" s="174">
        <f>VLOOKUP(U29,Sheet1!$B$6:$C$45,2,FALSE)*V29</f>
        <v>0</v>
      </c>
      <c r="X29" s="174"/>
      <c r="Y29" s="175" t="s">
        <v>292</v>
      </c>
      <c r="Z29" s="168">
        <f>VLOOKUP(Takeoffs!Y29,Sheet1!$B$6:$C$124,2,FALSE)</f>
        <v>0</v>
      </c>
      <c r="AA29" s="168">
        <f t="shared" si="2"/>
        <v>0</v>
      </c>
      <c r="AB29" s="176">
        <f t="shared" si="3"/>
        <v>0</v>
      </c>
      <c r="AC29" s="174">
        <f t="shared" si="13"/>
        <v>0</v>
      </c>
      <c r="AD29" s="174">
        <v>1</v>
      </c>
      <c r="AE29" s="174"/>
      <c r="AF29" s="175" t="s">
        <v>292</v>
      </c>
      <c r="AG29" s="168">
        <f>VLOOKUP(Takeoffs!AF29,Sheet1!$B$6:$C$124,2,FALSE)</f>
        <v>0</v>
      </c>
      <c r="AH29" s="168">
        <f t="shared" si="4"/>
        <v>0</v>
      </c>
      <c r="AI29" s="176">
        <f t="shared" si="5"/>
        <v>0</v>
      </c>
      <c r="AJ29" s="174">
        <f t="shared" si="6"/>
        <v>0</v>
      </c>
      <c r="AK29" s="174"/>
      <c r="AL29" s="141"/>
      <c r="AO29" s="286"/>
      <c r="AP29" s="284">
        <f t="shared" si="7"/>
        <v>0</v>
      </c>
      <c r="AQ29" s="281">
        <f t="shared" si="8"/>
        <v>0</v>
      </c>
      <c r="AR29" s="284">
        <f t="shared" si="9"/>
        <v>0</v>
      </c>
      <c r="AS29" s="281">
        <f t="shared" si="10"/>
        <v>0</v>
      </c>
      <c r="AT29" s="284">
        <f t="shared" si="11"/>
        <v>0</v>
      </c>
    </row>
    <row r="30" spans="1:46" s="114" customFormat="1" ht="30.9" x14ac:dyDescent="0.8">
      <c r="A30" s="262">
        <f>ROW()</f>
        <v>30</v>
      </c>
      <c r="C30" s="208"/>
      <c r="D30" s="208"/>
      <c r="E30" s="208"/>
      <c r="F30" s="208"/>
      <c r="G30" s="208"/>
      <c r="H30" s="208"/>
      <c r="J30" s="114" t="str">
        <f t="shared" si="12"/>
        <v/>
      </c>
      <c r="K30" s="114" t="str">
        <f>IF(COUNTBLANK(R30)&gt;0,"",CONCATENATE(R30," for ",N19))</f>
        <v/>
      </c>
      <c r="N30" s="123" t="s">
        <v>123</v>
      </c>
      <c r="O30" s="66"/>
      <c r="P30" s="175"/>
      <c r="Q30" s="175"/>
      <c r="R30" s="175"/>
      <c r="S30" s="174">
        <f>M19</f>
        <v>0</v>
      </c>
      <c r="T30" s="172"/>
      <c r="U30" s="175" t="s">
        <v>292</v>
      </c>
      <c r="V30" s="174">
        <f t="shared" si="1"/>
        <v>0</v>
      </c>
      <c r="W30" s="174">
        <f>VLOOKUP(U30,Sheet1!$B$6:$C$45,2,FALSE)*V30</f>
        <v>0</v>
      </c>
      <c r="X30" s="174"/>
      <c r="Y30" s="175" t="s">
        <v>292</v>
      </c>
      <c r="Z30" s="168">
        <f>VLOOKUP(Takeoffs!Y30,Sheet1!$B$6:$C$124,2,FALSE)</f>
        <v>0</v>
      </c>
      <c r="AA30" s="168">
        <f t="shared" si="2"/>
        <v>0</v>
      </c>
      <c r="AB30" s="176">
        <f t="shared" si="3"/>
        <v>0</v>
      </c>
      <c r="AC30" s="174">
        <f t="shared" si="13"/>
        <v>0</v>
      </c>
      <c r="AD30" s="174">
        <v>1</v>
      </c>
      <c r="AE30" s="174"/>
      <c r="AF30" s="175" t="s">
        <v>292</v>
      </c>
      <c r="AG30" s="168">
        <f>VLOOKUP(Takeoffs!AF30,Sheet1!$B$6:$C$124,2,FALSE)</f>
        <v>0</v>
      </c>
      <c r="AH30" s="168">
        <f t="shared" si="4"/>
        <v>0</v>
      </c>
      <c r="AI30" s="176">
        <f t="shared" si="5"/>
        <v>0</v>
      </c>
      <c r="AJ30" s="174">
        <f t="shared" si="6"/>
        <v>0</v>
      </c>
      <c r="AK30" s="174"/>
      <c r="AL30" s="141"/>
      <c r="AO30" s="286"/>
      <c r="AP30" s="284">
        <f t="shared" si="7"/>
        <v>0</v>
      </c>
      <c r="AQ30" s="281">
        <f t="shared" si="8"/>
        <v>0</v>
      </c>
      <c r="AR30" s="284">
        <f t="shared" si="9"/>
        <v>0</v>
      </c>
      <c r="AS30" s="281">
        <f t="shared" si="10"/>
        <v>0</v>
      </c>
      <c r="AT30" s="284">
        <f t="shared" si="11"/>
        <v>0</v>
      </c>
    </row>
    <row r="31" spans="1:46" s="114" customFormat="1" ht="30.9" x14ac:dyDescent="0.8">
      <c r="A31" s="262">
        <f>ROW()</f>
        <v>31</v>
      </c>
      <c r="C31" s="208"/>
      <c r="D31" s="208"/>
      <c r="E31" s="208"/>
      <c r="F31" s="208"/>
      <c r="G31" s="208"/>
      <c r="H31" s="208"/>
      <c r="J31" s="114" t="str">
        <f t="shared" si="12"/>
        <v/>
      </c>
      <c r="K31" s="114" t="str">
        <f>IF(COUNTBLANK(R31)&gt;0,"",CONCATENATE(R31," for ",N19))</f>
        <v/>
      </c>
      <c r="N31" s="123" t="s">
        <v>124</v>
      </c>
      <c r="O31" s="66"/>
      <c r="P31" s="175"/>
      <c r="Q31" s="175"/>
      <c r="R31" s="175"/>
      <c r="S31" s="174">
        <f>M19</f>
        <v>0</v>
      </c>
      <c r="T31" s="172"/>
      <c r="U31" s="175" t="s">
        <v>292</v>
      </c>
      <c r="V31" s="174">
        <f t="shared" si="1"/>
        <v>0</v>
      </c>
      <c r="W31" s="174">
        <f>VLOOKUP(U31,Sheet1!$B$6:$C$45,2,FALSE)*V31</f>
        <v>0</v>
      </c>
      <c r="X31" s="174"/>
      <c r="Y31" s="175" t="s">
        <v>292</v>
      </c>
      <c r="Z31" s="168">
        <f>VLOOKUP(Takeoffs!Y31,Sheet1!$B$6:$C$124,2,FALSE)</f>
        <v>0</v>
      </c>
      <c r="AA31" s="168">
        <f t="shared" si="2"/>
        <v>0</v>
      </c>
      <c r="AB31" s="176">
        <f t="shared" si="3"/>
        <v>0</v>
      </c>
      <c r="AC31" s="174">
        <f t="shared" si="13"/>
        <v>0</v>
      </c>
      <c r="AD31" s="174">
        <v>1</v>
      </c>
      <c r="AE31" s="174"/>
      <c r="AF31" s="175" t="s">
        <v>292</v>
      </c>
      <c r="AG31" s="168">
        <f>VLOOKUP(Takeoffs!AF31,Sheet1!$B$6:$C$124,2,FALSE)</f>
        <v>0</v>
      </c>
      <c r="AH31" s="168">
        <f t="shared" si="4"/>
        <v>0</v>
      </c>
      <c r="AI31" s="176">
        <f t="shared" si="5"/>
        <v>0</v>
      </c>
      <c r="AJ31" s="174">
        <f t="shared" si="6"/>
        <v>0</v>
      </c>
      <c r="AK31" s="174"/>
      <c r="AL31" s="141"/>
      <c r="AO31" s="286"/>
      <c r="AP31" s="284">
        <f t="shared" si="7"/>
        <v>0</v>
      </c>
      <c r="AQ31" s="281">
        <f t="shared" si="8"/>
        <v>0</v>
      </c>
      <c r="AR31" s="284">
        <f t="shared" si="9"/>
        <v>0</v>
      </c>
      <c r="AS31" s="281">
        <f t="shared" si="10"/>
        <v>0</v>
      </c>
      <c r="AT31" s="284">
        <f t="shared" si="11"/>
        <v>0</v>
      </c>
    </row>
    <row r="32" spans="1:46" s="114" customFormat="1" ht="30.9" x14ac:dyDescent="0.8">
      <c r="A32" s="262">
        <f>ROW()</f>
        <v>32</v>
      </c>
      <c r="C32" s="208"/>
      <c r="D32" s="208"/>
      <c r="E32" s="208"/>
      <c r="F32" s="208"/>
      <c r="G32" s="208"/>
      <c r="H32" s="208"/>
      <c r="J32" s="114" t="str">
        <f t="shared" si="12"/>
        <v/>
      </c>
      <c r="K32" s="114" t="str">
        <f>IF(COUNTBLANK(R32)&gt;0,"",CONCATENATE(R32," for ",N19))</f>
        <v/>
      </c>
      <c r="N32" s="123" t="s">
        <v>125</v>
      </c>
      <c r="O32" s="66"/>
      <c r="P32" s="175"/>
      <c r="Q32" s="175"/>
      <c r="R32" s="175"/>
      <c r="S32" s="174">
        <f>M19</f>
        <v>0</v>
      </c>
      <c r="T32" s="172"/>
      <c r="U32" s="175" t="s">
        <v>292</v>
      </c>
      <c r="V32" s="174">
        <f t="shared" si="1"/>
        <v>0</v>
      </c>
      <c r="W32" s="174">
        <f>VLOOKUP(U32,Sheet1!$B$6:$C$45,2,FALSE)*V32</f>
        <v>0</v>
      </c>
      <c r="X32" s="174"/>
      <c r="Y32" s="175" t="s">
        <v>292</v>
      </c>
      <c r="Z32" s="168">
        <f>VLOOKUP(Takeoffs!Y32,Sheet1!$B$6:$C$124,2,FALSE)</f>
        <v>0</v>
      </c>
      <c r="AA32" s="168">
        <f t="shared" si="2"/>
        <v>0</v>
      </c>
      <c r="AB32" s="176">
        <f t="shared" si="3"/>
        <v>0</v>
      </c>
      <c r="AC32" s="174">
        <f t="shared" si="13"/>
        <v>0</v>
      </c>
      <c r="AD32" s="174">
        <v>1</v>
      </c>
      <c r="AE32" s="174"/>
      <c r="AF32" s="175" t="s">
        <v>292</v>
      </c>
      <c r="AG32" s="168">
        <f>VLOOKUP(Takeoffs!AF32,Sheet1!$B$6:$C$124,2,FALSE)</f>
        <v>0</v>
      </c>
      <c r="AH32" s="168">
        <f t="shared" si="4"/>
        <v>0</v>
      </c>
      <c r="AI32" s="176">
        <f t="shared" si="5"/>
        <v>0</v>
      </c>
      <c r="AJ32" s="174">
        <f t="shared" si="6"/>
        <v>0</v>
      </c>
      <c r="AK32" s="174"/>
      <c r="AL32" s="141"/>
      <c r="AO32" s="286"/>
      <c r="AP32" s="284">
        <f t="shared" si="7"/>
        <v>0</v>
      </c>
      <c r="AQ32" s="281">
        <f t="shared" si="8"/>
        <v>0</v>
      </c>
      <c r="AR32" s="284">
        <f t="shared" si="9"/>
        <v>0</v>
      </c>
      <c r="AS32" s="281">
        <f t="shared" si="10"/>
        <v>0</v>
      </c>
      <c r="AT32" s="284">
        <f t="shared" si="11"/>
        <v>0</v>
      </c>
    </row>
    <row r="33" spans="1:97" s="114" customFormat="1" ht="30.9" x14ac:dyDescent="0.8">
      <c r="A33" s="262">
        <f>ROW()</f>
        <v>33</v>
      </c>
      <c r="C33" s="208"/>
      <c r="D33" s="208"/>
      <c r="E33" s="208"/>
      <c r="F33" s="208"/>
      <c r="G33" s="208"/>
      <c r="H33" s="208"/>
      <c r="J33" s="114" t="str">
        <f t="shared" si="12"/>
        <v/>
      </c>
      <c r="K33" s="114" t="str">
        <f>IF(COUNTBLANK(R33)&gt;0,"",CONCATENATE(R33," for ",N19))</f>
        <v/>
      </c>
      <c r="N33" s="123" t="s">
        <v>126</v>
      </c>
      <c r="O33" s="66"/>
      <c r="P33" s="175"/>
      <c r="Q33" s="175"/>
      <c r="R33" s="175"/>
      <c r="S33" s="174">
        <f>M19</f>
        <v>0</v>
      </c>
      <c r="T33" s="172"/>
      <c r="U33" s="175" t="s">
        <v>292</v>
      </c>
      <c r="V33" s="174">
        <f t="shared" si="1"/>
        <v>0</v>
      </c>
      <c r="W33" s="174">
        <f>VLOOKUP(U33,Sheet1!$B$6:$C$45,2,FALSE)*V33</f>
        <v>0</v>
      </c>
      <c r="X33" s="174"/>
      <c r="Y33" s="175" t="s">
        <v>292</v>
      </c>
      <c r="Z33" s="168">
        <f>VLOOKUP(Takeoffs!Y33,Sheet1!$B$6:$C$124,2,FALSE)</f>
        <v>0</v>
      </c>
      <c r="AA33" s="168">
        <f t="shared" si="2"/>
        <v>0</v>
      </c>
      <c r="AB33" s="176">
        <f t="shared" si="3"/>
        <v>0</v>
      </c>
      <c r="AC33" s="174">
        <f t="shared" si="13"/>
        <v>0</v>
      </c>
      <c r="AD33" s="174">
        <v>1</v>
      </c>
      <c r="AE33" s="174"/>
      <c r="AF33" s="175" t="s">
        <v>292</v>
      </c>
      <c r="AG33" s="168">
        <f>VLOOKUP(Takeoffs!AF33,Sheet1!$B$6:$C$124,2,FALSE)</f>
        <v>0</v>
      </c>
      <c r="AH33" s="168">
        <f t="shared" si="4"/>
        <v>0</v>
      </c>
      <c r="AI33" s="176">
        <f t="shared" si="5"/>
        <v>0</v>
      </c>
      <c r="AJ33" s="174">
        <f t="shared" si="6"/>
        <v>0</v>
      </c>
      <c r="AK33" s="174"/>
      <c r="AL33" s="141"/>
      <c r="AO33" s="286"/>
      <c r="AP33" s="284">
        <f t="shared" si="7"/>
        <v>0</v>
      </c>
      <c r="AQ33" s="281">
        <f t="shared" si="8"/>
        <v>0</v>
      </c>
      <c r="AR33" s="284">
        <f t="shared" si="9"/>
        <v>0</v>
      </c>
      <c r="AS33" s="281">
        <f t="shared" si="10"/>
        <v>0</v>
      </c>
      <c r="AT33" s="284">
        <f t="shared" si="11"/>
        <v>0</v>
      </c>
    </row>
    <row r="34" spans="1:97" s="114" customFormat="1" ht="30.9" x14ac:dyDescent="0.8">
      <c r="A34" s="262">
        <f>ROW()</f>
        <v>34</v>
      </c>
      <c r="C34" s="208"/>
      <c r="D34" s="208"/>
      <c r="E34" s="208"/>
      <c r="F34" s="208"/>
      <c r="G34" s="208"/>
      <c r="H34" s="208"/>
      <c r="J34" s="114" t="str">
        <f t="shared" si="12"/>
        <v/>
      </c>
      <c r="K34" s="114" t="str">
        <f>IF(COUNTBLANK(R34)&gt;0,"",CONCATENATE(R34," for ",N19))</f>
        <v/>
      </c>
      <c r="N34" s="123" t="s">
        <v>127</v>
      </c>
      <c r="O34" s="66"/>
      <c r="P34" s="175"/>
      <c r="Q34" s="175"/>
      <c r="R34" s="175"/>
      <c r="S34" s="174">
        <f>M19</f>
        <v>0</v>
      </c>
      <c r="T34" s="172"/>
      <c r="U34" s="175" t="s">
        <v>292</v>
      </c>
      <c r="V34" s="174">
        <f t="shared" si="1"/>
        <v>0</v>
      </c>
      <c r="W34" s="174">
        <f>VLOOKUP(U34,Sheet1!$B$6:$C$45,2,FALSE)*V34</f>
        <v>0</v>
      </c>
      <c r="X34" s="174"/>
      <c r="Y34" s="175" t="s">
        <v>292</v>
      </c>
      <c r="Z34" s="168">
        <f>VLOOKUP(Takeoffs!Y34,Sheet1!$B$6:$C$124,2,FALSE)</f>
        <v>0</v>
      </c>
      <c r="AA34" s="168">
        <f t="shared" si="2"/>
        <v>0</v>
      </c>
      <c r="AB34" s="176">
        <f t="shared" si="3"/>
        <v>0</v>
      </c>
      <c r="AC34" s="174">
        <f t="shared" si="13"/>
        <v>0</v>
      </c>
      <c r="AD34" s="174">
        <v>2</v>
      </c>
      <c r="AE34" s="174"/>
      <c r="AF34" s="175" t="s">
        <v>292</v>
      </c>
      <c r="AG34" s="168">
        <f>VLOOKUP(Takeoffs!AF34,Sheet1!$B$6:$C$124,2,FALSE)</f>
        <v>0</v>
      </c>
      <c r="AH34" s="168">
        <f t="shared" si="4"/>
        <v>0</v>
      </c>
      <c r="AI34" s="176">
        <f t="shared" si="5"/>
        <v>0</v>
      </c>
      <c r="AJ34" s="174">
        <f t="shared" si="6"/>
        <v>0</v>
      </c>
      <c r="AK34" s="174"/>
      <c r="AL34" s="141"/>
      <c r="AO34" s="286"/>
      <c r="AP34" s="284">
        <f t="shared" si="7"/>
        <v>0</v>
      </c>
      <c r="AQ34" s="281">
        <f t="shared" si="8"/>
        <v>0</v>
      </c>
      <c r="AR34" s="284">
        <f t="shared" si="9"/>
        <v>0</v>
      </c>
      <c r="AS34" s="281">
        <f t="shared" si="10"/>
        <v>0</v>
      </c>
      <c r="AT34" s="284">
        <f t="shared" si="11"/>
        <v>0</v>
      </c>
    </row>
    <row r="35" spans="1:97" s="114" customFormat="1" ht="30.9" x14ac:dyDescent="0.8">
      <c r="A35" s="262">
        <f>ROW()</f>
        <v>35</v>
      </c>
      <c r="C35" s="208"/>
      <c r="D35" s="208"/>
      <c r="E35" s="208"/>
      <c r="F35" s="208"/>
      <c r="G35" s="208"/>
      <c r="H35" s="208"/>
      <c r="J35" s="114" t="str">
        <f t="shared" si="12"/>
        <v/>
      </c>
      <c r="K35" s="114" t="str">
        <f>IF(COUNTBLANK(R35)&gt;0,"",CONCATENATE(R35," for ",N19))</f>
        <v/>
      </c>
      <c r="N35" s="123" t="s">
        <v>128</v>
      </c>
      <c r="O35" s="66"/>
      <c r="P35" s="175"/>
      <c r="Q35" s="175"/>
      <c r="R35" s="175"/>
      <c r="S35" s="174">
        <f>M19</f>
        <v>0</v>
      </c>
      <c r="T35" s="172"/>
      <c r="U35" s="175" t="s">
        <v>292</v>
      </c>
      <c r="V35" s="174">
        <f t="shared" si="1"/>
        <v>0</v>
      </c>
      <c r="W35" s="174">
        <f>VLOOKUP(U35,Sheet1!$B$6:$C$45,2,FALSE)*V35</f>
        <v>0</v>
      </c>
      <c r="X35" s="174"/>
      <c r="Y35" s="175" t="s">
        <v>292</v>
      </c>
      <c r="Z35" s="168">
        <f>VLOOKUP(Takeoffs!Y35,Sheet1!$B$6:$C$124,2,FALSE)</f>
        <v>0</v>
      </c>
      <c r="AA35" s="168">
        <f t="shared" si="2"/>
        <v>0</v>
      </c>
      <c r="AB35" s="176">
        <f t="shared" si="3"/>
        <v>0</v>
      </c>
      <c r="AC35" s="174">
        <f t="shared" si="13"/>
        <v>0</v>
      </c>
      <c r="AD35" s="174">
        <v>1</v>
      </c>
      <c r="AE35" s="174"/>
      <c r="AF35" s="175" t="s">
        <v>292</v>
      </c>
      <c r="AG35" s="168">
        <f>VLOOKUP(Takeoffs!AF35,Sheet1!$B$6:$C$124,2,FALSE)</f>
        <v>0</v>
      </c>
      <c r="AH35" s="168">
        <f t="shared" si="4"/>
        <v>0</v>
      </c>
      <c r="AI35" s="176">
        <f t="shared" si="5"/>
        <v>0</v>
      </c>
      <c r="AJ35" s="174">
        <f t="shared" si="6"/>
        <v>0</v>
      </c>
      <c r="AK35" s="174"/>
      <c r="AL35" s="141"/>
      <c r="AO35" s="286"/>
      <c r="AP35" s="284">
        <f t="shared" si="7"/>
        <v>0</v>
      </c>
      <c r="AQ35" s="281">
        <f t="shared" si="8"/>
        <v>0</v>
      </c>
      <c r="AR35" s="284">
        <f t="shared" si="9"/>
        <v>0</v>
      </c>
      <c r="AS35" s="281">
        <f t="shared" si="10"/>
        <v>0</v>
      </c>
      <c r="AT35" s="284">
        <f t="shared" si="11"/>
        <v>0</v>
      </c>
    </row>
    <row r="36" spans="1:97" s="114" customFormat="1" ht="30.9" x14ac:dyDescent="0.8">
      <c r="A36" s="262">
        <f>ROW()</f>
        <v>36</v>
      </c>
      <c r="C36" s="208"/>
      <c r="D36" s="208"/>
      <c r="E36" s="208"/>
      <c r="F36" s="208"/>
      <c r="G36" s="208"/>
      <c r="H36" s="208"/>
      <c r="J36" s="114" t="str">
        <f t="shared" si="12"/>
        <v/>
      </c>
      <c r="K36" s="114" t="str">
        <f>IF(COUNTBLANK(R36)&gt;0,"",CONCATENATE(R36," for ",N19))</f>
        <v/>
      </c>
      <c r="N36" s="123" t="s">
        <v>129</v>
      </c>
      <c r="O36" s="66"/>
      <c r="P36" s="175"/>
      <c r="Q36" s="175"/>
      <c r="R36" s="175"/>
      <c r="S36" s="174">
        <f>M19</f>
        <v>0</v>
      </c>
      <c r="T36" s="172"/>
      <c r="U36" s="175" t="s">
        <v>292</v>
      </c>
      <c r="V36" s="174">
        <f t="shared" si="1"/>
        <v>0</v>
      </c>
      <c r="W36" s="174">
        <f>VLOOKUP(U36,Sheet1!$B$6:$C$45,2,FALSE)*V36</f>
        <v>0</v>
      </c>
      <c r="X36" s="174"/>
      <c r="Y36" s="175" t="s">
        <v>292</v>
      </c>
      <c r="Z36" s="168">
        <f>VLOOKUP(Takeoffs!Y36,Sheet1!$B$6:$C$124,2,FALSE)</f>
        <v>0</v>
      </c>
      <c r="AA36" s="168">
        <f t="shared" si="2"/>
        <v>0</v>
      </c>
      <c r="AB36" s="176">
        <f t="shared" si="3"/>
        <v>0</v>
      </c>
      <c r="AC36" s="174">
        <f t="shared" si="13"/>
        <v>0</v>
      </c>
      <c r="AD36" s="174">
        <v>1</v>
      </c>
      <c r="AE36" s="174"/>
      <c r="AF36" s="175" t="s">
        <v>292</v>
      </c>
      <c r="AG36" s="168">
        <f>VLOOKUP(Takeoffs!AF36,Sheet1!$B$6:$C$124,2,FALSE)</f>
        <v>0</v>
      </c>
      <c r="AH36" s="168">
        <f t="shared" si="4"/>
        <v>0</v>
      </c>
      <c r="AI36" s="176">
        <f t="shared" si="5"/>
        <v>0</v>
      </c>
      <c r="AJ36" s="174">
        <f t="shared" si="6"/>
        <v>0</v>
      </c>
      <c r="AK36" s="174"/>
      <c r="AL36" s="141"/>
      <c r="AO36" s="286"/>
      <c r="AP36" s="284">
        <f t="shared" si="7"/>
        <v>0</v>
      </c>
      <c r="AQ36" s="281">
        <f t="shared" si="8"/>
        <v>0</v>
      </c>
      <c r="AR36" s="284">
        <f t="shared" si="9"/>
        <v>0</v>
      </c>
      <c r="AS36" s="281">
        <f t="shared" si="10"/>
        <v>0</v>
      </c>
      <c r="AT36" s="284">
        <f t="shared" si="11"/>
        <v>0</v>
      </c>
    </row>
    <row r="37" spans="1:97" s="114" customFormat="1" ht="30.9" x14ac:dyDescent="0.8">
      <c r="A37" s="262">
        <f>ROW()</f>
        <v>37</v>
      </c>
      <c r="C37" s="208"/>
      <c r="D37" s="208"/>
      <c r="E37" s="208"/>
      <c r="F37" s="208"/>
      <c r="G37" s="208"/>
      <c r="H37" s="208"/>
      <c r="J37" s="114" t="str">
        <f t="shared" si="12"/>
        <v/>
      </c>
      <c r="K37" s="114" t="str">
        <f>IF(COUNTBLANK(R37)&gt;0,"",CONCATENATE(R37," for ",N19))</f>
        <v/>
      </c>
      <c r="N37" s="123" t="s">
        <v>130</v>
      </c>
      <c r="O37" s="66"/>
      <c r="P37" s="175"/>
      <c r="Q37" s="175"/>
      <c r="R37" s="175"/>
      <c r="S37" s="174">
        <f>M19</f>
        <v>0</v>
      </c>
      <c r="T37" s="172"/>
      <c r="U37" s="175" t="s">
        <v>292</v>
      </c>
      <c r="V37" s="174">
        <f t="shared" si="1"/>
        <v>0</v>
      </c>
      <c r="W37" s="174">
        <f>VLOOKUP(U37,Sheet1!$B$6:$C$45,2,FALSE)*V37</f>
        <v>0</v>
      </c>
      <c r="X37" s="174"/>
      <c r="Y37" s="175" t="s">
        <v>292</v>
      </c>
      <c r="Z37" s="168">
        <f>VLOOKUP(Takeoffs!Y37,Sheet1!$B$6:$C$124,2,FALSE)</f>
        <v>0</v>
      </c>
      <c r="AA37" s="168">
        <f t="shared" si="2"/>
        <v>0</v>
      </c>
      <c r="AB37" s="176">
        <f t="shared" si="3"/>
        <v>0</v>
      </c>
      <c r="AC37" s="174">
        <f t="shared" si="13"/>
        <v>0</v>
      </c>
      <c r="AD37" s="174">
        <v>1</v>
      </c>
      <c r="AE37" s="174"/>
      <c r="AF37" s="175" t="s">
        <v>292</v>
      </c>
      <c r="AG37" s="168">
        <f>VLOOKUP(Takeoffs!AF37,Sheet1!$B$6:$C$124,2,FALSE)</f>
        <v>0</v>
      </c>
      <c r="AH37" s="168">
        <f t="shared" si="4"/>
        <v>0</v>
      </c>
      <c r="AI37" s="176">
        <f t="shared" si="5"/>
        <v>0</v>
      </c>
      <c r="AJ37" s="174">
        <f t="shared" si="6"/>
        <v>0</v>
      </c>
      <c r="AK37" s="174">
        <f>T37</f>
        <v>0</v>
      </c>
      <c r="AL37" s="141"/>
      <c r="AO37" s="286"/>
      <c r="AP37" s="284">
        <f t="shared" si="7"/>
        <v>0</v>
      </c>
      <c r="AQ37" s="281">
        <f t="shared" si="8"/>
        <v>0</v>
      </c>
      <c r="AR37" s="284">
        <f t="shared" si="9"/>
        <v>0</v>
      </c>
      <c r="AS37" s="281">
        <f t="shared" si="10"/>
        <v>0</v>
      </c>
      <c r="AT37" s="284">
        <f t="shared" si="11"/>
        <v>0</v>
      </c>
    </row>
    <row r="38" spans="1:97" s="114" customFormat="1" ht="30.9" x14ac:dyDescent="0.8">
      <c r="A38" s="262">
        <f>ROW()</f>
        <v>38</v>
      </c>
      <c r="C38" s="208"/>
      <c r="D38" s="208"/>
      <c r="E38" s="208"/>
      <c r="F38" s="208"/>
      <c r="G38" s="208"/>
      <c r="H38" s="208"/>
      <c r="J38" s="114" t="str">
        <f t="shared" si="12"/>
        <v/>
      </c>
      <c r="K38" s="114" t="str">
        <f>IF(COUNTBLANK(R38)&gt;0,"",CONCATENATE(R38," for ",N19))</f>
        <v/>
      </c>
      <c r="N38" s="123" t="s">
        <v>131</v>
      </c>
      <c r="O38" s="66"/>
      <c r="P38" s="175"/>
      <c r="Q38" s="175"/>
      <c r="R38" s="175"/>
      <c r="S38" s="174">
        <f>M19</f>
        <v>0</v>
      </c>
      <c r="T38" s="172"/>
      <c r="U38" s="175" t="s">
        <v>292</v>
      </c>
      <c r="V38" s="174">
        <f t="shared" si="1"/>
        <v>0</v>
      </c>
      <c r="W38" s="174">
        <f>VLOOKUP(U38,Sheet1!$B$6:$C$45,2,FALSE)*V38</f>
        <v>0</v>
      </c>
      <c r="X38" s="174"/>
      <c r="Y38" s="175" t="s">
        <v>292</v>
      </c>
      <c r="Z38" s="168">
        <f>VLOOKUP(Takeoffs!Y38,Sheet1!$B$6:$C$124,2,FALSE)</f>
        <v>0</v>
      </c>
      <c r="AA38" s="168">
        <f t="shared" si="2"/>
        <v>0</v>
      </c>
      <c r="AB38" s="176">
        <f t="shared" si="3"/>
        <v>0</v>
      </c>
      <c r="AC38" s="174">
        <f t="shared" si="13"/>
        <v>0</v>
      </c>
      <c r="AD38" s="174">
        <v>1</v>
      </c>
      <c r="AE38" s="174"/>
      <c r="AF38" s="175" t="s">
        <v>292</v>
      </c>
      <c r="AG38" s="168">
        <f>VLOOKUP(Takeoffs!AF38,Sheet1!$B$6:$C$124,2,FALSE)</f>
        <v>0</v>
      </c>
      <c r="AH38" s="168">
        <f t="shared" si="4"/>
        <v>0</v>
      </c>
      <c r="AI38" s="176">
        <f t="shared" si="5"/>
        <v>0</v>
      </c>
      <c r="AJ38" s="174">
        <f t="shared" si="6"/>
        <v>0</v>
      </c>
      <c r="AK38" s="174">
        <f>T38</f>
        <v>0</v>
      </c>
      <c r="AL38" s="141"/>
      <c r="AO38" s="286"/>
      <c r="AP38" s="284">
        <f t="shared" si="7"/>
        <v>0</v>
      </c>
      <c r="AQ38" s="281">
        <f t="shared" si="8"/>
        <v>0</v>
      </c>
      <c r="AR38" s="284">
        <f t="shared" si="9"/>
        <v>0</v>
      </c>
      <c r="AS38" s="281">
        <f t="shared" si="10"/>
        <v>0</v>
      </c>
      <c r="AT38" s="284">
        <f t="shared" si="11"/>
        <v>0</v>
      </c>
    </row>
    <row r="39" spans="1:97" s="114" customFormat="1" ht="30.9" x14ac:dyDescent="0.8">
      <c r="A39" s="262">
        <f>ROW()</f>
        <v>39</v>
      </c>
      <c r="C39" s="208"/>
      <c r="D39" s="208"/>
      <c r="E39" s="208"/>
      <c r="F39" s="208"/>
      <c r="G39" s="208"/>
      <c r="H39" s="208"/>
      <c r="J39" s="114" t="str">
        <f t="shared" si="12"/>
        <v/>
      </c>
      <c r="K39" s="114" t="str">
        <f>IF(COUNTBLANK(R39)&gt;0,"",CONCATENATE(R39," for ",N19))</f>
        <v/>
      </c>
      <c r="N39" s="123" t="s">
        <v>132</v>
      </c>
      <c r="O39" s="66"/>
      <c r="P39" s="175"/>
      <c r="Q39" s="175"/>
      <c r="R39" s="175"/>
      <c r="S39" s="174">
        <f>M19</f>
        <v>0</v>
      </c>
      <c r="T39" s="172"/>
      <c r="U39" s="175" t="s">
        <v>292</v>
      </c>
      <c r="V39" s="174">
        <f t="shared" si="1"/>
        <v>0</v>
      </c>
      <c r="W39" s="174">
        <f>VLOOKUP(U39,Sheet1!$B$6:$C$45,2,FALSE)*V39</f>
        <v>0</v>
      </c>
      <c r="X39" s="174"/>
      <c r="Y39" s="175" t="s">
        <v>292</v>
      </c>
      <c r="Z39" s="168">
        <f>VLOOKUP(Takeoffs!Y39,Sheet1!$B$6:$C$124,2,FALSE)</f>
        <v>0</v>
      </c>
      <c r="AA39" s="168">
        <f t="shared" si="2"/>
        <v>0</v>
      </c>
      <c r="AB39" s="176">
        <f t="shared" si="3"/>
        <v>0</v>
      </c>
      <c r="AC39" s="174">
        <f t="shared" si="13"/>
        <v>0</v>
      </c>
      <c r="AD39" s="174">
        <v>1</v>
      </c>
      <c r="AE39" s="174"/>
      <c r="AF39" s="175" t="s">
        <v>292</v>
      </c>
      <c r="AG39" s="168">
        <f>VLOOKUP(Takeoffs!AF39,Sheet1!$B$6:$C$124,2,FALSE)</f>
        <v>0</v>
      </c>
      <c r="AH39" s="168">
        <f t="shared" si="4"/>
        <v>0</v>
      </c>
      <c r="AI39" s="176">
        <f t="shared" si="5"/>
        <v>0</v>
      </c>
      <c r="AJ39" s="174">
        <f t="shared" si="6"/>
        <v>0</v>
      </c>
      <c r="AK39" s="174">
        <f>T39</f>
        <v>0</v>
      </c>
      <c r="AL39" s="141"/>
      <c r="AO39" s="286"/>
      <c r="AP39" s="284">
        <f t="shared" si="7"/>
        <v>0</v>
      </c>
      <c r="AQ39" s="281">
        <f t="shared" si="8"/>
        <v>0</v>
      </c>
      <c r="AR39" s="284">
        <f t="shared" si="9"/>
        <v>0</v>
      </c>
      <c r="AS39" s="281">
        <f t="shared" si="10"/>
        <v>0</v>
      </c>
      <c r="AT39" s="284">
        <f t="shared" si="11"/>
        <v>0</v>
      </c>
    </row>
    <row r="40" spans="1:97" s="128" customFormat="1" ht="31.5" customHeight="1" x14ac:dyDescent="0.8">
      <c r="A40" s="262">
        <f>ROW()</f>
        <v>40</v>
      </c>
      <c r="C40" s="212"/>
      <c r="D40" s="212"/>
      <c r="E40" s="212"/>
      <c r="F40" s="212"/>
      <c r="G40" s="212"/>
      <c r="H40" s="212"/>
      <c r="J40" s="128" t="s">
        <v>377</v>
      </c>
      <c r="L40" s="128" t="s">
        <v>378</v>
      </c>
      <c r="N40" s="129"/>
      <c r="O40" s="130" t="s">
        <v>357</v>
      </c>
      <c r="P40" s="172">
        <f>P41*M19</f>
        <v>0</v>
      </c>
      <c r="Q40" s="172"/>
      <c r="R40" s="172"/>
      <c r="S40" s="175"/>
      <c r="T40" s="172"/>
      <c r="U40" s="175" t="s">
        <v>351</v>
      </c>
      <c r="V40" s="172">
        <f>W40*80</f>
        <v>0</v>
      </c>
      <c r="W40" s="177">
        <f>SUM(W19:W39)</f>
        <v>0</v>
      </c>
      <c r="X40" s="178"/>
      <c r="Y40" s="172" t="s">
        <v>352</v>
      </c>
      <c r="Z40" s="168"/>
      <c r="AA40" s="168">
        <f>SUM(AA19:AA39)</f>
        <v>0</v>
      </c>
      <c r="AB40" s="179"/>
      <c r="AC40" s="179"/>
      <c r="AD40" s="179"/>
      <c r="AE40" s="179"/>
      <c r="AF40" s="172" t="s">
        <v>356</v>
      </c>
      <c r="AG40" s="168"/>
      <c r="AH40" s="168">
        <f>SUM(AH19:AH39)</f>
        <v>0</v>
      </c>
      <c r="AI40" s="179"/>
      <c r="AJ40" s="179"/>
      <c r="AK40" s="179"/>
      <c r="AL40" s="149"/>
      <c r="AM40" s="150">
        <f>P40</f>
        <v>0</v>
      </c>
      <c r="AO40" s="286"/>
      <c r="AP40" s="284">
        <f t="shared" si="7"/>
        <v>0</v>
      </c>
      <c r="AQ40" s="281">
        <f t="shared" si="8"/>
        <v>0</v>
      </c>
      <c r="AR40" s="284">
        <f t="shared" si="9"/>
        <v>0</v>
      </c>
      <c r="AS40" s="281">
        <f t="shared" si="10"/>
        <v>0</v>
      </c>
      <c r="AT40" s="284">
        <f t="shared" si="11"/>
        <v>0</v>
      </c>
    </row>
    <row r="41" spans="1:97" s="234" customFormat="1" ht="123.45" x14ac:dyDescent="0.8">
      <c r="A41" s="262">
        <f>ROW()</f>
        <v>41</v>
      </c>
      <c r="B41" s="234" t="s">
        <v>491</v>
      </c>
      <c r="C41" s="217" t="str">
        <f>N19</f>
        <v>large-sized weatherproof CHILLER MSSB</v>
      </c>
      <c r="D41" s="260" t="str">
        <f>IF(B41="Shopping List",IF(ISNUMBER(SEARCH("MSSB",C41)),"MSSB",IF(ISNUMBER(SEARCH("local",C41)),"LOCAL","")))</f>
        <v>MSSB</v>
      </c>
      <c r="E41" s="238"/>
      <c r="F41" s="217"/>
      <c r="G41" s="217"/>
      <c r="H41" s="245">
        <v>1</v>
      </c>
      <c r="I41" s="270">
        <v>0</v>
      </c>
      <c r="J41" s="241" t="str">
        <f>CONCATENATE(O19," ",L19, " (",M19,") ",N19,".", IF(M19&gt;1," Each "," This "),"includes supply and install of ",O20,O21,O22,O23,O24,O25,O26,O27,O28,O29,O30,O31,O32,O33,O34,O35,O36,O37,O38,O39,J20,J21,J22,J23,J24,J25,J26,J27,J28,J29,J30,J31,J32,J33,J34,J35,J36,J37,J38,J39)</f>
        <v xml:space="preserve">Electrical services for Zero (0) large-sized weatherproof CHILLER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Chiller MSSB is a specialist custom made system including required components for chiller power supply. Details to be determined following consultants detailed design. </v>
      </c>
      <c r="K41" s="246">
        <f>P40</f>
        <v>0</v>
      </c>
      <c r="L41" s="234" t="str">
        <f>CONCATENATE(Q20,Q21,Q22,Q23,Q24,Q25,Q26,Q27,Q28,Q29,Q30,Q31,Q32,Q33,Q34,Q35,Q36,Q37,Q38,Q39,)</f>
        <v/>
      </c>
      <c r="M41" s="166" t="s">
        <v>367</v>
      </c>
      <c r="N41" s="160" t="str">
        <f>N19</f>
        <v>large-sized weatherproof CHILLER MSSB</v>
      </c>
      <c r="O41" s="160" t="s">
        <v>365</v>
      </c>
      <c r="P41" s="64">
        <f>15000+500</f>
        <v>15500</v>
      </c>
      <c r="Q41" s="161"/>
      <c r="R41" s="161"/>
      <c r="S41" s="160"/>
      <c r="T41" s="161"/>
      <c r="U41" s="503" t="s">
        <v>366</v>
      </c>
      <c r="V41" s="503"/>
      <c r="W41" s="162" t="e">
        <f>W40/M19</f>
        <v>#DIV/0!</v>
      </c>
      <c r="X41" s="163"/>
      <c r="Y41" s="501" t="s">
        <v>365</v>
      </c>
      <c r="Z41" s="501"/>
      <c r="AA41" s="164" t="e">
        <f>AA40/M19</f>
        <v>#DIV/0!</v>
      </c>
      <c r="AB41" s="161"/>
      <c r="AC41" s="161"/>
      <c r="AD41" s="161"/>
      <c r="AE41" s="161"/>
      <c r="AF41" s="501" t="s">
        <v>365</v>
      </c>
      <c r="AG41" s="501"/>
      <c r="AH41" s="164" t="e">
        <f>AH40/M19</f>
        <v>#DIV/0!</v>
      </c>
      <c r="AI41" s="161"/>
      <c r="AJ41" s="161"/>
      <c r="AK41" s="161"/>
      <c r="AL41" s="247"/>
      <c r="AM41" s="257"/>
      <c r="AN41" s="236">
        <f>K41*1.25</f>
        <v>0</v>
      </c>
      <c r="AO41" s="290"/>
      <c r="AP41" s="284">
        <f t="shared" si="7"/>
        <v>0</v>
      </c>
      <c r="AQ41" s="281">
        <f t="shared" si="8"/>
        <v>0</v>
      </c>
      <c r="AR41" s="284">
        <f t="shared" si="9"/>
        <v>0</v>
      </c>
      <c r="AS41" s="281">
        <f t="shared" si="10"/>
        <v>0</v>
      </c>
      <c r="AT41" s="284">
        <f t="shared" si="11"/>
        <v>0</v>
      </c>
      <c r="AU41" s="117"/>
      <c r="AV41" s="117"/>
      <c r="AW41" s="117"/>
      <c r="AX41" s="117"/>
      <c r="AY41" s="117"/>
      <c r="AZ41" s="117"/>
      <c r="BA41" s="117"/>
      <c r="BB41" s="117"/>
      <c r="BC41" s="117"/>
      <c r="BD41" s="117"/>
      <c r="BE41" s="117"/>
      <c r="BF41" s="117"/>
      <c r="BG41" s="117"/>
      <c r="BH41" s="117"/>
      <c r="BI41" s="117"/>
      <c r="BJ41" s="117"/>
      <c r="BK41" s="117"/>
      <c r="BL41" s="117"/>
      <c r="BM41" s="117"/>
      <c r="BN41" s="117"/>
      <c r="BO41" s="117"/>
      <c r="BP41" s="117"/>
      <c r="BQ41" s="117"/>
      <c r="BR41" s="117"/>
      <c r="BS41" s="117"/>
      <c r="BT41" s="117"/>
      <c r="BU41" s="117"/>
      <c r="BV41" s="117"/>
      <c r="BW41" s="117"/>
      <c r="BX41" s="117"/>
      <c r="BY41" s="117"/>
      <c r="BZ41" s="117"/>
      <c r="CA41" s="117"/>
      <c r="CB41" s="117"/>
      <c r="CC41" s="117"/>
      <c r="CD41" s="117"/>
      <c r="CE41" s="117"/>
      <c r="CF41" s="117"/>
      <c r="CG41" s="117"/>
      <c r="CH41" s="117"/>
      <c r="CI41" s="117"/>
      <c r="CJ41" s="117"/>
      <c r="CK41" s="117"/>
      <c r="CL41" s="117"/>
      <c r="CM41" s="117"/>
      <c r="CN41" s="117"/>
      <c r="CO41" s="117"/>
      <c r="CP41" s="117"/>
      <c r="CQ41" s="117"/>
      <c r="CR41" s="117"/>
      <c r="CS41" s="117"/>
    </row>
    <row r="42" spans="1:97" s="116" customFormat="1" ht="192.75" customHeight="1" x14ac:dyDescent="0.8">
      <c r="A42" s="262">
        <f>ROW()</f>
        <v>42</v>
      </c>
      <c r="C42" s="211"/>
      <c r="D42" s="211"/>
      <c r="E42" s="211"/>
      <c r="F42" s="211"/>
      <c r="G42" s="211"/>
      <c r="H42" s="211"/>
      <c r="K42" s="116" t="s">
        <v>452</v>
      </c>
      <c r="M42" s="116" t="s">
        <v>107</v>
      </c>
      <c r="N42" s="116" t="s">
        <v>108</v>
      </c>
      <c r="O42" s="170" t="s">
        <v>386</v>
      </c>
      <c r="P42" s="502" t="s">
        <v>375</v>
      </c>
      <c r="Q42" s="502"/>
      <c r="R42" s="101" t="s">
        <v>452</v>
      </c>
      <c r="S42" s="116" t="s">
        <v>0</v>
      </c>
      <c r="T42" s="118"/>
      <c r="U42" s="116" t="s">
        <v>287</v>
      </c>
      <c r="V42" s="116" t="s">
        <v>288</v>
      </c>
      <c r="W42" s="116" t="s">
        <v>291</v>
      </c>
      <c r="X42" s="140"/>
      <c r="Y42" s="116" t="s">
        <v>289</v>
      </c>
      <c r="Z42" s="116" t="s">
        <v>354</v>
      </c>
      <c r="AA42" s="116" t="s">
        <v>355</v>
      </c>
      <c r="AB42" s="116" t="s">
        <v>317</v>
      </c>
      <c r="AC42" s="116" t="s">
        <v>318</v>
      </c>
      <c r="AD42" s="116" t="s">
        <v>316</v>
      </c>
      <c r="AE42" s="140"/>
      <c r="AF42" s="116" t="s">
        <v>293</v>
      </c>
      <c r="AG42" s="116" t="s">
        <v>354</v>
      </c>
      <c r="AH42" s="116" t="s">
        <v>355</v>
      </c>
      <c r="AI42" s="116" t="s">
        <v>296</v>
      </c>
      <c r="AJ42" s="116" t="s">
        <v>294</v>
      </c>
      <c r="AK42" s="116" t="s">
        <v>295</v>
      </c>
      <c r="AL42" s="140"/>
      <c r="AO42" s="288"/>
      <c r="AP42" s="284">
        <f t="shared" si="7"/>
        <v>0</v>
      </c>
      <c r="AQ42" s="281">
        <f t="shared" si="8"/>
        <v>0</v>
      </c>
      <c r="AR42" s="284">
        <f t="shared" si="9"/>
        <v>0</v>
      </c>
      <c r="AS42" s="281">
        <f t="shared" si="10"/>
        <v>0</v>
      </c>
      <c r="AT42" s="284">
        <f t="shared" si="11"/>
        <v>0</v>
      </c>
    </row>
    <row r="43" spans="1:97" s="114" customFormat="1" ht="31.5" customHeight="1" x14ac:dyDescent="0.8">
      <c r="A43" s="262">
        <f>ROW()</f>
        <v>43</v>
      </c>
      <c r="C43" s="208"/>
      <c r="D43" s="208"/>
      <c r="E43" s="208"/>
      <c r="F43" s="208"/>
      <c r="G43" s="208"/>
      <c r="H43" s="208"/>
      <c r="L43" s="124" t="str">
        <f>VLOOKUP(M43,Sheet2!$D$2:$E$1024,2,FALSE)</f>
        <v>Zero</v>
      </c>
      <c r="M43" s="121">
        <f>I65</f>
        <v>0</v>
      </c>
      <c r="N43" s="132" t="s">
        <v>525</v>
      </c>
      <c r="O43" s="121" t="s">
        <v>195</v>
      </c>
      <c r="P43" s="173" t="s">
        <v>379</v>
      </c>
      <c r="Q43" s="173" t="s">
        <v>375</v>
      </c>
      <c r="R43" s="173"/>
      <c r="S43" s="174">
        <f>M43</f>
        <v>0</v>
      </c>
      <c r="T43" s="175"/>
      <c r="U43" s="175" t="s">
        <v>292</v>
      </c>
      <c r="V43" s="174">
        <f>S43</f>
        <v>0</v>
      </c>
      <c r="W43" s="174">
        <f>VLOOKUP(U43,Sheet1!$B$6:$C$45,2,FALSE)*V43</f>
        <v>0</v>
      </c>
      <c r="X43" s="174"/>
      <c r="Y43" s="175" t="s">
        <v>292</v>
      </c>
      <c r="Z43" s="168">
        <f>VLOOKUP(Takeoffs!Y43,Sheet1!$B$6:$C$124,2,FALSE)</f>
        <v>0</v>
      </c>
      <c r="AA43" s="168">
        <f>Z43*AB43</f>
        <v>0</v>
      </c>
      <c r="AB43" s="176">
        <f>AD43*AC43</f>
        <v>0</v>
      </c>
      <c r="AC43" s="174">
        <f>S43</f>
        <v>0</v>
      </c>
      <c r="AD43" s="174">
        <v>1</v>
      </c>
      <c r="AE43" s="174"/>
      <c r="AF43" s="175" t="s">
        <v>292</v>
      </c>
      <c r="AG43" s="168">
        <f>VLOOKUP(Takeoffs!AF43,Sheet1!$B$6:$C$124,2,FALSE)</f>
        <v>0</v>
      </c>
      <c r="AH43" s="168">
        <f>AG43*AI43</f>
        <v>0</v>
      </c>
      <c r="AI43" s="176">
        <f>AK43*AJ43</f>
        <v>0</v>
      </c>
      <c r="AJ43" s="174">
        <f>S43</f>
        <v>0</v>
      </c>
      <c r="AK43" s="174"/>
      <c r="AL43" s="141"/>
      <c r="AO43" s="286"/>
      <c r="AP43" s="284">
        <f t="shared" si="7"/>
        <v>0</v>
      </c>
      <c r="AQ43" s="281">
        <f t="shared" si="8"/>
        <v>0</v>
      </c>
      <c r="AR43" s="284">
        <f t="shared" si="9"/>
        <v>0</v>
      </c>
      <c r="AS43" s="281">
        <f t="shared" si="10"/>
        <v>0</v>
      </c>
      <c r="AT43" s="284">
        <f t="shared" si="11"/>
        <v>0</v>
      </c>
    </row>
    <row r="44" spans="1:97" s="114" customFormat="1" ht="30.9" x14ac:dyDescent="0.8">
      <c r="A44" s="262">
        <f>ROW()</f>
        <v>44</v>
      </c>
      <c r="C44" s="208"/>
      <c r="D44" s="208"/>
      <c r="E44" s="208"/>
      <c r="F44" s="208"/>
      <c r="G44" s="208"/>
      <c r="H44" s="208"/>
      <c r="J44" s="114" t="str">
        <f>IF(COUNTBLANK(Q44)&gt;0,"",CONCATENATE("Coordination Note: - ",P44,": Please refer to our exclusions relating to ",Q44))</f>
        <v/>
      </c>
      <c r="K44" s="114" t="str">
        <f>IF(COUNTBLANK(R44)&gt;0,"",CONCATENATE(R44," for ",N43))</f>
        <v/>
      </c>
      <c r="M44" s="117"/>
      <c r="N44" s="123" t="s">
        <v>113</v>
      </c>
      <c r="O44" s="66" t="s">
        <v>534</v>
      </c>
      <c r="P44" s="175"/>
      <c r="Q44" s="175"/>
      <c r="R44" s="175"/>
      <c r="S44" s="174">
        <f>M43</f>
        <v>0</v>
      </c>
      <c r="T44" s="172"/>
      <c r="U44" s="175" t="s">
        <v>292</v>
      </c>
      <c r="V44" s="174">
        <f t="shared" ref="V44:V63" si="14">S44</f>
        <v>0</v>
      </c>
      <c r="W44" s="174">
        <f>VLOOKUP(U44,Sheet1!$B$6:$C$45,2,FALSE)*V44</f>
        <v>0</v>
      </c>
      <c r="X44" s="174"/>
      <c r="Y44" s="175" t="s">
        <v>292</v>
      </c>
      <c r="Z44" s="168">
        <f>VLOOKUP(Takeoffs!Y44,Sheet1!$B$6:$C$124,2,FALSE)</f>
        <v>0</v>
      </c>
      <c r="AA44" s="168">
        <f t="shared" ref="AA44:AA63" si="15">Z44*AB44</f>
        <v>0</v>
      </c>
      <c r="AB44" s="176">
        <f t="shared" ref="AB44:AB63" si="16">AD44*AC44</f>
        <v>0</v>
      </c>
      <c r="AC44" s="174">
        <f>S44</f>
        <v>0</v>
      </c>
      <c r="AD44" s="174">
        <v>1</v>
      </c>
      <c r="AE44" s="174"/>
      <c r="AF44" s="175" t="s">
        <v>292</v>
      </c>
      <c r="AG44" s="168">
        <f>VLOOKUP(Takeoffs!AF44,Sheet1!$B$6:$C$124,2,FALSE)</f>
        <v>0</v>
      </c>
      <c r="AH44" s="168">
        <f t="shared" ref="AH44:AH63" si="17">AG44*AI44</f>
        <v>0</v>
      </c>
      <c r="AI44" s="176">
        <f t="shared" ref="AI44:AI63" si="18">AK44*AJ44</f>
        <v>0</v>
      </c>
      <c r="AJ44" s="174">
        <f t="shared" ref="AJ44:AJ63" si="19">S44</f>
        <v>0</v>
      </c>
      <c r="AK44" s="174"/>
      <c r="AL44" s="141"/>
      <c r="AO44" s="286"/>
      <c r="AP44" s="284">
        <f t="shared" si="7"/>
        <v>0</v>
      </c>
      <c r="AQ44" s="281">
        <f t="shared" si="8"/>
        <v>0</v>
      </c>
      <c r="AR44" s="284">
        <f t="shared" si="9"/>
        <v>0</v>
      </c>
      <c r="AS44" s="281">
        <f t="shared" si="10"/>
        <v>0</v>
      </c>
      <c r="AT44" s="284">
        <f t="shared" si="11"/>
        <v>0</v>
      </c>
    </row>
    <row r="45" spans="1:97" s="114" customFormat="1" ht="30.9" x14ac:dyDescent="0.8">
      <c r="A45" s="262">
        <f>ROW()</f>
        <v>45</v>
      </c>
      <c r="C45" s="208"/>
      <c r="D45" s="208"/>
      <c r="E45" s="208"/>
      <c r="F45" s="208"/>
      <c r="G45" s="208"/>
      <c r="H45" s="208"/>
      <c r="J45" s="114" t="str">
        <f t="shared" ref="J45:J63" si="20">IF(COUNTBLANK(Q45)&gt;0,"",CONCATENATE("Coordination Note: - ",P45,": Please refer to our exclusions relating to ",Q45))</f>
        <v/>
      </c>
      <c r="K45" s="114" t="str">
        <f>IF(COUNTBLANK(R45)&gt;0,"",CONCATENATE(R45," for ",N43))</f>
        <v/>
      </c>
      <c r="M45" s="117"/>
      <c r="N45" s="123" t="s">
        <v>114</v>
      </c>
      <c r="O45" s="66" t="s">
        <v>399</v>
      </c>
      <c r="P45" s="175"/>
      <c r="Q45" s="175"/>
      <c r="R45" s="175"/>
      <c r="S45" s="174">
        <f>M43</f>
        <v>0</v>
      </c>
      <c r="T45" s="172"/>
      <c r="U45" s="175" t="s">
        <v>292</v>
      </c>
      <c r="V45" s="174">
        <f t="shared" si="14"/>
        <v>0</v>
      </c>
      <c r="W45" s="174">
        <f>VLOOKUP(U45,Sheet1!$B$6:$C$45,2,FALSE)*V45</f>
        <v>0</v>
      </c>
      <c r="X45" s="174"/>
      <c r="Y45" s="175" t="s">
        <v>292</v>
      </c>
      <c r="Z45" s="168">
        <f>VLOOKUP(Takeoffs!Y45,Sheet1!$B$6:$C$124,2,FALSE)</f>
        <v>0</v>
      </c>
      <c r="AA45" s="168">
        <f t="shared" si="15"/>
        <v>0</v>
      </c>
      <c r="AB45" s="176">
        <f t="shared" si="16"/>
        <v>0</v>
      </c>
      <c r="AC45" s="174">
        <f>S45</f>
        <v>0</v>
      </c>
      <c r="AD45" s="174">
        <v>1</v>
      </c>
      <c r="AE45" s="174"/>
      <c r="AF45" s="175" t="s">
        <v>292</v>
      </c>
      <c r="AG45" s="168">
        <f>VLOOKUP(Takeoffs!AF45,Sheet1!$B$6:$C$124,2,FALSE)</f>
        <v>0</v>
      </c>
      <c r="AH45" s="168">
        <f t="shared" si="17"/>
        <v>0</v>
      </c>
      <c r="AI45" s="176">
        <f t="shared" si="18"/>
        <v>0</v>
      </c>
      <c r="AJ45" s="174">
        <f t="shared" si="19"/>
        <v>0</v>
      </c>
      <c r="AK45" s="174"/>
      <c r="AL45" s="141"/>
      <c r="AO45" s="286"/>
      <c r="AP45" s="284">
        <f t="shared" si="7"/>
        <v>0</v>
      </c>
      <c r="AQ45" s="281">
        <f t="shared" si="8"/>
        <v>0</v>
      </c>
      <c r="AR45" s="284">
        <f t="shared" si="9"/>
        <v>0</v>
      </c>
      <c r="AS45" s="281">
        <f t="shared" si="10"/>
        <v>0</v>
      </c>
      <c r="AT45" s="284">
        <f t="shared" si="11"/>
        <v>0</v>
      </c>
    </row>
    <row r="46" spans="1:97" s="114" customFormat="1" ht="30.9" x14ac:dyDescent="0.8">
      <c r="A46" s="262">
        <f>ROW()</f>
        <v>46</v>
      </c>
      <c r="C46" s="208"/>
      <c r="D46" s="208"/>
      <c r="E46" s="208"/>
      <c r="F46" s="208"/>
      <c r="G46" s="208"/>
      <c r="H46" s="208"/>
      <c r="J46" s="114" t="str">
        <f t="shared" si="20"/>
        <v/>
      </c>
      <c r="K46" s="114" t="str">
        <f>IF(COUNTBLANK(R46)&gt;0,"",CONCATENATE(R46," for ",N43))</f>
        <v/>
      </c>
      <c r="M46" s="117"/>
      <c r="N46" s="123" t="s">
        <v>115</v>
      </c>
      <c r="O46" s="66" t="s">
        <v>400</v>
      </c>
      <c r="P46" s="175"/>
      <c r="Q46" s="175"/>
      <c r="R46" s="175"/>
      <c r="S46" s="174">
        <f>M43</f>
        <v>0</v>
      </c>
      <c r="T46" s="172"/>
      <c r="U46" s="175" t="s">
        <v>292</v>
      </c>
      <c r="V46" s="174">
        <f t="shared" si="14"/>
        <v>0</v>
      </c>
      <c r="W46" s="174">
        <f>VLOOKUP(U46,Sheet1!$B$6:$C$45,2,FALSE)*V46</f>
        <v>0</v>
      </c>
      <c r="X46" s="174"/>
      <c r="Y46" s="175" t="s">
        <v>292</v>
      </c>
      <c r="Z46" s="168">
        <f>VLOOKUP(Takeoffs!Y46,Sheet1!$B$6:$C$124,2,FALSE)</f>
        <v>0</v>
      </c>
      <c r="AA46" s="168">
        <f t="shared" si="15"/>
        <v>0</v>
      </c>
      <c r="AB46" s="176">
        <f t="shared" si="16"/>
        <v>0</v>
      </c>
      <c r="AC46" s="174">
        <f t="shared" ref="AC46:AC63" si="21">S46</f>
        <v>0</v>
      </c>
      <c r="AD46" s="174">
        <v>1</v>
      </c>
      <c r="AE46" s="174"/>
      <c r="AF46" s="175" t="s">
        <v>292</v>
      </c>
      <c r="AG46" s="168">
        <f>VLOOKUP(Takeoffs!AF46,Sheet1!$B$6:$C$124,2,FALSE)</f>
        <v>0</v>
      </c>
      <c r="AH46" s="168">
        <f t="shared" si="17"/>
        <v>0</v>
      </c>
      <c r="AI46" s="176">
        <f t="shared" si="18"/>
        <v>0</v>
      </c>
      <c r="AJ46" s="174">
        <f t="shared" si="19"/>
        <v>0</v>
      </c>
      <c r="AK46" s="174"/>
      <c r="AL46" s="141"/>
      <c r="AO46" s="286"/>
      <c r="AP46" s="284">
        <f t="shared" si="7"/>
        <v>0</v>
      </c>
      <c r="AQ46" s="281">
        <f t="shared" si="8"/>
        <v>0</v>
      </c>
      <c r="AR46" s="284">
        <f t="shared" si="9"/>
        <v>0</v>
      </c>
      <c r="AS46" s="281">
        <f t="shared" si="10"/>
        <v>0</v>
      </c>
      <c r="AT46" s="284">
        <f t="shared" si="11"/>
        <v>0</v>
      </c>
    </row>
    <row r="47" spans="1:97" s="114" customFormat="1" ht="30.9" x14ac:dyDescent="0.8">
      <c r="A47" s="262">
        <f>ROW()</f>
        <v>47</v>
      </c>
      <c r="C47" s="208"/>
      <c r="D47" s="208"/>
      <c r="E47" s="208"/>
      <c r="F47" s="208"/>
      <c r="G47" s="208"/>
      <c r="H47" s="208"/>
      <c r="J47" s="114" t="str">
        <f t="shared" si="20"/>
        <v/>
      </c>
      <c r="K47" s="114" t="str">
        <f>IF(COUNTBLANK(R47)&gt;0,"",CONCATENATE(R47," for ",N43))</f>
        <v/>
      </c>
      <c r="M47" s="117"/>
      <c r="N47" s="123" t="s">
        <v>116</v>
      </c>
      <c r="O47" s="66" t="s">
        <v>401</v>
      </c>
      <c r="P47" s="175"/>
      <c r="Q47" s="175"/>
      <c r="R47" s="175"/>
      <c r="S47" s="174">
        <f>M43</f>
        <v>0</v>
      </c>
      <c r="T47" s="172"/>
      <c r="U47" s="175" t="s">
        <v>292</v>
      </c>
      <c r="V47" s="174">
        <f t="shared" si="14"/>
        <v>0</v>
      </c>
      <c r="W47" s="174">
        <f>VLOOKUP(U47,Sheet1!$B$6:$C$45,2,FALSE)*V47</f>
        <v>0</v>
      </c>
      <c r="X47" s="174"/>
      <c r="Y47" s="175" t="s">
        <v>292</v>
      </c>
      <c r="Z47" s="168">
        <f>VLOOKUP(Takeoffs!Y47,Sheet1!$B$6:$C$124,2,FALSE)</f>
        <v>0</v>
      </c>
      <c r="AA47" s="168">
        <f t="shared" si="15"/>
        <v>0</v>
      </c>
      <c r="AB47" s="176">
        <f t="shared" si="16"/>
        <v>0</v>
      </c>
      <c r="AC47" s="174">
        <f t="shared" si="21"/>
        <v>0</v>
      </c>
      <c r="AD47" s="174">
        <v>1</v>
      </c>
      <c r="AE47" s="174"/>
      <c r="AF47" s="175" t="s">
        <v>292</v>
      </c>
      <c r="AG47" s="168">
        <f>VLOOKUP(Takeoffs!AF47,Sheet1!$B$6:$C$124,2,FALSE)</f>
        <v>0</v>
      </c>
      <c r="AH47" s="168">
        <f t="shared" si="17"/>
        <v>0</v>
      </c>
      <c r="AI47" s="176">
        <f t="shared" si="18"/>
        <v>0</v>
      </c>
      <c r="AJ47" s="174">
        <f t="shared" si="19"/>
        <v>0</v>
      </c>
      <c r="AK47" s="174"/>
      <c r="AL47" s="141"/>
      <c r="AO47" s="286"/>
      <c r="AP47" s="284">
        <f t="shared" si="7"/>
        <v>0</v>
      </c>
      <c r="AQ47" s="281">
        <f t="shared" si="8"/>
        <v>0</v>
      </c>
      <c r="AR47" s="284">
        <f t="shared" si="9"/>
        <v>0</v>
      </c>
      <c r="AS47" s="281">
        <f t="shared" si="10"/>
        <v>0</v>
      </c>
      <c r="AT47" s="284">
        <f t="shared" si="11"/>
        <v>0</v>
      </c>
    </row>
    <row r="48" spans="1:97" s="114" customFormat="1" ht="30.9" x14ac:dyDescent="0.8">
      <c r="A48" s="262">
        <f>ROW()</f>
        <v>48</v>
      </c>
      <c r="C48" s="208"/>
      <c r="D48" s="208"/>
      <c r="E48" s="208"/>
      <c r="F48" s="208"/>
      <c r="G48" s="208"/>
      <c r="H48" s="208"/>
      <c r="J48" s="114" t="str">
        <f t="shared" si="20"/>
        <v/>
      </c>
      <c r="K48" s="114" t="str">
        <f>IF(COUNTBLANK(R48)&gt;0,"",CONCATENATE(R48," for ",N43))</f>
        <v/>
      </c>
      <c r="M48" s="117"/>
      <c r="N48" s="123" t="s">
        <v>117</v>
      </c>
      <c r="O48" s="66" t="s">
        <v>402</v>
      </c>
      <c r="P48" s="175"/>
      <c r="Q48" s="175"/>
      <c r="R48" s="175"/>
      <c r="S48" s="174">
        <f>M43</f>
        <v>0</v>
      </c>
      <c r="T48" s="172"/>
      <c r="U48" s="175" t="s">
        <v>292</v>
      </c>
      <c r="V48" s="174">
        <f t="shared" si="14"/>
        <v>0</v>
      </c>
      <c r="W48" s="174">
        <f>VLOOKUP(U48,Sheet1!$B$6:$C$45,2,FALSE)*V48</f>
        <v>0</v>
      </c>
      <c r="X48" s="174"/>
      <c r="Y48" s="175" t="s">
        <v>292</v>
      </c>
      <c r="Z48" s="168">
        <f>VLOOKUP(Takeoffs!Y48,Sheet1!$B$6:$C$124,2,FALSE)</f>
        <v>0</v>
      </c>
      <c r="AA48" s="168">
        <f t="shared" si="15"/>
        <v>0</v>
      </c>
      <c r="AB48" s="176">
        <f t="shared" si="16"/>
        <v>0</v>
      </c>
      <c r="AC48" s="174">
        <f t="shared" si="21"/>
        <v>0</v>
      </c>
      <c r="AD48" s="174">
        <v>1</v>
      </c>
      <c r="AE48" s="174"/>
      <c r="AF48" s="175" t="s">
        <v>292</v>
      </c>
      <c r="AG48" s="168">
        <f>VLOOKUP(Takeoffs!AF48,Sheet1!$B$6:$C$124,2,FALSE)</f>
        <v>0</v>
      </c>
      <c r="AH48" s="168">
        <f t="shared" si="17"/>
        <v>0</v>
      </c>
      <c r="AI48" s="176">
        <f t="shared" si="18"/>
        <v>0</v>
      </c>
      <c r="AJ48" s="174">
        <f t="shared" si="19"/>
        <v>0</v>
      </c>
      <c r="AK48" s="174"/>
      <c r="AL48" s="141"/>
      <c r="AO48" s="286"/>
      <c r="AP48" s="284">
        <f t="shared" si="7"/>
        <v>0</v>
      </c>
      <c r="AQ48" s="281">
        <f t="shared" si="8"/>
        <v>0</v>
      </c>
      <c r="AR48" s="284">
        <f t="shared" si="9"/>
        <v>0</v>
      </c>
      <c r="AS48" s="281">
        <f t="shared" si="10"/>
        <v>0</v>
      </c>
      <c r="AT48" s="284">
        <f t="shared" si="11"/>
        <v>0</v>
      </c>
    </row>
    <row r="49" spans="1:46" s="114" customFormat="1" ht="30.9" x14ac:dyDescent="0.8">
      <c r="A49" s="262">
        <f>ROW()</f>
        <v>49</v>
      </c>
      <c r="C49" s="208"/>
      <c r="D49" s="208"/>
      <c r="E49" s="208"/>
      <c r="F49" s="208"/>
      <c r="G49" s="208"/>
      <c r="H49" s="208"/>
      <c r="J49" s="114" t="str">
        <f t="shared" si="20"/>
        <v/>
      </c>
      <c r="K49" s="114" t="str">
        <f>IF(COUNTBLANK(R49)&gt;0,"",CONCATENATE(R49," for ",N43))</f>
        <v/>
      </c>
      <c r="M49" s="117"/>
      <c r="N49" s="123" t="s">
        <v>118</v>
      </c>
      <c r="O49" s="66" t="s">
        <v>403</v>
      </c>
      <c r="P49" s="175"/>
      <c r="Q49" s="175"/>
      <c r="R49" s="175"/>
      <c r="S49" s="174">
        <f>M43</f>
        <v>0</v>
      </c>
      <c r="T49" s="172"/>
      <c r="U49" s="175" t="s">
        <v>292</v>
      </c>
      <c r="V49" s="174">
        <f t="shared" si="14"/>
        <v>0</v>
      </c>
      <c r="W49" s="174">
        <f>VLOOKUP(U49,Sheet1!$B$6:$C$45,2,FALSE)*V49</f>
        <v>0</v>
      </c>
      <c r="X49" s="174"/>
      <c r="Y49" s="175" t="s">
        <v>292</v>
      </c>
      <c r="Z49" s="168">
        <f>VLOOKUP(Takeoffs!Y49,Sheet1!$B$6:$C$124,2,FALSE)</f>
        <v>0</v>
      </c>
      <c r="AA49" s="168">
        <f t="shared" si="15"/>
        <v>0</v>
      </c>
      <c r="AB49" s="176">
        <f t="shared" si="16"/>
        <v>0</v>
      </c>
      <c r="AC49" s="174">
        <f t="shared" si="21"/>
        <v>0</v>
      </c>
      <c r="AD49" s="174">
        <v>1</v>
      </c>
      <c r="AE49" s="174"/>
      <c r="AF49" s="175" t="s">
        <v>292</v>
      </c>
      <c r="AG49" s="168">
        <f>VLOOKUP(Takeoffs!AF49,Sheet1!$B$6:$C$124,2,FALSE)</f>
        <v>0</v>
      </c>
      <c r="AH49" s="168">
        <f t="shared" si="17"/>
        <v>0</v>
      </c>
      <c r="AI49" s="176">
        <f t="shared" si="18"/>
        <v>0</v>
      </c>
      <c r="AJ49" s="174">
        <f t="shared" si="19"/>
        <v>0</v>
      </c>
      <c r="AK49" s="174"/>
      <c r="AL49" s="141"/>
      <c r="AO49" s="286"/>
      <c r="AP49" s="284">
        <f t="shared" si="7"/>
        <v>0</v>
      </c>
      <c r="AQ49" s="281">
        <f t="shared" si="8"/>
        <v>0</v>
      </c>
      <c r="AR49" s="284">
        <f t="shared" si="9"/>
        <v>0</v>
      </c>
      <c r="AS49" s="281">
        <f t="shared" si="10"/>
        <v>0</v>
      </c>
      <c r="AT49" s="284">
        <f t="shared" si="11"/>
        <v>0</v>
      </c>
    </row>
    <row r="50" spans="1:46" s="114" customFormat="1" ht="30.9" x14ac:dyDescent="0.8">
      <c r="A50" s="262">
        <f>ROW()</f>
        <v>50</v>
      </c>
      <c r="C50" s="208"/>
      <c r="D50" s="208"/>
      <c r="E50" s="208"/>
      <c r="F50" s="208"/>
      <c r="G50" s="208"/>
      <c r="H50" s="208"/>
      <c r="J50" s="114" t="str">
        <f t="shared" si="20"/>
        <v/>
      </c>
      <c r="K50" s="114" t="str">
        <f>IF(COUNTBLANK(R50)&gt;0,"",CONCATENATE(R50," for ",N43))</f>
        <v/>
      </c>
      <c r="N50" s="123" t="s">
        <v>119</v>
      </c>
      <c r="O50" s="66" t="s">
        <v>404</v>
      </c>
      <c r="P50" s="175"/>
      <c r="Q50" s="175"/>
      <c r="R50" s="175"/>
      <c r="S50" s="174">
        <f>M43</f>
        <v>0</v>
      </c>
      <c r="T50" s="172"/>
      <c r="U50" s="175" t="s">
        <v>292</v>
      </c>
      <c r="V50" s="174">
        <f t="shared" si="14"/>
        <v>0</v>
      </c>
      <c r="W50" s="174">
        <f>VLOOKUP(U50,Sheet1!$B$6:$C$45,2,FALSE)*V50</f>
        <v>0</v>
      </c>
      <c r="X50" s="174"/>
      <c r="Y50" s="175" t="s">
        <v>292</v>
      </c>
      <c r="Z50" s="168">
        <f>VLOOKUP(Takeoffs!Y50,Sheet1!$B$6:$C$124,2,FALSE)</f>
        <v>0</v>
      </c>
      <c r="AA50" s="168">
        <f t="shared" si="15"/>
        <v>0</v>
      </c>
      <c r="AB50" s="176">
        <f t="shared" si="16"/>
        <v>0</v>
      </c>
      <c r="AC50" s="174">
        <f t="shared" si="21"/>
        <v>0</v>
      </c>
      <c r="AD50" s="174">
        <v>1</v>
      </c>
      <c r="AE50" s="174"/>
      <c r="AF50" s="175" t="s">
        <v>292</v>
      </c>
      <c r="AG50" s="168">
        <f>VLOOKUP(Takeoffs!AF50,Sheet1!$B$6:$C$124,2,FALSE)</f>
        <v>0</v>
      </c>
      <c r="AH50" s="168">
        <f t="shared" si="17"/>
        <v>0</v>
      </c>
      <c r="AI50" s="176">
        <f t="shared" si="18"/>
        <v>0</v>
      </c>
      <c r="AJ50" s="174">
        <f t="shared" si="19"/>
        <v>0</v>
      </c>
      <c r="AK50" s="174"/>
      <c r="AL50" s="141"/>
      <c r="AO50" s="286"/>
      <c r="AP50" s="284">
        <f t="shared" si="7"/>
        <v>0</v>
      </c>
      <c r="AQ50" s="281">
        <f t="shared" si="8"/>
        <v>0</v>
      </c>
      <c r="AR50" s="284">
        <f t="shared" si="9"/>
        <v>0</v>
      </c>
      <c r="AS50" s="281">
        <f t="shared" si="10"/>
        <v>0</v>
      </c>
      <c r="AT50" s="284">
        <f t="shared" si="11"/>
        <v>0</v>
      </c>
    </row>
    <row r="51" spans="1:46" s="114" customFormat="1" ht="30.9" x14ac:dyDescent="0.8">
      <c r="A51" s="262">
        <f>ROW()</f>
        <v>51</v>
      </c>
      <c r="C51" s="208"/>
      <c r="D51" s="208"/>
      <c r="E51" s="208"/>
      <c r="F51" s="208"/>
      <c r="G51" s="208"/>
      <c r="H51" s="208"/>
      <c r="J51" s="114" t="str">
        <f t="shared" si="20"/>
        <v/>
      </c>
      <c r="K51" s="114" t="str">
        <f>IF(COUNTBLANK(R51)&gt;0,"",CONCATENATE(R51," for ",N43))</f>
        <v/>
      </c>
      <c r="N51" s="123" t="s">
        <v>120</v>
      </c>
      <c r="O51" s="66" t="s">
        <v>509</v>
      </c>
      <c r="P51" s="175"/>
      <c r="Q51" s="175"/>
      <c r="R51" s="175"/>
      <c r="S51" s="174">
        <f>M43</f>
        <v>0</v>
      </c>
      <c r="T51" s="172"/>
      <c r="U51" s="175" t="s">
        <v>292</v>
      </c>
      <c r="V51" s="174">
        <f t="shared" si="14"/>
        <v>0</v>
      </c>
      <c r="W51" s="174">
        <f>VLOOKUP(U51,Sheet1!$B$6:$C$45,2,FALSE)*V51</f>
        <v>0</v>
      </c>
      <c r="X51" s="174"/>
      <c r="Y51" s="175" t="s">
        <v>292</v>
      </c>
      <c r="Z51" s="168">
        <f>VLOOKUP(Takeoffs!Y51,Sheet1!$B$6:$C$124,2,FALSE)</f>
        <v>0</v>
      </c>
      <c r="AA51" s="168">
        <f t="shared" si="15"/>
        <v>0</v>
      </c>
      <c r="AB51" s="176">
        <f t="shared" si="16"/>
        <v>0</v>
      </c>
      <c r="AC51" s="174">
        <f t="shared" si="21"/>
        <v>0</v>
      </c>
      <c r="AD51" s="174">
        <v>1</v>
      </c>
      <c r="AE51" s="174"/>
      <c r="AF51" s="175" t="s">
        <v>292</v>
      </c>
      <c r="AG51" s="168">
        <f>VLOOKUP(Takeoffs!AF51,Sheet1!$B$6:$C$124,2,FALSE)</f>
        <v>0</v>
      </c>
      <c r="AH51" s="168">
        <f t="shared" si="17"/>
        <v>0</v>
      </c>
      <c r="AI51" s="176">
        <f t="shared" si="18"/>
        <v>0</v>
      </c>
      <c r="AJ51" s="174">
        <f t="shared" si="19"/>
        <v>0</v>
      </c>
      <c r="AK51" s="174"/>
      <c r="AL51" s="141"/>
      <c r="AO51" s="286"/>
      <c r="AP51" s="284">
        <f t="shared" si="7"/>
        <v>0</v>
      </c>
      <c r="AQ51" s="281">
        <f t="shared" si="8"/>
        <v>0</v>
      </c>
      <c r="AR51" s="284">
        <f t="shared" si="9"/>
        <v>0</v>
      </c>
      <c r="AS51" s="281">
        <f t="shared" si="10"/>
        <v>0</v>
      </c>
      <c r="AT51" s="284">
        <f t="shared" si="11"/>
        <v>0</v>
      </c>
    </row>
    <row r="52" spans="1:46" s="114" customFormat="1" ht="30.9" x14ac:dyDescent="0.8">
      <c r="A52" s="262">
        <f>ROW()</f>
        <v>52</v>
      </c>
      <c r="C52" s="208"/>
      <c r="D52" s="208"/>
      <c r="E52" s="208"/>
      <c r="F52" s="208"/>
      <c r="G52" s="208"/>
      <c r="H52" s="208"/>
      <c r="J52" s="114" t="str">
        <f t="shared" si="20"/>
        <v/>
      </c>
      <c r="K52" s="114" t="str">
        <f>IF(COUNTBLANK(R52)&gt;0,"",CONCATENATE(R52," for ",N43))</f>
        <v/>
      </c>
      <c r="N52" s="123" t="s">
        <v>121</v>
      </c>
      <c r="O52" s="66" t="s">
        <v>440</v>
      </c>
      <c r="P52" s="175"/>
      <c r="Q52" s="175"/>
      <c r="R52" s="175"/>
      <c r="S52" s="174">
        <f>M43</f>
        <v>0</v>
      </c>
      <c r="T52" s="172"/>
      <c r="U52" s="175" t="s">
        <v>292</v>
      </c>
      <c r="V52" s="174">
        <f t="shared" si="14"/>
        <v>0</v>
      </c>
      <c r="W52" s="174">
        <f>VLOOKUP(U52,Sheet1!$B$6:$C$45,2,FALSE)*V52</f>
        <v>0</v>
      </c>
      <c r="X52" s="174"/>
      <c r="Y52" s="175" t="s">
        <v>292</v>
      </c>
      <c r="Z52" s="168">
        <f>VLOOKUP(Takeoffs!Y52,Sheet1!$B$6:$C$124,2,FALSE)</f>
        <v>0</v>
      </c>
      <c r="AA52" s="168">
        <f t="shared" si="15"/>
        <v>0</v>
      </c>
      <c r="AB52" s="176">
        <f t="shared" si="16"/>
        <v>0</v>
      </c>
      <c r="AC52" s="174">
        <f t="shared" si="21"/>
        <v>0</v>
      </c>
      <c r="AD52" s="174">
        <v>1</v>
      </c>
      <c r="AE52" s="174"/>
      <c r="AF52" s="175" t="s">
        <v>292</v>
      </c>
      <c r="AG52" s="168">
        <f>VLOOKUP(Takeoffs!AF52,Sheet1!$B$6:$C$124,2,FALSE)</f>
        <v>0</v>
      </c>
      <c r="AH52" s="168">
        <f t="shared" si="17"/>
        <v>0</v>
      </c>
      <c r="AI52" s="176">
        <f t="shared" si="18"/>
        <v>0</v>
      </c>
      <c r="AJ52" s="174">
        <f t="shared" si="19"/>
        <v>0</v>
      </c>
      <c r="AK52" s="174"/>
      <c r="AL52" s="141"/>
      <c r="AO52" s="286"/>
      <c r="AP52" s="284">
        <f t="shared" si="7"/>
        <v>0</v>
      </c>
      <c r="AQ52" s="281">
        <f t="shared" si="8"/>
        <v>0</v>
      </c>
      <c r="AR52" s="284">
        <f t="shared" si="9"/>
        <v>0</v>
      </c>
      <c r="AS52" s="281">
        <f t="shared" si="10"/>
        <v>0</v>
      </c>
      <c r="AT52" s="284">
        <f t="shared" si="11"/>
        <v>0</v>
      </c>
    </row>
    <row r="53" spans="1:46" s="114" customFormat="1" ht="30.9" x14ac:dyDescent="0.8">
      <c r="A53" s="262">
        <f>ROW()</f>
        <v>53</v>
      </c>
      <c r="C53" s="208"/>
      <c r="D53" s="208"/>
      <c r="E53" s="208"/>
      <c r="F53" s="208"/>
      <c r="G53" s="208"/>
      <c r="H53" s="208"/>
      <c r="J53" s="114" t="str">
        <f t="shared" si="20"/>
        <v/>
      </c>
      <c r="K53" s="114" t="str">
        <f>IF(COUNTBLANK(R53)&gt;0,"",CONCATENATE(R53," for ",N43))</f>
        <v/>
      </c>
      <c r="N53" s="123" t="s">
        <v>122</v>
      </c>
      <c r="O53" s="66" t="s">
        <v>405</v>
      </c>
      <c r="P53" s="175"/>
      <c r="Q53" s="175"/>
      <c r="R53" s="175"/>
      <c r="S53" s="174">
        <f>M43</f>
        <v>0</v>
      </c>
      <c r="T53" s="172"/>
      <c r="U53" s="175" t="s">
        <v>292</v>
      </c>
      <c r="V53" s="174">
        <f t="shared" si="14"/>
        <v>0</v>
      </c>
      <c r="W53" s="174">
        <f>VLOOKUP(U53,Sheet1!$B$6:$C$45,2,FALSE)*V53</f>
        <v>0</v>
      </c>
      <c r="X53" s="174"/>
      <c r="Y53" s="175" t="s">
        <v>292</v>
      </c>
      <c r="Z53" s="168">
        <f>VLOOKUP(Takeoffs!Y53,Sheet1!$B$6:$C$124,2,FALSE)</f>
        <v>0</v>
      </c>
      <c r="AA53" s="168">
        <f t="shared" si="15"/>
        <v>0</v>
      </c>
      <c r="AB53" s="176">
        <f t="shared" si="16"/>
        <v>0</v>
      </c>
      <c r="AC53" s="174">
        <f t="shared" si="21"/>
        <v>0</v>
      </c>
      <c r="AD53" s="174">
        <v>1</v>
      </c>
      <c r="AE53" s="174"/>
      <c r="AF53" s="175" t="s">
        <v>292</v>
      </c>
      <c r="AG53" s="168">
        <f>VLOOKUP(Takeoffs!AF53,Sheet1!$B$6:$C$124,2,FALSE)</f>
        <v>0</v>
      </c>
      <c r="AH53" s="168">
        <f t="shared" si="17"/>
        <v>0</v>
      </c>
      <c r="AI53" s="176">
        <f t="shared" si="18"/>
        <v>0</v>
      </c>
      <c r="AJ53" s="174">
        <f t="shared" si="19"/>
        <v>0</v>
      </c>
      <c r="AK53" s="174"/>
      <c r="AL53" s="141"/>
      <c r="AO53" s="286"/>
      <c r="AP53" s="284">
        <f t="shared" si="7"/>
        <v>0</v>
      </c>
      <c r="AQ53" s="281">
        <f t="shared" si="8"/>
        <v>0</v>
      </c>
      <c r="AR53" s="284">
        <f t="shared" si="9"/>
        <v>0</v>
      </c>
      <c r="AS53" s="281">
        <f t="shared" si="10"/>
        <v>0</v>
      </c>
      <c r="AT53" s="284">
        <f t="shared" si="11"/>
        <v>0</v>
      </c>
    </row>
    <row r="54" spans="1:46" s="114" customFormat="1" ht="30.9" x14ac:dyDescent="0.8">
      <c r="A54" s="262">
        <f>ROW()</f>
        <v>54</v>
      </c>
      <c r="C54" s="208"/>
      <c r="D54" s="208"/>
      <c r="E54" s="208"/>
      <c r="F54" s="208"/>
      <c r="G54" s="208"/>
      <c r="H54" s="208"/>
      <c r="J54" s="114" t="str">
        <f t="shared" si="20"/>
        <v/>
      </c>
      <c r="K54" s="114" t="str">
        <f>IF(COUNTBLANK(R54)&gt;0,"",CONCATENATE(R54," for ",N43))</f>
        <v/>
      </c>
      <c r="N54" s="123" t="s">
        <v>123</v>
      </c>
      <c r="O54" s="66"/>
      <c r="P54" s="175"/>
      <c r="Q54" s="175"/>
      <c r="R54" s="175"/>
      <c r="S54" s="174">
        <f>M43</f>
        <v>0</v>
      </c>
      <c r="T54" s="172"/>
      <c r="U54" s="175" t="s">
        <v>292</v>
      </c>
      <c r="V54" s="174">
        <f t="shared" si="14"/>
        <v>0</v>
      </c>
      <c r="W54" s="174">
        <f>VLOOKUP(U54,Sheet1!$B$6:$C$45,2,FALSE)*V54</f>
        <v>0</v>
      </c>
      <c r="X54" s="174"/>
      <c r="Y54" s="175" t="s">
        <v>292</v>
      </c>
      <c r="Z54" s="168">
        <f>VLOOKUP(Takeoffs!Y54,Sheet1!$B$6:$C$124,2,FALSE)</f>
        <v>0</v>
      </c>
      <c r="AA54" s="168">
        <f t="shared" si="15"/>
        <v>0</v>
      </c>
      <c r="AB54" s="176">
        <f t="shared" si="16"/>
        <v>0</v>
      </c>
      <c r="AC54" s="174">
        <f t="shared" si="21"/>
        <v>0</v>
      </c>
      <c r="AD54" s="174">
        <v>1</v>
      </c>
      <c r="AE54" s="174"/>
      <c r="AF54" s="175" t="s">
        <v>292</v>
      </c>
      <c r="AG54" s="168">
        <f>VLOOKUP(Takeoffs!AF54,Sheet1!$B$6:$C$124,2,FALSE)</f>
        <v>0</v>
      </c>
      <c r="AH54" s="168">
        <f t="shared" si="17"/>
        <v>0</v>
      </c>
      <c r="AI54" s="176">
        <f t="shared" si="18"/>
        <v>0</v>
      </c>
      <c r="AJ54" s="174">
        <f t="shared" si="19"/>
        <v>0</v>
      </c>
      <c r="AK54" s="174"/>
      <c r="AL54" s="141"/>
      <c r="AO54" s="286"/>
      <c r="AP54" s="284">
        <f t="shared" si="7"/>
        <v>0</v>
      </c>
      <c r="AQ54" s="281">
        <f t="shared" si="8"/>
        <v>0</v>
      </c>
      <c r="AR54" s="284">
        <f t="shared" si="9"/>
        <v>0</v>
      </c>
      <c r="AS54" s="281">
        <f t="shared" si="10"/>
        <v>0</v>
      </c>
      <c r="AT54" s="284">
        <f t="shared" si="11"/>
        <v>0</v>
      </c>
    </row>
    <row r="55" spans="1:46" s="114" customFormat="1" ht="30.9" x14ac:dyDescent="0.8">
      <c r="A55" s="262">
        <f>ROW()</f>
        <v>55</v>
      </c>
      <c r="C55" s="208"/>
      <c r="D55" s="208"/>
      <c r="E55" s="208"/>
      <c r="F55" s="208"/>
      <c r="G55" s="208"/>
      <c r="H55" s="208"/>
      <c r="J55" s="114" t="str">
        <f t="shared" si="20"/>
        <v/>
      </c>
      <c r="K55" s="114" t="str">
        <f>IF(COUNTBLANK(R55)&gt;0,"",CONCATENATE(R55," for ",N43))</f>
        <v/>
      </c>
      <c r="N55" s="123" t="s">
        <v>124</v>
      </c>
      <c r="O55" s="66"/>
      <c r="P55" s="175"/>
      <c r="Q55" s="175"/>
      <c r="R55" s="175"/>
      <c r="S55" s="174">
        <f>M43</f>
        <v>0</v>
      </c>
      <c r="T55" s="172"/>
      <c r="U55" s="175" t="s">
        <v>292</v>
      </c>
      <c r="V55" s="174">
        <f t="shared" si="14"/>
        <v>0</v>
      </c>
      <c r="W55" s="174">
        <f>VLOOKUP(U55,Sheet1!$B$6:$C$45,2,FALSE)*V55</f>
        <v>0</v>
      </c>
      <c r="X55" s="174"/>
      <c r="Y55" s="175" t="s">
        <v>292</v>
      </c>
      <c r="Z55" s="168">
        <f>VLOOKUP(Takeoffs!Y55,Sheet1!$B$6:$C$124,2,FALSE)</f>
        <v>0</v>
      </c>
      <c r="AA55" s="168">
        <f t="shared" si="15"/>
        <v>0</v>
      </c>
      <c r="AB55" s="176">
        <f t="shared" si="16"/>
        <v>0</v>
      </c>
      <c r="AC55" s="174">
        <f t="shared" si="21"/>
        <v>0</v>
      </c>
      <c r="AD55" s="174">
        <v>1</v>
      </c>
      <c r="AE55" s="174"/>
      <c r="AF55" s="175" t="s">
        <v>292</v>
      </c>
      <c r="AG55" s="168">
        <f>VLOOKUP(Takeoffs!AF55,Sheet1!$B$6:$C$124,2,FALSE)</f>
        <v>0</v>
      </c>
      <c r="AH55" s="168">
        <f t="shared" si="17"/>
        <v>0</v>
      </c>
      <c r="AI55" s="176">
        <f t="shared" si="18"/>
        <v>0</v>
      </c>
      <c r="AJ55" s="174">
        <f t="shared" si="19"/>
        <v>0</v>
      </c>
      <c r="AK55" s="174"/>
      <c r="AL55" s="141"/>
      <c r="AO55" s="286"/>
      <c r="AP55" s="284">
        <f t="shared" si="7"/>
        <v>0</v>
      </c>
      <c r="AQ55" s="281">
        <f t="shared" si="8"/>
        <v>0</v>
      </c>
      <c r="AR55" s="284">
        <f t="shared" si="9"/>
        <v>0</v>
      </c>
      <c r="AS55" s="281">
        <f t="shared" si="10"/>
        <v>0</v>
      </c>
      <c r="AT55" s="284">
        <f t="shared" si="11"/>
        <v>0</v>
      </c>
    </row>
    <row r="56" spans="1:46" s="114" customFormat="1" ht="30.9" x14ac:dyDescent="0.8">
      <c r="A56" s="262">
        <f>ROW()</f>
        <v>56</v>
      </c>
      <c r="C56" s="208"/>
      <c r="D56" s="208"/>
      <c r="E56" s="208"/>
      <c r="F56" s="208"/>
      <c r="G56" s="208"/>
      <c r="H56" s="208"/>
      <c r="J56" s="114" t="str">
        <f t="shared" si="20"/>
        <v/>
      </c>
      <c r="K56" s="114" t="str">
        <f>IF(COUNTBLANK(R56)&gt;0,"",CONCATENATE(R56," for ",N43))</f>
        <v/>
      </c>
      <c r="N56" s="123" t="s">
        <v>125</v>
      </c>
      <c r="O56" s="66"/>
      <c r="P56" s="175"/>
      <c r="Q56" s="175"/>
      <c r="R56" s="175"/>
      <c r="S56" s="174">
        <f>M43</f>
        <v>0</v>
      </c>
      <c r="T56" s="172"/>
      <c r="U56" s="175" t="s">
        <v>292</v>
      </c>
      <c r="V56" s="174">
        <f t="shared" si="14"/>
        <v>0</v>
      </c>
      <c r="W56" s="174">
        <f>VLOOKUP(U56,Sheet1!$B$6:$C$45,2,FALSE)*V56</f>
        <v>0</v>
      </c>
      <c r="X56" s="174"/>
      <c r="Y56" s="175" t="s">
        <v>292</v>
      </c>
      <c r="Z56" s="168">
        <f>VLOOKUP(Takeoffs!Y56,Sheet1!$B$6:$C$124,2,FALSE)</f>
        <v>0</v>
      </c>
      <c r="AA56" s="168">
        <f t="shared" si="15"/>
        <v>0</v>
      </c>
      <c r="AB56" s="176">
        <f t="shared" si="16"/>
        <v>0</v>
      </c>
      <c r="AC56" s="174">
        <f t="shared" si="21"/>
        <v>0</v>
      </c>
      <c r="AD56" s="174">
        <v>1</v>
      </c>
      <c r="AE56" s="174"/>
      <c r="AF56" s="175" t="s">
        <v>292</v>
      </c>
      <c r="AG56" s="168">
        <f>VLOOKUP(Takeoffs!AF56,Sheet1!$B$6:$C$124,2,FALSE)</f>
        <v>0</v>
      </c>
      <c r="AH56" s="168">
        <f t="shared" si="17"/>
        <v>0</v>
      </c>
      <c r="AI56" s="176">
        <f t="shared" si="18"/>
        <v>0</v>
      </c>
      <c r="AJ56" s="174">
        <f t="shared" si="19"/>
        <v>0</v>
      </c>
      <c r="AK56" s="174"/>
      <c r="AL56" s="141"/>
      <c r="AO56" s="286"/>
      <c r="AP56" s="284">
        <f t="shared" si="7"/>
        <v>0</v>
      </c>
      <c r="AQ56" s="281">
        <f t="shared" si="8"/>
        <v>0</v>
      </c>
      <c r="AR56" s="284">
        <f t="shared" si="9"/>
        <v>0</v>
      </c>
      <c r="AS56" s="281">
        <f t="shared" si="10"/>
        <v>0</v>
      </c>
      <c r="AT56" s="284">
        <f t="shared" si="11"/>
        <v>0</v>
      </c>
    </row>
    <row r="57" spans="1:46" s="114" customFormat="1" ht="30.9" x14ac:dyDescent="0.8">
      <c r="A57" s="262">
        <f>ROW()</f>
        <v>57</v>
      </c>
      <c r="C57" s="208"/>
      <c r="D57" s="208"/>
      <c r="E57" s="208"/>
      <c r="F57" s="208"/>
      <c r="G57" s="208"/>
      <c r="H57" s="208"/>
      <c r="J57" s="114" t="str">
        <f t="shared" si="20"/>
        <v/>
      </c>
      <c r="K57" s="114" t="str">
        <f>IF(COUNTBLANK(R57)&gt;0,"",CONCATENATE(R57," for ",N43))</f>
        <v/>
      </c>
      <c r="N57" s="123" t="s">
        <v>126</v>
      </c>
      <c r="O57" s="66"/>
      <c r="P57" s="175"/>
      <c r="Q57" s="175"/>
      <c r="R57" s="175"/>
      <c r="S57" s="174">
        <f>M43</f>
        <v>0</v>
      </c>
      <c r="T57" s="172"/>
      <c r="U57" s="175" t="s">
        <v>292</v>
      </c>
      <c r="V57" s="174">
        <f t="shared" si="14"/>
        <v>0</v>
      </c>
      <c r="W57" s="174">
        <f>VLOOKUP(U57,Sheet1!$B$6:$C$45,2,FALSE)*V57</f>
        <v>0</v>
      </c>
      <c r="X57" s="174"/>
      <c r="Y57" s="175" t="s">
        <v>292</v>
      </c>
      <c r="Z57" s="168">
        <f>VLOOKUP(Takeoffs!Y57,Sheet1!$B$6:$C$124,2,FALSE)</f>
        <v>0</v>
      </c>
      <c r="AA57" s="168">
        <f t="shared" si="15"/>
        <v>0</v>
      </c>
      <c r="AB57" s="176">
        <f t="shared" si="16"/>
        <v>0</v>
      </c>
      <c r="AC57" s="174">
        <f t="shared" si="21"/>
        <v>0</v>
      </c>
      <c r="AD57" s="174">
        <v>1</v>
      </c>
      <c r="AE57" s="174"/>
      <c r="AF57" s="175" t="s">
        <v>292</v>
      </c>
      <c r="AG57" s="168">
        <f>VLOOKUP(Takeoffs!AF57,Sheet1!$B$6:$C$124,2,FALSE)</f>
        <v>0</v>
      </c>
      <c r="AH57" s="168">
        <f t="shared" si="17"/>
        <v>0</v>
      </c>
      <c r="AI57" s="176">
        <f t="shared" si="18"/>
        <v>0</v>
      </c>
      <c r="AJ57" s="174">
        <f t="shared" si="19"/>
        <v>0</v>
      </c>
      <c r="AK57" s="174"/>
      <c r="AL57" s="141"/>
      <c r="AO57" s="286"/>
      <c r="AP57" s="284">
        <f t="shared" si="7"/>
        <v>0</v>
      </c>
      <c r="AQ57" s="281">
        <f t="shared" si="8"/>
        <v>0</v>
      </c>
      <c r="AR57" s="284">
        <f t="shared" si="9"/>
        <v>0</v>
      </c>
      <c r="AS57" s="281">
        <f t="shared" si="10"/>
        <v>0</v>
      </c>
      <c r="AT57" s="284">
        <f t="shared" si="11"/>
        <v>0</v>
      </c>
    </row>
    <row r="58" spans="1:46" s="114" customFormat="1" ht="30.9" x14ac:dyDescent="0.8">
      <c r="A58" s="262">
        <f>ROW()</f>
        <v>58</v>
      </c>
      <c r="C58" s="208"/>
      <c r="D58" s="208"/>
      <c r="E58" s="208"/>
      <c r="F58" s="208"/>
      <c r="G58" s="208"/>
      <c r="H58" s="208"/>
      <c r="J58" s="114" t="str">
        <f t="shared" si="20"/>
        <v/>
      </c>
      <c r="K58" s="114" t="str">
        <f>IF(COUNTBLANK(R58)&gt;0,"",CONCATENATE(R58," for ",N43))</f>
        <v/>
      </c>
      <c r="N58" s="123" t="s">
        <v>127</v>
      </c>
      <c r="O58" s="66"/>
      <c r="P58" s="175"/>
      <c r="Q58" s="175"/>
      <c r="R58" s="175"/>
      <c r="S58" s="174">
        <f>M43</f>
        <v>0</v>
      </c>
      <c r="T58" s="172"/>
      <c r="U58" s="175" t="s">
        <v>292</v>
      </c>
      <c r="V58" s="174">
        <f t="shared" si="14"/>
        <v>0</v>
      </c>
      <c r="W58" s="174">
        <f>VLOOKUP(U58,Sheet1!$B$6:$C$45,2,FALSE)*V58</f>
        <v>0</v>
      </c>
      <c r="X58" s="174"/>
      <c r="Y58" s="175" t="s">
        <v>292</v>
      </c>
      <c r="Z58" s="168">
        <f>VLOOKUP(Takeoffs!Y58,Sheet1!$B$6:$C$124,2,FALSE)</f>
        <v>0</v>
      </c>
      <c r="AA58" s="168">
        <f t="shared" si="15"/>
        <v>0</v>
      </c>
      <c r="AB58" s="176">
        <f t="shared" si="16"/>
        <v>0</v>
      </c>
      <c r="AC58" s="174">
        <f t="shared" si="21"/>
        <v>0</v>
      </c>
      <c r="AD58" s="174">
        <v>2</v>
      </c>
      <c r="AE58" s="174"/>
      <c r="AF58" s="175" t="s">
        <v>292</v>
      </c>
      <c r="AG58" s="168">
        <f>VLOOKUP(Takeoffs!AF58,Sheet1!$B$6:$C$124,2,FALSE)</f>
        <v>0</v>
      </c>
      <c r="AH58" s="168">
        <f t="shared" si="17"/>
        <v>0</v>
      </c>
      <c r="AI58" s="176">
        <f t="shared" si="18"/>
        <v>0</v>
      </c>
      <c r="AJ58" s="174">
        <f t="shared" si="19"/>
        <v>0</v>
      </c>
      <c r="AK58" s="174"/>
      <c r="AL58" s="141"/>
      <c r="AO58" s="286"/>
      <c r="AP58" s="284">
        <f t="shared" si="7"/>
        <v>0</v>
      </c>
      <c r="AQ58" s="281">
        <f t="shared" si="8"/>
        <v>0</v>
      </c>
      <c r="AR58" s="284">
        <f t="shared" si="9"/>
        <v>0</v>
      </c>
      <c r="AS58" s="281">
        <f t="shared" si="10"/>
        <v>0</v>
      </c>
      <c r="AT58" s="284">
        <f t="shared" si="11"/>
        <v>0</v>
      </c>
    </row>
    <row r="59" spans="1:46" s="114" customFormat="1" ht="30.9" x14ac:dyDescent="0.8">
      <c r="A59" s="262">
        <f>ROW()</f>
        <v>59</v>
      </c>
      <c r="C59" s="208"/>
      <c r="D59" s="208"/>
      <c r="E59" s="208"/>
      <c r="F59" s="208"/>
      <c r="G59" s="208"/>
      <c r="H59" s="208"/>
      <c r="J59" s="114" t="str">
        <f t="shared" si="20"/>
        <v/>
      </c>
      <c r="K59" s="114" t="str">
        <f>IF(COUNTBLANK(R59)&gt;0,"",CONCATENATE(R59," for ",N43))</f>
        <v/>
      </c>
      <c r="N59" s="123" t="s">
        <v>128</v>
      </c>
      <c r="O59" s="66"/>
      <c r="P59" s="175"/>
      <c r="Q59" s="175"/>
      <c r="R59" s="175"/>
      <c r="S59" s="174">
        <f>M43</f>
        <v>0</v>
      </c>
      <c r="T59" s="172"/>
      <c r="U59" s="175" t="s">
        <v>292</v>
      </c>
      <c r="V59" s="174">
        <f t="shared" si="14"/>
        <v>0</v>
      </c>
      <c r="W59" s="174">
        <f>VLOOKUP(U59,Sheet1!$B$6:$C$45,2,FALSE)*V59</f>
        <v>0</v>
      </c>
      <c r="X59" s="174"/>
      <c r="Y59" s="175" t="s">
        <v>292</v>
      </c>
      <c r="Z59" s="168">
        <f>VLOOKUP(Takeoffs!Y59,Sheet1!$B$6:$C$124,2,FALSE)</f>
        <v>0</v>
      </c>
      <c r="AA59" s="168">
        <f t="shared" si="15"/>
        <v>0</v>
      </c>
      <c r="AB59" s="176">
        <f t="shared" si="16"/>
        <v>0</v>
      </c>
      <c r="AC59" s="174">
        <f t="shared" si="21"/>
        <v>0</v>
      </c>
      <c r="AD59" s="174">
        <v>1</v>
      </c>
      <c r="AE59" s="174"/>
      <c r="AF59" s="175" t="s">
        <v>292</v>
      </c>
      <c r="AG59" s="168">
        <f>VLOOKUP(Takeoffs!AF59,Sheet1!$B$6:$C$124,2,FALSE)</f>
        <v>0</v>
      </c>
      <c r="AH59" s="168">
        <f t="shared" si="17"/>
        <v>0</v>
      </c>
      <c r="AI59" s="176">
        <f t="shared" si="18"/>
        <v>0</v>
      </c>
      <c r="AJ59" s="174">
        <f t="shared" si="19"/>
        <v>0</v>
      </c>
      <c r="AK59" s="174"/>
      <c r="AL59" s="141"/>
      <c r="AO59" s="286"/>
      <c r="AP59" s="284">
        <f t="shared" si="7"/>
        <v>0</v>
      </c>
      <c r="AQ59" s="281">
        <f t="shared" si="8"/>
        <v>0</v>
      </c>
      <c r="AR59" s="284">
        <f t="shared" si="9"/>
        <v>0</v>
      </c>
      <c r="AS59" s="281">
        <f t="shared" si="10"/>
        <v>0</v>
      </c>
      <c r="AT59" s="284">
        <f t="shared" si="11"/>
        <v>0</v>
      </c>
    </row>
    <row r="60" spans="1:46" s="114" customFormat="1" ht="30.9" x14ac:dyDescent="0.8">
      <c r="A60" s="262">
        <f>ROW()</f>
        <v>60</v>
      </c>
      <c r="C60" s="208"/>
      <c r="D60" s="208"/>
      <c r="E60" s="208"/>
      <c r="F60" s="208"/>
      <c r="G60" s="208"/>
      <c r="H60" s="208"/>
      <c r="J60" s="114" t="str">
        <f t="shared" si="20"/>
        <v/>
      </c>
      <c r="K60" s="114" t="str">
        <f>IF(COUNTBLANK(R60)&gt;0,"",CONCATENATE(R60," for ",N43))</f>
        <v/>
      </c>
      <c r="N60" s="123" t="s">
        <v>129</v>
      </c>
      <c r="O60" s="66"/>
      <c r="P60" s="175"/>
      <c r="Q60" s="175"/>
      <c r="R60" s="175"/>
      <c r="S60" s="174">
        <f>M43</f>
        <v>0</v>
      </c>
      <c r="T60" s="172"/>
      <c r="U60" s="175" t="s">
        <v>292</v>
      </c>
      <c r="V60" s="174">
        <f t="shared" si="14"/>
        <v>0</v>
      </c>
      <c r="W60" s="174">
        <f>VLOOKUP(U60,Sheet1!$B$6:$C$45,2,FALSE)*V60</f>
        <v>0</v>
      </c>
      <c r="X60" s="174"/>
      <c r="Y60" s="175" t="s">
        <v>292</v>
      </c>
      <c r="Z60" s="168">
        <f>VLOOKUP(Takeoffs!Y60,Sheet1!$B$6:$C$124,2,FALSE)</f>
        <v>0</v>
      </c>
      <c r="AA60" s="168">
        <f t="shared" si="15"/>
        <v>0</v>
      </c>
      <c r="AB60" s="176">
        <f t="shared" si="16"/>
        <v>0</v>
      </c>
      <c r="AC60" s="174">
        <f t="shared" si="21"/>
        <v>0</v>
      </c>
      <c r="AD60" s="174">
        <v>1</v>
      </c>
      <c r="AE60" s="174"/>
      <c r="AF60" s="175" t="s">
        <v>292</v>
      </c>
      <c r="AG60" s="168">
        <f>VLOOKUP(Takeoffs!AF60,Sheet1!$B$6:$C$124,2,FALSE)</f>
        <v>0</v>
      </c>
      <c r="AH60" s="168">
        <f t="shared" si="17"/>
        <v>0</v>
      </c>
      <c r="AI60" s="176">
        <f t="shared" si="18"/>
        <v>0</v>
      </c>
      <c r="AJ60" s="174">
        <f t="shared" si="19"/>
        <v>0</v>
      </c>
      <c r="AK60" s="174"/>
      <c r="AL60" s="141"/>
      <c r="AO60" s="286"/>
      <c r="AP60" s="284">
        <f t="shared" si="7"/>
        <v>0</v>
      </c>
      <c r="AQ60" s="281">
        <f t="shared" si="8"/>
        <v>0</v>
      </c>
      <c r="AR60" s="284">
        <f t="shared" si="9"/>
        <v>0</v>
      </c>
      <c r="AS60" s="281">
        <f t="shared" si="10"/>
        <v>0</v>
      </c>
      <c r="AT60" s="284">
        <f t="shared" si="11"/>
        <v>0</v>
      </c>
    </row>
    <row r="61" spans="1:46" s="114" customFormat="1" ht="30.9" x14ac:dyDescent="0.8">
      <c r="A61" s="262">
        <f>ROW()</f>
        <v>61</v>
      </c>
      <c r="C61" s="208"/>
      <c r="D61" s="208"/>
      <c r="E61" s="208"/>
      <c r="F61" s="208"/>
      <c r="G61" s="208"/>
      <c r="H61" s="208"/>
      <c r="J61" s="114" t="str">
        <f t="shared" si="20"/>
        <v/>
      </c>
      <c r="K61" s="114" t="str">
        <f>IF(COUNTBLANK(R61)&gt;0,"",CONCATENATE(R61," for ",N43))</f>
        <v/>
      </c>
      <c r="N61" s="123" t="s">
        <v>130</v>
      </c>
      <c r="O61" s="66"/>
      <c r="P61" s="175"/>
      <c r="Q61" s="175"/>
      <c r="R61" s="175"/>
      <c r="S61" s="174">
        <f>M43</f>
        <v>0</v>
      </c>
      <c r="T61" s="172"/>
      <c r="U61" s="175" t="s">
        <v>292</v>
      </c>
      <c r="V61" s="174">
        <f t="shared" si="14"/>
        <v>0</v>
      </c>
      <c r="W61" s="174">
        <f>VLOOKUP(U61,Sheet1!$B$6:$C$45,2,FALSE)*V61</f>
        <v>0</v>
      </c>
      <c r="X61" s="174"/>
      <c r="Y61" s="175" t="s">
        <v>292</v>
      </c>
      <c r="Z61" s="168">
        <f>VLOOKUP(Takeoffs!Y61,Sheet1!$B$6:$C$124,2,FALSE)</f>
        <v>0</v>
      </c>
      <c r="AA61" s="168">
        <f t="shared" si="15"/>
        <v>0</v>
      </c>
      <c r="AB61" s="176">
        <f t="shared" si="16"/>
        <v>0</v>
      </c>
      <c r="AC61" s="174">
        <f t="shared" si="21"/>
        <v>0</v>
      </c>
      <c r="AD61" s="174">
        <v>1</v>
      </c>
      <c r="AE61" s="174"/>
      <c r="AF61" s="175" t="s">
        <v>292</v>
      </c>
      <c r="AG61" s="168">
        <f>VLOOKUP(Takeoffs!AF61,Sheet1!$B$6:$C$124,2,FALSE)</f>
        <v>0</v>
      </c>
      <c r="AH61" s="168">
        <f t="shared" si="17"/>
        <v>0</v>
      </c>
      <c r="AI61" s="176">
        <f t="shared" si="18"/>
        <v>0</v>
      </c>
      <c r="AJ61" s="174">
        <f t="shared" si="19"/>
        <v>0</v>
      </c>
      <c r="AK61" s="174">
        <f>T61</f>
        <v>0</v>
      </c>
      <c r="AL61" s="141"/>
      <c r="AO61" s="286"/>
      <c r="AP61" s="284">
        <f t="shared" si="7"/>
        <v>0</v>
      </c>
      <c r="AQ61" s="281">
        <f t="shared" si="8"/>
        <v>0</v>
      </c>
      <c r="AR61" s="284">
        <f t="shared" si="9"/>
        <v>0</v>
      </c>
      <c r="AS61" s="281">
        <f t="shared" si="10"/>
        <v>0</v>
      </c>
      <c r="AT61" s="284">
        <f t="shared" si="11"/>
        <v>0</v>
      </c>
    </row>
    <row r="62" spans="1:46" s="114" customFormat="1" ht="30.9" x14ac:dyDescent="0.8">
      <c r="A62" s="262">
        <f>ROW()</f>
        <v>62</v>
      </c>
      <c r="C62" s="208"/>
      <c r="D62" s="208"/>
      <c r="E62" s="208"/>
      <c r="F62" s="208"/>
      <c r="G62" s="208"/>
      <c r="H62" s="208"/>
      <c r="J62" s="114" t="str">
        <f t="shared" si="20"/>
        <v/>
      </c>
      <c r="K62" s="114" t="str">
        <f>IF(COUNTBLANK(R62)&gt;0,"",CONCATENATE(R62," for ",N43))</f>
        <v/>
      </c>
      <c r="N62" s="123" t="s">
        <v>131</v>
      </c>
      <c r="O62" s="66"/>
      <c r="P62" s="175"/>
      <c r="Q62" s="175"/>
      <c r="R62" s="175"/>
      <c r="S62" s="174">
        <f>M43</f>
        <v>0</v>
      </c>
      <c r="T62" s="172"/>
      <c r="U62" s="175" t="s">
        <v>292</v>
      </c>
      <c r="V62" s="174">
        <f t="shared" si="14"/>
        <v>0</v>
      </c>
      <c r="W62" s="174">
        <f>VLOOKUP(U62,Sheet1!$B$6:$C$45,2,FALSE)*V62</f>
        <v>0</v>
      </c>
      <c r="X62" s="174"/>
      <c r="Y62" s="175" t="s">
        <v>292</v>
      </c>
      <c r="Z62" s="168">
        <f>VLOOKUP(Takeoffs!Y62,Sheet1!$B$6:$C$124,2,FALSE)</f>
        <v>0</v>
      </c>
      <c r="AA62" s="168">
        <f t="shared" si="15"/>
        <v>0</v>
      </c>
      <c r="AB62" s="176">
        <f t="shared" si="16"/>
        <v>0</v>
      </c>
      <c r="AC62" s="174">
        <f t="shared" si="21"/>
        <v>0</v>
      </c>
      <c r="AD62" s="174">
        <v>1</v>
      </c>
      <c r="AE62" s="174"/>
      <c r="AF62" s="175" t="s">
        <v>292</v>
      </c>
      <c r="AG62" s="168">
        <f>VLOOKUP(Takeoffs!AF62,Sheet1!$B$6:$C$124,2,FALSE)</f>
        <v>0</v>
      </c>
      <c r="AH62" s="168">
        <f t="shared" si="17"/>
        <v>0</v>
      </c>
      <c r="AI62" s="176">
        <f t="shared" si="18"/>
        <v>0</v>
      </c>
      <c r="AJ62" s="174">
        <f t="shared" si="19"/>
        <v>0</v>
      </c>
      <c r="AK62" s="174">
        <f>T62</f>
        <v>0</v>
      </c>
      <c r="AL62" s="141"/>
      <c r="AO62" s="286"/>
      <c r="AP62" s="284">
        <f t="shared" si="7"/>
        <v>0</v>
      </c>
      <c r="AQ62" s="281">
        <f t="shared" si="8"/>
        <v>0</v>
      </c>
      <c r="AR62" s="284">
        <f t="shared" si="9"/>
        <v>0</v>
      </c>
      <c r="AS62" s="281">
        <f t="shared" si="10"/>
        <v>0</v>
      </c>
      <c r="AT62" s="284">
        <f t="shared" si="11"/>
        <v>0</v>
      </c>
    </row>
    <row r="63" spans="1:46" s="114" customFormat="1" ht="30.9" x14ac:dyDescent="0.8">
      <c r="A63" s="262">
        <f>ROW()</f>
        <v>63</v>
      </c>
      <c r="C63" s="208"/>
      <c r="D63" s="208"/>
      <c r="E63" s="208"/>
      <c r="F63" s="208"/>
      <c r="G63" s="208"/>
      <c r="H63" s="208"/>
      <c r="J63" s="114" t="str">
        <f t="shared" si="20"/>
        <v/>
      </c>
      <c r="K63" s="114" t="str">
        <f>IF(COUNTBLANK(R63)&gt;0,"",CONCATENATE(R63," for ",N43))</f>
        <v/>
      </c>
      <c r="N63" s="123" t="s">
        <v>132</v>
      </c>
      <c r="O63" s="66"/>
      <c r="P63" s="175"/>
      <c r="Q63" s="175"/>
      <c r="R63" s="175"/>
      <c r="S63" s="174">
        <f>M43</f>
        <v>0</v>
      </c>
      <c r="T63" s="172"/>
      <c r="U63" s="175" t="s">
        <v>292</v>
      </c>
      <c r="V63" s="174">
        <f t="shared" si="14"/>
        <v>0</v>
      </c>
      <c r="W63" s="174">
        <f>VLOOKUP(U63,Sheet1!$B$6:$C$45,2,FALSE)*V63</f>
        <v>0</v>
      </c>
      <c r="X63" s="174"/>
      <c r="Y63" s="175" t="s">
        <v>292</v>
      </c>
      <c r="Z63" s="168">
        <f>VLOOKUP(Takeoffs!Y63,Sheet1!$B$6:$C$124,2,FALSE)</f>
        <v>0</v>
      </c>
      <c r="AA63" s="168">
        <f t="shared" si="15"/>
        <v>0</v>
      </c>
      <c r="AB63" s="176">
        <f t="shared" si="16"/>
        <v>0</v>
      </c>
      <c r="AC63" s="174">
        <f t="shared" si="21"/>
        <v>0</v>
      </c>
      <c r="AD63" s="174">
        <v>1</v>
      </c>
      <c r="AE63" s="174"/>
      <c r="AF63" s="175" t="s">
        <v>292</v>
      </c>
      <c r="AG63" s="168">
        <f>VLOOKUP(Takeoffs!AF63,Sheet1!$B$6:$C$124,2,FALSE)</f>
        <v>0</v>
      </c>
      <c r="AH63" s="168">
        <f t="shared" si="17"/>
        <v>0</v>
      </c>
      <c r="AI63" s="176">
        <f t="shared" si="18"/>
        <v>0</v>
      </c>
      <c r="AJ63" s="174">
        <f t="shared" si="19"/>
        <v>0</v>
      </c>
      <c r="AK63" s="174">
        <f>T63</f>
        <v>0</v>
      </c>
      <c r="AL63" s="141"/>
      <c r="AO63" s="286"/>
      <c r="AP63" s="284">
        <f t="shared" si="7"/>
        <v>0</v>
      </c>
      <c r="AQ63" s="281">
        <f t="shared" si="8"/>
        <v>0</v>
      </c>
      <c r="AR63" s="284">
        <f t="shared" si="9"/>
        <v>0</v>
      </c>
      <c r="AS63" s="281">
        <f t="shared" si="10"/>
        <v>0</v>
      </c>
      <c r="AT63" s="284">
        <f t="shared" si="11"/>
        <v>0</v>
      </c>
    </row>
    <row r="64" spans="1:46" s="128" customFormat="1" ht="31.5" customHeight="1" x14ac:dyDescent="0.8">
      <c r="A64" s="262">
        <f>ROW()</f>
        <v>64</v>
      </c>
      <c r="C64" s="212"/>
      <c r="D64" s="212"/>
      <c r="E64" s="212"/>
      <c r="F64" s="212"/>
      <c r="G64" s="212"/>
      <c r="H64" s="212"/>
      <c r="J64" s="128" t="s">
        <v>377</v>
      </c>
      <c r="L64" s="128" t="s">
        <v>378</v>
      </c>
      <c r="N64" s="129"/>
      <c r="O64" s="130" t="s">
        <v>357</v>
      </c>
      <c r="P64" s="172">
        <f>P65*M43</f>
        <v>0</v>
      </c>
      <c r="Q64" s="172"/>
      <c r="R64" s="172"/>
      <c r="S64" s="175"/>
      <c r="T64" s="172"/>
      <c r="U64" s="175" t="s">
        <v>351</v>
      </c>
      <c r="V64" s="172">
        <f>W64*80</f>
        <v>0</v>
      </c>
      <c r="W64" s="177">
        <f>SUM(W43:W63)</f>
        <v>0</v>
      </c>
      <c r="X64" s="178"/>
      <c r="Y64" s="172" t="s">
        <v>352</v>
      </c>
      <c r="Z64" s="168"/>
      <c r="AA64" s="168">
        <f>SUM(AA43:AA63)</f>
        <v>0</v>
      </c>
      <c r="AB64" s="179"/>
      <c r="AC64" s="179"/>
      <c r="AD64" s="179"/>
      <c r="AE64" s="179"/>
      <c r="AF64" s="172" t="s">
        <v>356</v>
      </c>
      <c r="AG64" s="168"/>
      <c r="AH64" s="168">
        <f>SUM(AH43:AH63)</f>
        <v>0</v>
      </c>
      <c r="AI64" s="179"/>
      <c r="AJ64" s="179"/>
      <c r="AK64" s="179"/>
      <c r="AL64" s="149"/>
      <c r="AM64" s="150">
        <f>P64</f>
        <v>0</v>
      </c>
      <c r="AO64" s="286"/>
      <c r="AP64" s="284">
        <f t="shared" si="7"/>
        <v>0</v>
      </c>
      <c r="AQ64" s="281">
        <f t="shared" si="8"/>
        <v>0</v>
      </c>
      <c r="AR64" s="284">
        <f t="shared" si="9"/>
        <v>0</v>
      </c>
      <c r="AS64" s="281">
        <f t="shared" si="10"/>
        <v>0</v>
      </c>
      <c r="AT64" s="284">
        <f t="shared" si="11"/>
        <v>0</v>
      </c>
    </row>
    <row r="65" spans="1:97" s="234" customFormat="1" ht="123.45" x14ac:dyDescent="0.8">
      <c r="A65" s="262">
        <f>ROW()</f>
        <v>65</v>
      </c>
      <c r="B65" s="234" t="s">
        <v>491</v>
      </c>
      <c r="C65" s="217" t="str">
        <f>N43</f>
        <v>large-sized weatherproof MSSB</v>
      </c>
      <c r="D65" s="260" t="str">
        <f>IF(B65="Shopping List",IF(ISNUMBER(SEARCH("MSSB",C65)),"MSSB",IF(ISNUMBER(SEARCH("local",C65)),"LOCAL","")))</f>
        <v>MSSB</v>
      </c>
      <c r="E65" s="238"/>
      <c r="F65" s="217"/>
      <c r="G65" s="217"/>
      <c r="H65" s="245"/>
      <c r="I65" s="270"/>
      <c r="J65" s="241" t="str">
        <f>CONCATENATE(O43," ",L43, " (",M43,") ",N43,".", IF(M43&gt;1," Each "," This "),"includes supply and install of ",O44,O45,O46,O47,O48,O49,O50,O51,O52,O53,O54,O55,O56,O57,O58,O59,O60,O61,O62,O63,J44,J45,J46,J47,J48,J49,J50,J51,J52,J53,J54,J55,J56,J57,J58,J59,J60,J61,J62,J63)</f>
        <v xml:space="preserve">Electrical services for Zero (0) large-sized weatherproof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65" s="246">
        <f>P64</f>
        <v>0</v>
      </c>
      <c r="L65" s="234" t="str">
        <f>CONCATENATE(Q44,Q45,Q46,Q47,Q48,Q49,Q50,Q51,Q52,Q53,Q54,Q55,Q56,Q57,Q58,Q59,Q60,Q61,Q62,Q63,)</f>
        <v/>
      </c>
      <c r="M65" s="166" t="s">
        <v>367</v>
      </c>
      <c r="N65" s="160" t="str">
        <f>N43</f>
        <v>large-sized weatherproof MSSB</v>
      </c>
      <c r="O65" s="160" t="s">
        <v>365</v>
      </c>
      <c r="P65" s="64">
        <f>6200+500</f>
        <v>6700</v>
      </c>
      <c r="Q65" s="161"/>
      <c r="R65" s="161"/>
      <c r="S65" s="160"/>
      <c r="T65" s="161"/>
      <c r="U65" s="503" t="s">
        <v>366</v>
      </c>
      <c r="V65" s="503"/>
      <c r="W65" s="162" t="e">
        <f>W64/M43</f>
        <v>#DIV/0!</v>
      </c>
      <c r="X65" s="163"/>
      <c r="Y65" s="501" t="s">
        <v>365</v>
      </c>
      <c r="Z65" s="501"/>
      <c r="AA65" s="164" t="e">
        <f>AA64/M43</f>
        <v>#DIV/0!</v>
      </c>
      <c r="AB65" s="161"/>
      <c r="AC65" s="161"/>
      <c r="AD65" s="161"/>
      <c r="AE65" s="161"/>
      <c r="AF65" s="501" t="s">
        <v>365</v>
      </c>
      <c r="AG65" s="501"/>
      <c r="AH65" s="164" t="e">
        <f>AH64/M43</f>
        <v>#DIV/0!</v>
      </c>
      <c r="AI65" s="161"/>
      <c r="AJ65" s="161"/>
      <c r="AK65" s="161"/>
      <c r="AL65" s="247"/>
      <c r="AM65" s="257"/>
      <c r="AN65" s="236">
        <f>K65*1.25</f>
        <v>0</v>
      </c>
      <c r="AO65" s="286"/>
      <c r="AP65" s="284">
        <f t="shared" si="7"/>
        <v>0</v>
      </c>
      <c r="AQ65" s="281">
        <f t="shared" si="8"/>
        <v>0</v>
      </c>
      <c r="AR65" s="284">
        <f t="shared" si="9"/>
        <v>0</v>
      </c>
      <c r="AS65" s="281">
        <f t="shared" si="10"/>
        <v>0</v>
      </c>
      <c r="AT65" s="284">
        <f t="shared" si="11"/>
        <v>0</v>
      </c>
      <c r="AU65" s="117"/>
      <c r="AV65" s="117"/>
      <c r="AW65" s="117"/>
      <c r="AX65" s="117"/>
      <c r="AY65" s="117"/>
      <c r="AZ65" s="117"/>
      <c r="BA65" s="117"/>
      <c r="BB65" s="117"/>
      <c r="BC65" s="117"/>
      <c r="BD65" s="117"/>
      <c r="BE65" s="117"/>
      <c r="BF65" s="117"/>
      <c r="BG65" s="117"/>
      <c r="BH65" s="117"/>
      <c r="BI65" s="117"/>
      <c r="BJ65" s="117"/>
      <c r="BK65" s="117"/>
      <c r="BL65" s="117"/>
      <c r="BM65" s="117"/>
      <c r="BN65" s="117"/>
      <c r="BO65" s="117"/>
      <c r="BP65" s="117"/>
      <c r="BQ65" s="117"/>
      <c r="BR65" s="117"/>
      <c r="BS65" s="117"/>
      <c r="BT65" s="117"/>
      <c r="BU65" s="117"/>
      <c r="BV65" s="117"/>
      <c r="BW65" s="117"/>
      <c r="BX65" s="117"/>
      <c r="BY65" s="117"/>
      <c r="BZ65" s="117"/>
      <c r="CA65" s="117"/>
      <c r="CB65" s="117"/>
      <c r="CC65" s="117"/>
      <c r="CD65" s="117"/>
      <c r="CE65" s="117"/>
      <c r="CF65" s="117"/>
      <c r="CG65" s="117"/>
      <c r="CH65" s="117"/>
      <c r="CI65" s="117"/>
      <c r="CJ65" s="117"/>
      <c r="CK65" s="117"/>
      <c r="CL65" s="117"/>
      <c r="CM65" s="117"/>
      <c r="CN65" s="117"/>
      <c r="CO65" s="117"/>
      <c r="CP65" s="117"/>
      <c r="CQ65" s="117"/>
      <c r="CR65" s="117"/>
      <c r="CS65" s="117"/>
    </row>
    <row r="66" spans="1:97" s="116" customFormat="1" ht="193.5" customHeight="1" x14ac:dyDescent="0.8">
      <c r="A66" s="262">
        <f>ROW()</f>
        <v>66</v>
      </c>
      <c r="C66" s="211"/>
      <c r="D66" s="211"/>
      <c r="E66" s="211"/>
      <c r="F66" s="211"/>
      <c r="G66" s="211"/>
      <c r="H66" s="211"/>
      <c r="K66" s="116" t="s">
        <v>452</v>
      </c>
      <c r="M66" s="116" t="s">
        <v>107</v>
      </c>
      <c r="N66" s="116" t="s">
        <v>108</v>
      </c>
      <c r="O66" s="170" t="s">
        <v>386</v>
      </c>
      <c r="P66" s="502" t="s">
        <v>375</v>
      </c>
      <c r="Q66" s="502"/>
      <c r="R66" s="101" t="s">
        <v>452</v>
      </c>
      <c r="S66" s="116" t="s">
        <v>0</v>
      </c>
      <c r="T66" s="118"/>
      <c r="U66" s="116" t="s">
        <v>287</v>
      </c>
      <c r="V66" s="116" t="s">
        <v>288</v>
      </c>
      <c r="W66" s="116" t="s">
        <v>291</v>
      </c>
      <c r="X66" s="140"/>
      <c r="Y66" s="116" t="s">
        <v>289</v>
      </c>
      <c r="Z66" s="116" t="s">
        <v>354</v>
      </c>
      <c r="AA66" s="116" t="s">
        <v>355</v>
      </c>
      <c r="AB66" s="116" t="s">
        <v>317</v>
      </c>
      <c r="AC66" s="116" t="s">
        <v>318</v>
      </c>
      <c r="AD66" s="116" t="s">
        <v>316</v>
      </c>
      <c r="AE66" s="140"/>
      <c r="AF66" s="116" t="s">
        <v>293</v>
      </c>
      <c r="AG66" s="116" t="s">
        <v>354</v>
      </c>
      <c r="AH66" s="116" t="s">
        <v>355</v>
      </c>
      <c r="AI66" s="116" t="s">
        <v>296</v>
      </c>
      <c r="AJ66" s="116" t="s">
        <v>294</v>
      </c>
      <c r="AK66" s="116" t="s">
        <v>295</v>
      </c>
      <c r="AL66" s="140"/>
      <c r="AO66" s="288"/>
      <c r="AP66" s="284">
        <f t="shared" si="7"/>
        <v>0</v>
      </c>
      <c r="AQ66" s="281">
        <f t="shared" si="8"/>
        <v>0</v>
      </c>
      <c r="AR66" s="284">
        <f t="shared" si="9"/>
        <v>0</v>
      </c>
      <c r="AS66" s="281">
        <f t="shared" si="10"/>
        <v>0</v>
      </c>
      <c r="AT66" s="284">
        <f t="shared" si="11"/>
        <v>0</v>
      </c>
    </row>
    <row r="67" spans="1:97" s="114" customFormat="1" ht="71.25" customHeight="1" x14ac:dyDescent="0.8">
      <c r="A67" s="262">
        <f>ROW()</f>
        <v>67</v>
      </c>
      <c r="C67" s="208"/>
      <c r="D67" s="208"/>
      <c r="E67" s="208"/>
      <c r="F67" s="208"/>
      <c r="G67" s="208"/>
      <c r="H67" s="208"/>
      <c r="L67" s="124" t="str">
        <f>VLOOKUP(M67,Sheet2!$D$2:$E$1024,2,FALSE)</f>
        <v>Zero</v>
      </c>
      <c r="M67" s="121">
        <f>I89</f>
        <v>0</v>
      </c>
      <c r="N67" s="132" t="s">
        <v>564</v>
      </c>
      <c r="O67" s="121" t="s">
        <v>195</v>
      </c>
      <c r="P67" s="173" t="s">
        <v>379</v>
      </c>
      <c r="Q67" s="173" t="s">
        <v>375</v>
      </c>
      <c r="R67" s="173"/>
      <c r="S67" s="174">
        <f>M67</f>
        <v>0</v>
      </c>
      <c r="T67" s="175"/>
      <c r="U67" s="180" t="s">
        <v>236</v>
      </c>
      <c r="V67" s="174">
        <f>S67</f>
        <v>0</v>
      </c>
      <c r="W67" s="174">
        <f>VLOOKUP(U67,Sheet1!$B$6:$C$45,2,FALSE)*V67</f>
        <v>0</v>
      </c>
      <c r="X67" s="174"/>
      <c r="Y67" s="175" t="s">
        <v>292</v>
      </c>
      <c r="Z67" s="168">
        <f>VLOOKUP(Takeoffs!Y67,Sheet1!$B$6:$C$124,2,FALSE)</f>
        <v>0</v>
      </c>
      <c r="AA67" s="168">
        <f>Z67*AB67</f>
        <v>0</v>
      </c>
      <c r="AB67" s="176">
        <f>AD67*AC67</f>
        <v>0</v>
      </c>
      <c r="AC67" s="174">
        <f>S67</f>
        <v>0</v>
      </c>
      <c r="AD67" s="174">
        <v>1</v>
      </c>
      <c r="AE67" s="174"/>
      <c r="AF67" s="175" t="s">
        <v>292</v>
      </c>
      <c r="AG67" s="168">
        <f>VLOOKUP(Takeoffs!AF67,Sheet1!$B$6:$C$124,2,FALSE)</f>
        <v>0</v>
      </c>
      <c r="AH67" s="168">
        <f>AG67*AI67</f>
        <v>0</v>
      </c>
      <c r="AI67" s="176">
        <f>AK67*AJ67</f>
        <v>0</v>
      </c>
      <c r="AJ67" s="174">
        <f>S67</f>
        <v>0</v>
      </c>
      <c r="AK67" s="174"/>
      <c r="AL67" s="141"/>
      <c r="AO67" s="286"/>
      <c r="AP67" s="284">
        <f t="shared" si="7"/>
        <v>0</v>
      </c>
      <c r="AQ67" s="281">
        <f t="shared" si="8"/>
        <v>0</v>
      </c>
      <c r="AR67" s="284">
        <f t="shared" si="9"/>
        <v>0</v>
      </c>
      <c r="AS67" s="281">
        <f t="shared" si="10"/>
        <v>0</v>
      </c>
      <c r="AT67" s="284">
        <f t="shared" si="11"/>
        <v>0</v>
      </c>
    </row>
    <row r="68" spans="1:97" s="114" customFormat="1" ht="30.9" x14ac:dyDescent="0.8">
      <c r="A68" s="262">
        <f>ROW()</f>
        <v>68</v>
      </c>
      <c r="C68" s="208"/>
      <c r="D68" s="208"/>
      <c r="E68" s="208"/>
      <c r="F68" s="208"/>
      <c r="G68" s="208"/>
      <c r="H68" s="208"/>
      <c r="J68" s="114" t="str">
        <f>IF(COUNTBLANK(Q68)&gt;0,"",CONCATENATE("Coordination Note: - ",P68,": Please refer to our exclusions relating to ",Q68))</f>
        <v/>
      </c>
      <c r="K68" s="114" t="str">
        <f>IF(COUNTBLANK(R68)&gt;0,"",CONCATENATE(R68," for ",N67))</f>
        <v/>
      </c>
      <c r="M68" s="117"/>
      <c r="N68" s="123" t="s">
        <v>113</v>
      </c>
      <c r="O68" s="66" t="s">
        <v>534</v>
      </c>
      <c r="P68" s="175"/>
      <c r="Q68" s="175"/>
      <c r="R68" s="175"/>
      <c r="S68" s="174">
        <f>M67</f>
        <v>0</v>
      </c>
      <c r="T68" s="172"/>
      <c r="U68" s="175" t="s">
        <v>292</v>
      </c>
      <c r="V68" s="174">
        <f t="shared" ref="V68:V87" si="22">S68</f>
        <v>0</v>
      </c>
      <c r="W68" s="174">
        <f>VLOOKUP(U68,Sheet1!$B$6:$C$45,2,FALSE)*V68</f>
        <v>0</v>
      </c>
      <c r="X68" s="174"/>
      <c r="Y68" s="180" t="s">
        <v>417</v>
      </c>
      <c r="Z68" s="168">
        <f>VLOOKUP(Takeoffs!Y68,Sheet1!$B$6:$C$124,2,FALSE)</f>
        <v>586.15199999999993</v>
      </c>
      <c r="AA68" s="168">
        <f t="shared" ref="AA68:AA87" si="23">Z68*AB68</f>
        <v>0</v>
      </c>
      <c r="AB68" s="176">
        <f t="shared" ref="AB68:AB87" si="24">AD68*AC68</f>
        <v>0</v>
      </c>
      <c r="AC68" s="174">
        <f t="shared" ref="AC68:AC87" si="25">S68</f>
        <v>0</v>
      </c>
      <c r="AD68" s="174">
        <v>1</v>
      </c>
      <c r="AE68" s="174"/>
      <c r="AF68" s="175" t="s">
        <v>292</v>
      </c>
      <c r="AG68" s="168">
        <f>VLOOKUP(Takeoffs!AF68,Sheet1!$B$6:$C$124,2,FALSE)</f>
        <v>0</v>
      </c>
      <c r="AH68" s="168">
        <f t="shared" ref="AH68:AH87" si="26">AG68*AI68</f>
        <v>0</v>
      </c>
      <c r="AI68" s="176">
        <f t="shared" ref="AI68:AI87" si="27">AK68*AJ68</f>
        <v>0</v>
      </c>
      <c r="AJ68" s="174">
        <f t="shared" ref="AJ68:AJ87" si="28">S68</f>
        <v>0</v>
      </c>
      <c r="AK68" s="174"/>
      <c r="AL68" s="141"/>
      <c r="AO68" s="286"/>
      <c r="AP68" s="284">
        <f t="shared" si="7"/>
        <v>0</v>
      </c>
      <c r="AQ68" s="281">
        <f t="shared" si="8"/>
        <v>0</v>
      </c>
      <c r="AR68" s="284">
        <f t="shared" si="9"/>
        <v>0</v>
      </c>
      <c r="AS68" s="281">
        <f t="shared" si="10"/>
        <v>0</v>
      </c>
      <c r="AT68" s="284">
        <f t="shared" si="11"/>
        <v>0</v>
      </c>
    </row>
    <row r="69" spans="1:97" s="114" customFormat="1" ht="30.9" x14ac:dyDescent="0.8">
      <c r="A69" s="262">
        <f>ROW()</f>
        <v>69</v>
      </c>
      <c r="C69" s="208"/>
      <c r="D69" s="208"/>
      <c r="E69" s="208"/>
      <c r="F69" s="208"/>
      <c r="G69" s="208"/>
      <c r="H69" s="208"/>
      <c r="J69" s="114" t="str">
        <f t="shared" ref="J69:J87" si="29">IF(COUNTBLANK(Q69)&gt;0,"",CONCATENATE("Coordination Note: - ",P69,": Please refer to our exclusions relating to ",Q69))</f>
        <v/>
      </c>
      <c r="K69" s="114" t="str">
        <f>IF(COUNTBLANK(R69)&gt;0,"",CONCATENATE(R69," for ",N67))</f>
        <v/>
      </c>
      <c r="M69" s="117"/>
      <c r="N69" s="123" t="s">
        <v>114</v>
      </c>
      <c r="O69" s="66" t="s">
        <v>399</v>
      </c>
      <c r="P69" s="175"/>
      <c r="Q69" s="175"/>
      <c r="R69" s="175"/>
      <c r="S69" s="174">
        <f>M67</f>
        <v>0</v>
      </c>
      <c r="T69" s="172"/>
      <c r="U69" s="175" t="s">
        <v>292</v>
      </c>
      <c r="V69" s="174">
        <f t="shared" si="22"/>
        <v>0</v>
      </c>
      <c r="W69" s="174">
        <f>VLOOKUP(U69,Sheet1!$B$6:$C$45,2,FALSE)*V69</f>
        <v>0</v>
      </c>
      <c r="X69" s="174"/>
      <c r="Y69" s="175" t="s">
        <v>292</v>
      </c>
      <c r="Z69" s="168">
        <f>VLOOKUP(Takeoffs!Y69,Sheet1!$B$6:$C$124,2,FALSE)</f>
        <v>0</v>
      </c>
      <c r="AA69" s="168">
        <f t="shared" si="23"/>
        <v>0</v>
      </c>
      <c r="AB69" s="176">
        <f t="shared" si="24"/>
        <v>0</v>
      </c>
      <c r="AC69" s="174">
        <f t="shared" si="25"/>
        <v>0</v>
      </c>
      <c r="AD69" s="174">
        <v>1</v>
      </c>
      <c r="AE69" s="174"/>
      <c r="AF69" s="175" t="s">
        <v>292</v>
      </c>
      <c r="AG69" s="168">
        <f>VLOOKUP(Takeoffs!AF69,Sheet1!$B$6:$C$124,2,FALSE)</f>
        <v>0</v>
      </c>
      <c r="AH69" s="168">
        <f t="shared" si="26"/>
        <v>0</v>
      </c>
      <c r="AI69" s="176">
        <f t="shared" si="27"/>
        <v>0</v>
      </c>
      <c r="AJ69" s="174">
        <f t="shared" si="28"/>
        <v>0</v>
      </c>
      <c r="AK69" s="174"/>
      <c r="AL69" s="141"/>
      <c r="AO69" s="286"/>
      <c r="AP69" s="284">
        <f t="shared" si="7"/>
        <v>0</v>
      </c>
      <c r="AQ69" s="281">
        <f t="shared" si="8"/>
        <v>0</v>
      </c>
      <c r="AR69" s="284">
        <f t="shared" si="9"/>
        <v>0</v>
      </c>
      <c r="AS69" s="281">
        <f t="shared" si="10"/>
        <v>0</v>
      </c>
      <c r="AT69" s="284">
        <f t="shared" si="11"/>
        <v>0</v>
      </c>
    </row>
    <row r="70" spans="1:97" s="114" customFormat="1" ht="30.9" x14ac:dyDescent="0.8">
      <c r="A70" s="262">
        <f>ROW()</f>
        <v>70</v>
      </c>
      <c r="C70" s="208"/>
      <c r="D70" s="208"/>
      <c r="E70" s="208"/>
      <c r="F70" s="208"/>
      <c r="G70" s="208"/>
      <c r="H70" s="208"/>
      <c r="J70" s="114" t="str">
        <f t="shared" si="29"/>
        <v/>
      </c>
      <c r="K70" s="114" t="str">
        <f>IF(COUNTBLANK(R70)&gt;0,"",CONCATENATE(R70," for ",N67))</f>
        <v/>
      </c>
      <c r="M70" s="117"/>
      <c r="N70" s="123" t="s">
        <v>115</v>
      </c>
      <c r="O70" s="66" t="s">
        <v>400</v>
      </c>
      <c r="P70" s="175"/>
      <c r="Q70" s="175"/>
      <c r="R70" s="175"/>
      <c r="S70" s="174">
        <f>M67</f>
        <v>0</v>
      </c>
      <c r="T70" s="172"/>
      <c r="U70" s="175" t="s">
        <v>292</v>
      </c>
      <c r="V70" s="174">
        <f t="shared" si="22"/>
        <v>0</v>
      </c>
      <c r="W70" s="174">
        <f>VLOOKUP(U70,Sheet1!$B$6:$C$45,2,FALSE)*V70</f>
        <v>0</v>
      </c>
      <c r="X70" s="174"/>
      <c r="Y70" s="175" t="s">
        <v>292</v>
      </c>
      <c r="Z70" s="168">
        <f>VLOOKUP(Takeoffs!Y70,Sheet1!$B$6:$C$124,2,FALSE)</f>
        <v>0</v>
      </c>
      <c r="AA70" s="168">
        <f t="shared" si="23"/>
        <v>0</v>
      </c>
      <c r="AB70" s="176">
        <f t="shared" si="24"/>
        <v>0</v>
      </c>
      <c r="AC70" s="174">
        <f t="shared" si="25"/>
        <v>0</v>
      </c>
      <c r="AD70" s="174">
        <v>1</v>
      </c>
      <c r="AE70" s="174"/>
      <c r="AF70" s="175" t="s">
        <v>292</v>
      </c>
      <c r="AG70" s="168">
        <f>VLOOKUP(Takeoffs!AF70,Sheet1!$B$6:$C$124,2,FALSE)</f>
        <v>0</v>
      </c>
      <c r="AH70" s="168">
        <f t="shared" si="26"/>
        <v>0</v>
      </c>
      <c r="AI70" s="176">
        <f t="shared" si="27"/>
        <v>0</v>
      </c>
      <c r="AJ70" s="174">
        <f t="shared" si="28"/>
        <v>0</v>
      </c>
      <c r="AK70" s="174"/>
      <c r="AL70" s="141"/>
      <c r="AO70" s="286"/>
      <c r="AP70" s="284">
        <f t="shared" si="7"/>
        <v>0</v>
      </c>
      <c r="AQ70" s="281">
        <f t="shared" si="8"/>
        <v>0</v>
      </c>
      <c r="AR70" s="284">
        <f t="shared" si="9"/>
        <v>0</v>
      </c>
      <c r="AS70" s="281">
        <f t="shared" si="10"/>
        <v>0</v>
      </c>
      <c r="AT70" s="284">
        <f t="shared" si="11"/>
        <v>0</v>
      </c>
    </row>
    <row r="71" spans="1:97" s="114" customFormat="1" ht="30.9" x14ac:dyDescent="0.8">
      <c r="A71" s="262">
        <f>ROW()</f>
        <v>71</v>
      </c>
      <c r="C71" s="208"/>
      <c r="D71" s="208"/>
      <c r="E71" s="208"/>
      <c r="F71" s="208"/>
      <c r="G71" s="208"/>
      <c r="H71" s="208"/>
      <c r="J71" s="114" t="str">
        <f t="shared" si="29"/>
        <v/>
      </c>
      <c r="K71" s="114" t="str">
        <f>IF(COUNTBLANK(R71)&gt;0,"",CONCATENATE(R71," for ",N67))</f>
        <v/>
      </c>
      <c r="M71" s="117"/>
      <c r="N71" s="123" t="s">
        <v>116</v>
      </c>
      <c r="O71" s="66" t="s">
        <v>401</v>
      </c>
      <c r="P71" s="175"/>
      <c r="Q71" s="175"/>
      <c r="R71" s="175"/>
      <c r="S71" s="174">
        <f>M67</f>
        <v>0</v>
      </c>
      <c r="T71" s="172"/>
      <c r="U71" s="175" t="s">
        <v>292</v>
      </c>
      <c r="V71" s="174">
        <f t="shared" si="22"/>
        <v>0</v>
      </c>
      <c r="W71" s="174">
        <f>VLOOKUP(U71,Sheet1!$B$6:$C$45,2,FALSE)*V71</f>
        <v>0</v>
      </c>
      <c r="X71" s="174"/>
      <c r="Y71" s="175" t="s">
        <v>292</v>
      </c>
      <c r="Z71" s="168">
        <f>VLOOKUP(Takeoffs!Y71,Sheet1!$B$6:$C$124,2,FALSE)</f>
        <v>0</v>
      </c>
      <c r="AA71" s="168">
        <f t="shared" si="23"/>
        <v>0</v>
      </c>
      <c r="AB71" s="176">
        <f t="shared" si="24"/>
        <v>0</v>
      </c>
      <c r="AC71" s="174">
        <f t="shared" si="25"/>
        <v>0</v>
      </c>
      <c r="AD71" s="174">
        <v>1</v>
      </c>
      <c r="AE71" s="174"/>
      <c r="AF71" s="175" t="s">
        <v>292</v>
      </c>
      <c r="AG71" s="168">
        <f>VLOOKUP(Takeoffs!AF71,Sheet1!$B$6:$C$124,2,FALSE)</f>
        <v>0</v>
      </c>
      <c r="AH71" s="168">
        <f t="shared" si="26"/>
        <v>0</v>
      </c>
      <c r="AI71" s="176">
        <f t="shared" si="27"/>
        <v>0</v>
      </c>
      <c r="AJ71" s="174">
        <f t="shared" si="28"/>
        <v>0</v>
      </c>
      <c r="AK71" s="174"/>
      <c r="AL71" s="141"/>
      <c r="AO71" s="286"/>
      <c r="AP71" s="284">
        <f t="shared" si="7"/>
        <v>0</v>
      </c>
      <c r="AQ71" s="281">
        <f t="shared" si="8"/>
        <v>0</v>
      </c>
      <c r="AR71" s="284">
        <f t="shared" si="9"/>
        <v>0</v>
      </c>
      <c r="AS71" s="281">
        <f t="shared" si="10"/>
        <v>0</v>
      </c>
      <c r="AT71" s="284">
        <f t="shared" si="11"/>
        <v>0</v>
      </c>
    </row>
    <row r="72" spans="1:97" s="114" customFormat="1" ht="30.9" x14ac:dyDescent="0.8">
      <c r="A72" s="262">
        <f>ROW()</f>
        <v>72</v>
      </c>
      <c r="C72" s="208"/>
      <c r="D72" s="208"/>
      <c r="E72" s="208"/>
      <c r="F72" s="208"/>
      <c r="G72" s="208"/>
      <c r="H72" s="208"/>
      <c r="J72" s="114" t="str">
        <f t="shared" si="29"/>
        <v/>
      </c>
      <c r="K72" s="114" t="str">
        <f>IF(COUNTBLANK(R72)&gt;0,"",CONCATENATE(R72," for ",N67))</f>
        <v/>
      </c>
      <c r="M72" s="117"/>
      <c r="N72" s="123" t="s">
        <v>117</v>
      </c>
      <c r="O72" s="66" t="s">
        <v>402</v>
      </c>
      <c r="P72" s="175"/>
      <c r="Q72" s="175"/>
      <c r="R72" s="175"/>
      <c r="S72" s="174">
        <f>M67</f>
        <v>0</v>
      </c>
      <c r="T72" s="172"/>
      <c r="U72" s="175" t="s">
        <v>292</v>
      </c>
      <c r="V72" s="174">
        <f t="shared" si="22"/>
        <v>0</v>
      </c>
      <c r="W72" s="174">
        <f>VLOOKUP(U72,Sheet1!$B$6:$C$45,2,FALSE)*V72</f>
        <v>0</v>
      </c>
      <c r="X72" s="174"/>
      <c r="Y72" s="175" t="s">
        <v>274</v>
      </c>
      <c r="Z72" s="168">
        <f>VLOOKUP(Takeoffs!Y72,Sheet1!$B$6:$C$124,2,FALSE)</f>
        <v>360</v>
      </c>
      <c r="AA72" s="168">
        <f t="shared" si="23"/>
        <v>0</v>
      </c>
      <c r="AB72" s="176">
        <f t="shared" si="24"/>
        <v>0</v>
      </c>
      <c r="AC72" s="174">
        <f t="shared" si="25"/>
        <v>0</v>
      </c>
      <c r="AD72" s="174">
        <v>1</v>
      </c>
      <c r="AE72" s="174"/>
      <c r="AF72" s="175" t="s">
        <v>292</v>
      </c>
      <c r="AG72" s="168">
        <f>VLOOKUP(Takeoffs!AF72,Sheet1!$B$6:$C$124,2,FALSE)</f>
        <v>0</v>
      </c>
      <c r="AH72" s="168">
        <f t="shared" si="26"/>
        <v>0</v>
      </c>
      <c r="AI72" s="176">
        <f t="shared" si="27"/>
        <v>0</v>
      </c>
      <c r="AJ72" s="174">
        <f t="shared" si="28"/>
        <v>0</v>
      </c>
      <c r="AK72" s="174"/>
      <c r="AL72" s="141"/>
      <c r="AO72" s="286"/>
      <c r="AP72" s="284">
        <f t="shared" si="7"/>
        <v>0</v>
      </c>
      <c r="AQ72" s="281">
        <f t="shared" si="8"/>
        <v>0</v>
      </c>
      <c r="AR72" s="284">
        <f t="shared" si="9"/>
        <v>0</v>
      </c>
      <c r="AS72" s="281">
        <f t="shared" si="10"/>
        <v>0</v>
      </c>
      <c r="AT72" s="284">
        <f t="shared" si="11"/>
        <v>0</v>
      </c>
    </row>
    <row r="73" spans="1:97" s="114" customFormat="1" ht="30.9" x14ac:dyDescent="0.8">
      <c r="A73" s="262">
        <f>ROW()</f>
        <v>73</v>
      </c>
      <c r="C73" s="208"/>
      <c r="D73" s="208"/>
      <c r="E73" s="208"/>
      <c r="F73" s="208"/>
      <c r="G73" s="208"/>
      <c r="H73" s="208"/>
      <c r="J73" s="114" t="str">
        <f t="shared" si="29"/>
        <v/>
      </c>
      <c r="K73" s="114" t="str">
        <f>IF(COUNTBLANK(R73)&gt;0,"",CONCATENATE(R73," for ",N67))</f>
        <v/>
      </c>
      <c r="M73" s="117"/>
      <c r="N73" s="123" t="s">
        <v>118</v>
      </c>
      <c r="O73" s="66" t="s">
        <v>403</v>
      </c>
      <c r="P73" s="175"/>
      <c r="Q73" s="175"/>
      <c r="R73" s="175"/>
      <c r="S73" s="174">
        <f>M67</f>
        <v>0</v>
      </c>
      <c r="T73" s="172"/>
      <c r="U73" s="175" t="s">
        <v>292</v>
      </c>
      <c r="V73" s="174">
        <f t="shared" si="22"/>
        <v>0</v>
      </c>
      <c r="W73" s="174">
        <f>VLOOKUP(U73,Sheet1!$B$6:$C$45,2,FALSE)*V73</f>
        <v>0</v>
      </c>
      <c r="X73" s="174"/>
      <c r="Y73" s="175" t="s">
        <v>292</v>
      </c>
      <c r="Z73" s="168">
        <f>VLOOKUP(Takeoffs!Y73,Sheet1!$B$6:$C$124,2,FALSE)</f>
        <v>0</v>
      </c>
      <c r="AA73" s="168">
        <f t="shared" si="23"/>
        <v>0</v>
      </c>
      <c r="AB73" s="176">
        <f t="shared" si="24"/>
        <v>0</v>
      </c>
      <c r="AC73" s="174">
        <f t="shared" si="25"/>
        <v>0</v>
      </c>
      <c r="AD73" s="174">
        <v>1</v>
      </c>
      <c r="AE73" s="174"/>
      <c r="AF73" s="175" t="s">
        <v>292</v>
      </c>
      <c r="AG73" s="168">
        <f>VLOOKUP(Takeoffs!AF73,Sheet1!$B$6:$C$124,2,FALSE)</f>
        <v>0</v>
      </c>
      <c r="AH73" s="168">
        <f t="shared" si="26"/>
        <v>0</v>
      </c>
      <c r="AI73" s="176">
        <f t="shared" si="27"/>
        <v>0</v>
      </c>
      <c r="AJ73" s="174">
        <f t="shared" si="28"/>
        <v>0</v>
      </c>
      <c r="AK73" s="174"/>
      <c r="AL73" s="141"/>
      <c r="AO73" s="286"/>
      <c r="AP73" s="284">
        <f t="shared" si="7"/>
        <v>0</v>
      </c>
      <c r="AQ73" s="281">
        <f t="shared" si="8"/>
        <v>0</v>
      </c>
      <c r="AR73" s="284">
        <f t="shared" si="9"/>
        <v>0</v>
      </c>
      <c r="AS73" s="281">
        <f t="shared" si="10"/>
        <v>0</v>
      </c>
      <c r="AT73" s="284">
        <f t="shared" si="11"/>
        <v>0</v>
      </c>
    </row>
    <row r="74" spans="1:97" s="114" customFormat="1" ht="30.9" x14ac:dyDescent="0.8">
      <c r="A74" s="262">
        <f>ROW()</f>
        <v>74</v>
      </c>
      <c r="C74" s="208"/>
      <c r="D74" s="208"/>
      <c r="E74" s="208"/>
      <c r="F74" s="208"/>
      <c r="G74" s="208"/>
      <c r="H74" s="208"/>
      <c r="J74" s="114" t="str">
        <f t="shared" si="29"/>
        <v/>
      </c>
      <c r="K74" s="114" t="str">
        <f>IF(COUNTBLANK(R74)&gt;0,"",CONCATENATE(R74," for ",N67))</f>
        <v/>
      </c>
      <c r="N74" s="123" t="s">
        <v>119</v>
      </c>
      <c r="O74" s="66" t="s">
        <v>404</v>
      </c>
      <c r="P74" s="175"/>
      <c r="Q74" s="175"/>
      <c r="R74" s="175"/>
      <c r="S74" s="174">
        <f>M67</f>
        <v>0</v>
      </c>
      <c r="T74" s="172"/>
      <c r="U74" s="175" t="s">
        <v>292</v>
      </c>
      <c r="V74" s="174">
        <f t="shared" si="22"/>
        <v>0</v>
      </c>
      <c r="W74" s="174">
        <f>VLOOKUP(U74,Sheet1!$B$6:$C$45,2,FALSE)*V74</f>
        <v>0</v>
      </c>
      <c r="X74" s="174"/>
      <c r="Y74" s="175" t="s">
        <v>292</v>
      </c>
      <c r="Z74" s="168">
        <f>VLOOKUP(Takeoffs!Y74,Sheet1!$B$6:$C$124,2,FALSE)</f>
        <v>0</v>
      </c>
      <c r="AA74" s="168">
        <f t="shared" si="23"/>
        <v>0</v>
      </c>
      <c r="AB74" s="176">
        <f t="shared" si="24"/>
        <v>0</v>
      </c>
      <c r="AC74" s="174">
        <f t="shared" si="25"/>
        <v>0</v>
      </c>
      <c r="AD74" s="174">
        <v>1</v>
      </c>
      <c r="AE74" s="174"/>
      <c r="AF74" s="175" t="s">
        <v>292</v>
      </c>
      <c r="AG74" s="168">
        <f>VLOOKUP(Takeoffs!AF74,Sheet1!$B$6:$C$124,2,FALSE)</f>
        <v>0</v>
      </c>
      <c r="AH74" s="168">
        <f t="shared" si="26"/>
        <v>0</v>
      </c>
      <c r="AI74" s="176">
        <f t="shared" si="27"/>
        <v>0</v>
      </c>
      <c r="AJ74" s="174">
        <f t="shared" si="28"/>
        <v>0</v>
      </c>
      <c r="AK74" s="174"/>
      <c r="AL74" s="141"/>
      <c r="AO74" s="286"/>
      <c r="AP74" s="284">
        <f t="shared" si="7"/>
        <v>0</v>
      </c>
      <c r="AQ74" s="281">
        <f t="shared" si="8"/>
        <v>0</v>
      </c>
      <c r="AR74" s="284">
        <f t="shared" si="9"/>
        <v>0</v>
      </c>
      <c r="AS74" s="281">
        <f t="shared" si="10"/>
        <v>0</v>
      </c>
      <c r="AT74" s="284">
        <f t="shared" si="11"/>
        <v>0</v>
      </c>
    </row>
    <row r="75" spans="1:97" s="114" customFormat="1" ht="30.9" x14ac:dyDescent="0.8">
      <c r="A75" s="262">
        <f>ROW()</f>
        <v>75</v>
      </c>
      <c r="C75" s="208"/>
      <c r="D75" s="208"/>
      <c r="E75" s="208"/>
      <c r="F75" s="208"/>
      <c r="G75" s="208"/>
      <c r="H75" s="208"/>
      <c r="J75" s="114" t="str">
        <f t="shared" si="29"/>
        <v/>
      </c>
      <c r="K75" s="114" t="str">
        <f>IF(COUNTBLANK(R75)&gt;0,"",CONCATENATE(R75," for ",N67))</f>
        <v/>
      </c>
      <c r="N75" s="123" t="s">
        <v>120</v>
      </c>
      <c r="O75" s="66" t="s">
        <v>509</v>
      </c>
      <c r="P75" s="175"/>
      <c r="Q75" s="175"/>
      <c r="R75" s="175"/>
      <c r="S75" s="174">
        <f>M67</f>
        <v>0</v>
      </c>
      <c r="T75" s="172"/>
      <c r="U75" s="175" t="s">
        <v>292</v>
      </c>
      <c r="V75" s="174">
        <f t="shared" si="22"/>
        <v>0</v>
      </c>
      <c r="W75" s="174">
        <f>VLOOKUP(U75,Sheet1!$B$6:$C$45,2,FALSE)*V75</f>
        <v>0</v>
      </c>
      <c r="X75" s="174"/>
      <c r="Y75" s="175" t="s">
        <v>292</v>
      </c>
      <c r="Z75" s="168">
        <f>VLOOKUP(Takeoffs!Y75,Sheet1!$B$6:$C$124,2,FALSE)</f>
        <v>0</v>
      </c>
      <c r="AA75" s="168">
        <f t="shared" si="23"/>
        <v>0</v>
      </c>
      <c r="AB75" s="176">
        <f t="shared" si="24"/>
        <v>0</v>
      </c>
      <c r="AC75" s="174">
        <f t="shared" si="25"/>
        <v>0</v>
      </c>
      <c r="AD75" s="174">
        <v>1</v>
      </c>
      <c r="AE75" s="174"/>
      <c r="AF75" s="175" t="s">
        <v>292</v>
      </c>
      <c r="AG75" s="168">
        <f>VLOOKUP(Takeoffs!AF75,Sheet1!$B$6:$C$124,2,FALSE)</f>
        <v>0</v>
      </c>
      <c r="AH75" s="168">
        <f t="shared" si="26"/>
        <v>0</v>
      </c>
      <c r="AI75" s="176">
        <f t="shared" si="27"/>
        <v>0</v>
      </c>
      <c r="AJ75" s="174">
        <f t="shared" si="28"/>
        <v>0</v>
      </c>
      <c r="AK75" s="174"/>
      <c r="AL75" s="141"/>
      <c r="AO75" s="286"/>
      <c r="AP75" s="284">
        <f t="shared" si="7"/>
        <v>0</v>
      </c>
      <c r="AQ75" s="281">
        <f t="shared" si="8"/>
        <v>0</v>
      </c>
      <c r="AR75" s="284">
        <f t="shared" si="9"/>
        <v>0</v>
      </c>
      <c r="AS75" s="281">
        <f t="shared" si="10"/>
        <v>0</v>
      </c>
      <c r="AT75" s="284">
        <f t="shared" si="11"/>
        <v>0</v>
      </c>
    </row>
    <row r="76" spans="1:97" s="114" customFormat="1" ht="30.9" x14ac:dyDescent="0.8">
      <c r="A76" s="262">
        <f>ROW()</f>
        <v>76</v>
      </c>
      <c r="C76" s="208"/>
      <c r="D76" s="208"/>
      <c r="E76" s="208"/>
      <c r="F76" s="208"/>
      <c r="G76" s="208"/>
      <c r="H76" s="208"/>
      <c r="J76" s="114" t="str">
        <f t="shared" si="29"/>
        <v/>
      </c>
      <c r="K76" s="114" t="str">
        <f>IF(COUNTBLANK(R76)&gt;0,"",CONCATENATE(R76," for ",N67))</f>
        <v/>
      </c>
      <c r="N76" s="123" t="s">
        <v>121</v>
      </c>
      <c r="O76" s="66" t="s">
        <v>440</v>
      </c>
      <c r="P76" s="175"/>
      <c r="Q76" s="175"/>
      <c r="R76" s="175"/>
      <c r="S76" s="174">
        <f>M67</f>
        <v>0</v>
      </c>
      <c r="T76" s="172"/>
      <c r="U76" s="175" t="s">
        <v>292</v>
      </c>
      <c r="V76" s="174">
        <f t="shared" si="22"/>
        <v>0</v>
      </c>
      <c r="W76" s="174">
        <f>VLOOKUP(U76,Sheet1!$B$6:$C$45,2,FALSE)*V76</f>
        <v>0</v>
      </c>
      <c r="X76" s="174"/>
      <c r="Y76" s="175" t="s">
        <v>292</v>
      </c>
      <c r="Z76" s="168">
        <f>VLOOKUP(Takeoffs!Y76,Sheet1!$B$6:$C$124,2,FALSE)</f>
        <v>0</v>
      </c>
      <c r="AA76" s="168">
        <f t="shared" si="23"/>
        <v>0</v>
      </c>
      <c r="AB76" s="176">
        <f t="shared" si="24"/>
        <v>0</v>
      </c>
      <c r="AC76" s="174">
        <f t="shared" si="25"/>
        <v>0</v>
      </c>
      <c r="AD76" s="174">
        <v>1</v>
      </c>
      <c r="AE76" s="174"/>
      <c r="AF76" s="175" t="s">
        <v>292</v>
      </c>
      <c r="AG76" s="168">
        <f>VLOOKUP(Takeoffs!AF76,Sheet1!$B$6:$C$124,2,FALSE)</f>
        <v>0</v>
      </c>
      <c r="AH76" s="168">
        <f t="shared" si="26"/>
        <v>0</v>
      </c>
      <c r="AI76" s="176">
        <f t="shared" si="27"/>
        <v>0</v>
      </c>
      <c r="AJ76" s="174">
        <f t="shared" si="28"/>
        <v>0</v>
      </c>
      <c r="AK76" s="174"/>
      <c r="AL76" s="141"/>
      <c r="AO76" s="286"/>
      <c r="AP76" s="284">
        <f t="shared" si="7"/>
        <v>0</v>
      </c>
      <c r="AQ76" s="281">
        <f t="shared" si="8"/>
        <v>0</v>
      </c>
      <c r="AR76" s="284">
        <f t="shared" si="9"/>
        <v>0</v>
      </c>
      <c r="AS76" s="281">
        <f t="shared" si="10"/>
        <v>0</v>
      </c>
      <c r="AT76" s="284">
        <f t="shared" si="11"/>
        <v>0</v>
      </c>
    </row>
    <row r="77" spans="1:97" s="114" customFormat="1" ht="30.9" x14ac:dyDescent="0.8">
      <c r="A77" s="262">
        <f>ROW()</f>
        <v>77</v>
      </c>
      <c r="C77" s="208"/>
      <c r="D77" s="208"/>
      <c r="E77" s="208"/>
      <c r="F77" s="208"/>
      <c r="G77" s="208"/>
      <c r="H77" s="208"/>
      <c r="J77" s="114" t="str">
        <f t="shared" si="29"/>
        <v/>
      </c>
      <c r="K77" s="114" t="str">
        <f>IF(COUNTBLANK(R77)&gt;0,"",CONCATENATE(R77," for ",N67))</f>
        <v/>
      </c>
      <c r="N77" s="123" t="s">
        <v>122</v>
      </c>
      <c r="O77" s="66" t="s">
        <v>405</v>
      </c>
      <c r="P77" s="175"/>
      <c r="Q77" s="175"/>
      <c r="R77" s="175"/>
      <c r="S77" s="174">
        <f>M67</f>
        <v>0</v>
      </c>
      <c r="T77" s="172"/>
      <c r="U77" s="175" t="s">
        <v>292</v>
      </c>
      <c r="V77" s="174">
        <f t="shared" si="22"/>
        <v>0</v>
      </c>
      <c r="W77" s="174">
        <f>VLOOKUP(U77,Sheet1!$B$6:$C$45,2,FALSE)*V77</f>
        <v>0</v>
      </c>
      <c r="X77" s="174"/>
      <c r="Y77" s="175" t="s">
        <v>292</v>
      </c>
      <c r="Z77" s="168">
        <f>VLOOKUP(Takeoffs!Y77,Sheet1!$B$6:$C$124,2,FALSE)</f>
        <v>0</v>
      </c>
      <c r="AA77" s="168">
        <f t="shared" si="23"/>
        <v>0</v>
      </c>
      <c r="AB77" s="176">
        <f t="shared" si="24"/>
        <v>0</v>
      </c>
      <c r="AC77" s="174">
        <f t="shared" si="25"/>
        <v>0</v>
      </c>
      <c r="AD77" s="174">
        <v>1</v>
      </c>
      <c r="AE77" s="174"/>
      <c r="AF77" s="175" t="s">
        <v>292</v>
      </c>
      <c r="AG77" s="168">
        <f>VLOOKUP(Takeoffs!AF77,Sheet1!$B$6:$C$124,2,FALSE)</f>
        <v>0</v>
      </c>
      <c r="AH77" s="168">
        <f t="shared" si="26"/>
        <v>0</v>
      </c>
      <c r="AI77" s="176">
        <f t="shared" si="27"/>
        <v>0</v>
      </c>
      <c r="AJ77" s="174">
        <f t="shared" si="28"/>
        <v>0</v>
      </c>
      <c r="AK77" s="174"/>
      <c r="AL77" s="141"/>
      <c r="AO77" s="286"/>
      <c r="AP77" s="284">
        <f t="shared" si="7"/>
        <v>0</v>
      </c>
      <c r="AQ77" s="281">
        <f t="shared" si="8"/>
        <v>0</v>
      </c>
      <c r="AR77" s="284">
        <f t="shared" si="9"/>
        <v>0</v>
      </c>
      <c r="AS77" s="281">
        <f t="shared" si="10"/>
        <v>0</v>
      </c>
      <c r="AT77" s="284">
        <f t="shared" si="11"/>
        <v>0</v>
      </c>
    </row>
    <row r="78" spans="1:97" s="114" customFormat="1" ht="30.9" x14ac:dyDescent="0.8">
      <c r="A78" s="262">
        <f>ROW()</f>
        <v>78</v>
      </c>
      <c r="C78" s="208"/>
      <c r="D78" s="208"/>
      <c r="E78" s="208"/>
      <c r="F78" s="208"/>
      <c r="G78" s="208"/>
      <c r="H78" s="208"/>
      <c r="J78" s="114" t="str">
        <f t="shared" si="29"/>
        <v/>
      </c>
      <c r="K78" s="114" t="str">
        <f>IF(COUNTBLANK(R78)&gt;0,"",CONCATENATE(R78," for ",N67))</f>
        <v/>
      </c>
      <c r="N78" s="123" t="s">
        <v>123</v>
      </c>
      <c r="O78" s="66"/>
      <c r="P78" s="175"/>
      <c r="Q78" s="175"/>
      <c r="R78" s="175"/>
      <c r="S78" s="174">
        <f>M67</f>
        <v>0</v>
      </c>
      <c r="T78" s="172"/>
      <c r="U78" s="175" t="s">
        <v>292</v>
      </c>
      <c r="V78" s="174">
        <f t="shared" si="22"/>
        <v>0</v>
      </c>
      <c r="W78" s="174">
        <f>VLOOKUP(U78,Sheet1!$B$6:$C$45,2,FALSE)*V78</f>
        <v>0</v>
      </c>
      <c r="X78" s="174"/>
      <c r="Y78" s="175" t="s">
        <v>292</v>
      </c>
      <c r="Z78" s="168">
        <f>VLOOKUP(Takeoffs!Y78,Sheet1!$B$6:$C$124,2,FALSE)</f>
        <v>0</v>
      </c>
      <c r="AA78" s="168">
        <f t="shared" si="23"/>
        <v>0</v>
      </c>
      <c r="AB78" s="176">
        <f t="shared" si="24"/>
        <v>0</v>
      </c>
      <c r="AC78" s="174">
        <f t="shared" si="25"/>
        <v>0</v>
      </c>
      <c r="AD78" s="174">
        <v>1</v>
      </c>
      <c r="AE78" s="174"/>
      <c r="AF78" s="175" t="s">
        <v>292</v>
      </c>
      <c r="AG78" s="168">
        <f>VLOOKUP(Takeoffs!AF78,Sheet1!$B$6:$C$124,2,FALSE)</f>
        <v>0</v>
      </c>
      <c r="AH78" s="168">
        <f t="shared" si="26"/>
        <v>0</v>
      </c>
      <c r="AI78" s="176">
        <f t="shared" si="27"/>
        <v>0</v>
      </c>
      <c r="AJ78" s="174">
        <f t="shared" si="28"/>
        <v>0</v>
      </c>
      <c r="AK78" s="174"/>
      <c r="AL78" s="141"/>
      <c r="AO78" s="286"/>
      <c r="AP78" s="284">
        <f t="shared" si="7"/>
        <v>0</v>
      </c>
      <c r="AQ78" s="281">
        <f t="shared" si="8"/>
        <v>0</v>
      </c>
      <c r="AR78" s="284">
        <f t="shared" si="9"/>
        <v>0</v>
      </c>
      <c r="AS78" s="281">
        <f t="shared" si="10"/>
        <v>0</v>
      </c>
      <c r="AT78" s="284">
        <f t="shared" si="11"/>
        <v>0</v>
      </c>
    </row>
    <row r="79" spans="1:97" s="114" customFormat="1" ht="30.9" x14ac:dyDescent="0.8">
      <c r="A79" s="262">
        <f>ROW()</f>
        <v>79</v>
      </c>
      <c r="C79" s="208"/>
      <c r="D79" s="208"/>
      <c r="E79" s="208"/>
      <c r="F79" s="208"/>
      <c r="G79" s="208"/>
      <c r="H79" s="208"/>
      <c r="J79" s="114" t="str">
        <f t="shared" si="29"/>
        <v/>
      </c>
      <c r="K79" s="114" t="str">
        <f>IF(COUNTBLANK(R79)&gt;0,"",CONCATENATE(R79," for ",N67))</f>
        <v/>
      </c>
      <c r="N79" s="123" t="s">
        <v>124</v>
      </c>
      <c r="O79" s="66"/>
      <c r="P79" s="175"/>
      <c r="Q79" s="175"/>
      <c r="R79" s="175"/>
      <c r="S79" s="174">
        <f>M67</f>
        <v>0</v>
      </c>
      <c r="T79" s="172"/>
      <c r="U79" s="175" t="s">
        <v>292</v>
      </c>
      <c r="V79" s="174">
        <f t="shared" si="22"/>
        <v>0</v>
      </c>
      <c r="W79" s="174">
        <f>VLOOKUP(U79,Sheet1!$B$6:$C$45,2,FALSE)*V79</f>
        <v>0</v>
      </c>
      <c r="X79" s="174"/>
      <c r="Y79" s="175" t="s">
        <v>292</v>
      </c>
      <c r="Z79" s="168">
        <f>VLOOKUP(Takeoffs!Y79,Sheet1!$B$6:$C$124,2,FALSE)</f>
        <v>0</v>
      </c>
      <c r="AA79" s="168">
        <f t="shared" si="23"/>
        <v>0</v>
      </c>
      <c r="AB79" s="176">
        <f t="shared" si="24"/>
        <v>0</v>
      </c>
      <c r="AC79" s="174">
        <f t="shared" si="25"/>
        <v>0</v>
      </c>
      <c r="AD79" s="174">
        <v>1</v>
      </c>
      <c r="AE79" s="174"/>
      <c r="AF79" s="175" t="s">
        <v>292</v>
      </c>
      <c r="AG79" s="168">
        <f>VLOOKUP(Takeoffs!AF79,Sheet1!$B$6:$C$124,2,FALSE)</f>
        <v>0</v>
      </c>
      <c r="AH79" s="168">
        <f t="shared" si="26"/>
        <v>0</v>
      </c>
      <c r="AI79" s="176">
        <f t="shared" si="27"/>
        <v>0</v>
      </c>
      <c r="AJ79" s="174">
        <f t="shared" si="28"/>
        <v>0</v>
      </c>
      <c r="AK79" s="174"/>
      <c r="AL79" s="141"/>
      <c r="AO79" s="286"/>
      <c r="AP79" s="284">
        <f t="shared" si="7"/>
        <v>0</v>
      </c>
      <c r="AQ79" s="281">
        <f t="shared" si="8"/>
        <v>0</v>
      </c>
      <c r="AR79" s="284">
        <f t="shared" si="9"/>
        <v>0</v>
      </c>
      <c r="AS79" s="281">
        <f t="shared" si="10"/>
        <v>0</v>
      </c>
      <c r="AT79" s="284">
        <f t="shared" si="11"/>
        <v>0</v>
      </c>
    </row>
    <row r="80" spans="1:97" s="114" customFormat="1" ht="30.9" x14ac:dyDescent="0.8">
      <c r="A80" s="262">
        <f>ROW()</f>
        <v>80</v>
      </c>
      <c r="C80" s="208"/>
      <c r="D80" s="208"/>
      <c r="E80" s="208"/>
      <c r="F80" s="208"/>
      <c r="G80" s="208"/>
      <c r="H80" s="208"/>
      <c r="J80" s="114" t="str">
        <f t="shared" si="29"/>
        <v/>
      </c>
      <c r="K80" s="114" t="str">
        <f>IF(COUNTBLANK(R80)&gt;0,"",CONCATENATE(R80," for ",N67))</f>
        <v/>
      </c>
      <c r="N80" s="123" t="s">
        <v>125</v>
      </c>
      <c r="O80" s="66"/>
      <c r="P80" s="175"/>
      <c r="Q80" s="175"/>
      <c r="R80" s="175"/>
      <c r="S80" s="174">
        <f>M67</f>
        <v>0</v>
      </c>
      <c r="T80" s="172"/>
      <c r="U80" s="175" t="s">
        <v>292</v>
      </c>
      <c r="V80" s="174">
        <f t="shared" si="22"/>
        <v>0</v>
      </c>
      <c r="W80" s="174">
        <f>VLOOKUP(U80,Sheet1!$B$6:$C$45,2,FALSE)*V80</f>
        <v>0</v>
      </c>
      <c r="X80" s="174"/>
      <c r="Y80" s="175" t="s">
        <v>292</v>
      </c>
      <c r="Z80" s="168">
        <f>VLOOKUP(Takeoffs!Y80,Sheet1!$B$6:$C$124,2,FALSE)</f>
        <v>0</v>
      </c>
      <c r="AA80" s="168">
        <f t="shared" si="23"/>
        <v>0</v>
      </c>
      <c r="AB80" s="176">
        <f t="shared" si="24"/>
        <v>0</v>
      </c>
      <c r="AC80" s="174">
        <f t="shared" si="25"/>
        <v>0</v>
      </c>
      <c r="AD80" s="174">
        <v>1</v>
      </c>
      <c r="AE80" s="174"/>
      <c r="AF80" s="175" t="s">
        <v>292</v>
      </c>
      <c r="AG80" s="168">
        <f>VLOOKUP(Takeoffs!AF80,Sheet1!$B$6:$C$124,2,FALSE)</f>
        <v>0</v>
      </c>
      <c r="AH80" s="168">
        <f t="shared" si="26"/>
        <v>0</v>
      </c>
      <c r="AI80" s="176">
        <f t="shared" si="27"/>
        <v>0</v>
      </c>
      <c r="AJ80" s="174">
        <f t="shared" si="28"/>
        <v>0</v>
      </c>
      <c r="AK80" s="174"/>
      <c r="AL80" s="141"/>
      <c r="AO80" s="286"/>
      <c r="AP80" s="284">
        <f t="shared" si="7"/>
        <v>0</v>
      </c>
      <c r="AQ80" s="281">
        <f t="shared" si="8"/>
        <v>0</v>
      </c>
      <c r="AR80" s="284">
        <f t="shared" si="9"/>
        <v>0</v>
      </c>
      <c r="AS80" s="281">
        <f t="shared" si="10"/>
        <v>0</v>
      </c>
      <c r="AT80" s="284">
        <f t="shared" si="11"/>
        <v>0</v>
      </c>
    </row>
    <row r="81" spans="1:97" s="114" customFormat="1" ht="30.9" x14ac:dyDescent="0.8">
      <c r="A81" s="262">
        <f>ROW()</f>
        <v>81</v>
      </c>
      <c r="C81" s="208"/>
      <c r="D81" s="208"/>
      <c r="E81" s="208"/>
      <c r="F81" s="208"/>
      <c r="G81" s="208"/>
      <c r="H81" s="208"/>
      <c r="J81" s="114" t="str">
        <f t="shared" si="29"/>
        <v/>
      </c>
      <c r="K81" s="114" t="str">
        <f>IF(COUNTBLANK(R81)&gt;0,"",CONCATENATE(R81," for ",N67))</f>
        <v/>
      </c>
      <c r="N81" s="123" t="s">
        <v>126</v>
      </c>
      <c r="O81" s="66"/>
      <c r="P81" s="175"/>
      <c r="Q81" s="175"/>
      <c r="R81" s="175"/>
      <c r="S81" s="174">
        <f>M67</f>
        <v>0</v>
      </c>
      <c r="T81" s="172"/>
      <c r="U81" s="175" t="s">
        <v>292</v>
      </c>
      <c r="V81" s="174">
        <f t="shared" si="22"/>
        <v>0</v>
      </c>
      <c r="W81" s="174">
        <f>VLOOKUP(U81,Sheet1!$B$6:$C$45,2,FALSE)*V81</f>
        <v>0</v>
      </c>
      <c r="X81" s="174"/>
      <c r="Y81" s="175" t="s">
        <v>292</v>
      </c>
      <c r="Z81" s="168">
        <f>VLOOKUP(Takeoffs!Y81,Sheet1!$B$6:$C$124,2,FALSE)</f>
        <v>0</v>
      </c>
      <c r="AA81" s="168">
        <f t="shared" si="23"/>
        <v>0</v>
      </c>
      <c r="AB81" s="176">
        <f t="shared" si="24"/>
        <v>0</v>
      </c>
      <c r="AC81" s="174">
        <f t="shared" si="25"/>
        <v>0</v>
      </c>
      <c r="AD81" s="174">
        <v>1</v>
      </c>
      <c r="AE81" s="174"/>
      <c r="AF81" s="175" t="s">
        <v>292</v>
      </c>
      <c r="AG81" s="168">
        <f>VLOOKUP(Takeoffs!AF81,Sheet1!$B$6:$C$124,2,FALSE)</f>
        <v>0</v>
      </c>
      <c r="AH81" s="168">
        <f t="shared" si="26"/>
        <v>0</v>
      </c>
      <c r="AI81" s="176">
        <f t="shared" si="27"/>
        <v>0</v>
      </c>
      <c r="AJ81" s="174">
        <f t="shared" si="28"/>
        <v>0</v>
      </c>
      <c r="AK81" s="174"/>
      <c r="AL81" s="141"/>
      <c r="AO81" s="286"/>
      <c r="AP81" s="284">
        <f t="shared" si="7"/>
        <v>0</v>
      </c>
      <c r="AQ81" s="281">
        <f t="shared" si="8"/>
        <v>0</v>
      </c>
      <c r="AR81" s="284">
        <f t="shared" si="9"/>
        <v>0</v>
      </c>
      <c r="AS81" s="281">
        <f t="shared" si="10"/>
        <v>0</v>
      </c>
      <c r="AT81" s="284">
        <f t="shared" si="11"/>
        <v>0</v>
      </c>
    </row>
    <row r="82" spans="1:97" s="114" customFormat="1" ht="30.9" x14ac:dyDescent="0.8">
      <c r="A82" s="262">
        <f>ROW()</f>
        <v>82</v>
      </c>
      <c r="C82" s="208"/>
      <c r="D82" s="208"/>
      <c r="E82" s="208"/>
      <c r="F82" s="208"/>
      <c r="G82" s="208"/>
      <c r="H82" s="208"/>
      <c r="J82" s="114" t="str">
        <f t="shared" si="29"/>
        <v/>
      </c>
      <c r="K82" s="114" t="str">
        <f>IF(COUNTBLANK(R82)&gt;0,"",CONCATENATE(R82," for ",N67))</f>
        <v/>
      </c>
      <c r="N82" s="123" t="s">
        <v>127</v>
      </c>
      <c r="O82" s="66"/>
      <c r="P82" s="175"/>
      <c r="Q82" s="175"/>
      <c r="R82" s="175"/>
      <c r="S82" s="174">
        <f>M67</f>
        <v>0</v>
      </c>
      <c r="T82" s="172"/>
      <c r="U82" s="175" t="s">
        <v>292</v>
      </c>
      <c r="V82" s="174">
        <f t="shared" si="22"/>
        <v>0</v>
      </c>
      <c r="W82" s="174">
        <f>VLOOKUP(U82,Sheet1!$B$6:$C$45,2,FALSE)*V82</f>
        <v>0</v>
      </c>
      <c r="X82" s="174"/>
      <c r="Y82" s="175" t="s">
        <v>292</v>
      </c>
      <c r="Z82" s="168">
        <f>VLOOKUP(Takeoffs!Y82,Sheet1!$B$6:$C$124,2,FALSE)</f>
        <v>0</v>
      </c>
      <c r="AA82" s="168">
        <f t="shared" si="23"/>
        <v>0</v>
      </c>
      <c r="AB82" s="176">
        <f t="shared" si="24"/>
        <v>0</v>
      </c>
      <c r="AC82" s="174">
        <f t="shared" si="25"/>
        <v>0</v>
      </c>
      <c r="AD82" s="174">
        <v>2</v>
      </c>
      <c r="AE82" s="174"/>
      <c r="AF82" s="175" t="s">
        <v>292</v>
      </c>
      <c r="AG82" s="168">
        <f>VLOOKUP(Takeoffs!AF82,Sheet1!$B$6:$C$124,2,FALSE)</f>
        <v>0</v>
      </c>
      <c r="AH82" s="168">
        <f t="shared" si="26"/>
        <v>0</v>
      </c>
      <c r="AI82" s="176">
        <f t="shared" si="27"/>
        <v>0</v>
      </c>
      <c r="AJ82" s="174">
        <f t="shared" si="28"/>
        <v>0</v>
      </c>
      <c r="AK82" s="174"/>
      <c r="AL82" s="141"/>
      <c r="AO82" s="286"/>
      <c r="AP82" s="284">
        <f t="shared" si="7"/>
        <v>0</v>
      </c>
      <c r="AQ82" s="281">
        <f t="shared" si="8"/>
        <v>0</v>
      </c>
      <c r="AR82" s="284">
        <f t="shared" si="9"/>
        <v>0</v>
      </c>
      <c r="AS82" s="281">
        <f t="shared" si="10"/>
        <v>0</v>
      </c>
      <c r="AT82" s="284">
        <f t="shared" si="11"/>
        <v>0</v>
      </c>
    </row>
    <row r="83" spans="1:97" s="114" customFormat="1" ht="30.9" x14ac:dyDescent="0.8">
      <c r="A83" s="262">
        <f>ROW()</f>
        <v>83</v>
      </c>
      <c r="C83" s="208"/>
      <c r="D83" s="208"/>
      <c r="E83" s="208"/>
      <c r="F83" s="208"/>
      <c r="G83" s="208"/>
      <c r="H83" s="208"/>
      <c r="J83" s="114" t="str">
        <f t="shared" si="29"/>
        <v/>
      </c>
      <c r="K83" s="114" t="str">
        <f>IF(COUNTBLANK(R83)&gt;0,"",CONCATENATE(R83," for ",N67))</f>
        <v/>
      </c>
      <c r="N83" s="123" t="s">
        <v>128</v>
      </c>
      <c r="O83" s="66"/>
      <c r="P83" s="175"/>
      <c r="Q83" s="175"/>
      <c r="R83" s="175"/>
      <c r="S83" s="174">
        <f>M67</f>
        <v>0</v>
      </c>
      <c r="T83" s="172"/>
      <c r="U83" s="175" t="s">
        <v>292</v>
      </c>
      <c r="V83" s="174">
        <f t="shared" si="22"/>
        <v>0</v>
      </c>
      <c r="W83" s="174">
        <f>VLOOKUP(U83,Sheet1!$B$6:$C$45,2,FALSE)*V83</f>
        <v>0</v>
      </c>
      <c r="X83" s="174"/>
      <c r="Y83" s="175" t="s">
        <v>292</v>
      </c>
      <c r="Z83" s="168">
        <f>VLOOKUP(Takeoffs!Y83,Sheet1!$B$6:$C$124,2,FALSE)</f>
        <v>0</v>
      </c>
      <c r="AA83" s="168">
        <f t="shared" si="23"/>
        <v>0</v>
      </c>
      <c r="AB83" s="176">
        <f t="shared" si="24"/>
        <v>0</v>
      </c>
      <c r="AC83" s="174">
        <f t="shared" si="25"/>
        <v>0</v>
      </c>
      <c r="AD83" s="174">
        <v>1</v>
      </c>
      <c r="AE83" s="174"/>
      <c r="AF83" s="175" t="s">
        <v>292</v>
      </c>
      <c r="AG83" s="168">
        <f>VLOOKUP(Takeoffs!AF83,Sheet1!$B$6:$C$124,2,FALSE)</f>
        <v>0</v>
      </c>
      <c r="AH83" s="168">
        <f t="shared" si="26"/>
        <v>0</v>
      </c>
      <c r="AI83" s="176">
        <f t="shared" si="27"/>
        <v>0</v>
      </c>
      <c r="AJ83" s="174">
        <f t="shared" si="28"/>
        <v>0</v>
      </c>
      <c r="AK83" s="174"/>
      <c r="AL83" s="141"/>
      <c r="AO83" s="286"/>
      <c r="AP83" s="284">
        <f t="shared" si="7"/>
        <v>0</v>
      </c>
      <c r="AQ83" s="281">
        <f t="shared" si="8"/>
        <v>0</v>
      </c>
      <c r="AR83" s="284">
        <f t="shared" si="9"/>
        <v>0</v>
      </c>
      <c r="AS83" s="281">
        <f t="shared" si="10"/>
        <v>0</v>
      </c>
      <c r="AT83" s="284">
        <f t="shared" si="11"/>
        <v>0</v>
      </c>
    </row>
    <row r="84" spans="1:97" s="114" customFormat="1" ht="30.9" x14ac:dyDescent="0.8">
      <c r="A84" s="262">
        <f>ROW()</f>
        <v>84</v>
      </c>
      <c r="C84" s="208"/>
      <c r="D84" s="208"/>
      <c r="E84" s="208"/>
      <c r="F84" s="208"/>
      <c r="G84" s="208"/>
      <c r="H84" s="208"/>
      <c r="J84" s="114" t="str">
        <f t="shared" si="29"/>
        <v/>
      </c>
      <c r="K84" s="114" t="str">
        <f>IF(COUNTBLANK(R84)&gt;0,"",CONCATENATE(R84," for ",N67))</f>
        <v/>
      </c>
      <c r="N84" s="123" t="s">
        <v>129</v>
      </c>
      <c r="O84" s="66"/>
      <c r="P84" s="175"/>
      <c r="Q84" s="175"/>
      <c r="R84" s="175"/>
      <c r="S84" s="174">
        <f>M67</f>
        <v>0</v>
      </c>
      <c r="T84" s="172"/>
      <c r="U84" s="175" t="s">
        <v>292</v>
      </c>
      <c r="V84" s="174">
        <f t="shared" si="22"/>
        <v>0</v>
      </c>
      <c r="W84" s="174">
        <f>VLOOKUP(U84,Sheet1!$B$6:$C$45,2,FALSE)*V84</f>
        <v>0</v>
      </c>
      <c r="X84" s="174"/>
      <c r="Y84" s="175" t="s">
        <v>292</v>
      </c>
      <c r="Z84" s="168">
        <f>VLOOKUP(Takeoffs!Y84,Sheet1!$B$6:$C$124,2,FALSE)</f>
        <v>0</v>
      </c>
      <c r="AA84" s="168">
        <f t="shared" si="23"/>
        <v>0</v>
      </c>
      <c r="AB84" s="176">
        <f t="shared" si="24"/>
        <v>0</v>
      </c>
      <c r="AC84" s="174">
        <f t="shared" si="25"/>
        <v>0</v>
      </c>
      <c r="AD84" s="174">
        <v>1</v>
      </c>
      <c r="AE84" s="174"/>
      <c r="AF84" s="175" t="s">
        <v>292</v>
      </c>
      <c r="AG84" s="168">
        <f>VLOOKUP(Takeoffs!AF84,Sheet1!$B$6:$C$124,2,FALSE)</f>
        <v>0</v>
      </c>
      <c r="AH84" s="168">
        <f t="shared" si="26"/>
        <v>0</v>
      </c>
      <c r="AI84" s="176">
        <f t="shared" si="27"/>
        <v>0</v>
      </c>
      <c r="AJ84" s="174">
        <f t="shared" si="28"/>
        <v>0</v>
      </c>
      <c r="AK84" s="174"/>
      <c r="AL84" s="141"/>
      <c r="AO84" s="286"/>
      <c r="AP84" s="284">
        <f t="shared" ref="AP84:AP147" si="30">IF(AND(I84&gt;0, ISNUMBER(I84)),I84*P84,0)</f>
        <v>0</v>
      </c>
      <c r="AQ84" s="281">
        <f t="shared" ref="AQ84:AQ147" si="31">IF(AND(I84&gt;0, ISNUMBER(I84)),I84*W84*80,0)</f>
        <v>0</v>
      </c>
      <c r="AR84" s="284">
        <f t="shared" ref="AR84:AR147" si="32">IF(AND(I84&gt;0, ISNUMBER(I84)),I84*AA84,0)</f>
        <v>0</v>
      </c>
      <c r="AS84" s="281">
        <f t="shared" ref="AS84:AS147" si="33">IF(AND(I84&gt;0, ISNUMBER(I84)),I84*AH84,0)</f>
        <v>0</v>
      </c>
      <c r="AT84" s="284">
        <f t="shared" ref="AT84:AT147" si="34">IF(AND(I84&gt;0, ISNUMBER(I84)),I84*(AP84-(AQ84+AR84+AS84)),0)</f>
        <v>0</v>
      </c>
    </row>
    <row r="85" spans="1:97" s="114" customFormat="1" ht="30.9" x14ac:dyDescent="0.8">
      <c r="A85" s="262">
        <f>ROW()</f>
        <v>85</v>
      </c>
      <c r="C85" s="208"/>
      <c r="D85" s="208"/>
      <c r="E85" s="208"/>
      <c r="F85" s="208"/>
      <c r="G85" s="208"/>
      <c r="H85" s="208"/>
      <c r="J85" s="114" t="str">
        <f t="shared" si="29"/>
        <v/>
      </c>
      <c r="K85" s="114" t="str">
        <f>IF(COUNTBLANK(R85)&gt;0,"",CONCATENATE(R85," for ",N67))</f>
        <v/>
      </c>
      <c r="N85" s="123" t="s">
        <v>130</v>
      </c>
      <c r="O85" s="66"/>
      <c r="P85" s="175"/>
      <c r="Q85" s="175"/>
      <c r="R85" s="175"/>
      <c r="S85" s="174">
        <f>M67</f>
        <v>0</v>
      </c>
      <c r="T85" s="172"/>
      <c r="U85" s="175" t="s">
        <v>292</v>
      </c>
      <c r="V85" s="174">
        <f t="shared" si="22"/>
        <v>0</v>
      </c>
      <c r="W85" s="174">
        <f>VLOOKUP(U85,Sheet1!$B$6:$C$45,2,FALSE)*V85</f>
        <v>0</v>
      </c>
      <c r="X85" s="174"/>
      <c r="Y85" s="175" t="s">
        <v>292</v>
      </c>
      <c r="Z85" s="168">
        <f>VLOOKUP(Takeoffs!Y85,Sheet1!$B$6:$C$124,2,FALSE)</f>
        <v>0</v>
      </c>
      <c r="AA85" s="168">
        <f t="shared" si="23"/>
        <v>0</v>
      </c>
      <c r="AB85" s="176">
        <f t="shared" si="24"/>
        <v>0</v>
      </c>
      <c r="AC85" s="174">
        <f t="shared" si="25"/>
        <v>0</v>
      </c>
      <c r="AD85" s="174">
        <v>1</v>
      </c>
      <c r="AE85" s="174"/>
      <c r="AF85" s="175" t="s">
        <v>292</v>
      </c>
      <c r="AG85" s="168">
        <f>VLOOKUP(Takeoffs!AF85,Sheet1!$B$6:$C$124,2,FALSE)</f>
        <v>0</v>
      </c>
      <c r="AH85" s="168">
        <f t="shared" si="26"/>
        <v>0</v>
      </c>
      <c r="AI85" s="176">
        <f t="shared" si="27"/>
        <v>0</v>
      </c>
      <c r="AJ85" s="174">
        <f t="shared" si="28"/>
        <v>0</v>
      </c>
      <c r="AK85" s="174">
        <f>T85</f>
        <v>0</v>
      </c>
      <c r="AL85" s="141"/>
      <c r="AO85" s="286"/>
      <c r="AP85" s="284">
        <f t="shared" si="30"/>
        <v>0</v>
      </c>
      <c r="AQ85" s="281">
        <f t="shared" si="31"/>
        <v>0</v>
      </c>
      <c r="AR85" s="284">
        <f t="shared" si="32"/>
        <v>0</v>
      </c>
      <c r="AS85" s="281">
        <f t="shared" si="33"/>
        <v>0</v>
      </c>
      <c r="AT85" s="284">
        <f t="shared" si="34"/>
        <v>0</v>
      </c>
    </row>
    <row r="86" spans="1:97" s="114" customFormat="1" ht="30.9" x14ac:dyDescent="0.8">
      <c r="A86" s="262">
        <f>ROW()</f>
        <v>86</v>
      </c>
      <c r="C86" s="208"/>
      <c r="D86" s="208"/>
      <c r="E86" s="208"/>
      <c r="F86" s="208"/>
      <c r="G86" s="208"/>
      <c r="H86" s="208"/>
      <c r="J86" s="114" t="str">
        <f t="shared" si="29"/>
        <v/>
      </c>
      <c r="K86" s="114" t="str">
        <f>IF(COUNTBLANK(R86)&gt;0,"",CONCATENATE(R86," for ",N67))</f>
        <v/>
      </c>
      <c r="N86" s="123" t="s">
        <v>131</v>
      </c>
      <c r="O86" s="66"/>
      <c r="P86" s="175"/>
      <c r="Q86" s="175"/>
      <c r="R86" s="175"/>
      <c r="S86" s="174">
        <f>M67</f>
        <v>0</v>
      </c>
      <c r="T86" s="172"/>
      <c r="U86" s="175" t="s">
        <v>292</v>
      </c>
      <c r="V86" s="174">
        <f t="shared" si="22"/>
        <v>0</v>
      </c>
      <c r="W86" s="174">
        <f>VLOOKUP(U86,Sheet1!$B$6:$C$45,2,FALSE)*V86</f>
        <v>0</v>
      </c>
      <c r="X86" s="174"/>
      <c r="Y86" s="175" t="s">
        <v>292</v>
      </c>
      <c r="Z86" s="168">
        <f>VLOOKUP(Takeoffs!Y86,Sheet1!$B$6:$C$124,2,FALSE)</f>
        <v>0</v>
      </c>
      <c r="AA86" s="168">
        <f t="shared" si="23"/>
        <v>0</v>
      </c>
      <c r="AB86" s="176">
        <f t="shared" si="24"/>
        <v>0</v>
      </c>
      <c r="AC86" s="174">
        <f t="shared" si="25"/>
        <v>0</v>
      </c>
      <c r="AD86" s="174">
        <v>1</v>
      </c>
      <c r="AE86" s="174"/>
      <c r="AF86" s="175" t="s">
        <v>292</v>
      </c>
      <c r="AG86" s="168">
        <f>VLOOKUP(Takeoffs!AF86,Sheet1!$B$6:$C$124,2,FALSE)</f>
        <v>0</v>
      </c>
      <c r="AH86" s="168">
        <f t="shared" si="26"/>
        <v>0</v>
      </c>
      <c r="AI86" s="176">
        <f t="shared" si="27"/>
        <v>0</v>
      </c>
      <c r="AJ86" s="174">
        <f t="shared" si="28"/>
        <v>0</v>
      </c>
      <c r="AK86" s="174">
        <f>T86</f>
        <v>0</v>
      </c>
      <c r="AL86" s="141"/>
      <c r="AO86" s="286"/>
      <c r="AP86" s="284">
        <f t="shared" si="30"/>
        <v>0</v>
      </c>
      <c r="AQ86" s="281">
        <f t="shared" si="31"/>
        <v>0</v>
      </c>
      <c r="AR86" s="284">
        <f t="shared" si="32"/>
        <v>0</v>
      </c>
      <c r="AS86" s="281">
        <f t="shared" si="33"/>
        <v>0</v>
      </c>
      <c r="AT86" s="284">
        <f t="shared" si="34"/>
        <v>0</v>
      </c>
    </row>
    <row r="87" spans="1:97" s="114" customFormat="1" ht="30.9" x14ac:dyDescent="0.8">
      <c r="A87" s="262">
        <f>ROW()</f>
        <v>87</v>
      </c>
      <c r="C87" s="208"/>
      <c r="D87" s="208"/>
      <c r="E87" s="208"/>
      <c r="F87" s="208"/>
      <c r="G87" s="208"/>
      <c r="H87" s="208"/>
      <c r="J87" s="114" t="str">
        <f t="shared" si="29"/>
        <v/>
      </c>
      <c r="K87" s="114" t="str">
        <f>IF(COUNTBLANK(R87)&gt;0,"",CONCATENATE(R87," for ",N67))</f>
        <v/>
      </c>
      <c r="N87" s="123" t="s">
        <v>132</v>
      </c>
      <c r="O87" s="66"/>
      <c r="P87" s="175"/>
      <c r="Q87" s="175"/>
      <c r="R87" s="175"/>
      <c r="S87" s="174">
        <f>M67</f>
        <v>0</v>
      </c>
      <c r="T87" s="172"/>
      <c r="U87" s="175" t="s">
        <v>292</v>
      </c>
      <c r="V87" s="174">
        <f t="shared" si="22"/>
        <v>0</v>
      </c>
      <c r="W87" s="174">
        <f>VLOOKUP(U87,Sheet1!$B$6:$C$45,2,FALSE)*V87</f>
        <v>0</v>
      </c>
      <c r="X87" s="174"/>
      <c r="Y87" s="175" t="s">
        <v>292</v>
      </c>
      <c r="Z87" s="168">
        <f>VLOOKUP(Takeoffs!Y87,Sheet1!$B$6:$C$124,2,FALSE)</f>
        <v>0</v>
      </c>
      <c r="AA87" s="168">
        <f t="shared" si="23"/>
        <v>0</v>
      </c>
      <c r="AB87" s="176">
        <f t="shared" si="24"/>
        <v>0</v>
      </c>
      <c r="AC87" s="174">
        <f t="shared" si="25"/>
        <v>0</v>
      </c>
      <c r="AD87" s="174">
        <v>1</v>
      </c>
      <c r="AE87" s="174"/>
      <c r="AF87" s="175" t="s">
        <v>292</v>
      </c>
      <c r="AG87" s="168">
        <f>VLOOKUP(Takeoffs!AF87,Sheet1!$B$6:$C$124,2,FALSE)</f>
        <v>0</v>
      </c>
      <c r="AH87" s="168">
        <f t="shared" si="26"/>
        <v>0</v>
      </c>
      <c r="AI87" s="176">
        <f t="shared" si="27"/>
        <v>0</v>
      </c>
      <c r="AJ87" s="174">
        <f t="shared" si="28"/>
        <v>0</v>
      </c>
      <c r="AK87" s="174">
        <f>T87</f>
        <v>0</v>
      </c>
      <c r="AL87" s="141"/>
      <c r="AO87" s="286"/>
      <c r="AP87" s="284">
        <f t="shared" si="30"/>
        <v>0</v>
      </c>
      <c r="AQ87" s="281">
        <f t="shared" si="31"/>
        <v>0</v>
      </c>
      <c r="AR87" s="284">
        <f t="shared" si="32"/>
        <v>0</v>
      </c>
      <c r="AS87" s="281">
        <f t="shared" si="33"/>
        <v>0</v>
      </c>
      <c r="AT87" s="284">
        <f t="shared" si="34"/>
        <v>0</v>
      </c>
    </row>
    <row r="88" spans="1:97" s="128" customFormat="1" ht="32.25" customHeight="1" thickBot="1" x14ac:dyDescent="0.85">
      <c r="A88" s="262">
        <f>ROW()</f>
        <v>88</v>
      </c>
      <c r="C88" s="212"/>
      <c r="D88" s="212"/>
      <c r="E88" s="212"/>
      <c r="F88" s="212"/>
      <c r="G88" s="212"/>
      <c r="H88" s="212"/>
      <c r="J88" s="128" t="s">
        <v>377</v>
      </c>
      <c r="L88" s="128" t="s">
        <v>378</v>
      </c>
      <c r="N88" s="129"/>
      <c r="O88" s="130" t="s">
        <v>357</v>
      </c>
      <c r="P88" s="192">
        <f>M67*P89</f>
        <v>0</v>
      </c>
      <c r="Q88" s="192"/>
      <c r="R88" s="172"/>
      <c r="S88" s="175"/>
      <c r="T88" s="172"/>
      <c r="U88" s="175" t="s">
        <v>351</v>
      </c>
      <c r="V88" s="172">
        <f>W88*80</f>
        <v>0</v>
      </c>
      <c r="W88" s="177">
        <f>SUM(W67:W87)</f>
        <v>0</v>
      </c>
      <c r="X88" s="178"/>
      <c r="Y88" s="172" t="s">
        <v>352</v>
      </c>
      <c r="Z88" s="168"/>
      <c r="AA88" s="168">
        <f>SUM(AA67:AA87)</f>
        <v>0</v>
      </c>
      <c r="AB88" s="179"/>
      <c r="AC88" s="179"/>
      <c r="AD88" s="179"/>
      <c r="AE88" s="179"/>
      <c r="AF88" s="172" t="s">
        <v>356</v>
      </c>
      <c r="AG88" s="168"/>
      <c r="AH88" s="168">
        <f>SUM(AH67:AH87)</f>
        <v>0</v>
      </c>
      <c r="AI88" s="179"/>
      <c r="AJ88" s="179"/>
      <c r="AK88" s="179"/>
      <c r="AL88" s="149"/>
      <c r="AM88" s="150">
        <f>P88</f>
        <v>0</v>
      </c>
      <c r="AO88" s="286"/>
      <c r="AP88" s="284">
        <f t="shared" si="30"/>
        <v>0</v>
      </c>
      <c r="AQ88" s="281">
        <f t="shared" si="31"/>
        <v>0</v>
      </c>
      <c r="AR88" s="284">
        <f t="shared" si="32"/>
        <v>0</v>
      </c>
      <c r="AS88" s="281">
        <f t="shared" si="33"/>
        <v>0</v>
      </c>
      <c r="AT88" s="284">
        <f t="shared" si="34"/>
        <v>0</v>
      </c>
    </row>
    <row r="89" spans="1:97" s="234" customFormat="1" ht="127.3" thickBot="1" x14ac:dyDescent="1.25">
      <c r="A89" s="262">
        <f>ROW()</f>
        <v>89</v>
      </c>
      <c r="B89" s="234" t="s">
        <v>491</v>
      </c>
      <c r="C89" s="217" t="str">
        <f>N67</f>
        <v>medium-sized Form 3  MSSB</v>
      </c>
      <c r="D89" s="260" t="str">
        <f>IF(B89="Shopping List",IF(ISNUMBER(SEARCH("MSSB",C89)),"MSSB",IF(ISNUMBER(SEARCH("local",C89)),"LOCAL","")))</f>
        <v>MSSB</v>
      </c>
      <c r="E89" s="238"/>
      <c r="F89" s="217"/>
      <c r="G89" s="217"/>
      <c r="H89" s="245">
        <v>2</v>
      </c>
      <c r="I89" s="270">
        <v>0</v>
      </c>
      <c r="J89" s="241" t="str">
        <f>CONCATENATE(O67," ",L67, " (",M67,") ",N67,".", IF(M67&gt;1," Each "," This "),"includes supply and install of ",O68,O69,O70,O71,O72,O73,O74,O75,O76,O77,O78,O79,O80,O81,O82,O83,O84,O85,O86,O87,J68,J69,J70,J71,J72,J73,J74,J75,J76,J77,J78,J79,J80,J81,J82,J83,J84,J85,J86,J87)</f>
        <v xml:space="preserve">Electrical services for Zero (0) medium-sized Form 3  MSSB. This includes supply and install of Main switch , Multifunction Meter,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89" s="248">
        <f>P88</f>
        <v>0</v>
      </c>
      <c r="L89" s="234" t="str">
        <f>CONCATENATE(Q68,Q69,Q70,Q71,Q72,Q73,Q74,Q75,Q76,Q77,Q78,Q79,Q80,Q81,Q82,Q83,Q84,Q85,Q86,Q87,)</f>
        <v/>
      </c>
      <c r="M89" s="166" t="s">
        <v>367</v>
      </c>
      <c r="N89" s="160" t="str">
        <f>N67</f>
        <v>medium-sized Form 3  MSSB</v>
      </c>
      <c r="O89" s="185" t="s">
        <v>365</v>
      </c>
      <c r="P89" s="203">
        <f>3800+500</f>
        <v>4300</v>
      </c>
      <c r="Q89" s="195"/>
      <c r="R89" s="188"/>
      <c r="S89" s="160"/>
      <c r="T89" s="161"/>
      <c r="U89" s="503" t="s">
        <v>366</v>
      </c>
      <c r="V89" s="503"/>
      <c r="W89" s="162" t="e">
        <f>W88/M67</f>
        <v>#DIV/0!</v>
      </c>
      <c r="X89" s="163"/>
      <c r="Y89" s="501" t="s">
        <v>365</v>
      </c>
      <c r="Z89" s="501"/>
      <c r="AA89" s="164" t="e">
        <f>AA88/M67</f>
        <v>#DIV/0!</v>
      </c>
      <c r="AB89" s="161"/>
      <c r="AC89" s="161"/>
      <c r="AD89" s="161"/>
      <c r="AE89" s="161"/>
      <c r="AF89" s="501" t="s">
        <v>365</v>
      </c>
      <c r="AG89" s="501"/>
      <c r="AH89" s="164" t="e">
        <f>AH88/M67</f>
        <v>#DIV/0!</v>
      </c>
      <c r="AI89" s="161"/>
      <c r="AJ89" s="161"/>
      <c r="AK89" s="161"/>
      <c r="AL89" s="247"/>
      <c r="AM89" s="257"/>
      <c r="AN89" s="236">
        <f>K89*1.25</f>
        <v>0</v>
      </c>
      <c r="AO89" s="286"/>
      <c r="AP89" s="284">
        <f t="shared" si="30"/>
        <v>0</v>
      </c>
      <c r="AQ89" s="281">
        <f t="shared" si="31"/>
        <v>0</v>
      </c>
      <c r="AR89" s="284">
        <f t="shared" si="32"/>
        <v>0</v>
      </c>
      <c r="AS89" s="281">
        <f t="shared" si="33"/>
        <v>0</v>
      </c>
      <c r="AT89" s="284">
        <f t="shared" si="34"/>
        <v>0</v>
      </c>
      <c r="AU89" s="117"/>
      <c r="AV89" s="117"/>
      <c r="AW89" s="117"/>
      <c r="AX89" s="117"/>
      <c r="AY89" s="117"/>
      <c r="AZ89" s="117"/>
      <c r="BA89" s="117"/>
      <c r="BB89" s="117"/>
      <c r="BC89" s="117"/>
      <c r="BD89" s="117"/>
      <c r="BE89" s="117"/>
      <c r="BF89" s="117"/>
      <c r="BG89" s="117"/>
      <c r="BH89" s="117"/>
      <c r="BI89" s="117"/>
      <c r="BJ89" s="117"/>
      <c r="BK89" s="117"/>
      <c r="BL89" s="117"/>
      <c r="BM89" s="117"/>
      <c r="BN89" s="117"/>
      <c r="BO89" s="117"/>
      <c r="BP89" s="117"/>
      <c r="BQ89" s="117"/>
      <c r="BR89" s="117"/>
      <c r="BS89" s="117"/>
      <c r="BT89" s="117"/>
      <c r="BU89" s="117"/>
      <c r="BV89" s="117"/>
      <c r="BW89" s="117"/>
      <c r="BX89" s="117"/>
      <c r="BY89" s="117"/>
      <c r="BZ89" s="117"/>
      <c r="CA89" s="117"/>
      <c r="CB89" s="117"/>
      <c r="CC89" s="117"/>
      <c r="CD89" s="117"/>
      <c r="CE89" s="117"/>
      <c r="CF89" s="117"/>
      <c r="CG89" s="117"/>
      <c r="CH89" s="117"/>
      <c r="CI89" s="117"/>
      <c r="CJ89" s="117"/>
      <c r="CK89" s="117"/>
      <c r="CL89" s="117"/>
      <c r="CM89" s="117"/>
      <c r="CN89" s="117"/>
      <c r="CO89" s="117"/>
      <c r="CP89" s="117"/>
      <c r="CQ89" s="117"/>
      <c r="CR89" s="117"/>
      <c r="CS89" s="117"/>
    </row>
    <row r="90" spans="1:97" s="116" customFormat="1" ht="193.5" customHeight="1" x14ac:dyDescent="0.8">
      <c r="A90" s="262">
        <f>ROW()</f>
        <v>90</v>
      </c>
      <c r="C90" s="211"/>
      <c r="D90" s="211"/>
      <c r="E90" s="211"/>
      <c r="F90" s="211"/>
      <c r="G90" s="211"/>
      <c r="H90" s="211"/>
      <c r="K90" s="116" t="s">
        <v>452</v>
      </c>
      <c r="M90" s="116" t="s">
        <v>107</v>
      </c>
      <c r="N90" s="116" t="s">
        <v>108</v>
      </c>
      <c r="O90" s="170" t="s">
        <v>386</v>
      </c>
      <c r="P90" s="502" t="s">
        <v>375</v>
      </c>
      <c r="Q90" s="502"/>
      <c r="R90" s="101" t="s">
        <v>452</v>
      </c>
      <c r="S90" s="116" t="s">
        <v>0</v>
      </c>
      <c r="T90" s="118"/>
      <c r="U90" s="116" t="s">
        <v>287</v>
      </c>
      <c r="V90" s="116" t="s">
        <v>288</v>
      </c>
      <c r="W90" s="116" t="s">
        <v>291</v>
      </c>
      <c r="X90" s="140"/>
      <c r="Y90" s="116" t="s">
        <v>289</v>
      </c>
      <c r="Z90" s="116" t="s">
        <v>354</v>
      </c>
      <c r="AA90" s="116" t="s">
        <v>355</v>
      </c>
      <c r="AB90" s="116" t="s">
        <v>317</v>
      </c>
      <c r="AC90" s="116" t="s">
        <v>318</v>
      </c>
      <c r="AD90" s="116" t="s">
        <v>316</v>
      </c>
      <c r="AE90" s="140"/>
      <c r="AF90" s="116" t="s">
        <v>293</v>
      </c>
      <c r="AG90" s="116" t="s">
        <v>354</v>
      </c>
      <c r="AH90" s="116" t="s">
        <v>355</v>
      </c>
      <c r="AI90" s="116" t="s">
        <v>296</v>
      </c>
      <c r="AJ90" s="116" t="s">
        <v>294</v>
      </c>
      <c r="AK90" s="116" t="s">
        <v>295</v>
      </c>
      <c r="AL90" s="140"/>
      <c r="AO90" s="288"/>
      <c r="AP90" s="284">
        <f t="shared" si="30"/>
        <v>0</v>
      </c>
      <c r="AQ90" s="281">
        <f t="shared" si="31"/>
        <v>0</v>
      </c>
      <c r="AR90" s="284">
        <f t="shared" si="32"/>
        <v>0</v>
      </c>
      <c r="AS90" s="281">
        <f t="shared" si="33"/>
        <v>0</v>
      </c>
      <c r="AT90" s="284">
        <f t="shared" si="34"/>
        <v>0</v>
      </c>
    </row>
    <row r="91" spans="1:97" s="114" customFormat="1" ht="66" customHeight="1" x14ac:dyDescent="0.8">
      <c r="A91" s="262">
        <f>ROW()</f>
        <v>91</v>
      </c>
      <c r="C91" s="208"/>
      <c r="D91" s="208"/>
      <c r="E91" s="208"/>
      <c r="F91" s="208"/>
      <c r="G91" s="208"/>
      <c r="H91" s="208"/>
      <c r="L91" s="124" t="str">
        <f>VLOOKUP(M91,Sheet2!$D$2:$E$1024,2,FALSE)</f>
        <v>Zero</v>
      </c>
      <c r="M91" s="121">
        <f>I113</f>
        <v>0</v>
      </c>
      <c r="N91" s="132" t="s">
        <v>688</v>
      </c>
      <c r="O91" s="121" t="s">
        <v>195</v>
      </c>
      <c r="P91" s="173" t="s">
        <v>379</v>
      </c>
      <c r="Q91" s="173" t="s">
        <v>375</v>
      </c>
      <c r="R91" s="173"/>
      <c r="S91" s="174">
        <f>M91</f>
        <v>0</v>
      </c>
      <c r="T91" s="175"/>
      <c r="U91" s="180" t="s">
        <v>236</v>
      </c>
      <c r="V91" s="174">
        <f>S91</f>
        <v>0</v>
      </c>
      <c r="W91" s="174">
        <f>VLOOKUP(U91,Sheet1!$B$6:$C$45,2,FALSE)*V91</f>
        <v>0</v>
      </c>
      <c r="X91" s="174"/>
      <c r="Y91" s="175" t="s">
        <v>292</v>
      </c>
      <c r="Z91" s="168">
        <f>VLOOKUP(Takeoffs!Y91,Sheet1!$B$6:$C$124,2,FALSE)</f>
        <v>0</v>
      </c>
      <c r="AA91" s="168">
        <f>Z91*AB91</f>
        <v>0</v>
      </c>
      <c r="AB91" s="176">
        <f>AD91*AC91</f>
        <v>0</v>
      </c>
      <c r="AC91" s="174">
        <f>S91</f>
        <v>0</v>
      </c>
      <c r="AD91" s="174">
        <v>1</v>
      </c>
      <c r="AE91" s="174"/>
      <c r="AF91" s="175" t="s">
        <v>292</v>
      </c>
      <c r="AG91" s="168">
        <f>VLOOKUP(Takeoffs!AF91,Sheet1!$B$6:$C$124,2,FALSE)</f>
        <v>0</v>
      </c>
      <c r="AH91" s="168">
        <f>AG91*AI91</f>
        <v>0</v>
      </c>
      <c r="AI91" s="176">
        <f>AK91*AJ91</f>
        <v>0</v>
      </c>
      <c r="AJ91" s="174">
        <f>S91</f>
        <v>0</v>
      </c>
      <c r="AK91" s="174"/>
      <c r="AL91" s="141"/>
      <c r="AO91" s="286"/>
      <c r="AP91" s="284">
        <f t="shared" si="30"/>
        <v>0</v>
      </c>
      <c r="AQ91" s="281">
        <f t="shared" si="31"/>
        <v>0</v>
      </c>
      <c r="AR91" s="284">
        <f t="shared" si="32"/>
        <v>0</v>
      </c>
      <c r="AS91" s="281">
        <f t="shared" si="33"/>
        <v>0</v>
      </c>
      <c r="AT91" s="284">
        <f t="shared" si="34"/>
        <v>0</v>
      </c>
    </row>
    <row r="92" spans="1:97" s="114" customFormat="1" ht="30.9" x14ac:dyDescent="0.8">
      <c r="A92" s="262">
        <f>ROW()</f>
        <v>92</v>
      </c>
      <c r="C92" s="208"/>
      <c r="D92" s="208"/>
      <c r="E92" s="208"/>
      <c r="F92" s="208"/>
      <c r="G92" s="208"/>
      <c r="H92" s="208"/>
      <c r="J92" s="114" t="str">
        <f>IF(COUNTBLANK(Q92)&gt;0,"",CONCATENATE("Coordination Note: - ",P92,": Please refer to our exclusions relating to ",Q92))</f>
        <v/>
      </c>
      <c r="K92" s="114" t="str">
        <f>IF(COUNTBLANK(R92)&gt;0,"",CONCATENATE(R92," for ",N91))</f>
        <v/>
      </c>
      <c r="M92" s="117"/>
      <c r="N92" s="123" t="s">
        <v>113</v>
      </c>
      <c r="O92" s="66" t="s">
        <v>606</v>
      </c>
      <c r="P92" s="175"/>
      <c r="Q92" s="175"/>
      <c r="R92" s="175"/>
      <c r="S92" s="174">
        <f>M91</f>
        <v>0</v>
      </c>
      <c r="T92" s="172"/>
      <c r="U92" s="175" t="s">
        <v>292</v>
      </c>
      <c r="V92" s="174">
        <f t="shared" ref="V92:V111" si="35">S92</f>
        <v>0</v>
      </c>
      <c r="W92" s="174">
        <f>VLOOKUP(U92,Sheet1!$B$6:$C$45,2,FALSE)*V92</f>
        <v>0</v>
      </c>
      <c r="X92" s="174"/>
      <c r="Y92" s="180" t="s">
        <v>417</v>
      </c>
      <c r="Z92" s="168">
        <f>VLOOKUP(Takeoffs!Y92,Sheet1!$B$6:$C$124,2,FALSE)</f>
        <v>586.15199999999993</v>
      </c>
      <c r="AA92" s="168">
        <f t="shared" ref="AA92:AA111" si="36">Z92*AB92</f>
        <v>0</v>
      </c>
      <c r="AB92" s="176">
        <f t="shared" ref="AB92:AB111" si="37">AD92*AC92</f>
        <v>0</v>
      </c>
      <c r="AC92" s="174">
        <f t="shared" ref="AC92:AC111" si="38">S92</f>
        <v>0</v>
      </c>
      <c r="AD92" s="174">
        <v>1</v>
      </c>
      <c r="AE92" s="174"/>
      <c r="AF92" s="175" t="s">
        <v>292</v>
      </c>
      <c r="AG92" s="168">
        <f>VLOOKUP(Takeoffs!AF92,Sheet1!$B$6:$C$124,2,FALSE)</f>
        <v>0</v>
      </c>
      <c r="AH92" s="168">
        <f t="shared" ref="AH92:AH111" si="39">AG92*AI92</f>
        <v>0</v>
      </c>
      <c r="AI92" s="176">
        <f t="shared" ref="AI92:AI111" si="40">AK92*AJ92</f>
        <v>0</v>
      </c>
      <c r="AJ92" s="174">
        <f t="shared" ref="AJ92:AJ111" si="41">S92</f>
        <v>0</v>
      </c>
      <c r="AK92" s="174"/>
      <c r="AL92" s="141"/>
      <c r="AO92" s="286"/>
      <c r="AP92" s="284">
        <f t="shared" si="30"/>
        <v>0</v>
      </c>
      <c r="AQ92" s="281">
        <f t="shared" si="31"/>
        <v>0</v>
      </c>
      <c r="AR92" s="284">
        <f t="shared" si="32"/>
        <v>0</v>
      </c>
      <c r="AS92" s="281">
        <f t="shared" si="33"/>
        <v>0</v>
      </c>
      <c r="AT92" s="284">
        <f t="shared" si="34"/>
        <v>0</v>
      </c>
    </row>
    <row r="93" spans="1:97" s="114" customFormat="1" ht="30.9" x14ac:dyDescent="0.8">
      <c r="A93" s="262">
        <f>ROW()</f>
        <v>93</v>
      </c>
      <c r="C93" s="208"/>
      <c r="D93" s="208"/>
      <c r="E93" s="208"/>
      <c r="F93" s="208"/>
      <c r="G93" s="208"/>
      <c r="H93" s="208"/>
      <c r="J93" s="114" t="str">
        <f t="shared" ref="J93:J111" si="42">IF(COUNTBLANK(Q93)&gt;0,"",CONCATENATE("Coordination Note: - ",P93,": Please refer to our exclusions relating to ",Q93))</f>
        <v/>
      </c>
      <c r="K93" s="114" t="str">
        <f>IF(COUNTBLANK(R93)&gt;0,"",CONCATENATE(R93," for ",N91))</f>
        <v/>
      </c>
      <c r="M93" s="117"/>
      <c r="N93" s="123" t="s">
        <v>114</v>
      </c>
      <c r="O93" s="66" t="s">
        <v>399</v>
      </c>
      <c r="P93" s="175"/>
      <c r="Q93" s="175"/>
      <c r="R93" s="175"/>
      <c r="S93" s="174">
        <f>M91</f>
        <v>0</v>
      </c>
      <c r="T93" s="172"/>
      <c r="U93" s="175" t="s">
        <v>292</v>
      </c>
      <c r="V93" s="174">
        <f t="shared" si="35"/>
        <v>0</v>
      </c>
      <c r="W93" s="174">
        <f>VLOOKUP(U93,Sheet1!$B$6:$C$45,2,FALSE)*V93</f>
        <v>0</v>
      </c>
      <c r="X93" s="174"/>
      <c r="Y93" s="175" t="s">
        <v>292</v>
      </c>
      <c r="Z93" s="168">
        <f>VLOOKUP(Takeoffs!Y93,Sheet1!$B$6:$C$124,2,FALSE)</f>
        <v>0</v>
      </c>
      <c r="AA93" s="168">
        <f t="shared" si="36"/>
        <v>0</v>
      </c>
      <c r="AB93" s="176">
        <f t="shared" si="37"/>
        <v>0</v>
      </c>
      <c r="AC93" s="174">
        <f t="shared" si="38"/>
        <v>0</v>
      </c>
      <c r="AD93" s="174">
        <v>1</v>
      </c>
      <c r="AE93" s="174"/>
      <c r="AF93" s="175" t="s">
        <v>292</v>
      </c>
      <c r="AG93" s="168">
        <f>VLOOKUP(Takeoffs!AF93,Sheet1!$B$6:$C$124,2,FALSE)</f>
        <v>0</v>
      </c>
      <c r="AH93" s="168">
        <f t="shared" si="39"/>
        <v>0</v>
      </c>
      <c r="AI93" s="176">
        <f t="shared" si="40"/>
        <v>0</v>
      </c>
      <c r="AJ93" s="174">
        <f t="shared" si="41"/>
        <v>0</v>
      </c>
      <c r="AK93" s="174"/>
      <c r="AL93" s="141"/>
      <c r="AO93" s="286"/>
      <c r="AP93" s="284">
        <f t="shared" si="30"/>
        <v>0</v>
      </c>
      <c r="AQ93" s="281">
        <f t="shared" si="31"/>
        <v>0</v>
      </c>
      <c r="AR93" s="284">
        <f t="shared" si="32"/>
        <v>0</v>
      </c>
      <c r="AS93" s="281">
        <f t="shared" si="33"/>
        <v>0</v>
      </c>
      <c r="AT93" s="284">
        <f t="shared" si="34"/>
        <v>0</v>
      </c>
    </row>
    <row r="94" spans="1:97" s="114" customFormat="1" ht="30.9" x14ac:dyDescent="0.8">
      <c r="A94" s="262">
        <f>ROW()</f>
        <v>94</v>
      </c>
      <c r="C94" s="208"/>
      <c r="D94" s="208"/>
      <c r="E94" s="208"/>
      <c r="F94" s="208"/>
      <c r="G94" s="208"/>
      <c r="H94" s="208"/>
      <c r="J94" s="114" t="str">
        <f t="shared" si="42"/>
        <v/>
      </c>
      <c r="K94" s="114" t="str">
        <f>IF(COUNTBLANK(R94)&gt;0,"",CONCATENATE(R94," for ",N91))</f>
        <v/>
      </c>
      <c r="M94" s="117"/>
      <c r="N94" s="123" t="s">
        <v>115</v>
      </c>
      <c r="O94" s="66" t="s">
        <v>400</v>
      </c>
      <c r="P94" s="175"/>
      <c r="Q94" s="175"/>
      <c r="R94" s="175"/>
      <c r="S94" s="174">
        <f>M91</f>
        <v>0</v>
      </c>
      <c r="T94" s="172"/>
      <c r="U94" s="175" t="s">
        <v>292</v>
      </c>
      <c r="V94" s="174">
        <f t="shared" si="35"/>
        <v>0</v>
      </c>
      <c r="W94" s="174">
        <f>VLOOKUP(U94,Sheet1!$B$6:$C$45,2,FALSE)*V94</f>
        <v>0</v>
      </c>
      <c r="X94" s="174"/>
      <c r="Y94" s="175" t="s">
        <v>292</v>
      </c>
      <c r="Z94" s="168">
        <f>VLOOKUP(Takeoffs!Y94,Sheet1!$B$6:$C$124,2,FALSE)</f>
        <v>0</v>
      </c>
      <c r="AA94" s="168">
        <f t="shared" si="36"/>
        <v>0</v>
      </c>
      <c r="AB94" s="176">
        <f t="shared" si="37"/>
        <v>0</v>
      </c>
      <c r="AC94" s="174">
        <f t="shared" si="38"/>
        <v>0</v>
      </c>
      <c r="AD94" s="174">
        <v>1</v>
      </c>
      <c r="AE94" s="174"/>
      <c r="AF94" s="175" t="s">
        <v>292</v>
      </c>
      <c r="AG94" s="168">
        <f>VLOOKUP(Takeoffs!AF94,Sheet1!$B$6:$C$124,2,FALSE)</f>
        <v>0</v>
      </c>
      <c r="AH94" s="168">
        <f t="shared" si="39"/>
        <v>0</v>
      </c>
      <c r="AI94" s="176">
        <f t="shared" si="40"/>
        <v>0</v>
      </c>
      <c r="AJ94" s="174">
        <f t="shared" si="41"/>
        <v>0</v>
      </c>
      <c r="AK94" s="174"/>
      <c r="AL94" s="141"/>
      <c r="AO94" s="286"/>
      <c r="AP94" s="284">
        <f t="shared" si="30"/>
        <v>0</v>
      </c>
      <c r="AQ94" s="281">
        <f t="shared" si="31"/>
        <v>0</v>
      </c>
      <c r="AR94" s="284">
        <f t="shared" si="32"/>
        <v>0</v>
      </c>
      <c r="AS94" s="281">
        <f t="shared" si="33"/>
        <v>0</v>
      </c>
      <c r="AT94" s="284">
        <f t="shared" si="34"/>
        <v>0</v>
      </c>
    </row>
    <row r="95" spans="1:97" s="114" customFormat="1" ht="30.9" x14ac:dyDescent="0.8">
      <c r="A95" s="262">
        <f>ROW()</f>
        <v>95</v>
      </c>
      <c r="C95" s="208"/>
      <c r="D95" s="208"/>
      <c r="E95" s="208"/>
      <c r="F95" s="208"/>
      <c r="G95" s="208"/>
      <c r="H95" s="208"/>
      <c r="J95" s="114" t="str">
        <f t="shared" si="42"/>
        <v/>
      </c>
      <c r="K95" s="114" t="str">
        <f>IF(COUNTBLANK(R95)&gt;0,"",CONCATENATE(R95," for ",N91))</f>
        <v/>
      </c>
      <c r="M95" s="117"/>
      <c r="N95" s="123" t="s">
        <v>116</v>
      </c>
      <c r="O95" s="66" t="s">
        <v>401</v>
      </c>
      <c r="P95" s="175"/>
      <c r="Q95" s="175"/>
      <c r="R95" s="175"/>
      <c r="S95" s="174">
        <f>M91</f>
        <v>0</v>
      </c>
      <c r="T95" s="172"/>
      <c r="U95" s="175" t="s">
        <v>292</v>
      </c>
      <c r="V95" s="174">
        <f t="shared" si="35"/>
        <v>0</v>
      </c>
      <c r="W95" s="174">
        <f>VLOOKUP(U95,Sheet1!$B$6:$C$45,2,FALSE)*V95</f>
        <v>0</v>
      </c>
      <c r="X95" s="174"/>
      <c r="Y95" s="175" t="s">
        <v>292</v>
      </c>
      <c r="Z95" s="168">
        <f>VLOOKUP(Takeoffs!Y95,Sheet1!$B$6:$C$124,2,FALSE)</f>
        <v>0</v>
      </c>
      <c r="AA95" s="168">
        <f t="shared" si="36"/>
        <v>0</v>
      </c>
      <c r="AB95" s="176">
        <f t="shared" si="37"/>
        <v>0</v>
      </c>
      <c r="AC95" s="174">
        <f t="shared" si="38"/>
        <v>0</v>
      </c>
      <c r="AD95" s="174">
        <v>1</v>
      </c>
      <c r="AE95" s="174"/>
      <c r="AF95" s="175" t="s">
        <v>292</v>
      </c>
      <c r="AG95" s="168">
        <f>VLOOKUP(Takeoffs!AF95,Sheet1!$B$6:$C$124,2,FALSE)</f>
        <v>0</v>
      </c>
      <c r="AH95" s="168">
        <f t="shared" si="39"/>
        <v>0</v>
      </c>
      <c r="AI95" s="176">
        <f t="shared" si="40"/>
        <v>0</v>
      </c>
      <c r="AJ95" s="174">
        <f t="shared" si="41"/>
        <v>0</v>
      </c>
      <c r="AK95" s="174"/>
      <c r="AL95" s="141"/>
      <c r="AO95" s="286"/>
      <c r="AP95" s="284">
        <f t="shared" si="30"/>
        <v>0</v>
      </c>
      <c r="AQ95" s="281">
        <f t="shared" si="31"/>
        <v>0</v>
      </c>
      <c r="AR95" s="284">
        <f t="shared" si="32"/>
        <v>0</v>
      </c>
      <c r="AS95" s="281">
        <f t="shared" si="33"/>
        <v>0</v>
      </c>
      <c r="AT95" s="284">
        <f t="shared" si="34"/>
        <v>0</v>
      </c>
    </row>
    <row r="96" spans="1:97" s="114" customFormat="1" ht="30.9" x14ac:dyDescent="0.8">
      <c r="A96" s="262">
        <f>ROW()</f>
        <v>96</v>
      </c>
      <c r="C96" s="208"/>
      <c r="D96" s="208"/>
      <c r="E96" s="208"/>
      <c r="F96" s="208"/>
      <c r="G96" s="208"/>
      <c r="H96" s="208"/>
      <c r="J96" s="114" t="str">
        <f t="shared" si="42"/>
        <v/>
      </c>
      <c r="K96" s="114" t="str">
        <f>IF(COUNTBLANK(R96)&gt;0,"",CONCATENATE(R96," for ",N91))</f>
        <v/>
      </c>
      <c r="M96" s="117"/>
      <c r="N96" s="123" t="s">
        <v>117</v>
      </c>
      <c r="O96" s="66" t="s">
        <v>402</v>
      </c>
      <c r="P96" s="175"/>
      <c r="Q96" s="175"/>
      <c r="R96" s="175"/>
      <c r="S96" s="174">
        <f>M91</f>
        <v>0</v>
      </c>
      <c r="T96" s="172"/>
      <c r="U96" s="175" t="s">
        <v>292</v>
      </c>
      <c r="V96" s="174">
        <f t="shared" si="35"/>
        <v>0</v>
      </c>
      <c r="W96" s="174">
        <f>VLOOKUP(U96,Sheet1!$B$6:$C$45,2,FALSE)*V96</f>
        <v>0</v>
      </c>
      <c r="X96" s="174"/>
      <c r="Y96" s="175" t="s">
        <v>274</v>
      </c>
      <c r="Z96" s="168">
        <f>VLOOKUP(Takeoffs!Y96,Sheet1!$B$6:$C$124,2,FALSE)</f>
        <v>360</v>
      </c>
      <c r="AA96" s="168">
        <f t="shared" si="36"/>
        <v>0</v>
      </c>
      <c r="AB96" s="176">
        <f t="shared" si="37"/>
        <v>0</v>
      </c>
      <c r="AC96" s="174">
        <f t="shared" si="38"/>
        <v>0</v>
      </c>
      <c r="AD96" s="174">
        <v>1</v>
      </c>
      <c r="AE96" s="174"/>
      <c r="AF96" s="175" t="s">
        <v>292</v>
      </c>
      <c r="AG96" s="168">
        <f>VLOOKUP(Takeoffs!AF96,Sheet1!$B$6:$C$124,2,FALSE)</f>
        <v>0</v>
      </c>
      <c r="AH96" s="168">
        <f t="shared" si="39"/>
        <v>0</v>
      </c>
      <c r="AI96" s="176">
        <f t="shared" si="40"/>
        <v>0</v>
      </c>
      <c r="AJ96" s="174">
        <f t="shared" si="41"/>
        <v>0</v>
      </c>
      <c r="AK96" s="174"/>
      <c r="AL96" s="141"/>
      <c r="AO96" s="286"/>
      <c r="AP96" s="284">
        <f t="shared" si="30"/>
        <v>0</v>
      </c>
      <c r="AQ96" s="281">
        <f t="shared" si="31"/>
        <v>0</v>
      </c>
      <c r="AR96" s="284">
        <f t="shared" si="32"/>
        <v>0</v>
      </c>
      <c r="AS96" s="281">
        <f t="shared" si="33"/>
        <v>0</v>
      </c>
      <c r="AT96" s="284">
        <f t="shared" si="34"/>
        <v>0</v>
      </c>
    </row>
    <row r="97" spans="1:46" s="114" customFormat="1" ht="30.9" x14ac:dyDescent="0.8">
      <c r="A97" s="262">
        <f>ROW()</f>
        <v>97</v>
      </c>
      <c r="C97" s="208"/>
      <c r="D97" s="208"/>
      <c r="E97" s="208"/>
      <c r="F97" s="208"/>
      <c r="G97" s="208"/>
      <c r="H97" s="208"/>
      <c r="J97" s="114" t="str">
        <f t="shared" si="42"/>
        <v/>
      </c>
      <c r="K97" s="114" t="str">
        <f>IF(COUNTBLANK(R97)&gt;0,"",CONCATENATE(R97," for ",N91))</f>
        <v/>
      </c>
      <c r="M97" s="117"/>
      <c r="N97" s="123" t="s">
        <v>118</v>
      </c>
      <c r="O97" s="66" t="s">
        <v>403</v>
      </c>
      <c r="P97" s="175"/>
      <c r="Q97" s="175"/>
      <c r="R97" s="175"/>
      <c r="S97" s="174">
        <f>M91</f>
        <v>0</v>
      </c>
      <c r="T97" s="172"/>
      <c r="U97" s="175" t="s">
        <v>292</v>
      </c>
      <c r="V97" s="174">
        <f t="shared" si="35"/>
        <v>0</v>
      </c>
      <c r="W97" s="174">
        <f>VLOOKUP(U97,Sheet1!$B$6:$C$45,2,FALSE)*V97</f>
        <v>0</v>
      </c>
      <c r="X97" s="174"/>
      <c r="Y97" s="175" t="s">
        <v>292</v>
      </c>
      <c r="Z97" s="168">
        <f>VLOOKUP(Takeoffs!Y97,Sheet1!$B$6:$C$124,2,FALSE)</f>
        <v>0</v>
      </c>
      <c r="AA97" s="168">
        <f t="shared" si="36"/>
        <v>0</v>
      </c>
      <c r="AB97" s="176">
        <f t="shared" si="37"/>
        <v>0</v>
      </c>
      <c r="AC97" s="174">
        <f t="shared" si="38"/>
        <v>0</v>
      </c>
      <c r="AD97" s="174">
        <v>1</v>
      </c>
      <c r="AE97" s="174"/>
      <c r="AF97" s="175" t="s">
        <v>292</v>
      </c>
      <c r="AG97" s="168">
        <f>VLOOKUP(Takeoffs!AF97,Sheet1!$B$6:$C$124,2,FALSE)</f>
        <v>0</v>
      </c>
      <c r="AH97" s="168">
        <f t="shared" si="39"/>
        <v>0</v>
      </c>
      <c r="AI97" s="176">
        <f t="shared" si="40"/>
        <v>0</v>
      </c>
      <c r="AJ97" s="174">
        <f t="shared" si="41"/>
        <v>0</v>
      </c>
      <c r="AK97" s="174"/>
      <c r="AL97" s="141"/>
      <c r="AO97" s="286"/>
      <c r="AP97" s="284">
        <f t="shared" si="30"/>
        <v>0</v>
      </c>
      <c r="AQ97" s="281">
        <f t="shared" si="31"/>
        <v>0</v>
      </c>
      <c r="AR97" s="284">
        <f t="shared" si="32"/>
        <v>0</v>
      </c>
      <c r="AS97" s="281">
        <f t="shared" si="33"/>
        <v>0</v>
      </c>
      <c r="AT97" s="284">
        <f t="shared" si="34"/>
        <v>0</v>
      </c>
    </row>
    <row r="98" spans="1:46" s="114" customFormat="1" ht="30.9" x14ac:dyDescent="0.8">
      <c r="A98" s="262">
        <f>ROW()</f>
        <v>98</v>
      </c>
      <c r="C98" s="208"/>
      <c r="D98" s="208"/>
      <c r="E98" s="208"/>
      <c r="F98" s="208"/>
      <c r="G98" s="208"/>
      <c r="H98" s="208"/>
      <c r="J98" s="114" t="str">
        <f t="shared" si="42"/>
        <v/>
      </c>
      <c r="K98" s="114" t="str">
        <f>IF(COUNTBLANK(R98)&gt;0,"",CONCATENATE(R98," for ",N91))</f>
        <v/>
      </c>
      <c r="N98" s="123" t="s">
        <v>119</v>
      </c>
      <c r="O98" s="66" t="s">
        <v>404</v>
      </c>
      <c r="P98" s="175"/>
      <c r="Q98" s="175"/>
      <c r="R98" s="175"/>
      <c r="S98" s="174">
        <f>M91</f>
        <v>0</v>
      </c>
      <c r="T98" s="172"/>
      <c r="U98" s="175" t="s">
        <v>292</v>
      </c>
      <c r="V98" s="174">
        <f t="shared" si="35"/>
        <v>0</v>
      </c>
      <c r="W98" s="174">
        <f>VLOOKUP(U98,Sheet1!$B$6:$C$45,2,FALSE)*V98</f>
        <v>0</v>
      </c>
      <c r="X98" s="174"/>
      <c r="Y98" s="175" t="s">
        <v>292</v>
      </c>
      <c r="Z98" s="168">
        <f>VLOOKUP(Takeoffs!Y98,Sheet1!$B$6:$C$124,2,FALSE)</f>
        <v>0</v>
      </c>
      <c r="AA98" s="168">
        <f t="shared" si="36"/>
        <v>0</v>
      </c>
      <c r="AB98" s="176">
        <f t="shared" si="37"/>
        <v>0</v>
      </c>
      <c r="AC98" s="174">
        <f t="shared" si="38"/>
        <v>0</v>
      </c>
      <c r="AD98" s="174">
        <v>1</v>
      </c>
      <c r="AE98" s="174"/>
      <c r="AF98" s="175" t="s">
        <v>292</v>
      </c>
      <c r="AG98" s="168">
        <f>VLOOKUP(Takeoffs!AF98,Sheet1!$B$6:$C$124,2,FALSE)</f>
        <v>0</v>
      </c>
      <c r="AH98" s="168">
        <f t="shared" si="39"/>
        <v>0</v>
      </c>
      <c r="AI98" s="176">
        <f t="shared" si="40"/>
        <v>0</v>
      </c>
      <c r="AJ98" s="174">
        <f t="shared" si="41"/>
        <v>0</v>
      </c>
      <c r="AK98" s="174"/>
      <c r="AL98" s="141"/>
      <c r="AO98" s="286"/>
      <c r="AP98" s="284">
        <f t="shared" si="30"/>
        <v>0</v>
      </c>
      <c r="AQ98" s="281">
        <f t="shared" si="31"/>
        <v>0</v>
      </c>
      <c r="AR98" s="284">
        <f t="shared" si="32"/>
        <v>0</v>
      </c>
      <c r="AS98" s="281">
        <f t="shared" si="33"/>
        <v>0</v>
      </c>
      <c r="AT98" s="284">
        <f t="shared" si="34"/>
        <v>0</v>
      </c>
    </row>
    <row r="99" spans="1:46" s="114" customFormat="1" ht="30.9" x14ac:dyDescent="0.8">
      <c r="A99" s="262">
        <f>ROW()</f>
        <v>99</v>
      </c>
      <c r="C99" s="208"/>
      <c r="D99" s="208"/>
      <c r="E99" s="208"/>
      <c r="F99" s="208"/>
      <c r="G99" s="208"/>
      <c r="H99" s="208"/>
      <c r="J99" s="114" t="str">
        <f t="shared" si="42"/>
        <v/>
      </c>
      <c r="K99" s="114" t="str">
        <f>IF(COUNTBLANK(R99)&gt;0,"",CONCATENATE(R99," for ",N91))</f>
        <v/>
      </c>
      <c r="N99" s="123" t="s">
        <v>120</v>
      </c>
      <c r="O99" s="66" t="s">
        <v>509</v>
      </c>
      <c r="P99" s="175"/>
      <c r="Q99" s="175"/>
      <c r="R99" s="175"/>
      <c r="S99" s="174">
        <f>M91</f>
        <v>0</v>
      </c>
      <c r="T99" s="172"/>
      <c r="U99" s="175" t="s">
        <v>292</v>
      </c>
      <c r="V99" s="174">
        <f t="shared" si="35"/>
        <v>0</v>
      </c>
      <c r="W99" s="174">
        <f>VLOOKUP(U99,Sheet1!$B$6:$C$45,2,FALSE)*V99</f>
        <v>0</v>
      </c>
      <c r="X99" s="174"/>
      <c r="Y99" s="175" t="s">
        <v>292</v>
      </c>
      <c r="Z99" s="168">
        <f>VLOOKUP(Takeoffs!Y99,Sheet1!$B$6:$C$124,2,FALSE)</f>
        <v>0</v>
      </c>
      <c r="AA99" s="168">
        <f t="shared" si="36"/>
        <v>0</v>
      </c>
      <c r="AB99" s="176">
        <f t="shared" si="37"/>
        <v>0</v>
      </c>
      <c r="AC99" s="174">
        <f t="shared" si="38"/>
        <v>0</v>
      </c>
      <c r="AD99" s="174">
        <v>1</v>
      </c>
      <c r="AE99" s="174"/>
      <c r="AF99" s="175" t="s">
        <v>292</v>
      </c>
      <c r="AG99" s="168">
        <f>VLOOKUP(Takeoffs!AF99,Sheet1!$B$6:$C$124,2,FALSE)</f>
        <v>0</v>
      </c>
      <c r="AH99" s="168">
        <f t="shared" si="39"/>
        <v>0</v>
      </c>
      <c r="AI99" s="176">
        <f t="shared" si="40"/>
        <v>0</v>
      </c>
      <c r="AJ99" s="174">
        <f t="shared" si="41"/>
        <v>0</v>
      </c>
      <c r="AK99" s="174"/>
      <c r="AL99" s="141"/>
      <c r="AO99" s="286"/>
      <c r="AP99" s="284">
        <f t="shared" si="30"/>
        <v>0</v>
      </c>
      <c r="AQ99" s="281">
        <f t="shared" si="31"/>
        <v>0</v>
      </c>
      <c r="AR99" s="284">
        <f t="shared" si="32"/>
        <v>0</v>
      </c>
      <c r="AS99" s="281">
        <f t="shared" si="33"/>
        <v>0</v>
      </c>
      <c r="AT99" s="284">
        <f t="shared" si="34"/>
        <v>0</v>
      </c>
    </row>
    <row r="100" spans="1:46" s="114" customFormat="1" ht="30.9" x14ac:dyDescent="0.8">
      <c r="A100" s="262">
        <f>ROW()</f>
        <v>100</v>
      </c>
      <c r="C100" s="208"/>
      <c r="D100" s="208"/>
      <c r="E100" s="208"/>
      <c r="F100" s="208"/>
      <c r="G100" s="208"/>
      <c r="H100" s="208"/>
      <c r="J100" s="114" t="str">
        <f t="shared" si="42"/>
        <v/>
      </c>
      <c r="K100" s="114" t="str">
        <f>IF(COUNTBLANK(R100)&gt;0,"",CONCATENATE(R100," for ",N91))</f>
        <v/>
      </c>
      <c r="N100" s="123" t="s">
        <v>121</v>
      </c>
      <c r="O100" s="66" t="s">
        <v>440</v>
      </c>
      <c r="P100" s="175"/>
      <c r="Q100" s="175"/>
      <c r="R100" s="175"/>
      <c r="S100" s="174">
        <f>M91</f>
        <v>0</v>
      </c>
      <c r="T100" s="172"/>
      <c r="U100" s="175" t="s">
        <v>292</v>
      </c>
      <c r="V100" s="174">
        <f t="shared" si="35"/>
        <v>0</v>
      </c>
      <c r="W100" s="174">
        <f>VLOOKUP(U100,Sheet1!$B$6:$C$45,2,FALSE)*V100</f>
        <v>0</v>
      </c>
      <c r="X100" s="174"/>
      <c r="Y100" s="175" t="s">
        <v>292</v>
      </c>
      <c r="Z100" s="168">
        <f>VLOOKUP(Takeoffs!Y100,Sheet1!$B$6:$C$124,2,FALSE)</f>
        <v>0</v>
      </c>
      <c r="AA100" s="168">
        <f t="shared" si="36"/>
        <v>0</v>
      </c>
      <c r="AB100" s="176">
        <f t="shared" si="37"/>
        <v>0</v>
      </c>
      <c r="AC100" s="174">
        <f t="shared" si="38"/>
        <v>0</v>
      </c>
      <c r="AD100" s="174">
        <v>1</v>
      </c>
      <c r="AE100" s="174"/>
      <c r="AF100" s="175" t="s">
        <v>292</v>
      </c>
      <c r="AG100" s="168">
        <f>VLOOKUP(Takeoffs!AF100,Sheet1!$B$6:$C$124,2,FALSE)</f>
        <v>0</v>
      </c>
      <c r="AH100" s="168">
        <f t="shared" si="39"/>
        <v>0</v>
      </c>
      <c r="AI100" s="176">
        <f t="shared" si="40"/>
        <v>0</v>
      </c>
      <c r="AJ100" s="174">
        <f t="shared" si="41"/>
        <v>0</v>
      </c>
      <c r="AK100" s="174"/>
      <c r="AL100" s="141"/>
      <c r="AO100" s="286"/>
      <c r="AP100" s="284">
        <f t="shared" si="30"/>
        <v>0</v>
      </c>
      <c r="AQ100" s="281">
        <f t="shared" si="31"/>
        <v>0</v>
      </c>
      <c r="AR100" s="284">
        <f t="shared" si="32"/>
        <v>0</v>
      </c>
      <c r="AS100" s="281">
        <f t="shared" si="33"/>
        <v>0</v>
      </c>
      <c r="AT100" s="284">
        <f t="shared" si="34"/>
        <v>0</v>
      </c>
    </row>
    <row r="101" spans="1:46" s="114" customFormat="1" ht="30.9" x14ac:dyDescent="0.8">
      <c r="A101" s="262">
        <f>ROW()</f>
        <v>101</v>
      </c>
      <c r="C101" s="208"/>
      <c r="D101" s="208"/>
      <c r="E101" s="208"/>
      <c r="F101" s="208"/>
      <c r="G101" s="208"/>
      <c r="H101" s="208"/>
      <c r="J101" s="114" t="str">
        <f t="shared" si="42"/>
        <v/>
      </c>
      <c r="K101" s="114" t="str">
        <f>IF(COUNTBLANK(R101)&gt;0,"",CONCATENATE(R101," for ",N91))</f>
        <v/>
      </c>
      <c r="N101" s="123" t="s">
        <v>122</v>
      </c>
      <c r="O101" s="66" t="s">
        <v>405</v>
      </c>
      <c r="P101" s="175"/>
      <c r="Q101" s="175"/>
      <c r="R101" s="175"/>
      <c r="S101" s="174">
        <f>M91</f>
        <v>0</v>
      </c>
      <c r="T101" s="172"/>
      <c r="U101" s="175" t="s">
        <v>292</v>
      </c>
      <c r="V101" s="174">
        <f t="shared" si="35"/>
        <v>0</v>
      </c>
      <c r="W101" s="174">
        <f>VLOOKUP(U101,Sheet1!$B$6:$C$45,2,FALSE)*V101</f>
        <v>0</v>
      </c>
      <c r="X101" s="174"/>
      <c r="Y101" s="175" t="s">
        <v>292</v>
      </c>
      <c r="Z101" s="168">
        <f>VLOOKUP(Takeoffs!Y101,Sheet1!$B$6:$C$124,2,FALSE)</f>
        <v>0</v>
      </c>
      <c r="AA101" s="168">
        <f t="shared" si="36"/>
        <v>0</v>
      </c>
      <c r="AB101" s="176">
        <f t="shared" si="37"/>
        <v>0</v>
      </c>
      <c r="AC101" s="174">
        <f t="shared" si="38"/>
        <v>0</v>
      </c>
      <c r="AD101" s="174">
        <v>1</v>
      </c>
      <c r="AE101" s="174"/>
      <c r="AF101" s="175" t="s">
        <v>292</v>
      </c>
      <c r="AG101" s="168">
        <f>VLOOKUP(Takeoffs!AF101,Sheet1!$B$6:$C$124,2,FALSE)</f>
        <v>0</v>
      </c>
      <c r="AH101" s="168">
        <f t="shared" si="39"/>
        <v>0</v>
      </c>
      <c r="AI101" s="176">
        <f t="shared" si="40"/>
        <v>0</v>
      </c>
      <c r="AJ101" s="174">
        <f t="shared" si="41"/>
        <v>0</v>
      </c>
      <c r="AK101" s="174"/>
      <c r="AL101" s="141"/>
      <c r="AO101" s="286"/>
      <c r="AP101" s="284">
        <f t="shared" si="30"/>
        <v>0</v>
      </c>
      <c r="AQ101" s="281">
        <f t="shared" si="31"/>
        <v>0</v>
      </c>
      <c r="AR101" s="284">
        <f t="shared" si="32"/>
        <v>0</v>
      </c>
      <c r="AS101" s="281">
        <f t="shared" si="33"/>
        <v>0</v>
      </c>
      <c r="AT101" s="284">
        <f t="shared" si="34"/>
        <v>0</v>
      </c>
    </row>
    <row r="102" spans="1:46" s="114" customFormat="1" ht="30.9" x14ac:dyDescent="0.8">
      <c r="A102" s="262">
        <f>ROW()</f>
        <v>102</v>
      </c>
      <c r="C102" s="208"/>
      <c r="D102" s="208"/>
      <c r="E102" s="208"/>
      <c r="F102" s="208"/>
      <c r="G102" s="208"/>
      <c r="H102" s="208"/>
      <c r="J102" s="114" t="str">
        <f t="shared" si="42"/>
        <v/>
      </c>
      <c r="K102" s="114" t="str">
        <f>IF(COUNTBLANK(R102)&gt;0,"",CONCATENATE(R102," for ",N91))</f>
        <v/>
      </c>
      <c r="N102" s="123" t="s">
        <v>123</v>
      </c>
      <c r="O102" s="66"/>
      <c r="P102" s="175"/>
      <c r="Q102" s="175"/>
      <c r="R102" s="175"/>
      <c r="S102" s="174">
        <f>M91</f>
        <v>0</v>
      </c>
      <c r="T102" s="172"/>
      <c r="U102" s="175" t="s">
        <v>292</v>
      </c>
      <c r="V102" s="174">
        <f t="shared" si="35"/>
        <v>0</v>
      </c>
      <c r="W102" s="174">
        <f>VLOOKUP(U102,Sheet1!$B$6:$C$45,2,FALSE)*V102</f>
        <v>0</v>
      </c>
      <c r="X102" s="174"/>
      <c r="Y102" s="175" t="s">
        <v>292</v>
      </c>
      <c r="Z102" s="168">
        <f>VLOOKUP(Takeoffs!Y102,Sheet1!$B$6:$C$124,2,FALSE)</f>
        <v>0</v>
      </c>
      <c r="AA102" s="168">
        <f t="shared" si="36"/>
        <v>0</v>
      </c>
      <c r="AB102" s="176">
        <f t="shared" si="37"/>
        <v>0</v>
      </c>
      <c r="AC102" s="174">
        <f t="shared" si="38"/>
        <v>0</v>
      </c>
      <c r="AD102" s="174">
        <v>1</v>
      </c>
      <c r="AE102" s="174"/>
      <c r="AF102" s="175" t="s">
        <v>292</v>
      </c>
      <c r="AG102" s="168">
        <f>VLOOKUP(Takeoffs!AF102,Sheet1!$B$6:$C$124,2,FALSE)</f>
        <v>0</v>
      </c>
      <c r="AH102" s="168">
        <f t="shared" si="39"/>
        <v>0</v>
      </c>
      <c r="AI102" s="176">
        <f t="shared" si="40"/>
        <v>0</v>
      </c>
      <c r="AJ102" s="174">
        <f t="shared" si="41"/>
        <v>0</v>
      </c>
      <c r="AK102" s="174"/>
      <c r="AL102" s="141"/>
      <c r="AO102" s="286"/>
      <c r="AP102" s="284">
        <f t="shared" si="30"/>
        <v>0</v>
      </c>
      <c r="AQ102" s="281">
        <f t="shared" si="31"/>
        <v>0</v>
      </c>
      <c r="AR102" s="284">
        <f t="shared" si="32"/>
        <v>0</v>
      </c>
      <c r="AS102" s="281">
        <f t="shared" si="33"/>
        <v>0</v>
      </c>
      <c r="AT102" s="284">
        <f t="shared" si="34"/>
        <v>0</v>
      </c>
    </row>
    <row r="103" spans="1:46" s="114" customFormat="1" ht="30.9" x14ac:dyDescent="0.8">
      <c r="A103" s="262">
        <f>ROW()</f>
        <v>103</v>
      </c>
      <c r="C103" s="208"/>
      <c r="D103" s="208"/>
      <c r="E103" s="208"/>
      <c r="F103" s="208"/>
      <c r="G103" s="208"/>
      <c r="H103" s="208"/>
      <c r="J103" s="114" t="str">
        <f t="shared" si="42"/>
        <v/>
      </c>
      <c r="K103" s="114" t="str">
        <f>IF(COUNTBLANK(R103)&gt;0,"",CONCATENATE(R103," for ",N91))</f>
        <v/>
      </c>
      <c r="N103" s="123" t="s">
        <v>124</v>
      </c>
      <c r="O103" s="66"/>
      <c r="P103" s="175"/>
      <c r="Q103" s="175"/>
      <c r="R103" s="175"/>
      <c r="S103" s="174">
        <f>M91</f>
        <v>0</v>
      </c>
      <c r="T103" s="172"/>
      <c r="U103" s="175" t="s">
        <v>292</v>
      </c>
      <c r="V103" s="174">
        <f t="shared" si="35"/>
        <v>0</v>
      </c>
      <c r="W103" s="174">
        <f>VLOOKUP(U103,Sheet1!$B$6:$C$45,2,FALSE)*V103</f>
        <v>0</v>
      </c>
      <c r="X103" s="174"/>
      <c r="Y103" s="175" t="s">
        <v>292</v>
      </c>
      <c r="Z103" s="168">
        <f>VLOOKUP(Takeoffs!Y103,Sheet1!$B$6:$C$124,2,FALSE)</f>
        <v>0</v>
      </c>
      <c r="AA103" s="168">
        <f t="shared" si="36"/>
        <v>0</v>
      </c>
      <c r="AB103" s="176">
        <f t="shared" si="37"/>
        <v>0</v>
      </c>
      <c r="AC103" s="174">
        <f t="shared" si="38"/>
        <v>0</v>
      </c>
      <c r="AD103" s="174">
        <v>1</v>
      </c>
      <c r="AE103" s="174"/>
      <c r="AF103" s="175" t="s">
        <v>292</v>
      </c>
      <c r="AG103" s="168">
        <f>VLOOKUP(Takeoffs!AF103,Sheet1!$B$6:$C$124,2,FALSE)</f>
        <v>0</v>
      </c>
      <c r="AH103" s="168">
        <f t="shared" si="39"/>
        <v>0</v>
      </c>
      <c r="AI103" s="176">
        <f t="shared" si="40"/>
        <v>0</v>
      </c>
      <c r="AJ103" s="174">
        <f t="shared" si="41"/>
        <v>0</v>
      </c>
      <c r="AK103" s="174"/>
      <c r="AL103" s="141"/>
      <c r="AO103" s="286"/>
      <c r="AP103" s="284">
        <f t="shared" si="30"/>
        <v>0</v>
      </c>
      <c r="AQ103" s="281">
        <f t="shared" si="31"/>
        <v>0</v>
      </c>
      <c r="AR103" s="284">
        <f t="shared" si="32"/>
        <v>0</v>
      </c>
      <c r="AS103" s="281">
        <f t="shared" si="33"/>
        <v>0</v>
      </c>
      <c r="AT103" s="284">
        <f t="shared" si="34"/>
        <v>0</v>
      </c>
    </row>
    <row r="104" spans="1:46" s="114" customFormat="1" ht="30.9" x14ac:dyDescent="0.8">
      <c r="A104" s="262">
        <f>ROW()</f>
        <v>104</v>
      </c>
      <c r="C104" s="208"/>
      <c r="D104" s="208"/>
      <c r="E104" s="208"/>
      <c r="F104" s="208"/>
      <c r="G104" s="208"/>
      <c r="H104" s="208"/>
      <c r="J104" s="114" t="str">
        <f t="shared" si="42"/>
        <v/>
      </c>
      <c r="K104" s="114" t="str">
        <f>IF(COUNTBLANK(R104)&gt;0,"",CONCATENATE(R104," for ",N91))</f>
        <v/>
      </c>
      <c r="N104" s="123" t="s">
        <v>125</v>
      </c>
      <c r="O104" s="66"/>
      <c r="P104" s="175"/>
      <c r="Q104" s="175"/>
      <c r="R104" s="175"/>
      <c r="S104" s="174">
        <f>M91</f>
        <v>0</v>
      </c>
      <c r="T104" s="172"/>
      <c r="U104" s="175" t="s">
        <v>292</v>
      </c>
      <c r="V104" s="174">
        <f t="shared" si="35"/>
        <v>0</v>
      </c>
      <c r="W104" s="174">
        <f>VLOOKUP(U104,Sheet1!$B$6:$C$45,2,FALSE)*V104</f>
        <v>0</v>
      </c>
      <c r="X104" s="174"/>
      <c r="Y104" s="175" t="s">
        <v>292</v>
      </c>
      <c r="Z104" s="168">
        <f>VLOOKUP(Takeoffs!Y104,Sheet1!$B$6:$C$124,2,FALSE)</f>
        <v>0</v>
      </c>
      <c r="AA104" s="168">
        <f t="shared" si="36"/>
        <v>0</v>
      </c>
      <c r="AB104" s="176">
        <f t="shared" si="37"/>
        <v>0</v>
      </c>
      <c r="AC104" s="174">
        <f t="shared" si="38"/>
        <v>0</v>
      </c>
      <c r="AD104" s="174">
        <v>1</v>
      </c>
      <c r="AE104" s="174"/>
      <c r="AF104" s="175" t="s">
        <v>292</v>
      </c>
      <c r="AG104" s="168">
        <f>VLOOKUP(Takeoffs!AF104,Sheet1!$B$6:$C$124,2,FALSE)</f>
        <v>0</v>
      </c>
      <c r="AH104" s="168">
        <f t="shared" si="39"/>
        <v>0</v>
      </c>
      <c r="AI104" s="176">
        <f t="shared" si="40"/>
        <v>0</v>
      </c>
      <c r="AJ104" s="174">
        <f t="shared" si="41"/>
        <v>0</v>
      </c>
      <c r="AK104" s="174"/>
      <c r="AL104" s="141"/>
      <c r="AO104" s="286"/>
      <c r="AP104" s="284">
        <f t="shared" si="30"/>
        <v>0</v>
      </c>
      <c r="AQ104" s="281">
        <f t="shared" si="31"/>
        <v>0</v>
      </c>
      <c r="AR104" s="284">
        <f t="shared" si="32"/>
        <v>0</v>
      </c>
      <c r="AS104" s="281">
        <f t="shared" si="33"/>
        <v>0</v>
      </c>
      <c r="AT104" s="284">
        <f t="shared" si="34"/>
        <v>0</v>
      </c>
    </row>
    <row r="105" spans="1:46" s="114" customFormat="1" ht="30.9" x14ac:dyDescent="0.8">
      <c r="A105" s="262">
        <f>ROW()</f>
        <v>105</v>
      </c>
      <c r="C105" s="208"/>
      <c r="D105" s="208"/>
      <c r="E105" s="208"/>
      <c r="F105" s="208"/>
      <c r="G105" s="208"/>
      <c r="H105" s="208"/>
      <c r="J105" s="114" t="str">
        <f t="shared" si="42"/>
        <v/>
      </c>
      <c r="K105" s="114" t="str">
        <f>IF(COUNTBLANK(R105)&gt;0,"",CONCATENATE(R105," for ",N91))</f>
        <v/>
      </c>
      <c r="N105" s="123" t="s">
        <v>126</v>
      </c>
      <c r="O105" s="66"/>
      <c r="P105" s="175"/>
      <c r="Q105" s="175"/>
      <c r="R105" s="175"/>
      <c r="S105" s="174">
        <f>M91</f>
        <v>0</v>
      </c>
      <c r="T105" s="172"/>
      <c r="U105" s="175" t="s">
        <v>292</v>
      </c>
      <c r="V105" s="174">
        <f t="shared" si="35"/>
        <v>0</v>
      </c>
      <c r="W105" s="174">
        <f>VLOOKUP(U105,Sheet1!$B$6:$C$45,2,FALSE)*V105</f>
        <v>0</v>
      </c>
      <c r="X105" s="174"/>
      <c r="Y105" s="175" t="s">
        <v>292</v>
      </c>
      <c r="Z105" s="168">
        <f>VLOOKUP(Takeoffs!Y105,Sheet1!$B$6:$C$124,2,FALSE)</f>
        <v>0</v>
      </c>
      <c r="AA105" s="168">
        <f t="shared" si="36"/>
        <v>0</v>
      </c>
      <c r="AB105" s="176">
        <f t="shared" si="37"/>
        <v>0</v>
      </c>
      <c r="AC105" s="174">
        <f t="shared" si="38"/>
        <v>0</v>
      </c>
      <c r="AD105" s="174">
        <v>1</v>
      </c>
      <c r="AE105" s="174"/>
      <c r="AF105" s="175" t="s">
        <v>292</v>
      </c>
      <c r="AG105" s="168">
        <f>VLOOKUP(Takeoffs!AF105,Sheet1!$B$6:$C$124,2,FALSE)</f>
        <v>0</v>
      </c>
      <c r="AH105" s="168">
        <f t="shared" si="39"/>
        <v>0</v>
      </c>
      <c r="AI105" s="176">
        <f t="shared" si="40"/>
        <v>0</v>
      </c>
      <c r="AJ105" s="174">
        <f t="shared" si="41"/>
        <v>0</v>
      </c>
      <c r="AK105" s="174"/>
      <c r="AL105" s="141"/>
      <c r="AO105" s="286"/>
      <c r="AP105" s="284">
        <f t="shared" si="30"/>
        <v>0</v>
      </c>
      <c r="AQ105" s="281">
        <f t="shared" si="31"/>
        <v>0</v>
      </c>
      <c r="AR105" s="284">
        <f t="shared" si="32"/>
        <v>0</v>
      </c>
      <c r="AS105" s="281">
        <f t="shared" si="33"/>
        <v>0</v>
      </c>
      <c r="AT105" s="284">
        <f t="shared" si="34"/>
        <v>0</v>
      </c>
    </row>
    <row r="106" spans="1:46" s="114" customFormat="1" ht="30.9" x14ac:dyDescent="0.8">
      <c r="A106" s="262">
        <f>ROW()</f>
        <v>106</v>
      </c>
      <c r="C106" s="208"/>
      <c r="D106" s="208"/>
      <c r="E106" s="208"/>
      <c r="F106" s="208"/>
      <c r="G106" s="208"/>
      <c r="H106" s="208"/>
      <c r="J106" s="114" t="str">
        <f t="shared" si="42"/>
        <v/>
      </c>
      <c r="K106" s="114" t="str">
        <f>IF(COUNTBLANK(R106)&gt;0,"",CONCATENATE(R106," for ",N91))</f>
        <v/>
      </c>
      <c r="N106" s="123" t="s">
        <v>127</v>
      </c>
      <c r="O106" s="66"/>
      <c r="P106" s="175"/>
      <c r="Q106" s="175"/>
      <c r="R106" s="175"/>
      <c r="S106" s="174">
        <f>M91</f>
        <v>0</v>
      </c>
      <c r="T106" s="172"/>
      <c r="U106" s="175" t="s">
        <v>292</v>
      </c>
      <c r="V106" s="174">
        <f t="shared" si="35"/>
        <v>0</v>
      </c>
      <c r="W106" s="174">
        <f>VLOOKUP(U106,Sheet1!$B$6:$C$45,2,FALSE)*V106</f>
        <v>0</v>
      </c>
      <c r="X106" s="174"/>
      <c r="Y106" s="175" t="s">
        <v>292</v>
      </c>
      <c r="Z106" s="168">
        <f>VLOOKUP(Takeoffs!Y106,Sheet1!$B$6:$C$124,2,FALSE)</f>
        <v>0</v>
      </c>
      <c r="AA106" s="168">
        <f t="shared" si="36"/>
        <v>0</v>
      </c>
      <c r="AB106" s="176">
        <f t="shared" si="37"/>
        <v>0</v>
      </c>
      <c r="AC106" s="174">
        <f t="shared" si="38"/>
        <v>0</v>
      </c>
      <c r="AD106" s="174">
        <v>2</v>
      </c>
      <c r="AE106" s="174"/>
      <c r="AF106" s="175" t="s">
        <v>292</v>
      </c>
      <c r="AG106" s="168">
        <f>VLOOKUP(Takeoffs!AF106,Sheet1!$B$6:$C$124,2,FALSE)</f>
        <v>0</v>
      </c>
      <c r="AH106" s="168">
        <f t="shared" si="39"/>
        <v>0</v>
      </c>
      <c r="AI106" s="176">
        <f t="shared" si="40"/>
        <v>0</v>
      </c>
      <c r="AJ106" s="174">
        <f t="shared" si="41"/>
        <v>0</v>
      </c>
      <c r="AK106" s="174"/>
      <c r="AL106" s="141"/>
      <c r="AO106" s="286"/>
      <c r="AP106" s="284">
        <f t="shared" si="30"/>
        <v>0</v>
      </c>
      <c r="AQ106" s="281">
        <f t="shared" si="31"/>
        <v>0</v>
      </c>
      <c r="AR106" s="284">
        <f t="shared" si="32"/>
        <v>0</v>
      </c>
      <c r="AS106" s="281">
        <f t="shared" si="33"/>
        <v>0</v>
      </c>
      <c r="AT106" s="284">
        <f t="shared" si="34"/>
        <v>0</v>
      </c>
    </row>
    <row r="107" spans="1:46" s="114" customFormat="1" ht="30.9" x14ac:dyDescent="0.8">
      <c r="A107" s="262">
        <f>ROW()</f>
        <v>107</v>
      </c>
      <c r="C107" s="208"/>
      <c r="D107" s="208"/>
      <c r="E107" s="208"/>
      <c r="F107" s="208"/>
      <c r="G107" s="208"/>
      <c r="H107" s="208"/>
      <c r="J107" s="114" t="str">
        <f t="shared" si="42"/>
        <v/>
      </c>
      <c r="K107" s="114" t="str">
        <f>IF(COUNTBLANK(R107)&gt;0,"",CONCATENATE(R107," for ",N91))</f>
        <v/>
      </c>
      <c r="N107" s="123" t="s">
        <v>128</v>
      </c>
      <c r="O107" s="66"/>
      <c r="P107" s="175"/>
      <c r="Q107" s="175"/>
      <c r="R107" s="175"/>
      <c r="S107" s="174">
        <f>M91</f>
        <v>0</v>
      </c>
      <c r="T107" s="172"/>
      <c r="U107" s="175" t="s">
        <v>292</v>
      </c>
      <c r="V107" s="174">
        <f t="shared" si="35"/>
        <v>0</v>
      </c>
      <c r="W107" s="174">
        <f>VLOOKUP(U107,Sheet1!$B$6:$C$45,2,FALSE)*V107</f>
        <v>0</v>
      </c>
      <c r="X107" s="174"/>
      <c r="Y107" s="175" t="s">
        <v>292</v>
      </c>
      <c r="Z107" s="168">
        <f>VLOOKUP(Takeoffs!Y107,Sheet1!$B$6:$C$124,2,FALSE)</f>
        <v>0</v>
      </c>
      <c r="AA107" s="168">
        <f t="shared" si="36"/>
        <v>0</v>
      </c>
      <c r="AB107" s="176">
        <f t="shared" si="37"/>
        <v>0</v>
      </c>
      <c r="AC107" s="174">
        <f t="shared" si="38"/>
        <v>0</v>
      </c>
      <c r="AD107" s="174">
        <v>1</v>
      </c>
      <c r="AE107" s="174"/>
      <c r="AF107" s="175" t="s">
        <v>292</v>
      </c>
      <c r="AG107" s="168">
        <f>VLOOKUP(Takeoffs!AF107,Sheet1!$B$6:$C$124,2,FALSE)</f>
        <v>0</v>
      </c>
      <c r="AH107" s="168">
        <f t="shared" si="39"/>
        <v>0</v>
      </c>
      <c r="AI107" s="176">
        <f t="shared" si="40"/>
        <v>0</v>
      </c>
      <c r="AJ107" s="174">
        <f t="shared" si="41"/>
        <v>0</v>
      </c>
      <c r="AK107" s="174"/>
      <c r="AL107" s="141"/>
      <c r="AO107" s="286"/>
      <c r="AP107" s="284">
        <f t="shared" si="30"/>
        <v>0</v>
      </c>
      <c r="AQ107" s="281">
        <f t="shared" si="31"/>
        <v>0</v>
      </c>
      <c r="AR107" s="284">
        <f t="shared" si="32"/>
        <v>0</v>
      </c>
      <c r="AS107" s="281">
        <f t="shared" si="33"/>
        <v>0</v>
      </c>
      <c r="AT107" s="284">
        <f t="shared" si="34"/>
        <v>0</v>
      </c>
    </row>
    <row r="108" spans="1:46" s="114" customFormat="1" ht="30.9" x14ac:dyDescent="0.8">
      <c r="A108" s="262">
        <f>ROW()</f>
        <v>108</v>
      </c>
      <c r="C108" s="208"/>
      <c r="D108" s="208"/>
      <c r="E108" s="208"/>
      <c r="F108" s="208"/>
      <c r="G108" s="208"/>
      <c r="H108" s="208"/>
      <c r="J108" s="114" t="str">
        <f t="shared" si="42"/>
        <v/>
      </c>
      <c r="K108" s="114" t="str">
        <f>IF(COUNTBLANK(R108)&gt;0,"",CONCATENATE(R108," for ",N91))</f>
        <v/>
      </c>
      <c r="N108" s="123" t="s">
        <v>129</v>
      </c>
      <c r="O108" s="66"/>
      <c r="P108" s="175"/>
      <c r="Q108" s="175"/>
      <c r="R108" s="175"/>
      <c r="S108" s="174">
        <f>M91</f>
        <v>0</v>
      </c>
      <c r="T108" s="172"/>
      <c r="U108" s="175" t="s">
        <v>292</v>
      </c>
      <c r="V108" s="174">
        <f t="shared" si="35"/>
        <v>0</v>
      </c>
      <c r="W108" s="174">
        <f>VLOOKUP(U108,Sheet1!$B$6:$C$45,2,FALSE)*V108</f>
        <v>0</v>
      </c>
      <c r="X108" s="174"/>
      <c r="Y108" s="175" t="s">
        <v>292</v>
      </c>
      <c r="Z108" s="168">
        <f>VLOOKUP(Takeoffs!Y108,Sheet1!$B$6:$C$124,2,FALSE)</f>
        <v>0</v>
      </c>
      <c r="AA108" s="168">
        <f t="shared" si="36"/>
        <v>0</v>
      </c>
      <c r="AB108" s="176">
        <f t="shared" si="37"/>
        <v>0</v>
      </c>
      <c r="AC108" s="174">
        <f t="shared" si="38"/>
        <v>0</v>
      </c>
      <c r="AD108" s="174">
        <v>1</v>
      </c>
      <c r="AE108" s="174"/>
      <c r="AF108" s="175" t="s">
        <v>292</v>
      </c>
      <c r="AG108" s="168">
        <f>VLOOKUP(Takeoffs!AF108,Sheet1!$B$6:$C$124,2,FALSE)</f>
        <v>0</v>
      </c>
      <c r="AH108" s="168">
        <f t="shared" si="39"/>
        <v>0</v>
      </c>
      <c r="AI108" s="176">
        <f t="shared" si="40"/>
        <v>0</v>
      </c>
      <c r="AJ108" s="174">
        <f t="shared" si="41"/>
        <v>0</v>
      </c>
      <c r="AK108" s="174"/>
      <c r="AL108" s="141"/>
      <c r="AO108" s="286"/>
      <c r="AP108" s="284">
        <f t="shared" si="30"/>
        <v>0</v>
      </c>
      <c r="AQ108" s="281">
        <f t="shared" si="31"/>
        <v>0</v>
      </c>
      <c r="AR108" s="284">
        <f t="shared" si="32"/>
        <v>0</v>
      </c>
      <c r="AS108" s="281">
        <f t="shared" si="33"/>
        <v>0</v>
      </c>
      <c r="AT108" s="284">
        <f t="shared" si="34"/>
        <v>0</v>
      </c>
    </row>
    <row r="109" spans="1:46" s="114" customFormat="1" ht="30.9" x14ac:dyDescent="0.8">
      <c r="A109" s="262">
        <f>ROW()</f>
        <v>109</v>
      </c>
      <c r="C109" s="208"/>
      <c r="D109" s="208"/>
      <c r="E109" s="208"/>
      <c r="F109" s="208"/>
      <c r="G109" s="208"/>
      <c r="H109" s="208"/>
      <c r="J109" s="114" t="str">
        <f t="shared" si="42"/>
        <v/>
      </c>
      <c r="K109" s="114" t="str">
        <f>IF(COUNTBLANK(R109)&gt;0,"",CONCATENATE(R109," for ",N91))</f>
        <v/>
      </c>
      <c r="N109" s="123" t="s">
        <v>130</v>
      </c>
      <c r="O109" s="66"/>
      <c r="P109" s="175"/>
      <c r="Q109" s="175"/>
      <c r="R109" s="175"/>
      <c r="S109" s="174">
        <f>M91</f>
        <v>0</v>
      </c>
      <c r="T109" s="172"/>
      <c r="U109" s="175" t="s">
        <v>292</v>
      </c>
      <c r="V109" s="174">
        <f t="shared" si="35"/>
        <v>0</v>
      </c>
      <c r="W109" s="174">
        <f>VLOOKUP(U109,Sheet1!$B$6:$C$45,2,FALSE)*V109</f>
        <v>0</v>
      </c>
      <c r="X109" s="174"/>
      <c r="Y109" s="175" t="s">
        <v>292</v>
      </c>
      <c r="Z109" s="168">
        <f>VLOOKUP(Takeoffs!Y109,Sheet1!$B$6:$C$124,2,FALSE)</f>
        <v>0</v>
      </c>
      <c r="AA109" s="168">
        <f t="shared" si="36"/>
        <v>0</v>
      </c>
      <c r="AB109" s="176">
        <f t="shared" si="37"/>
        <v>0</v>
      </c>
      <c r="AC109" s="174">
        <f t="shared" si="38"/>
        <v>0</v>
      </c>
      <c r="AD109" s="174">
        <v>1</v>
      </c>
      <c r="AE109" s="174"/>
      <c r="AF109" s="175" t="s">
        <v>292</v>
      </c>
      <c r="AG109" s="168">
        <f>VLOOKUP(Takeoffs!AF109,Sheet1!$B$6:$C$124,2,FALSE)</f>
        <v>0</v>
      </c>
      <c r="AH109" s="168">
        <f t="shared" si="39"/>
        <v>0</v>
      </c>
      <c r="AI109" s="176">
        <f t="shared" si="40"/>
        <v>0</v>
      </c>
      <c r="AJ109" s="174">
        <f t="shared" si="41"/>
        <v>0</v>
      </c>
      <c r="AK109" s="174">
        <f>T109</f>
        <v>0</v>
      </c>
      <c r="AL109" s="141"/>
      <c r="AO109" s="286"/>
      <c r="AP109" s="284">
        <f t="shared" si="30"/>
        <v>0</v>
      </c>
      <c r="AQ109" s="281">
        <f t="shared" si="31"/>
        <v>0</v>
      </c>
      <c r="AR109" s="284">
        <f t="shared" si="32"/>
        <v>0</v>
      </c>
      <c r="AS109" s="281">
        <f t="shared" si="33"/>
        <v>0</v>
      </c>
      <c r="AT109" s="284">
        <f t="shared" si="34"/>
        <v>0</v>
      </c>
    </row>
    <row r="110" spans="1:46" s="114" customFormat="1" ht="30.9" x14ac:dyDescent="0.8">
      <c r="A110" s="262">
        <f>ROW()</f>
        <v>110</v>
      </c>
      <c r="C110" s="208"/>
      <c r="D110" s="208"/>
      <c r="E110" s="208"/>
      <c r="F110" s="208"/>
      <c r="G110" s="208"/>
      <c r="H110" s="208"/>
      <c r="J110" s="114" t="str">
        <f t="shared" si="42"/>
        <v/>
      </c>
      <c r="K110" s="114" t="str">
        <f>IF(COUNTBLANK(R110)&gt;0,"",CONCATENATE(R110," for ",N91))</f>
        <v/>
      </c>
      <c r="N110" s="123" t="s">
        <v>131</v>
      </c>
      <c r="O110" s="66"/>
      <c r="P110" s="175"/>
      <c r="Q110" s="175"/>
      <c r="R110" s="175"/>
      <c r="S110" s="174">
        <f>M91</f>
        <v>0</v>
      </c>
      <c r="T110" s="172"/>
      <c r="U110" s="175" t="s">
        <v>292</v>
      </c>
      <c r="V110" s="174">
        <f t="shared" si="35"/>
        <v>0</v>
      </c>
      <c r="W110" s="174">
        <f>VLOOKUP(U110,Sheet1!$B$6:$C$45,2,FALSE)*V110</f>
        <v>0</v>
      </c>
      <c r="X110" s="174"/>
      <c r="Y110" s="175" t="s">
        <v>292</v>
      </c>
      <c r="Z110" s="168">
        <f>VLOOKUP(Takeoffs!Y110,Sheet1!$B$6:$C$124,2,FALSE)</f>
        <v>0</v>
      </c>
      <c r="AA110" s="168">
        <f t="shared" si="36"/>
        <v>0</v>
      </c>
      <c r="AB110" s="176">
        <f t="shared" si="37"/>
        <v>0</v>
      </c>
      <c r="AC110" s="174">
        <f t="shared" si="38"/>
        <v>0</v>
      </c>
      <c r="AD110" s="174">
        <v>1</v>
      </c>
      <c r="AE110" s="174"/>
      <c r="AF110" s="175" t="s">
        <v>292</v>
      </c>
      <c r="AG110" s="168">
        <f>VLOOKUP(Takeoffs!AF110,Sheet1!$B$6:$C$124,2,FALSE)</f>
        <v>0</v>
      </c>
      <c r="AH110" s="168">
        <f t="shared" si="39"/>
        <v>0</v>
      </c>
      <c r="AI110" s="176">
        <f t="shared" si="40"/>
        <v>0</v>
      </c>
      <c r="AJ110" s="174">
        <f t="shared" si="41"/>
        <v>0</v>
      </c>
      <c r="AK110" s="174">
        <f>T110</f>
        <v>0</v>
      </c>
      <c r="AL110" s="141"/>
      <c r="AO110" s="286"/>
      <c r="AP110" s="284">
        <f t="shared" si="30"/>
        <v>0</v>
      </c>
      <c r="AQ110" s="281">
        <f t="shared" si="31"/>
        <v>0</v>
      </c>
      <c r="AR110" s="284">
        <f t="shared" si="32"/>
        <v>0</v>
      </c>
      <c r="AS110" s="281">
        <f t="shared" si="33"/>
        <v>0</v>
      </c>
      <c r="AT110" s="284">
        <f t="shared" si="34"/>
        <v>0</v>
      </c>
    </row>
    <row r="111" spans="1:46" s="114" customFormat="1" ht="30.9" x14ac:dyDescent="0.8">
      <c r="A111" s="262">
        <f>ROW()</f>
        <v>111</v>
      </c>
      <c r="C111" s="208"/>
      <c r="D111" s="208"/>
      <c r="E111" s="208"/>
      <c r="F111" s="208"/>
      <c r="G111" s="208"/>
      <c r="H111" s="208"/>
      <c r="J111" s="114" t="str">
        <f t="shared" si="42"/>
        <v/>
      </c>
      <c r="K111" s="114" t="str">
        <f>IF(COUNTBLANK(R111)&gt;0,"",CONCATENATE(R111," for ",N91))</f>
        <v/>
      </c>
      <c r="N111" s="123" t="s">
        <v>132</v>
      </c>
      <c r="O111" s="66"/>
      <c r="P111" s="175"/>
      <c r="Q111" s="175"/>
      <c r="R111" s="175"/>
      <c r="S111" s="174">
        <f>M91</f>
        <v>0</v>
      </c>
      <c r="T111" s="172"/>
      <c r="U111" s="175" t="s">
        <v>292</v>
      </c>
      <c r="V111" s="174">
        <f t="shared" si="35"/>
        <v>0</v>
      </c>
      <c r="W111" s="174">
        <f>VLOOKUP(U111,Sheet1!$B$6:$C$45,2,FALSE)*V111</f>
        <v>0</v>
      </c>
      <c r="X111" s="174"/>
      <c r="Y111" s="175" t="s">
        <v>292</v>
      </c>
      <c r="Z111" s="168">
        <f>VLOOKUP(Takeoffs!Y111,Sheet1!$B$6:$C$124,2,FALSE)</f>
        <v>0</v>
      </c>
      <c r="AA111" s="168">
        <f t="shared" si="36"/>
        <v>0</v>
      </c>
      <c r="AB111" s="176">
        <f t="shared" si="37"/>
        <v>0</v>
      </c>
      <c r="AC111" s="174">
        <f t="shared" si="38"/>
        <v>0</v>
      </c>
      <c r="AD111" s="174">
        <v>1</v>
      </c>
      <c r="AE111" s="174"/>
      <c r="AF111" s="175" t="s">
        <v>292</v>
      </c>
      <c r="AG111" s="168">
        <f>VLOOKUP(Takeoffs!AF111,Sheet1!$B$6:$C$124,2,FALSE)</f>
        <v>0</v>
      </c>
      <c r="AH111" s="168">
        <f t="shared" si="39"/>
        <v>0</v>
      </c>
      <c r="AI111" s="176">
        <f t="shared" si="40"/>
        <v>0</v>
      </c>
      <c r="AJ111" s="174">
        <f t="shared" si="41"/>
        <v>0</v>
      </c>
      <c r="AK111" s="174">
        <f>T111</f>
        <v>0</v>
      </c>
      <c r="AL111" s="141"/>
      <c r="AO111" s="286"/>
      <c r="AP111" s="284">
        <f t="shared" si="30"/>
        <v>0</v>
      </c>
      <c r="AQ111" s="281">
        <f t="shared" si="31"/>
        <v>0</v>
      </c>
      <c r="AR111" s="284">
        <f t="shared" si="32"/>
        <v>0</v>
      </c>
      <c r="AS111" s="281">
        <f t="shared" si="33"/>
        <v>0</v>
      </c>
      <c r="AT111" s="284">
        <f t="shared" si="34"/>
        <v>0</v>
      </c>
    </row>
    <row r="112" spans="1:46" s="128" customFormat="1" ht="32.25" customHeight="1" thickBot="1" x14ac:dyDescent="0.85">
      <c r="A112" s="262">
        <f>ROW()</f>
        <v>112</v>
      </c>
      <c r="C112" s="212"/>
      <c r="D112" s="212"/>
      <c r="E112" s="212"/>
      <c r="F112" s="212"/>
      <c r="G112" s="212"/>
      <c r="H112" s="212"/>
      <c r="J112" s="128" t="s">
        <v>377</v>
      </c>
      <c r="L112" s="128" t="s">
        <v>378</v>
      </c>
      <c r="N112" s="129"/>
      <c r="O112" s="130" t="s">
        <v>357</v>
      </c>
      <c r="P112" s="192">
        <f>M91*P113</f>
        <v>0</v>
      </c>
      <c r="Q112" s="192"/>
      <c r="R112" s="172"/>
      <c r="S112" s="175"/>
      <c r="T112" s="172"/>
      <c r="U112" s="175" t="s">
        <v>351</v>
      </c>
      <c r="V112" s="172">
        <f>W112*80</f>
        <v>0</v>
      </c>
      <c r="W112" s="177">
        <f>SUM(W91:W111)</f>
        <v>0</v>
      </c>
      <c r="X112" s="178"/>
      <c r="Y112" s="172" t="s">
        <v>352</v>
      </c>
      <c r="Z112" s="168"/>
      <c r="AA112" s="168">
        <f>SUM(AA91:AA111)</f>
        <v>0</v>
      </c>
      <c r="AB112" s="179"/>
      <c r="AC112" s="179"/>
      <c r="AD112" s="179"/>
      <c r="AE112" s="179"/>
      <c r="AF112" s="172" t="s">
        <v>356</v>
      </c>
      <c r="AG112" s="168"/>
      <c r="AH112" s="168">
        <f>SUM(AH91:AH111)</f>
        <v>0</v>
      </c>
      <c r="AI112" s="179"/>
      <c r="AJ112" s="179"/>
      <c r="AK112" s="179"/>
      <c r="AL112" s="149"/>
      <c r="AM112" s="150">
        <f>P112</f>
        <v>0</v>
      </c>
      <c r="AO112" s="286"/>
      <c r="AP112" s="284">
        <f t="shared" si="30"/>
        <v>0</v>
      </c>
      <c r="AQ112" s="281">
        <f t="shared" si="31"/>
        <v>0</v>
      </c>
      <c r="AR112" s="284">
        <f t="shared" si="32"/>
        <v>0</v>
      </c>
      <c r="AS112" s="281">
        <f t="shared" si="33"/>
        <v>0</v>
      </c>
      <c r="AT112" s="284">
        <f t="shared" si="34"/>
        <v>0</v>
      </c>
    </row>
    <row r="113" spans="1:97" s="234" customFormat="1" ht="96.45" thickBot="1" x14ac:dyDescent="1.25">
      <c r="A113" s="262">
        <f>ROW()</f>
        <v>113</v>
      </c>
      <c r="B113" s="234" t="s">
        <v>491</v>
      </c>
      <c r="C113" s="217" t="str">
        <f>N91</f>
        <v>medium-sized 316 S/S Form 2  MSSB</v>
      </c>
      <c r="D113" s="260" t="str">
        <f>IF(B113="Shopping List",IF(ISNUMBER(SEARCH("MSSB",C113)),"MSSB",IF(ISNUMBER(SEARCH("local",C113)),"LOCAL","")))</f>
        <v>MSSB</v>
      </c>
      <c r="E113" s="238">
        <v>1</v>
      </c>
      <c r="F113" s="217"/>
      <c r="G113" s="217">
        <v>1</v>
      </c>
      <c r="H113" s="245"/>
      <c r="I113" s="270"/>
      <c r="J113" s="241" t="str">
        <f>CONCATENATE(O91," ",L91, " (",M91,") ",N91,".", IF(M91&gt;1," Each "," This "),"includes supply and install of ",O92,O93,O94,O95,O96,O97,O98,O99,O100,O101,O102,O103,O104,O105,O106,O107,O108,O109,O110,O111,J92,J93,J94,J95,J96,J97,J98,J99,J100,J101,J102,J103,J104,J105,J106,J107,J108,J109,J110,J111)</f>
        <v xml:space="preserve">Electrical services for Zero (0) medium-sized 316 S/S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13" s="248">
        <f>P112</f>
        <v>0</v>
      </c>
      <c r="L113" s="235" t="str">
        <f>CONCATENATE(Q92,Q93,Q94,Q95,Q96,Q97,Q98,Q99,Q100,Q101,Q102,Q103,Q104,Q105,Q106,Q107,Q108,Q109,Q110,Q111,)</f>
        <v/>
      </c>
      <c r="M113" s="166" t="s">
        <v>367</v>
      </c>
      <c r="N113" s="160" t="str">
        <f>N91</f>
        <v>medium-sized 316 S/S Form 2  MSSB</v>
      </c>
      <c r="O113" s="185" t="s">
        <v>365</v>
      </c>
      <c r="P113" s="203">
        <f>2*(3800+500)</f>
        <v>8600</v>
      </c>
      <c r="Q113" s="195"/>
      <c r="R113" s="188"/>
      <c r="S113" s="160"/>
      <c r="T113" s="161"/>
      <c r="U113" s="503" t="s">
        <v>366</v>
      </c>
      <c r="V113" s="503"/>
      <c r="W113" s="162" t="e">
        <f>W112/M91</f>
        <v>#DIV/0!</v>
      </c>
      <c r="X113" s="163"/>
      <c r="Y113" s="501" t="s">
        <v>365</v>
      </c>
      <c r="Z113" s="501"/>
      <c r="AA113" s="164" t="e">
        <f>AA112/M91</f>
        <v>#DIV/0!</v>
      </c>
      <c r="AB113" s="161"/>
      <c r="AC113" s="161"/>
      <c r="AD113" s="161"/>
      <c r="AE113" s="161"/>
      <c r="AF113" s="501" t="s">
        <v>365</v>
      </c>
      <c r="AG113" s="501"/>
      <c r="AH113" s="164" t="e">
        <f>AH112/M91</f>
        <v>#DIV/0!</v>
      </c>
      <c r="AI113" s="161"/>
      <c r="AJ113" s="161"/>
      <c r="AK113" s="161"/>
      <c r="AL113" s="247"/>
      <c r="AM113" s="257"/>
      <c r="AN113" s="230">
        <f>K113*1.25</f>
        <v>0</v>
      </c>
      <c r="AO113" s="286"/>
      <c r="AP113" s="284">
        <f t="shared" si="30"/>
        <v>0</v>
      </c>
      <c r="AQ113" s="281">
        <f t="shared" si="31"/>
        <v>0</v>
      </c>
      <c r="AR113" s="284">
        <f t="shared" si="32"/>
        <v>0</v>
      </c>
      <c r="AS113" s="281">
        <f t="shared" si="33"/>
        <v>0</v>
      </c>
      <c r="AT113" s="284">
        <f t="shared" si="34"/>
        <v>0</v>
      </c>
      <c r="AU113" s="117"/>
      <c r="AV113" s="117"/>
      <c r="AW113" s="117"/>
      <c r="AX113" s="117"/>
      <c r="AY113" s="117"/>
      <c r="AZ113" s="117"/>
      <c r="BA113" s="117"/>
      <c r="BB113" s="117"/>
      <c r="BC113" s="117"/>
      <c r="BD113" s="117"/>
      <c r="BE113" s="117"/>
      <c r="BF113" s="117"/>
      <c r="BG113" s="117"/>
      <c r="BH113" s="117"/>
      <c r="BI113" s="117"/>
      <c r="BJ113" s="117"/>
      <c r="BK113" s="117"/>
      <c r="BL113" s="117"/>
      <c r="BM113" s="117"/>
      <c r="BN113" s="117"/>
      <c r="BO113" s="117"/>
      <c r="BP113" s="117"/>
      <c r="BQ113" s="117"/>
      <c r="BR113" s="117"/>
      <c r="BS113" s="117"/>
      <c r="BT113" s="117"/>
      <c r="BU113" s="117"/>
      <c r="BV113" s="117"/>
      <c r="BW113" s="117"/>
      <c r="BX113" s="117"/>
      <c r="BY113" s="117"/>
      <c r="BZ113" s="117"/>
      <c r="CA113" s="117"/>
      <c r="CB113" s="117"/>
      <c r="CC113" s="117"/>
      <c r="CD113" s="117"/>
      <c r="CE113" s="117"/>
      <c r="CF113" s="117"/>
      <c r="CG113" s="117"/>
      <c r="CH113" s="117"/>
      <c r="CI113" s="117"/>
      <c r="CJ113" s="117"/>
      <c r="CK113" s="117"/>
      <c r="CL113" s="117"/>
      <c r="CM113" s="117"/>
      <c r="CN113" s="117"/>
      <c r="CO113" s="117"/>
      <c r="CP113" s="117"/>
      <c r="CQ113" s="117"/>
      <c r="CR113" s="117"/>
      <c r="CS113" s="117"/>
    </row>
    <row r="114" spans="1:97" s="116" customFormat="1" ht="193.5" customHeight="1" x14ac:dyDescent="0.8">
      <c r="A114" s="262">
        <f>ROW()</f>
        <v>114</v>
      </c>
      <c r="C114" s="211"/>
      <c r="D114" s="211"/>
      <c r="E114" s="211"/>
      <c r="F114" s="211"/>
      <c r="G114" s="211"/>
      <c r="H114" s="211"/>
      <c r="K114" s="116" t="s">
        <v>452</v>
      </c>
      <c r="M114" s="116" t="s">
        <v>107</v>
      </c>
      <c r="N114" s="116" t="s">
        <v>108</v>
      </c>
      <c r="O114" s="170" t="s">
        <v>386</v>
      </c>
      <c r="P114" s="502" t="s">
        <v>375</v>
      </c>
      <c r="Q114" s="502"/>
      <c r="R114" s="101" t="s">
        <v>452</v>
      </c>
      <c r="S114" s="116" t="s">
        <v>0</v>
      </c>
      <c r="T114" s="118"/>
      <c r="U114" s="116" t="s">
        <v>287</v>
      </c>
      <c r="V114" s="116" t="s">
        <v>288</v>
      </c>
      <c r="W114" s="116" t="s">
        <v>291</v>
      </c>
      <c r="X114" s="140"/>
      <c r="Y114" s="116" t="s">
        <v>289</v>
      </c>
      <c r="Z114" s="116" t="s">
        <v>354</v>
      </c>
      <c r="AA114" s="116" t="s">
        <v>355</v>
      </c>
      <c r="AB114" s="116" t="s">
        <v>317</v>
      </c>
      <c r="AC114" s="116" t="s">
        <v>318</v>
      </c>
      <c r="AD114" s="116" t="s">
        <v>316</v>
      </c>
      <c r="AE114" s="140"/>
      <c r="AF114" s="116" t="s">
        <v>293</v>
      </c>
      <c r="AG114" s="116" t="s">
        <v>354</v>
      </c>
      <c r="AH114" s="116" t="s">
        <v>355</v>
      </c>
      <c r="AI114" s="116" t="s">
        <v>296</v>
      </c>
      <c r="AJ114" s="116" t="s">
        <v>294</v>
      </c>
      <c r="AK114" s="116" t="s">
        <v>295</v>
      </c>
      <c r="AL114" s="140"/>
      <c r="AO114" s="288"/>
      <c r="AP114" s="284">
        <f t="shared" si="30"/>
        <v>0</v>
      </c>
      <c r="AQ114" s="281">
        <f t="shared" si="31"/>
        <v>0</v>
      </c>
      <c r="AR114" s="284">
        <f t="shared" si="32"/>
        <v>0</v>
      </c>
      <c r="AS114" s="281">
        <f t="shared" si="33"/>
        <v>0</v>
      </c>
      <c r="AT114" s="284">
        <f t="shared" si="34"/>
        <v>0</v>
      </c>
    </row>
    <row r="115" spans="1:97" s="114" customFormat="1" ht="32.25" customHeight="1" x14ac:dyDescent="0.8">
      <c r="A115" s="262">
        <f>ROW()</f>
        <v>115</v>
      </c>
      <c r="C115" s="208"/>
      <c r="D115" s="208"/>
      <c r="E115" s="208"/>
      <c r="F115" s="208"/>
      <c r="G115" s="208"/>
      <c r="H115" s="208"/>
      <c r="L115" s="124" t="str">
        <f>VLOOKUP(M115,Sheet2!$D$2:$E$1024,2,FALSE)</f>
        <v>Zero</v>
      </c>
      <c r="M115" s="121">
        <f>I137</f>
        <v>0</v>
      </c>
      <c r="N115" s="132" t="s">
        <v>529</v>
      </c>
      <c r="O115" s="121" t="s">
        <v>195</v>
      </c>
      <c r="P115" s="173" t="s">
        <v>379</v>
      </c>
      <c r="Q115" s="173" t="s">
        <v>375</v>
      </c>
      <c r="R115" s="173"/>
      <c r="S115" s="174">
        <f>M115</f>
        <v>0</v>
      </c>
      <c r="T115" s="175"/>
      <c r="U115" s="180" t="s">
        <v>236</v>
      </c>
      <c r="V115" s="174">
        <f>S115</f>
        <v>0</v>
      </c>
      <c r="W115" s="174">
        <f>VLOOKUP(U115,Sheet1!$B$6:$C$45,2,FALSE)*V115</f>
        <v>0</v>
      </c>
      <c r="X115" s="174"/>
      <c r="Y115" s="175" t="s">
        <v>292</v>
      </c>
      <c r="Z115" s="168">
        <f>VLOOKUP(Takeoffs!Y115,Sheet1!$B$6:$C$124,2,FALSE)</f>
        <v>0</v>
      </c>
      <c r="AA115" s="168">
        <f>Z115*AB115</f>
        <v>0</v>
      </c>
      <c r="AB115" s="176">
        <f>AD115*AC115</f>
        <v>0</v>
      </c>
      <c r="AC115" s="174">
        <f>S115</f>
        <v>0</v>
      </c>
      <c r="AD115" s="174">
        <v>1</v>
      </c>
      <c r="AE115" s="174"/>
      <c r="AF115" s="175" t="s">
        <v>292</v>
      </c>
      <c r="AG115" s="168">
        <f>VLOOKUP(Takeoffs!AF115,Sheet1!$B$6:$C$124,2,FALSE)</f>
        <v>0</v>
      </c>
      <c r="AH115" s="168">
        <f>AG115*AI115</f>
        <v>0</v>
      </c>
      <c r="AI115" s="176">
        <f>AK115*AJ115</f>
        <v>0</v>
      </c>
      <c r="AJ115" s="174">
        <f>S115</f>
        <v>0</v>
      </c>
      <c r="AK115" s="174"/>
      <c r="AL115" s="141"/>
      <c r="AO115" s="286"/>
      <c r="AP115" s="284">
        <f t="shared" si="30"/>
        <v>0</v>
      </c>
      <c r="AQ115" s="281">
        <f t="shared" si="31"/>
        <v>0</v>
      </c>
      <c r="AR115" s="284">
        <f t="shared" si="32"/>
        <v>0</v>
      </c>
      <c r="AS115" s="281">
        <f t="shared" si="33"/>
        <v>0</v>
      </c>
      <c r="AT115" s="284">
        <f t="shared" si="34"/>
        <v>0</v>
      </c>
    </row>
    <row r="116" spans="1:97" s="114" customFormat="1" ht="30.9" x14ac:dyDescent="0.8">
      <c r="A116" s="262">
        <f>ROW()</f>
        <v>116</v>
      </c>
      <c r="C116" s="208"/>
      <c r="D116" s="208"/>
      <c r="E116" s="208"/>
      <c r="F116" s="208"/>
      <c r="G116" s="208"/>
      <c r="H116" s="208"/>
      <c r="J116" s="114" t="str">
        <f>IF(COUNTBLANK(Q116)&gt;0,"",CONCATENATE("Coordination Note: - ",P116,": Please refer to our exclusions relating to ",Q116))</f>
        <v/>
      </c>
      <c r="K116" s="114" t="str">
        <f>IF(COUNTBLANK(R116)&gt;0,"",CONCATENATE(R116," for ",N115))</f>
        <v/>
      </c>
      <c r="M116" s="117"/>
      <c r="N116" s="123" t="s">
        <v>113</v>
      </c>
      <c r="O116" s="66" t="s">
        <v>606</v>
      </c>
      <c r="P116" s="175"/>
      <c r="Q116" s="175"/>
      <c r="R116" s="175"/>
      <c r="S116" s="174">
        <f>M115</f>
        <v>0</v>
      </c>
      <c r="T116" s="172"/>
      <c r="U116" s="175" t="s">
        <v>292</v>
      </c>
      <c r="V116" s="174">
        <f t="shared" ref="V116:V135" si="43">S116</f>
        <v>0</v>
      </c>
      <c r="W116" s="174">
        <f>VLOOKUP(U116,Sheet1!$B$6:$C$45,2,FALSE)*V116</f>
        <v>0</v>
      </c>
      <c r="X116" s="174"/>
      <c r="Y116" s="180" t="s">
        <v>417</v>
      </c>
      <c r="Z116" s="168">
        <f>VLOOKUP(Takeoffs!Y116,Sheet1!$B$6:$C$124,2,FALSE)</f>
        <v>586.15199999999993</v>
      </c>
      <c r="AA116" s="168">
        <f t="shared" ref="AA116:AA135" si="44">Z116*AB116</f>
        <v>0</v>
      </c>
      <c r="AB116" s="176">
        <f t="shared" ref="AB116:AB135" si="45">AD116*AC116</f>
        <v>0</v>
      </c>
      <c r="AC116" s="174">
        <f>S116</f>
        <v>0</v>
      </c>
      <c r="AD116" s="174">
        <v>1</v>
      </c>
      <c r="AE116" s="174"/>
      <c r="AF116" s="175" t="s">
        <v>292</v>
      </c>
      <c r="AG116" s="168">
        <f>VLOOKUP(Takeoffs!AF116,Sheet1!$B$6:$C$124,2,FALSE)</f>
        <v>0</v>
      </c>
      <c r="AH116" s="168">
        <f t="shared" ref="AH116:AH135" si="46">AG116*AI116</f>
        <v>0</v>
      </c>
      <c r="AI116" s="176">
        <f t="shared" ref="AI116:AI135" si="47">AK116*AJ116</f>
        <v>0</v>
      </c>
      <c r="AJ116" s="174">
        <f t="shared" ref="AJ116:AJ135" si="48">S116</f>
        <v>0</v>
      </c>
      <c r="AK116" s="174"/>
      <c r="AL116" s="141"/>
      <c r="AO116" s="286"/>
      <c r="AP116" s="284">
        <f t="shared" si="30"/>
        <v>0</v>
      </c>
      <c r="AQ116" s="281">
        <f t="shared" si="31"/>
        <v>0</v>
      </c>
      <c r="AR116" s="284">
        <f t="shared" si="32"/>
        <v>0</v>
      </c>
      <c r="AS116" s="281">
        <f t="shared" si="33"/>
        <v>0</v>
      </c>
      <c r="AT116" s="284">
        <f t="shared" si="34"/>
        <v>0</v>
      </c>
    </row>
    <row r="117" spans="1:97" s="114" customFormat="1" ht="30.9" x14ac:dyDescent="0.8">
      <c r="A117" s="262">
        <f>ROW()</f>
        <v>117</v>
      </c>
      <c r="C117" s="208"/>
      <c r="D117" s="208"/>
      <c r="E117" s="208"/>
      <c r="F117" s="208"/>
      <c r="G117" s="208"/>
      <c r="H117" s="208"/>
      <c r="J117" s="114" t="str">
        <f t="shared" ref="J117:J135" si="49">IF(COUNTBLANK(Q117)&gt;0,"",CONCATENATE("Coordination Note: - ",P117,": Please refer to our exclusions relating to ",Q117))</f>
        <v/>
      </c>
      <c r="K117" s="114" t="str">
        <f>IF(COUNTBLANK(R117)&gt;0,"",CONCATENATE(R117," for ",N115))</f>
        <v/>
      </c>
      <c r="M117" s="117"/>
      <c r="N117" s="123" t="s">
        <v>114</v>
      </c>
      <c r="O117" s="66" t="s">
        <v>399</v>
      </c>
      <c r="P117" s="175"/>
      <c r="Q117" s="175"/>
      <c r="R117" s="175"/>
      <c r="S117" s="174">
        <f>M115</f>
        <v>0</v>
      </c>
      <c r="T117" s="172"/>
      <c r="U117" s="175" t="s">
        <v>292</v>
      </c>
      <c r="V117" s="174">
        <f t="shared" si="43"/>
        <v>0</v>
      </c>
      <c r="W117" s="174">
        <f>VLOOKUP(U117,Sheet1!$B$6:$C$45,2,FALSE)*V117</f>
        <v>0</v>
      </c>
      <c r="X117" s="174"/>
      <c r="Y117" s="175" t="s">
        <v>292</v>
      </c>
      <c r="Z117" s="168">
        <f>VLOOKUP(Takeoffs!Y117,Sheet1!$B$6:$C$124,2,FALSE)</f>
        <v>0</v>
      </c>
      <c r="AA117" s="168">
        <f t="shared" si="44"/>
        <v>0</v>
      </c>
      <c r="AB117" s="176">
        <f t="shared" si="45"/>
        <v>0</v>
      </c>
      <c r="AC117" s="174">
        <f>S117</f>
        <v>0</v>
      </c>
      <c r="AD117" s="174">
        <v>1</v>
      </c>
      <c r="AE117" s="174"/>
      <c r="AF117" s="175" t="s">
        <v>292</v>
      </c>
      <c r="AG117" s="168">
        <f>VLOOKUP(Takeoffs!AF117,Sheet1!$B$6:$C$124,2,FALSE)</f>
        <v>0</v>
      </c>
      <c r="AH117" s="168">
        <f t="shared" si="46"/>
        <v>0</v>
      </c>
      <c r="AI117" s="176">
        <f t="shared" si="47"/>
        <v>0</v>
      </c>
      <c r="AJ117" s="174">
        <f t="shared" si="48"/>
        <v>0</v>
      </c>
      <c r="AK117" s="174"/>
      <c r="AL117" s="141"/>
      <c r="AO117" s="286"/>
      <c r="AP117" s="284">
        <f t="shared" si="30"/>
        <v>0</v>
      </c>
      <c r="AQ117" s="281">
        <f t="shared" si="31"/>
        <v>0</v>
      </c>
      <c r="AR117" s="284">
        <f t="shared" si="32"/>
        <v>0</v>
      </c>
      <c r="AS117" s="281">
        <f t="shared" si="33"/>
        <v>0</v>
      </c>
      <c r="AT117" s="284">
        <f t="shared" si="34"/>
        <v>0</v>
      </c>
    </row>
    <row r="118" spans="1:97" s="114" customFormat="1" ht="30.9" x14ac:dyDescent="0.8">
      <c r="A118" s="262">
        <f>ROW()</f>
        <v>118</v>
      </c>
      <c r="C118" s="208"/>
      <c r="D118" s="208"/>
      <c r="E118" s="208"/>
      <c r="F118" s="208"/>
      <c r="G118" s="208"/>
      <c r="H118" s="208"/>
      <c r="J118" s="114" t="str">
        <f t="shared" si="49"/>
        <v/>
      </c>
      <c r="K118" s="114" t="str">
        <f>IF(COUNTBLANK(R118)&gt;0,"",CONCATENATE(R118," for ",N115))</f>
        <v/>
      </c>
      <c r="M118" s="117"/>
      <c r="N118" s="123" t="s">
        <v>115</v>
      </c>
      <c r="O118" s="66" t="s">
        <v>400</v>
      </c>
      <c r="P118" s="175"/>
      <c r="Q118" s="175"/>
      <c r="R118" s="175"/>
      <c r="S118" s="174">
        <f>M115</f>
        <v>0</v>
      </c>
      <c r="T118" s="172"/>
      <c r="U118" s="175" t="s">
        <v>292</v>
      </c>
      <c r="V118" s="174">
        <f t="shared" si="43"/>
        <v>0</v>
      </c>
      <c r="W118" s="174">
        <f>VLOOKUP(U118,Sheet1!$B$6:$C$45,2,FALSE)*V118</f>
        <v>0</v>
      </c>
      <c r="X118" s="174"/>
      <c r="Y118" s="175" t="s">
        <v>292</v>
      </c>
      <c r="Z118" s="168">
        <f>VLOOKUP(Takeoffs!Y118,Sheet1!$B$6:$C$124,2,FALSE)</f>
        <v>0</v>
      </c>
      <c r="AA118" s="168">
        <f t="shared" si="44"/>
        <v>0</v>
      </c>
      <c r="AB118" s="176">
        <f t="shared" si="45"/>
        <v>0</v>
      </c>
      <c r="AC118" s="174">
        <f t="shared" ref="AC118:AC135" si="50">S118</f>
        <v>0</v>
      </c>
      <c r="AD118" s="174">
        <v>1</v>
      </c>
      <c r="AE118" s="174"/>
      <c r="AF118" s="175" t="s">
        <v>292</v>
      </c>
      <c r="AG118" s="168">
        <f>VLOOKUP(Takeoffs!AF118,Sheet1!$B$6:$C$124,2,FALSE)</f>
        <v>0</v>
      </c>
      <c r="AH118" s="168">
        <f t="shared" si="46"/>
        <v>0</v>
      </c>
      <c r="AI118" s="176">
        <f t="shared" si="47"/>
        <v>0</v>
      </c>
      <c r="AJ118" s="174">
        <f t="shared" si="48"/>
        <v>0</v>
      </c>
      <c r="AK118" s="174"/>
      <c r="AL118" s="141"/>
      <c r="AO118" s="286"/>
      <c r="AP118" s="284">
        <f t="shared" si="30"/>
        <v>0</v>
      </c>
      <c r="AQ118" s="281">
        <f t="shared" si="31"/>
        <v>0</v>
      </c>
      <c r="AR118" s="284">
        <f t="shared" si="32"/>
        <v>0</v>
      </c>
      <c r="AS118" s="281">
        <f t="shared" si="33"/>
        <v>0</v>
      </c>
      <c r="AT118" s="284">
        <f t="shared" si="34"/>
        <v>0</v>
      </c>
    </row>
    <row r="119" spans="1:97" s="114" customFormat="1" ht="30.9" x14ac:dyDescent="0.8">
      <c r="A119" s="262">
        <f>ROW()</f>
        <v>119</v>
      </c>
      <c r="C119" s="208"/>
      <c r="D119" s="208"/>
      <c r="E119" s="208"/>
      <c r="F119" s="208"/>
      <c r="G119" s="208"/>
      <c r="H119" s="208"/>
      <c r="J119" s="114" t="str">
        <f t="shared" si="49"/>
        <v/>
      </c>
      <c r="K119" s="114" t="str">
        <f>IF(COUNTBLANK(R119)&gt;0,"",CONCATENATE(R119," for ",N115))</f>
        <v/>
      </c>
      <c r="M119" s="117"/>
      <c r="N119" s="123" t="s">
        <v>116</v>
      </c>
      <c r="O119" s="66" t="s">
        <v>401</v>
      </c>
      <c r="P119" s="175"/>
      <c r="Q119" s="175"/>
      <c r="R119" s="175"/>
      <c r="S119" s="174">
        <f>M115</f>
        <v>0</v>
      </c>
      <c r="T119" s="172"/>
      <c r="U119" s="175" t="s">
        <v>292</v>
      </c>
      <c r="V119" s="174">
        <f t="shared" si="43"/>
        <v>0</v>
      </c>
      <c r="W119" s="174">
        <f>VLOOKUP(U119,Sheet1!$B$6:$C$45,2,FALSE)*V119</f>
        <v>0</v>
      </c>
      <c r="X119" s="174"/>
      <c r="Y119" s="175" t="s">
        <v>292</v>
      </c>
      <c r="Z119" s="168">
        <f>VLOOKUP(Takeoffs!Y119,Sheet1!$B$6:$C$124,2,FALSE)</f>
        <v>0</v>
      </c>
      <c r="AA119" s="168">
        <f t="shared" si="44"/>
        <v>0</v>
      </c>
      <c r="AB119" s="176">
        <f t="shared" si="45"/>
        <v>0</v>
      </c>
      <c r="AC119" s="174">
        <f t="shared" si="50"/>
        <v>0</v>
      </c>
      <c r="AD119" s="174">
        <v>1</v>
      </c>
      <c r="AE119" s="174"/>
      <c r="AF119" s="175" t="s">
        <v>292</v>
      </c>
      <c r="AG119" s="168">
        <f>VLOOKUP(Takeoffs!AF119,Sheet1!$B$6:$C$124,2,FALSE)</f>
        <v>0</v>
      </c>
      <c r="AH119" s="168">
        <f t="shared" si="46"/>
        <v>0</v>
      </c>
      <c r="AI119" s="176">
        <f t="shared" si="47"/>
        <v>0</v>
      </c>
      <c r="AJ119" s="174">
        <f t="shared" si="48"/>
        <v>0</v>
      </c>
      <c r="AK119" s="174"/>
      <c r="AL119" s="141"/>
      <c r="AO119" s="286"/>
      <c r="AP119" s="284">
        <f t="shared" si="30"/>
        <v>0</v>
      </c>
      <c r="AQ119" s="281">
        <f t="shared" si="31"/>
        <v>0</v>
      </c>
      <c r="AR119" s="284">
        <f t="shared" si="32"/>
        <v>0</v>
      </c>
      <c r="AS119" s="281">
        <f t="shared" si="33"/>
        <v>0</v>
      </c>
      <c r="AT119" s="284">
        <f t="shared" si="34"/>
        <v>0</v>
      </c>
    </row>
    <row r="120" spans="1:97" s="114" customFormat="1" ht="30.9" x14ac:dyDescent="0.8">
      <c r="A120" s="262">
        <f>ROW()</f>
        <v>120</v>
      </c>
      <c r="C120" s="208"/>
      <c r="D120" s="208"/>
      <c r="E120" s="208"/>
      <c r="F120" s="208"/>
      <c r="G120" s="208"/>
      <c r="H120" s="208"/>
      <c r="J120" s="114" t="str">
        <f t="shared" si="49"/>
        <v/>
      </c>
      <c r="K120" s="114" t="str">
        <f>IF(COUNTBLANK(R120)&gt;0,"",CONCATENATE(R120," for ",N115))</f>
        <v/>
      </c>
      <c r="M120" s="117"/>
      <c r="N120" s="123" t="s">
        <v>117</v>
      </c>
      <c r="O120" s="66" t="s">
        <v>402</v>
      </c>
      <c r="P120" s="175"/>
      <c r="Q120" s="175"/>
      <c r="R120" s="175"/>
      <c r="S120" s="174">
        <f>M115</f>
        <v>0</v>
      </c>
      <c r="T120" s="172"/>
      <c r="U120" s="175" t="s">
        <v>292</v>
      </c>
      <c r="V120" s="174">
        <f t="shared" si="43"/>
        <v>0</v>
      </c>
      <c r="W120" s="174">
        <f>VLOOKUP(U120,Sheet1!$B$6:$C$45,2,FALSE)*V120</f>
        <v>0</v>
      </c>
      <c r="X120" s="174"/>
      <c r="Y120" s="175" t="s">
        <v>274</v>
      </c>
      <c r="Z120" s="168">
        <f>VLOOKUP(Takeoffs!Y120,Sheet1!$B$6:$C$124,2,FALSE)</f>
        <v>360</v>
      </c>
      <c r="AA120" s="168">
        <f t="shared" si="44"/>
        <v>0</v>
      </c>
      <c r="AB120" s="176">
        <f t="shared" si="45"/>
        <v>0</v>
      </c>
      <c r="AC120" s="174">
        <f t="shared" si="50"/>
        <v>0</v>
      </c>
      <c r="AD120" s="174">
        <v>1</v>
      </c>
      <c r="AE120" s="174"/>
      <c r="AF120" s="175" t="s">
        <v>292</v>
      </c>
      <c r="AG120" s="168">
        <f>VLOOKUP(Takeoffs!AF120,Sheet1!$B$6:$C$124,2,FALSE)</f>
        <v>0</v>
      </c>
      <c r="AH120" s="168">
        <f t="shared" si="46"/>
        <v>0</v>
      </c>
      <c r="AI120" s="176">
        <f t="shared" si="47"/>
        <v>0</v>
      </c>
      <c r="AJ120" s="174">
        <f t="shared" si="48"/>
        <v>0</v>
      </c>
      <c r="AK120" s="174"/>
      <c r="AL120" s="141"/>
      <c r="AO120" s="286"/>
      <c r="AP120" s="284">
        <f t="shared" si="30"/>
        <v>0</v>
      </c>
      <c r="AQ120" s="281">
        <f t="shared" si="31"/>
        <v>0</v>
      </c>
      <c r="AR120" s="284">
        <f t="shared" si="32"/>
        <v>0</v>
      </c>
      <c r="AS120" s="281">
        <f t="shared" si="33"/>
        <v>0</v>
      </c>
      <c r="AT120" s="284">
        <f t="shared" si="34"/>
        <v>0</v>
      </c>
    </row>
    <row r="121" spans="1:97" s="114" customFormat="1" ht="30.9" x14ac:dyDescent="0.8">
      <c r="A121" s="262">
        <f>ROW()</f>
        <v>121</v>
      </c>
      <c r="C121" s="208"/>
      <c r="D121" s="208"/>
      <c r="E121" s="208"/>
      <c r="F121" s="208"/>
      <c r="G121" s="208"/>
      <c r="H121" s="208"/>
      <c r="J121" s="114" t="str">
        <f t="shared" si="49"/>
        <v/>
      </c>
      <c r="K121" s="114" t="str">
        <f>IF(COUNTBLANK(R121)&gt;0,"",CONCATENATE(R121," for ",N115))</f>
        <v/>
      </c>
      <c r="M121" s="117"/>
      <c r="N121" s="123" t="s">
        <v>118</v>
      </c>
      <c r="O121" s="66" t="s">
        <v>403</v>
      </c>
      <c r="P121" s="175"/>
      <c r="Q121" s="175"/>
      <c r="R121" s="175"/>
      <c r="S121" s="174">
        <f>M115</f>
        <v>0</v>
      </c>
      <c r="T121" s="172"/>
      <c r="U121" s="175" t="s">
        <v>292</v>
      </c>
      <c r="V121" s="174">
        <f t="shared" si="43"/>
        <v>0</v>
      </c>
      <c r="W121" s="174">
        <f>VLOOKUP(U121,Sheet1!$B$6:$C$45,2,FALSE)*V121</f>
        <v>0</v>
      </c>
      <c r="X121" s="174"/>
      <c r="Y121" s="175" t="s">
        <v>292</v>
      </c>
      <c r="Z121" s="168">
        <f>VLOOKUP(Takeoffs!Y121,Sheet1!$B$6:$C$124,2,FALSE)</f>
        <v>0</v>
      </c>
      <c r="AA121" s="168">
        <f t="shared" si="44"/>
        <v>0</v>
      </c>
      <c r="AB121" s="176">
        <f t="shared" si="45"/>
        <v>0</v>
      </c>
      <c r="AC121" s="174">
        <f t="shared" si="50"/>
        <v>0</v>
      </c>
      <c r="AD121" s="174">
        <v>1</v>
      </c>
      <c r="AE121" s="174"/>
      <c r="AF121" s="175" t="s">
        <v>292</v>
      </c>
      <c r="AG121" s="168">
        <f>VLOOKUP(Takeoffs!AF121,Sheet1!$B$6:$C$124,2,FALSE)</f>
        <v>0</v>
      </c>
      <c r="AH121" s="168">
        <f t="shared" si="46"/>
        <v>0</v>
      </c>
      <c r="AI121" s="176">
        <f t="shared" si="47"/>
        <v>0</v>
      </c>
      <c r="AJ121" s="174">
        <f t="shared" si="48"/>
        <v>0</v>
      </c>
      <c r="AK121" s="174"/>
      <c r="AL121" s="141"/>
      <c r="AO121" s="286"/>
      <c r="AP121" s="284">
        <f t="shared" si="30"/>
        <v>0</v>
      </c>
      <c r="AQ121" s="281">
        <f t="shared" si="31"/>
        <v>0</v>
      </c>
      <c r="AR121" s="284">
        <f t="shared" si="32"/>
        <v>0</v>
      </c>
      <c r="AS121" s="281">
        <f t="shared" si="33"/>
        <v>0</v>
      </c>
      <c r="AT121" s="284">
        <f t="shared" si="34"/>
        <v>0</v>
      </c>
    </row>
    <row r="122" spans="1:97" s="114" customFormat="1" ht="30.9" x14ac:dyDescent="0.8">
      <c r="A122" s="262">
        <f>ROW()</f>
        <v>122</v>
      </c>
      <c r="C122" s="208"/>
      <c r="D122" s="208"/>
      <c r="E122" s="208"/>
      <c r="F122" s="208"/>
      <c r="G122" s="208"/>
      <c r="H122" s="208"/>
      <c r="J122" s="114" t="str">
        <f t="shared" si="49"/>
        <v/>
      </c>
      <c r="K122" s="114" t="str">
        <f>IF(COUNTBLANK(R122)&gt;0,"",CONCATENATE(R122," for ",N115))</f>
        <v/>
      </c>
      <c r="N122" s="123" t="s">
        <v>119</v>
      </c>
      <c r="O122" s="66" t="s">
        <v>404</v>
      </c>
      <c r="P122" s="175"/>
      <c r="Q122" s="175"/>
      <c r="R122" s="175"/>
      <c r="S122" s="174">
        <f>M115</f>
        <v>0</v>
      </c>
      <c r="T122" s="172"/>
      <c r="U122" s="175" t="s">
        <v>292</v>
      </c>
      <c r="V122" s="174">
        <f t="shared" si="43"/>
        <v>0</v>
      </c>
      <c r="W122" s="174">
        <f>VLOOKUP(U122,Sheet1!$B$6:$C$45,2,FALSE)*V122</f>
        <v>0</v>
      </c>
      <c r="X122" s="174"/>
      <c r="Y122" s="175" t="s">
        <v>292</v>
      </c>
      <c r="Z122" s="168">
        <f>VLOOKUP(Takeoffs!Y122,Sheet1!$B$6:$C$124,2,FALSE)</f>
        <v>0</v>
      </c>
      <c r="AA122" s="168">
        <f t="shared" si="44"/>
        <v>0</v>
      </c>
      <c r="AB122" s="176">
        <f t="shared" si="45"/>
        <v>0</v>
      </c>
      <c r="AC122" s="174">
        <f t="shared" si="50"/>
        <v>0</v>
      </c>
      <c r="AD122" s="174">
        <v>1</v>
      </c>
      <c r="AE122" s="174"/>
      <c r="AF122" s="175" t="s">
        <v>292</v>
      </c>
      <c r="AG122" s="168">
        <f>VLOOKUP(Takeoffs!AF122,Sheet1!$B$6:$C$124,2,FALSE)</f>
        <v>0</v>
      </c>
      <c r="AH122" s="168">
        <f t="shared" si="46"/>
        <v>0</v>
      </c>
      <c r="AI122" s="176">
        <f t="shared" si="47"/>
        <v>0</v>
      </c>
      <c r="AJ122" s="174">
        <f t="shared" si="48"/>
        <v>0</v>
      </c>
      <c r="AK122" s="174"/>
      <c r="AL122" s="141"/>
      <c r="AO122" s="286"/>
      <c r="AP122" s="284">
        <f t="shared" si="30"/>
        <v>0</v>
      </c>
      <c r="AQ122" s="281">
        <f t="shared" si="31"/>
        <v>0</v>
      </c>
      <c r="AR122" s="284">
        <f t="shared" si="32"/>
        <v>0</v>
      </c>
      <c r="AS122" s="281">
        <f t="shared" si="33"/>
        <v>0</v>
      </c>
      <c r="AT122" s="284">
        <f t="shared" si="34"/>
        <v>0</v>
      </c>
    </row>
    <row r="123" spans="1:97" s="114" customFormat="1" ht="30.9" x14ac:dyDescent="0.8">
      <c r="A123" s="262">
        <f>ROW()</f>
        <v>123</v>
      </c>
      <c r="C123" s="208"/>
      <c r="D123" s="208"/>
      <c r="E123" s="208"/>
      <c r="F123" s="208"/>
      <c r="G123" s="208"/>
      <c r="H123" s="208"/>
      <c r="J123" s="114" t="str">
        <f t="shared" si="49"/>
        <v/>
      </c>
      <c r="K123" s="114" t="str">
        <f>IF(COUNTBLANK(R123)&gt;0,"",CONCATENATE(R123," for ",N115))</f>
        <v/>
      </c>
      <c r="N123" s="123" t="s">
        <v>120</v>
      </c>
      <c r="O123" s="66" t="s">
        <v>509</v>
      </c>
      <c r="P123" s="175"/>
      <c r="Q123" s="175"/>
      <c r="R123" s="175"/>
      <c r="S123" s="174">
        <f>M115</f>
        <v>0</v>
      </c>
      <c r="T123" s="172"/>
      <c r="U123" s="175" t="s">
        <v>292</v>
      </c>
      <c r="V123" s="174">
        <f t="shared" si="43"/>
        <v>0</v>
      </c>
      <c r="W123" s="174">
        <f>VLOOKUP(U123,Sheet1!$B$6:$C$45,2,FALSE)*V123</f>
        <v>0</v>
      </c>
      <c r="X123" s="174"/>
      <c r="Y123" s="175" t="s">
        <v>292</v>
      </c>
      <c r="Z123" s="168">
        <f>VLOOKUP(Takeoffs!Y123,Sheet1!$B$6:$C$124,2,FALSE)</f>
        <v>0</v>
      </c>
      <c r="AA123" s="168">
        <f t="shared" si="44"/>
        <v>0</v>
      </c>
      <c r="AB123" s="176">
        <f t="shared" si="45"/>
        <v>0</v>
      </c>
      <c r="AC123" s="174">
        <f t="shared" si="50"/>
        <v>0</v>
      </c>
      <c r="AD123" s="174">
        <v>1</v>
      </c>
      <c r="AE123" s="174"/>
      <c r="AF123" s="175" t="s">
        <v>292</v>
      </c>
      <c r="AG123" s="168">
        <f>VLOOKUP(Takeoffs!AF123,Sheet1!$B$6:$C$124,2,FALSE)</f>
        <v>0</v>
      </c>
      <c r="AH123" s="168">
        <f t="shared" si="46"/>
        <v>0</v>
      </c>
      <c r="AI123" s="176">
        <f t="shared" si="47"/>
        <v>0</v>
      </c>
      <c r="AJ123" s="174">
        <f t="shared" si="48"/>
        <v>0</v>
      </c>
      <c r="AK123" s="174"/>
      <c r="AL123" s="141"/>
      <c r="AO123" s="286"/>
      <c r="AP123" s="284">
        <f t="shared" si="30"/>
        <v>0</v>
      </c>
      <c r="AQ123" s="281">
        <f t="shared" si="31"/>
        <v>0</v>
      </c>
      <c r="AR123" s="284">
        <f t="shared" si="32"/>
        <v>0</v>
      </c>
      <c r="AS123" s="281">
        <f t="shared" si="33"/>
        <v>0</v>
      </c>
      <c r="AT123" s="284">
        <f t="shared" si="34"/>
        <v>0</v>
      </c>
    </row>
    <row r="124" spans="1:97" s="114" customFormat="1" ht="30.9" x14ac:dyDescent="0.8">
      <c r="A124" s="262">
        <f>ROW()</f>
        <v>124</v>
      </c>
      <c r="C124" s="208"/>
      <c r="D124" s="208"/>
      <c r="E124" s="208"/>
      <c r="F124" s="208"/>
      <c r="G124" s="208"/>
      <c r="H124" s="208"/>
      <c r="J124" s="114" t="str">
        <f t="shared" si="49"/>
        <v/>
      </c>
      <c r="K124" s="114" t="str">
        <f>IF(COUNTBLANK(R124)&gt;0,"",CONCATENATE(R124," for ",N115))</f>
        <v/>
      </c>
      <c r="N124" s="123" t="s">
        <v>121</v>
      </c>
      <c r="O124" s="66" t="s">
        <v>440</v>
      </c>
      <c r="P124" s="175"/>
      <c r="Q124" s="175"/>
      <c r="R124" s="175"/>
      <c r="S124" s="174">
        <f>M115</f>
        <v>0</v>
      </c>
      <c r="T124" s="172"/>
      <c r="U124" s="175" t="s">
        <v>292</v>
      </c>
      <c r="V124" s="174">
        <f t="shared" si="43"/>
        <v>0</v>
      </c>
      <c r="W124" s="174">
        <f>VLOOKUP(U124,Sheet1!$B$6:$C$45,2,FALSE)*V124</f>
        <v>0</v>
      </c>
      <c r="X124" s="174"/>
      <c r="Y124" s="175" t="s">
        <v>292</v>
      </c>
      <c r="Z124" s="168">
        <f>VLOOKUP(Takeoffs!Y124,Sheet1!$B$6:$C$124,2,FALSE)</f>
        <v>0</v>
      </c>
      <c r="AA124" s="168">
        <f t="shared" si="44"/>
        <v>0</v>
      </c>
      <c r="AB124" s="176">
        <f t="shared" si="45"/>
        <v>0</v>
      </c>
      <c r="AC124" s="174">
        <f t="shared" si="50"/>
        <v>0</v>
      </c>
      <c r="AD124" s="174">
        <v>1</v>
      </c>
      <c r="AE124" s="174"/>
      <c r="AF124" s="175" t="s">
        <v>292</v>
      </c>
      <c r="AG124" s="168">
        <f>VLOOKUP(Takeoffs!AF124,Sheet1!$B$6:$C$124,2,FALSE)</f>
        <v>0</v>
      </c>
      <c r="AH124" s="168">
        <f t="shared" si="46"/>
        <v>0</v>
      </c>
      <c r="AI124" s="176">
        <f t="shared" si="47"/>
        <v>0</v>
      </c>
      <c r="AJ124" s="174">
        <f t="shared" si="48"/>
        <v>0</v>
      </c>
      <c r="AK124" s="174"/>
      <c r="AL124" s="141"/>
      <c r="AO124" s="286"/>
      <c r="AP124" s="284">
        <f t="shared" si="30"/>
        <v>0</v>
      </c>
      <c r="AQ124" s="281">
        <f t="shared" si="31"/>
        <v>0</v>
      </c>
      <c r="AR124" s="284">
        <f t="shared" si="32"/>
        <v>0</v>
      </c>
      <c r="AS124" s="281">
        <f t="shared" si="33"/>
        <v>0</v>
      </c>
      <c r="AT124" s="284">
        <f t="shared" si="34"/>
        <v>0</v>
      </c>
    </row>
    <row r="125" spans="1:97" s="114" customFormat="1" ht="30.9" x14ac:dyDescent="0.8">
      <c r="A125" s="262">
        <f>ROW()</f>
        <v>125</v>
      </c>
      <c r="C125" s="208"/>
      <c r="D125" s="208"/>
      <c r="E125" s="208"/>
      <c r="F125" s="208"/>
      <c r="G125" s="208"/>
      <c r="H125" s="208"/>
      <c r="J125" s="114" t="str">
        <f t="shared" si="49"/>
        <v/>
      </c>
      <c r="K125" s="114" t="str">
        <f>IF(COUNTBLANK(R125)&gt;0,"",CONCATENATE(R125," for ",N115))</f>
        <v/>
      </c>
      <c r="N125" s="123" t="s">
        <v>122</v>
      </c>
      <c r="O125" s="66" t="s">
        <v>405</v>
      </c>
      <c r="P125" s="175"/>
      <c r="Q125" s="175"/>
      <c r="R125" s="175"/>
      <c r="S125" s="174">
        <f>M115</f>
        <v>0</v>
      </c>
      <c r="T125" s="172"/>
      <c r="U125" s="175" t="s">
        <v>292</v>
      </c>
      <c r="V125" s="174">
        <f t="shared" si="43"/>
        <v>0</v>
      </c>
      <c r="W125" s="174">
        <f>VLOOKUP(U125,Sheet1!$B$6:$C$45,2,FALSE)*V125</f>
        <v>0</v>
      </c>
      <c r="X125" s="174"/>
      <c r="Y125" s="175" t="s">
        <v>292</v>
      </c>
      <c r="Z125" s="168">
        <f>VLOOKUP(Takeoffs!Y125,Sheet1!$B$6:$C$124,2,FALSE)</f>
        <v>0</v>
      </c>
      <c r="AA125" s="168">
        <f t="shared" si="44"/>
        <v>0</v>
      </c>
      <c r="AB125" s="176">
        <f t="shared" si="45"/>
        <v>0</v>
      </c>
      <c r="AC125" s="174">
        <f t="shared" si="50"/>
        <v>0</v>
      </c>
      <c r="AD125" s="174">
        <v>1</v>
      </c>
      <c r="AE125" s="174"/>
      <c r="AF125" s="175" t="s">
        <v>292</v>
      </c>
      <c r="AG125" s="168">
        <f>VLOOKUP(Takeoffs!AF125,Sheet1!$B$6:$C$124,2,FALSE)</f>
        <v>0</v>
      </c>
      <c r="AH125" s="168">
        <f t="shared" si="46"/>
        <v>0</v>
      </c>
      <c r="AI125" s="176">
        <f t="shared" si="47"/>
        <v>0</v>
      </c>
      <c r="AJ125" s="174">
        <f t="shared" si="48"/>
        <v>0</v>
      </c>
      <c r="AK125" s="174"/>
      <c r="AL125" s="141"/>
      <c r="AO125" s="286"/>
      <c r="AP125" s="284">
        <f t="shared" si="30"/>
        <v>0</v>
      </c>
      <c r="AQ125" s="281">
        <f t="shared" si="31"/>
        <v>0</v>
      </c>
      <c r="AR125" s="284">
        <f t="shared" si="32"/>
        <v>0</v>
      </c>
      <c r="AS125" s="281">
        <f t="shared" si="33"/>
        <v>0</v>
      </c>
      <c r="AT125" s="284">
        <f t="shared" si="34"/>
        <v>0</v>
      </c>
    </row>
    <row r="126" spans="1:97" s="114" customFormat="1" ht="30.9" x14ac:dyDescent="0.8">
      <c r="A126" s="262">
        <f>ROW()</f>
        <v>126</v>
      </c>
      <c r="C126" s="208"/>
      <c r="D126" s="208"/>
      <c r="E126" s="208"/>
      <c r="F126" s="208"/>
      <c r="G126" s="208"/>
      <c r="H126" s="208"/>
      <c r="J126" s="114" t="str">
        <f t="shared" si="49"/>
        <v/>
      </c>
      <c r="K126" s="114" t="str">
        <f>IF(COUNTBLANK(R126)&gt;0,"",CONCATENATE(R126," for ",N115))</f>
        <v/>
      </c>
      <c r="N126" s="123" t="s">
        <v>123</v>
      </c>
      <c r="O126" s="66"/>
      <c r="P126" s="175"/>
      <c r="Q126" s="175"/>
      <c r="R126" s="175"/>
      <c r="S126" s="174">
        <f>M115</f>
        <v>0</v>
      </c>
      <c r="T126" s="172"/>
      <c r="U126" s="175" t="s">
        <v>292</v>
      </c>
      <c r="V126" s="174">
        <f t="shared" si="43"/>
        <v>0</v>
      </c>
      <c r="W126" s="174">
        <f>VLOOKUP(U126,Sheet1!$B$6:$C$45,2,FALSE)*V126</f>
        <v>0</v>
      </c>
      <c r="X126" s="174"/>
      <c r="Y126" s="175" t="s">
        <v>292</v>
      </c>
      <c r="Z126" s="168">
        <f>VLOOKUP(Takeoffs!Y126,Sheet1!$B$6:$C$124,2,FALSE)</f>
        <v>0</v>
      </c>
      <c r="AA126" s="168">
        <f t="shared" si="44"/>
        <v>0</v>
      </c>
      <c r="AB126" s="176">
        <f t="shared" si="45"/>
        <v>0</v>
      </c>
      <c r="AC126" s="174">
        <f t="shared" si="50"/>
        <v>0</v>
      </c>
      <c r="AD126" s="174">
        <v>1</v>
      </c>
      <c r="AE126" s="174"/>
      <c r="AF126" s="175" t="s">
        <v>292</v>
      </c>
      <c r="AG126" s="168">
        <f>VLOOKUP(Takeoffs!AF126,Sheet1!$B$6:$C$124,2,FALSE)</f>
        <v>0</v>
      </c>
      <c r="AH126" s="168">
        <f t="shared" si="46"/>
        <v>0</v>
      </c>
      <c r="AI126" s="176">
        <f t="shared" si="47"/>
        <v>0</v>
      </c>
      <c r="AJ126" s="174">
        <f t="shared" si="48"/>
        <v>0</v>
      </c>
      <c r="AK126" s="174"/>
      <c r="AL126" s="141"/>
      <c r="AO126" s="286"/>
      <c r="AP126" s="284">
        <f t="shared" si="30"/>
        <v>0</v>
      </c>
      <c r="AQ126" s="281">
        <f t="shared" si="31"/>
        <v>0</v>
      </c>
      <c r="AR126" s="284">
        <f t="shared" si="32"/>
        <v>0</v>
      </c>
      <c r="AS126" s="281">
        <f t="shared" si="33"/>
        <v>0</v>
      </c>
      <c r="AT126" s="284">
        <f t="shared" si="34"/>
        <v>0</v>
      </c>
    </row>
    <row r="127" spans="1:97" s="114" customFormat="1" ht="30.9" x14ac:dyDescent="0.8">
      <c r="A127" s="262">
        <f>ROW()</f>
        <v>127</v>
      </c>
      <c r="C127" s="208"/>
      <c r="D127" s="208"/>
      <c r="E127" s="208"/>
      <c r="F127" s="208"/>
      <c r="G127" s="208"/>
      <c r="H127" s="208"/>
      <c r="J127" s="114" t="str">
        <f t="shared" si="49"/>
        <v/>
      </c>
      <c r="K127" s="114" t="str">
        <f>IF(COUNTBLANK(R127)&gt;0,"",CONCATENATE(R127," for ",N115))</f>
        <v/>
      </c>
      <c r="N127" s="123" t="s">
        <v>124</v>
      </c>
      <c r="O127" s="66"/>
      <c r="P127" s="175"/>
      <c r="Q127" s="175"/>
      <c r="R127" s="175"/>
      <c r="S127" s="174">
        <f>M115</f>
        <v>0</v>
      </c>
      <c r="T127" s="172"/>
      <c r="U127" s="175" t="s">
        <v>292</v>
      </c>
      <c r="V127" s="174">
        <f t="shared" si="43"/>
        <v>0</v>
      </c>
      <c r="W127" s="174">
        <f>VLOOKUP(U127,Sheet1!$B$6:$C$45,2,FALSE)*V127</f>
        <v>0</v>
      </c>
      <c r="X127" s="174"/>
      <c r="Y127" s="175" t="s">
        <v>292</v>
      </c>
      <c r="Z127" s="168">
        <f>VLOOKUP(Takeoffs!Y127,Sheet1!$B$6:$C$124,2,FALSE)</f>
        <v>0</v>
      </c>
      <c r="AA127" s="168">
        <f t="shared" si="44"/>
        <v>0</v>
      </c>
      <c r="AB127" s="176">
        <f t="shared" si="45"/>
        <v>0</v>
      </c>
      <c r="AC127" s="174">
        <f t="shared" si="50"/>
        <v>0</v>
      </c>
      <c r="AD127" s="174">
        <v>1</v>
      </c>
      <c r="AE127" s="174"/>
      <c r="AF127" s="175" t="s">
        <v>292</v>
      </c>
      <c r="AG127" s="168">
        <f>VLOOKUP(Takeoffs!AF127,Sheet1!$B$6:$C$124,2,FALSE)</f>
        <v>0</v>
      </c>
      <c r="AH127" s="168">
        <f t="shared" si="46"/>
        <v>0</v>
      </c>
      <c r="AI127" s="176">
        <f t="shared" si="47"/>
        <v>0</v>
      </c>
      <c r="AJ127" s="174">
        <f t="shared" si="48"/>
        <v>0</v>
      </c>
      <c r="AK127" s="174"/>
      <c r="AL127" s="141"/>
      <c r="AO127" s="286"/>
      <c r="AP127" s="284">
        <f t="shared" si="30"/>
        <v>0</v>
      </c>
      <c r="AQ127" s="281">
        <f t="shared" si="31"/>
        <v>0</v>
      </c>
      <c r="AR127" s="284">
        <f t="shared" si="32"/>
        <v>0</v>
      </c>
      <c r="AS127" s="281">
        <f t="shared" si="33"/>
        <v>0</v>
      </c>
      <c r="AT127" s="284">
        <f t="shared" si="34"/>
        <v>0</v>
      </c>
    </row>
    <row r="128" spans="1:97" s="114" customFormat="1" ht="30.9" x14ac:dyDescent="0.8">
      <c r="A128" s="262">
        <f>ROW()</f>
        <v>128</v>
      </c>
      <c r="C128" s="208"/>
      <c r="D128" s="208"/>
      <c r="E128" s="208"/>
      <c r="F128" s="208"/>
      <c r="G128" s="208"/>
      <c r="H128" s="208"/>
      <c r="J128" s="114" t="str">
        <f t="shared" si="49"/>
        <v/>
      </c>
      <c r="K128" s="114" t="str">
        <f>IF(COUNTBLANK(R128)&gt;0,"",CONCATENATE(R128," for ",N115))</f>
        <v/>
      </c>
      <c r="N128" s="123" t="s">
        <v>125</v>
      </c>
      <c r="O128" s="66"/>
      <c r="P128" s="175"/>
      <c r="Q128" s="175"/>
      <c r="R128" s="175"/>
      <c r="S128" s="174">
        <f>M115</f>
        <v>0</v>
      </c>
      <c r="T128" s="172"/>
      <c r="U128" s="175" t="s">
        <v>292</v>
      </c>
      <c r="V128" s="174">
        <f t="shared" si="43"/>
        <v>0</v>
      </c>
      <c r="W128" s="174">
        <f>VLOOKUP(U128,Sheet1!$B$6:$C$45,2,FALSE)*V128</f>
        <v>0</v>
      </c>
      <c r="X128" s="174"/>
      <c r="Y128" s="175" t="s">
        <v>292</v>
      </c>
      <c r="Z128" s="168">
        <f>VLOOKUP(Takeoffs!Y128,Sheet1!$B$6:$C$124,2,FALSE)</f>
        <v>0</v>
      </c>
      <c r="AA128" s="168">
        <f t="shared" si="44"/>
        <v>0</v>
      </c>
      <c r="AB128" s="176">
        <f t="shared" si="45"/>
        <v>0</v>
      </c>
      <c r="AC128" s="174">
        <f t="shared" si="50"/>
        <v>0</v>
      </c>
      <c r="AD128" s="174">
        <v>1</v>
      </c>
      <c r="AE128" s="174"/>
      <c r="AF128" s="175" t="s">
        <v>292</v>
      </c>
      <c r="AG128" s="168">
        <f>VLOOKUP(Takeoffs!AF128,Sheet1!$B$6:$C$124,2,FALSE)</f>
        <v>0</v>
      </c>
      <c r="AH128" s="168">
        <f t="shared" si="46"/>
        <v>0</v>
      </c>
      <c r="AI128" s="176">
        <f t="shared" si="47"/>
        <v>0</v>
      </c>
      <c r="AJ128" s="174">
        <f t="shared" si="48"/>
        <v>0</v>
      </c>
      <c r="AK128" s="174"/>
      <c r="AL128" s="141"/>
      <c r="AO128" s="286"/>
      <c r="AP128" s="284">
        <f t="shared" si="30"/>
        <v>0</v>
      </c>
      <c r="AQ128" s="281">
        <f t="shared" si="31"/>
        <v>0</v>
      </c>
      <c r="AR128" s="284">
        <f t="shared" si="32"/>
        <v>0</v>
      </c>
      <c r="AS128" s="281">
        <f t="shared" si="33"/>
        <v>0</v>
      </c>
      <c r="AT128" s="284">
        <f t="shared" si="34"/>
        <v>0</v>
      </c>
    </row>
    <row r="129" spans="1:97" s="114" customFormat="1" ht="30.9" x14ac:dyDescent="0.8">
      <c r="A129" s="262">
        <f>ROW()</f>
        <v>129</v>
      </c>
      <c r="C129" s="208"/>
      <c r="D129" s="208"/>
      <c r="E129" s="208"/>
      <c r="F129" s="208"/>
      <c r="G129" s="208"/>
      <c r="H129" s="208"/>
      <c r="J129" s="114" t="str">
        <f t="shared" si="49"/>
        <v/>
      </c>
      <c r="K129" s="114" t="str">
        <f>IF(COUNTBLANK(R129)&gt;0,"",CONCATENATE(R129," for ",N115))</f>
        <v/>
      </c>
      <c r="N129" s="123" t="s">
        <v>126</v>
      </c>
      <c r="O129" s="66"/>
      <c r="P129" s="175"/>
      <c r="Q129" s="175"/>
      <c r="R129" s="175"/>
      <c r="S129" s="174">
        <f>M115</f>
        <v>0</v>
      </c>
      <c r="T129" s="172"/>
      <c r="U129" s="175" t="s">
        <v>292</v>
      </c>
      <c r="V129" s="174">
        <f t="shared" si="43"/>
        <v>0</v>
      </c>
      <c r="W129" s="174">
        <f>VLOOKUP(U129,Sheet1!$B$6:$C$45,2,FALSE)*V129</f>
        <v>0</v>
      </c>
      <c r="X129" s="174"/>
      <c r="Y129" s="175" t="s">
        <v>292</v>
      </c>
      <c r="Z129" s="168">
        <f>VLOOKUP(Takeoffs!Y129,Sheet1!$B$6:$C$124,2,FALSE)</f>
        <v>0</v>
      </c>
      <c r="AA129" s="168">
        <f t="shared" si="44"/>
        <v>0</v>
      </c>
      <c r="AB129" s="176">
        <f t="shared" si="45"/>
        <v>0</v>
      </c>
      <c r="AC129" s="174">
        <f t="shared" si="50"/>
        <v>0</v>
      </c>
      <c r="AD129" s="174">
        <v>1</v>
      </c>
      <c r="AE129" s="174"/>
      <c r="AF129" s="175" t="s">
        <v>292</v>
      </c>
      <c r="AG129" s="168">
        <f>VLOOKUP(Takeoffs!AF129,Sheet1!$B$6:$C$124,2,FALSE)</f>
        <v>0</v>
      </c>
      <c r="AH129" s="168">
        <f t="shared" si="46"/>
        <v>0</v>
      </c>
      <c r="AI129" s="176">
        <f t="shared" si="47"/>
        <v>0</v>
      </c>
      <c r="AJ129" s="174">
        <f t="shared" si="48"/>
        <v>0</v>
      </c>
      <c r="AK129" s="174"/>
      <c r="AL129" s="141"/>
      <c r="AO129" s="286"/>
      <c r="AP129" s="284">
        <f t="shared" si="30"/>
        <v>0</v>
      </c>
      <c r="AQ129" s="281">
        <f t="shared" si="31"/>
        <v>0</v>
      </c>
      <c r="AR129" s="284">
        <f t="shared" si="32"/>
        <v>0</v>
      </c>
      <c r="AS129" s="281">
        <f t="shared" si="33"/>
        <v>0</v>
      </c>
      <c r="AT129" s="284">
        <f t="shared" si="34"/>
        <v>0</v>
      </c>
    </row>
    <row r="130" spans="1:97" s="114" customFormat="1" ht="30.9" x14ac:dyDescent="0.8">
      <c r="A130" s="262">
        <f>ROW()</f>
        <v>130</v>
      </c>
      <c r="C130" s="208"/>
      <c r="D130" s="208"/>
      <c r="E130" s="208"/>
      <c r="F130" s="208"/>
      <c r="G130" s="208"/>
      <c r="H130" s="208"/>
      <c r="J130" s="114" t="str">
        <f t="shared" si="49"/>
        <v/>
      </c>
      <c r="K130" s="114" t="str">
        <f>IF(COUNTBLANK(R130)&gt;0,"",CONCATENATE(R130," for ",N115))</f>
        <v/>
      </c>
      <c r="N130" s="123" t="s">
        <v>127</v>
      </c>
      <c r="O130" s="66"/>
      <c r="P130" s="175"/>
      <c r="Q130" s="175"/>
      <c r="R130" s="175"/>
      <c r="S130" s="174">
        <f>M115</f>
        <v>0</v>
      </c>
      <c r="T130" s="172"/>
      <c r="U130" s="175" t="s">
        <v>292</v>
      </c>
      <c r="V130" s="174">
        <f t="shared" si="43"/>
        <v>0</v>
      </c>
      <c r="W130" s="174">
        <f>VLOOKUP(U130,Sheet1!$B$6:$C$45,2,FALSE)*V130</f>
        <v>0</v>
      </c>
      <c r="X130" s="174"/>
      <c r="Y130" s="175" t="s">
        <v>292</v>
      </c>
      <c r="Z130" s="168">
        <f>VLOOKUP(Takeoffs!Y130,Sheet1!$B$6:$C$124,2,FALSE)</f>
        <v>0</v>
      </c>
      <c r="AA130" s="168">
        <f t="shared" si="44"/>
        <v>0</v>
      </c>
      <c r="AB130" s="176">
        <f t="shared" si="45"/>
        <v>0</v>
      </c>
      <c r="AC130" s="174">
        <f t="shared" si="50"/>
        <v>0</v>
      </c>
      <c r="AD130" s="174">
        <v>2</v>
      </c>
      <c r="AE130" s="174"/>
      <c r="AF130" s="175" t="s">
        <v>292</v>
      </c>
      <c r="AG130" s="168">
        <f>VLOOKUP(Takeoffs!AF130,Sheet1!$B$6:$C$124,2,FALSE)</f>
        <v>0</v>
      </c>
      <c r="AH130" s="168">
        <f t="shared" si="46"/>
        <v>0</v>
      </c>
      <c r="AI130" s="176">
        <f t="shared" si="47"/>
        <v>0</v>
      </c>
      <c r="AJ130" s="174">
        <f t="shared" si="48"/>
        <v>0</v>
      </c>
      <c r="AK130" s="174"/>
      <c r="AL130" s="141"/>
      <c r="AO130" s="286"/>
      <c r="AP130" s="284">
        <f t="shared" si="30"/>
        <v>0</v>
      </c>
      <c r="AQ130" s="281">
        <f t="shared" si="31"/>
        <v>0</v>
      </c>
      <c r="AR130" s="284">
        <f t="shared" si="32"/>
        <v>0</v>
      </c>
      <c r="AS130" s="281">
        <f t="shared" si="33"/>
        <v>0</v>
      </c>
      <c r="AT130" s="284">
        <f t="shared" si="34"/>
        <v>0</v>
      </c>
    </row>
    <row r="131" spans="1:97" s="114" customFormat="1" ht="30.9" x14ac:dyDescent="0.8">
      <c r="A131" s="262">
        <f>ROW()</f>
        <v>131</v>
      </c>
      <c r="C131" s="208"/>
      <c r="D131" s="208"/>
      <c r="E131" s="208"/>
      <c r="F131" s="208"/>
      <c r="G131" s="208"/>
      <c r="H131" s="208"/>
      <c r="J131" s="114" t="str">
        <f t="shared" si="49"/>
        <v/>
      </c>
      <c r="K131" s="114" t="str">
        <f>IF(COUNTBLANK(R131)&gt;0,"",CONCATENATE(R131," for ",N115))</f>
        <v/>
      </c>
      <c r="N131" s="123" t="s">
        <v>128</v>
      </c>
      <c r="O131" s="66"/>
      <c r="P131" s="175"/>
      <c r="Q131" s="175"/>
      <c r="R131" s="175"/>
      <c r="S131" s="174">
        <f>M115</f>
        <v>0</v>
      </c>
      <c r="T131" s="172"/>
      <c r="U131" s="175" t="s">
        <v>292</v>
      </c>
      <c r="V131" s="174">
        <f t="shared" si="43"/>
        <v>0</v>
      </c>
      <c r="W131" s="174">
        <f>VLOOKUP(U131,Sheet1!$B$6:$C$45,2,FALSE)*V131</f>
        <v>0</v>
      </c>
      <c r="X131" s="174"/>
      <c r="Y131" s="175" t="s">
        <v>292</v>
      </c>
      <c r="Z131" s="168">
        <f>VLOOKUP(Takeoffs!Y131,Sheet1!$B$6:$C$124,2,FALSE)</f>
        <v>0</v>
      </c>
      <c r="AA131" s="168">
        <f t="shared" si="44"/>
        <v>0</v>
      </c>
      <c r="AB131" s="176">
        <f t="shared" si="45"/>
        <v>0</v>
      </c>
      <c r="AC131" s="174">
        <f t="shared" si="50"/>
        <v>0</v>
      </c>
      <c r="AD131" s="174">
        <v>1</v>
      </c>
      <c r="AE131" s="174"/>
      <c r="AF131" s="175" t="s">
        <v>292</v>
      </c>
      <c r="AG131" s="168">
        <f>VLOOKUP(Takeoffs!AF131,Sheet1!$B$6:$C$124,2,FALSE)</f>
        <v>0</v>
      </c>
      <c r="AH131" s="168">
        <f t="shared" si="46"/>
        <v>0</v>
      </c>
      <c r="AI131" s="176">
        <f t="shared" si="47"/>
        <v>0</v>
      </c>
      <c r="AJ131" s="174">
        <f t="shared" si="48"/>
        <v>0</v>
      </c>
      <c r="AK131" s="174"/>
      <c r="AL131" s="141"/>
      <c r="AO131" s="286"/>
      <c r="AP131" s="284">
        <f t="shared" si="30"/>
        <v>0</v>
      </c>
      <c r="AQ131" s="281">
        <f t="shared" si="31"/>
        <v>0</v>
      </c>
      <c r="AR131" s="284">
        <f t="shared" si="32"/>
        <v>0</v>
      </c>
      <c r="AS131" s="281">
        <f t="shared" si="33"/>
        <v>0</v>
      </c>
      <c r="AT131" s="284">
        <f t="shared" si="34"/>
        <v>0</v>
      </c>
    </row>
    <row r="132" spans="1:97" s="114" customFormat="1" ht="30.9" x14ac:dyDescent="0.8">
      <c r="A132" s="262">
        <f>ROW()</f>
        <v>132</v>
      </c>
      <c r="C132" s="208"/>
      <c r="D132" s="208"/>
      <c r="E132" s="208"/>
      <c r="F132" s="208"/>
      <c r="G132" s="208"/>
      <c r="H132" s="208"/>
      <c r="J132" s="114" t="str">
        <f t="shared" si="49"/>
        <v/>
      </c>
      <c r="K132" s="114" t="str">
        <f>IF(COUNTBLANK(R132)&gt;0,"",CONCATENATE(R132," for ",N115))</f>
        <v/>
      </c>
      <c r="N132" s="123" t="s">
        <v>129</v>
      </c>
      <c r="O132" s="66"/>
      <c r="P132" s="175"/>
      <c r="Q132" s="175"/>
      <c r="R132" s="175"/>
      <c r="S132" s="174">
        <f>M115</f>
        <v>0</v>
      </c>
      <c r="T132" s="172"/>
      <c r="U132" s="175" t="s">
        <v>292</v>
      </c>
      <c r="V132" s="174">
        <f t="shared" si="43"/>
        <v>0</v>
      </c>
      <c r="W132" s="174">
        <f>VLOOKUP(U132,Sheet1!$B$6:$C$45,2,FALSE)*V132</f>
        <v>0</v>
      </c>
      <c r="X132" s="174"/>
      <c r="Y132" s="175" t="s">
        <v>292</v>
      </c>
      <c r="Z132" s="168">
        <f>VLOOKUP(Takeoffs!Y132,Sheet1!$B$6:$C$124,2,FALSE)</f>
        <v>0</v>
      </c>
      <c r="AA132" s="168">
        <f t="shared" si="44"/>
        <v>0</v>
      </c>
      <c r="AB132" s="176">
        <f t="shared" si="45"/>
        <v>0</v>
      </c>
      <c r="AC132" s="174">
        <f t="shared" si="50"/>
        <v>0</v>
      </c>
      <c r="AD132" s="174">
        <v>1</v>
      </c>
      <c r="AE132" s="174"/>
      <c r="AF132" s="175" t="s">
        <v>292</v>
      </c>
      <c r="AG132" s="168">
        <f>VLOOKUP(Takeoffs!AF132,Sheet1!$B$6:$C$124,2,FALSE)</f>
        <v>0</v>
      </c>
      <c r="AH132" s="168">
        <f t="shared" si="46"/>
        <v>0</v>
      </c>
      <c r="AI132" s="176">
        <f t="shared" si="47"/>
        <v>0</v>
      </c>
      <c r="AJ132" s="174">
        <f t="shared" si="48"/>
        <v>0</v>
      </c>
      <c r="AK132" s="174"/>
      <c r="AL132" s="141"/>
      <c r="AO132" s="286"/>
      <c r="AP132" s="284">
        <f t="shared" si="30"/>
        <v>0</v>
      </c>
      <c r="AQ132" s="281">
        <f t="shared" si="31"/>
        <v>0</v>
      </c>
      <c r="AR132" s="284">
        <f t="shared" si="32"/>
        <v>0</v>
      </c>
      <c r="AS132" s="281">
        <f t="shared" si="33"/>
        <v>0</v>
      </c>
      <c r="AT132" s="284">
        <f t="shared" si="34"/>
        <v>0</v>
      </c>
    </row>
    <row r="133" spans="1:97" s="114" customFormat="1" ht="30.9" x14ac:dyDescent="0.8">
      <c r="A133" s="262">
        <f>ROW()</f>
        <v>133</v>
      </c>
      <c r="C133" s="208"/>
      <c r="D133" s="208"/>
      <c r="E133" s="208"/>
      <c r="F133" s="208"/>
      <c r="G133" s="208"/>
      <c r="H133" s="208"/>
      <c r="J133" s="114" t="str">
        <f t="shared" si="49"/>
        <v/>
      </c>
      <c r="K133" s="114" t="str">
        <f>IF(COUNTBLANK(R133)&gt;0,"",CONCATENATE(R133," for ",N115))</f>
        <v/>
      </c>
      <c r="N133" s="123" t="s">
        <v>130</v>
      </c>
      <c r="O133" s="66"/>
      <c r="P133" s="175"/>
      <c r="Q133" s="175"/>
      <c r="R133" s="175"/>
      <c r="S133" s="174">
        <f>M115</f>
        <v>0</v>
      </c>
      <c r="T133" s="172"/>
      <c r="U133" s="175" t="s">
        <v>292</v>
      </c>
      <c r="V133" s="174">
        <f t="shared" si="43"/>
        <v>0</v>
      </c>
      <c r="W133" s="174">
        <f>VLOOKUP(U133,Sheet1!$B$6:$C$45,2,FALSE)*V133</f>
        <v>0</v>
      </c>
      <c r="X133" s="174"/>
      <c r="Y133" s="175" t="s">
        <v>292</v>
      </c>
      <c r="Z133" s="168">
        <f>VLOOKUP(Takeoffs!Y133,Sheet1!$B$6:$C$124,2,FALSE)</f>
        <v>0</v>
      </c>
      <c r="AA133" s="168">
        <f t="shared" si="44"/>
        <v>0</v>
      </c>
      <c r="AB133" s="176">
        <f t="shared" si="45"/>
        <v>0</v>
      </c>
      <c r="AC133" s="174">
        <f t="shared" si="50"/>
        <v>0</v>
      </c>
      <c r="AD133" s="174">
        <v>1</v>
      </c>
      <c r="AE133" s="174"/>
      <c r="AF133" s="175" t="s">
        <v>292</v>
      </c>
      <c r="AG133" s="168">
        <f>VLOOKUP(Takeoffs!AF133,Sheet1!$B$6:$C$124,2,FALSE)</f>
        <v>0</v>
      </c>
      <c r="AH133" s="168">
        <f t="shared" si="46"/>
        <v>0</v>
      </c>
      <c r="AI133" s="176">
        <f t="shared" si="47"/>
        <v>0</v>
      </c>
      <c r="AJ133" s="174">
        <f t="shared" si="48"/>
        <v>0</v>
      </c>
      <c r="AK133" s="174">
        <f>T133</f>
        <v>0</v>
      </c>
      <c r="AL133" s="141"/>
      <c r="AO133" s="286"/>
      <c r="AP133" s="284">
        <f t="shared" si="30"/>
        <v>0</v>
      </c>
      <c r="AQ133" s="281">
        <f t="shared" si="31"/>
        <v>0</v>
      </c>
      <c r="AR133" s="284">
        <f t="shared" si="32"/>
        <v>0</v>
      </c>
      <c r="AS133" s="281">
        <f t="shared" si="33"/>
        <v>0</v>
      </c>
      <c r="AT133" s="284">
        <f t="shared" si="34"/>
        <v>0</v>
      </c>
    </row>
    <row r="134" spans="1:97" s="114" customFormat="1" ht="30.9" x14ac:dyDescent="0.8">
      <c r="A134" s="262">
        <f>ROW()</f>
        <v>134</v>
      </c>
      <c r="C134" s="208"/>
      <c r="D134" s="208"/>
      <c r="E134" s="208"/>
      <c r="F134" s="208"/>
      <c r="G134" s="208"/>
      <c r="H134" s="208"/>
      <c r="J134" s="114" t="str">
        <f t="shared" si="49"/>
        <v/>
      </c>
      <c r="K134" s="114" t="str">
        <f>IF(COUNTBLANK(R134)&gt;0,"",CONCATENATE(R134," for ",N115))</f>
        <v/>
      </c>
      <c r="N134" s="123" t="s">
        <v>131</v>
      </c>
      <c r="O134" s="66"/>
      <c r="P134" s="175"/>
      <c r="Q134" s="175"/>
      <c r="R134" s="175"/>
      <c r="S134" s="174">
        <f>M115</f>
        <v>0</v>
      </c>
      <c r="T134" s="172"/>
      <c r="U134" s="175" t="s">
        <v>292</v>
      </c>
      <c r="V134" s="174">
        <f t="shared" si="43"/>
        <v>0</v>
      </c>
      <c r="W134" s="174">
        <f>VLOOKUP(U134,Sheet1!$B$6:$C$45,2,FALSE)*V134</f>
        <v>0</v>
      </c>
      <c r="X134" s="174"/>
      <c r="Y134" s="175" t="s">
        <v>292</v>
      </c>
      <c r="Z134" s="168">
        <f>VLOOKUP(Takeoffs!Y134,Sheet1!$B$6:$C$124,2,FALSE)</f>
        <v>0</v>
      </c>
      <c r="AA134" s="168">
        <f t="shared" si="44"/>
        <v>0</v>
      </c>
      <c r="AB134" s="176">
        <f t="shared" si="45"/>
        <v>0</v>
      </c>
      <c r="AC134" s="174">
        <f t="shared" si="50"/>
        <v>0</v>
      </c>
      <c r="AD134" s="174">
        <v>1</v>
      </c>
      <c r="AE134" s="174"/>
      <c r="AF134" s="175" t="s">
        <v>292</v>
      </c>
      <c r="AG134" s="168">
        <f>VLOOKUP(Takeoffs!AF134,Sheet1!$B$6:$C$124,2,FALSE)</f>
        <v>0</v>
      </c>
      <c r="AH134" s="168">
        <f t="shared" si="46"/>
        <v>0</v>
      </c>
      <c r="AI134" s="176">
        <f t="shared" si="47"/>
        <v>0</v>
      </c>
      <c r="AJ134" s="174">
        <f t="shared" si="48"/>
        <v>0</v>
      </c>
      <c r="AK134" s="174">
        <f>T134</f>
        <v>0</v>
      </c>
      <c r="AL134" s="141"/>
      <c r="AO134" s="286"/>
      <c r="AP134" s="284">
        <f t="shared" si="30"/>
        <v>0</v>
      </c>
      <c r="AQ134" s="281">
        <f t="shared" si="31"/>
        <v>0</v>
      </c>
      <c r="AR134" s="284">
        <f t="shared" si="32"/>
        <v>0</v>
      </c>
      <c r="AS134" s="281">
        <f t="shared" si="33"/>
        <v>0</v>
      </c>
      <c r="AT134" s="284">
        <f t="shared" si="34"/>
        <v>0</v>
      </c>
    </row>
    <row r="135" spans="1:97" s="114" customFormat="1" ht="30.9" x14ac:dyDescent="0.8">
      <c r="A135" s="262">
        <f>ROW()</f>
        <v>135</v>
      </c>
      <c r="C135" s="208"/>
      <c r="D135" s="208"/>
      <c r="E135" s="208"/>
      <c r="F135" s="208"/>
      <c r="G135" s="208"/>
      <c r="H135" s="208"/>
      <c r="J135" s="114" t="str">
        <f t="shared" si="49"/>
        <v/>
      </c>
      <c r="K135" s="114" t="str">
        <f>IF(COUNTBLANK(R135)&gt;0,"",CONCATENATE(R135," for ",N115))</f>
        <v/>
      </c>
      <c r="N135" s="123" t="s">
        <v>132</v>
      </c>
      <c r="O135" s="66"/>
      <c r="P135" s="175"/>
      <c r="Q135" s="175"/>
      <c r="R135" s="175"/>
      <c r="S135" s="174">
        <f>M115</f>
        <v>0</v>
      </c>
      <c r="T135" s="172"/>
      <c r="U135" s="175" t="s">
        <v>292</v>
      </c>
      <c r="V135" s="174">
        <f t="shared" si="43"/>
        <v>0</v>
      </c>
      <c r="W135" s="174">
        <f>VLOOKUP(U135,Sheet1!$B$6:$C$45,2,FALSE)*V135</f>
        <v>0</v>
      </c>
      <c r="X135" s="174"/>
      <c r="Y135" s="175" t="s">
        <v>292</v>
      </c>
      <c r="Z135" s="168">
        <f>VLOOKUP(Takeoffs!Y135,Sheet1!$B$6:$C$124,2,FALSE)</f>
        <v>0</v>
      </c>
      <c r="AA135" s="168">
        <f t="shared" si="44"/>
        <v>0</v>
      </c>
      <c r="AB135" s="176">
        <f t="shared" si="45"/>
        <v>0</v>
      </c>
      <c r="AC135" s="174">
        <f t="shared" si="50"/>
        <v>0</v>
      </c>
      <c r="AD135" s="174">
        <v>1</v>
      </c>
      <c r="AE135" s="174"/>
      <c r="AF135" s="175" t="s">
        <v>292</v>
      </c>
      <c r="AG135" s="168">
        <f>VLOOKUP(Takeoffs!AF135,Sheet1!$B$6:$C$124,2,FALSE)</f>
        <v>0</v>
      </c>
      <c r="AH135" s="168">
        <f t="shared" si="46"/>
        <v>0</v>
      </c>
      <c r="AI135" s="176">
        <f t="shared" si="47"/>
        <v>0</v>
      </c>
      <c r="AJ135" s="174">
        <f t="shared" si="48"/>
        <v>0</v>
      </c>
      <c r="AK135" s="174">
        <f>T135</f>
        <v>0</v>
      </c>
      <c r="AL135" s="141"/>
      <c r="AO135" s="286"/>
      <c r="AP135" s="284">
        <f t="shared" si="30"/>
        <v>0</v>
      </c>
      <c r="AQ135" s="281">
        <f t="shared" si="31"/>
        <v>0</v>
      </c>
      <c r="AR135" s="284">
        <f t="shared" si="32"/>
        <v>0</v>
      </c>
      <c r="AS135" s="281">
        <f t="shared" si="33"/>
        <v>0</v>
      </c>
      <c r="AT135" s="284">
        <f t="shared" si="34"/>
        <v>0</v>
      </c>
    </row>
    <row r="136" spans="1:97" s="128" customFormat="1" ht="32.25" customHeight="1" thickBot="1" x14ac:dyDescent="0.85">
      <c r="A136" s="262">
        <f>ROW()</f>
        <v>136</v>
      </c>
      <c r="C136" s="212"/>
      <c r="D136" s="212"/>
      <c r="E136" s="212"/>
      <c r="F136" s="212"/>
      <c r="G136" s="212"/>
      <c r="H136" s="212"/>
      <c r="J136" s="128" t="s">
        <v>377</v>
      </c>
      <c r="L136" s="128" t="s">
        <v>378</v>
      </c>
      <c r="N136" s="129"/>
      <c r="O136" s="130" t="s">
        <v>357</v>
      </c>
      <c r="P136" s="192">
        <f>M115*P137</f>
        <v>0</v>
      </c>
      <c r="Q136" s="192"/>
      <c r="R136" s="172"/>
      <c r="S136" s="175"/>
      <c r="T136" s="172"/>
      <c r="U136" s="175" t="s">
        <v>351</v>
      </c>
      <c r="V136" s="172">
        <f>W136*80</f>
        <v>0</v>
      </c>
      <c r="W136" s="177">
        <f>SUM(W115:W135)</f>
        <v>0</v>
      </c>
      <c r="X136" s="178"/>
      <c r="Y136" s="172" t="s">
        <v>352</v>
      </c>
      <c r="Z136" s="168"/>
      <c r="AA136" s="168">
        <f>SUM(AA115:AA135)</f>
        <v>0</v>
      </c>
      <c r="AB136" s="179"/>
      <c r="AC136" s="179"/>
      <c r="AD136" s="179"/>
      <c r="AE136" s="179"/>
      <c r="AF136" s="172" t="s">
        <v>356</v>
      </c>
      <c r="AG136" s="168"/>
      <c r="AH136" s="168">
        <f>SUM(AH115:AH135)</f>
        <v>0</v>
      </c>
      <c r="AI136" s="179"/>
      <c r="AJ136" s="179"/>
      <c r="AK136" s="179"/>
      <c r="AL136" s="149"/>
      <c r="AM136" s="150">
        <f>P136</f>
        <v>0</v>
      </c>
      <c r="AO136" s="286"/>
      <c r="AP136" s="284">
        <f t="shared" si="30"/>
        <v>0</v>
      </c>
      <c r="AQ136" s="281">
        <f t="shared" si="31"/>
        <v>0</v>
      </c>
      <c r="AR136" s="284">
        <f t="shared" si="32"/>
        <v>0</v>
      </c>
      <c r="AS136" s="281">
        <f t="shared" si="33"/>
        <v>0</v>
      </c>
      <c r="AT136" s="284">
        <f t="shared" si="34"/>
        <v>0</v>
      </c>
    </row>
    <row r="137" spans="1:97" s="234" customFormat="1" ht="96.45" thickBot="1" x14ac:dyDescent="1.25">
      <c r="A137" s="262">
        <f>ROW()</f>
        <v>137</v>
      </c>
      <c r="B137" s="234" t="s">
        <v>491</v>
      </c>
      <c r="C137" s="217" t="str">
        <f>N115</f>
        <v>medium-sized Form 2  MSSB</v>
      </c>
      <c r="D137" s="260" t="str">
        <f>IF(B137="Shopping List",IF(ISNUMBER(SEARCH("MSSB",C137)),"MSSB",IF(ISNUMBER(SEARCH("local",C137)),"LOCAL","")))</f>
        <v>MSSB</v>
      </c>
      <c r="E137" s="238">
        <v>1</v>
      </c>
      <c r="F137" s="217"/>
      <c r="G137" s="217">
        <v>1</v>
      </c>
      <c r="H137" s="245"/>
      <c r="I137" s="270"/>
      <c r="J137" s="241" t="str">
        <f>CONCATENATE(O115," ",L115, " (",M115,") ",N115,".", IF(M115&gt;1," Each "," This "),"includes supply and install of ",O116,O117,O118,O119,O120,O121,O122,O123,O124,O125,O126,O127,O128,O129,O130,O131,O132,O133,O134,O135,J116,J117,J118,J119,J120,J121,J122,J123,J124,J125,J126,J127,J128,J129,J130,J131,J132,J133,J134,J135)</f>
        <v xml:space="preserve">Electrical services for Zero (0) medium-sized Form 2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37" s="248">
        <f>P136</f>
        <v>0</v>
      </c>
      <c r="L137" s="235" t="str">
        <f>CONCATENATE(Q116,Q117,Q118,Q119,Q120,Q121,Q122,Q123,Q124,Q125,Q126,Q127,Q128,Q129,Q130,Q131,Q132,Q133,Q134,Q135,)</f>
        <v/>
      </c>
      <c r="M137" s="166" t="s">
        <v>367</v>
      </c>
      <c r="N137" s="160" t="str">
        <f>N115</f>
        <v>medium-sized Form 2  MSSB</v>
      </c>
      <c r="O137" s="185" t="s">
        <v>365</v>
      </c>
      <c r="P137" s="203">
        <f>3800+500</f>
        <v>4300</v>
      </c>
      <c r="Q137" s="195"/>
      <c r="R137" s="188"/>
      <c r="S137" s="160"/>
      <c r="T137" s="161"/>
      <c r="U137" s="503" t="s">
        <v>366</v>
      </c>
      <c r="V137" s="503"/>
      <c r="W137" s="162" t="e">
        <f>W136/M115</f>
        <v>#DIV/0!</v>
      </c>
      <c r="X137" s="163"/>
      <c r="Y137" s="501" t="s">
        <v>365</v>
      </c>
      <c r="Z137" s="501"/>
      <c r="AA137" s="164" t="e">
        <f>AA136/M115</f>
        <v>#DIV/0!</v>
      </c>
      <c r="AB137" s="161"/>
      <c r="AC137" s="161"/>
      <c r="AD137" s="161"/>
      <c r="AE137" s="161"/>
      <c r="AF137" s="501" t="s">
        <v>365</v>
      </c>
      <c r="AG137" s="501"/>
      <c r="AH137" s="164" t="e">
        <f>AH136/M115</f>
        <v>#DIV/0!</v>
      </c>
      <c r="AI137" s="161"/>
      <c r="AJ137" s="161"/>
      <c r="AK137" s="161"/>
      <c r="AL137" s="247"/>
      <c r="AM137" s="257"/>
      <c r="AN137" s="230">
        <f>K137*1.25</f>
        <v>0</v>
      </c>
      <c r="AO137" s="286"/>
      <c r="AP137" s="284">
        <f t="shared" si="30"/>
        <v>0</v>
      </c>
      <c r="AQ137" s="281">
        <f t="shared" si="31"/>
        <v>0</v>
      </c>
      <c r="AR137" s="284">
        <f t="shared" si="32"/>
        <v>0</v>
      </c>
      <c r="AS137" s="281">
        <f t="shared" si="33"/>
        <v>0</v>
      </c>
      <c r="AT137" s="284">
        <f t="shared" si="34"/>
        <v>0</v>
      </c>
      <c r="AU137" s="117"/>
      <c r="AV137" s="117"/>
      <c r="AW137" s="117"/>
      <c r="AX137" s="117"/>
      <c r="AY137" s="117"/>
      <c r="AZ137" s="117"/>
      <c r="BA137" s="117"/>
      <c r="BB137" s="117"/>
      <c r="BC137" s="117"/>
      <c r="BD137" s="117"/>
      <c r="BE137" s="117"/>
      <c r="BF137" s="117"/>
      <c r="BG137" s="117"/>
      <c r="BH137" s="117"/>
      <c r="BI137" s="117"/>
      <c r="BJ137" s="117"/>
      <c r="BK137" s="117"/>
      <c r="BL137" s="117"/>
      <c r="BM137" s="117"/>
      <c r="BN137" s="117"/>
      <c r="BO137" s="117"/>
      <c r="BP137" s="117"/>
      <c r="BQ137" s="117"/>
      <c r="BR137" s="117"/>
      <c r="BS137" s="117"/>
      <c r="BT137" s="117"/>
      <c r="BU137" s="117"/>
      <c r="BV137" s="117"/>
      <c r="BW137" s="117"/>
      <c r="BX137" s="117"/>
      <c r="BY137" s="117"/>
      <c r="BZ137" s="117"/>
      <c r="CA137" s="117"/>
      <c r="CB137" s="117"/>
      <c r="CC137" s="117"/>
      <c r="CD137" s="117"/>
      <c r="CE137" s="117"/>
      <c r="CF137" s="117"/>
      <c r="CG137" s="117"/>
      <c r="CH137" s="117"/>
      <c r="CI137" s="117"/>
      <c r="CJ137" s="117"/>
      <c r="CK137" s="117"/>
      <c r="CL137" s="117"/>
      <c r="CM137" s="117"/>
      <c r="CN137" s="117"/>
      <c r="CO137" s="117"/>
      <c r="CP137" s="117"/>
      <c r="CQ137" s="117"/>
      <c r="CR137" s="117"/>
      <c r="CS137" s="117"/>
    </row>
    <row r="138" spans="1:97" s="2" customFormat="1" ht="192.75" customHeight="1" x14ac:dyDescent="0.8">
      <c r="A138" s="262">
        <f>ROW()</f>
        <v>138</v>
      </c>
      <c r="B138" s="116"/>
      <c r="C138" s="211"/>
      <c r="D138" s="211"/>
      <c r="E138" s="211"/>
      <c r="F138" s="211"/>
      <c r="G138" s="211"/>
      <c r="H138" s="211"/>
      <c r="I138" s="116"/>
      <c r="K138" s="2" t="s">
        <v>452</v>
      </c>
      <c r="M138" s="2" t="s">
        <v>107</v>
      </c>
      <c r="N138" s="2" t="s">
        <v>108</v>
      </c>
      <c r="O138" s="97" t="s">
        <v>386</v>
      </c>
      <c r="P138" s="504" t="s">
        <v>375</v>
      </c>
      <c r="Q138" s="504"/>
      <c r="R138" s="101" t="s">
        <v>452</v>
      </c>
      <c r="S138" s="2" t="s">
        <v>0</v>
      </c>
      <c r="T138" s="9"/>
      <c r="U138" s="2" t="s">
        <v>287</v>
      </c>
      <c r="V138" s="2" t="s">
        <v>288</v>
      </c>
      <c r="W138" s="2" t="s">
        <v>291</v>
      </c>
      <c r="X138" s="58"/>
      <c r="Y138" s="2" t="s">
        <v>289</v>
      </c>
      <c r="Z138" s="2" t="s">
        <v>354</v>
      </c>
      <c r="AA138" s="2" t="s">
        <v>355</v>
      </c>
      <c r="AB138" s="2" t="s">
        <v>317</v>
      </c>
      <c r="AC138" s="2" t="s">
        <v>318</v>
      </c>
      <c r="AD138" s="2" t="s">
        <v>316</v>
      </c>
      <c r="AE138" s="58"/>
      <c r="AF138" s="2" t="s">
        <v>293</v>
      </c>
      <c r="AG138" s="2" t="s">
        <v>354</v>
      </c>
      <c r="AH138" s="2" t="s">
        <v>355</v>
      </c>
      <c r="AI138" s="2" t="s">
        <v>296</v>
      </c>
      <c r="AJ138" s="2" t="s">
        <v>294</v>
      </c>
      <c r="AK138" s="2" t="s">
        <v>295</v>
      </c>
      <c r="AL138" s="58"/>
      <c r="AO138" s="288"/>
      <c r="AP138" s="284">
        <f t="shared" si="30"/>
        <v>0</v>
      </c>
      <c r="AQ138" s="281">
        <f t="shared" si="31"/>
        <v>0</v>
      </c>
      <c r="AR138" s="284">
        <f t="shared" si="32"/>
        <v>0</v>
      </c>
      <c r="AS138" s="281">
        <f t="shared" si="33"/>
        <v>0</v>
      </c>
      <c r="AT138" s="284">
        <f t="shared" si="34"/>
        <v>0</v>
      </c>
    </row>
    <row r="139" spans="1:97" s="32" customFormat="1" ht="40.5" customHeight="1" x14ac:dyDescent="0.8">
      <c r="A139" s="262">
        <f>ROW()</f>
        <v>139</v>
      </c>
      <c r="B139" s="114"/>
      <c r="C139" s="208"/>
      <c r="D139" s="208"/>
      <c r="E139" s="208"/>
      <c r="F139" s="208"/>
      <c r="G139" s="208"/>
      <c r="H139" s="208"/>
      <c r="I139" s="114"/>
      <c r="L139" s="16" t="str">
        <f>VLOOKUP(M139,Sheet2!$D$2:$E$1024,2,FALSE)</f>
        <v>Zero</v>
      </c>
      <c r="M139" s="121">
        <f>I161</f>
        <v>0</v>
      </c>
      <c r="N139" s="27" t="s">
        <v>527</v>
      </c>
      <c r="O139" s="12" t="s">
        <v>195</v>
      </c>
      <c r="P139" s="96" t="s">
        <v>379</v>
      </c>
      <c r="Q139" s="96" t="s">
        <v>375</v>
      </c>
      <c r="R139" s="96"/>
      <c r="S139" s="28">
        <f>M139</f>
        <v>0</v>
      </c>
      <c r="T139" s="10"/>
      <c r="U139" s="73" t="s">
        <v>236</v>
      </c>
      <c r="V139" s="28">
        <f>S139</f>
        <v>0</v>
      </c>
      <c r="W139" s="28">
        <f>VLOOKUP(U139,Sheet1!$B$6:$C$45,2,FALSE)*V139</f>
        <v>0</v>
      </c>
      <c r="X139" s="59"/>
      <c r="Y139" s="12" t="s">
        <v>292</v>
      </c>
      <c r="Z139" s="68">
        <f>VLOOKUP(Takeoffs!Y139,Sheet1!$B$6:$C$124,2,FALSE)</f>
        <v>0</v>
      </c>
      <c r="AA139" s="68">
        <f>Z139*AB139</f>
        <v>0</v>
      </c>
      <c r="AB139" s="63">
        <f>AD139*AC139</f>
        <v>0</v>
      </c>
      <c r="AC139" s="28">
        <f>S139</f>
        <v>0</v>
      </c>
      <c r="AD139" s="61">
        <v>1</v>
      </c>
      <c r="AE139" s="59"/>
      <c r="AF139" s="12" t="s">
        <v>292</v>
      </c>
      <c r="AG139" s="68">
        <f>VLOOKUP(Takeoffs!AF139,Sheet1!$B$6:$C$124,2,FALSE)</f>
        <v>0</v>
      </c>
      <c r="AH139" s="68">
        <f>AG139*AI139</f>
        <v>0</v>
      </c>
      <c r="AI139" s="63">
        <f>AK139*AJ139</f>
        <v>0</v>
      </c>
      <c r="AJ139" s="28">
        <f>S139</f>
        <v>0</v>
      </c>
      <c r="AK139" s="61"/>
      <c r="AL139" s="59"/>
      <c r="AO139" s="286"/>
      <c r="AP139" s="284">
        <f t="shared" si="30"/>
        <v>0</v>
      </c>
      <c r="AQ139" s="281">
        <f t="shared" si="31"/>
        <v>0</v>
      </c>
      <c r="AR139" s="284">
        <f t="shared" si="32"/>
        <v>0</v>
      </c>
      <c r="AS139" s="281">
        <f t="shared" si="33"/>
        <v>0</v>
      </c>
      <c r="AT139" s="284">
        <f t="shared" si="34"/>
        <v>0</v>
      </c>
    </row>
    <row r="140" spans="1:97" s="32" customFormat="1" ht="30.9" x14ac:dyDescent="0.8">
      <c r="A140" s="262">
        <f>ROW()</f>
        <v>140</v>
      </c>
      <c r="B140" s="114"/>
      <c r="C140" s="208"/>
      <c r="D140" s="208"/>
      <c r="E140" s="208"/>
      <c r="F140" s="208"/>
      <c r="G140" s="208"/>
      <c r="H140" s="208"/>
      <c r="I140" s="114"/>
      <c r="J140" s="32" t="str">
        <f>IF(COUNTBLANK(Q140)&gt;0,"",CONCATENATE("Coordination Note: - ",P140,": Please refer to our exclusions relating to ",Q140))</f>
        <v/>
      </c>
      <c r="K140" s="32" t="str">
        <f>IF(COUNTBLANK(R140)&gt;0,"",CONCATENATE(R140," for ",N139))</f>
        <v/>
      </c>
      <c r="M140" s="38"/>
      <c r="N140" s="15" t="s">
        <v>113</v>
      </c>
      <c r="O140" s="66" t="s">
        <v>398</v>
      </c>
      <c r="P140" s="12"/>
      <c r="Q140" s="12"/>
      <c r="R140" s="12"/>
      <c r="S140" s="28">
        <f>M139</f>
        <v>0</v>
      </c>
      <c r="T140" s="11"/>
      <c r="U140" s="12" t="s">
        <v>292</v>
      </c>
      <c r="V140" s="28">
        <f t="shared" ref="V140:V159" si="51">S140</f>
        <v>0</v>
      </c>
      <c r="W140" s="28">
        <f>VLOOKUP(U140,Sheet1!$B$6:$C$45,2,FALSE)*V140</f>
        <v>0</v>
      </c>
      <c r="X140" s="59"/>
      <c r="Y140" s="73" t="s">
        <v>417</v>
      </c>
      <c r="Z140" s="68">
        <f>VLOOKUP(Takeoffs!Y140,Sheet1!$B$6:$C$124,2,FALSE)</f>
        <v>586.15199999999993</v>
      </c>
      <c r="AA140" s="68">
        <f t="shared" ref="AA140:AA159" si="52">Z140*AB140</f>
        <v>0</v>
      </c>
      <c r="AB140" s="63">
        <f t="shared" ref="AB140:AB159" si="53">AD140*AC140</f>
        <v>0</v>
      </c>
      <c r="AC140" s="28">
        <f>S140</f>
        <v>0</v>
      </c>
      <c r="AD140" s="61">
        <v>1</v>
      </c>
      <c r="AE140" s="59"/>
      <c r="AF140" s="12" t="s">
        <v>292</v>
      </c>
      <c r="AG140" s="68">
        <f>VLOOKUP(Takeoffs!AF140,Sheet1!$B$6:$C$124,2,FALSE)</f>
        <v>0</v>
      </c>
      <c r="AH140" s="68">
        <f t="shared" ref="AH140:AH159" si="54">AG140*AI140</f>
        <v>0</v>
      </c>
      <c r="AI140" s="63">
        <f t="shared" ref="AI140:AI159" si="55">AK140*AJ140</f>
        <v>0</v>
      </c>
      <c r="AJ140" s="28">
        <f t="shared" ref="AJ140:AJ159" si="56">S140</f>
        <v>0</v>
      </c>
      <c r="AK140" s="61"/>
      <c r="AL140" s="59"/>
      <c r="AO140" s="286"/>
      <c r="AP140" s="284">
        <f t="shared" si="30"/>
        <v>0</v>
      </c>
      <c r="AQ140" s="281">
        <f t="shared" si="31"/>
        <v>0</v>
      </c>
      <c r="AR140" s="284">
        <f t="shared" si="32"/>
        <v>0</v>
      </c>
      <c r="AS140" s="281">
        <f t="shared" si="33"/>
        <v>0</v>
      </c>
      <c r="AT140" s="284">
        <f t="shared" si="34"/>
        <v>0</v>
      </c>
    </row>
    <row r="141" spans="1:97" s="32" customFormat="1" ht="30.9" x14ac:dyDescent="0.8">
      <c r="A141" s="262">
        <f>ROW()</f>
        <v>141</v>
      </c>
      <c r="B141" s="114"/>
      <c r="C141" s="208"/>
      <c r="D141" s="208"/>
      <c r="E141" s="208"/>
      <c r="F141" s="208"/>
      <c r="G141" s="208"/>
      <c r="H141" s="208"/>
      <c r="I141" s="114"/>
      <c r="J141" s="32" t="str">
        <f t="shared" ref="J141:J159" si="57">IF(COUNTBLANK(Q141)&gt;0,"",CONCATENATE("Coordination Note: - ",P141,": Please refer to our exclusions relating to ",Q141))</f>
        <v/>
      </c>
      <c r="K141" s="32" t="str">
        <f>IF(COUNTBLANK(R141)&gt;0,"",CONCATENATE(R141," for ",N139))</f>
        <v/>
      </c>
      <c r="M141" s="38"/>
      <c r="N141" s="15" t="s">
        <v>114</v>
      </c>
      <c r="O141" s="66" t="s">
        <v>399</v>
      </c>
      <c r="P141" s="12"/>
      <c r="Q141" s="12"/>
      <c r="R141" s="12"/>
      <c r="S141" s="28">
        <f>M139</f>
        <v>0</v>
      </c>
      <c r="T141" s="11"/>
      <c r="U141" s="12" t="s">
        <v>292</v>
      </c>
      <c r="V141" s="28">
        <f t="shared" si="51"/>
        <v>0</v>
      </c>
      <c r="W141" s="28">
        <f>VLOOKUP(U141,Sheet1!$B$6:$C$45,2,FALSE)*V141</f>
        <v>0</v>
      </c>
      <c r="X141" s="59"/>
      <c r="Y141" s="12" t="s">
        <v>292</v>
      </c>
      <c r="Z141" s="68">
        <f>VLOOKUP(Takeoffs!Y141,Sheet1!$B$6:$C$124,2,FALSE)</f>
        <v>0</v>
      </c>
      <c r="AA141" s="68">
        <f t="shared" si="52"/>
        <v>0</v>
      </c>
      <c r="AB141" s="63">
        <f t="shared" si="53"/>
        <v>0</v>
      </c>
      <c r="AC141" s="28">
        <f>S141</f>
        <v>0</v>
      </c>
      <c r="AD141" s="61">
        <v>1</v>
      </c>
      <c r="AE141" s="59"/>
      <c r="AF141" s="12" t="s">
        <v>292</v>
      </c>
      <c r="AG141" s="68">
        <f>VLOOKUP(Takeoffs!AF141,Sheet1!$B$6:$C$124,2,FALSE)</f>
        <v>0</v>
      </c>
      <c r="AH141" s="68">
        <f t="shared" si="54"/>
        <v>0</v>
      </c>
      <c r="AI141" s="63">
        <f t="shared" si="55"/>
        <v>0</v>
      </c>
      <c r="AJ141" s="28">
        <f t="shared" si="56"/>
        <v>0</v>
      </c>
      <c r="AK141" s="61"/>
      <c r="AL141" s="59"/>
      <c r="AO141" s="286"/>
      <c r="AP141" s="284">
        <f t="shared" si="30"/>
        <v>0</v>
      </c>
      <c r="AQ141" s="281">
        <f t="shared" si="31"/>
        <v>0</v>
      </c>
      <c r="AR141" s="284">
        <f t="shared" si="32"/>
        <v>0</v>
      </c>
      <c r="AS141" s="281">
        <f t="shared" si="33"/>
        <v>0</v>
      </c>
      <c r="AT141" s="284">
        <f t="shared" si="34"/>
        <v>0</v>
      </c>
    </row>
    <row r="142" spans="1:97" s="32" customFormat="1" ht="30.9" x14ac:dyDescent="0.8">
      <c r="A142" s="262">
        <f>ROW()</f>
        <v>142</v>
      </c>
      <c r="B142" s="114"/>
      <c r="C142" s="208"/>
      <c r="D142" s="208"/>
      <c r="E142" s="208"/>
      <c r="F142" s="208"/>
      <c r="G142" s="208"/>
      <c r="H142" s="208"/>
      <c r="I142" s="114"/>
      <c r="J142" s="32" t="str">
        <f t="shared" si="57"/>
        <v/>
      </c>
      <c r="K142" s="32" t="str">
        <f>IF(COUNTBLANK(R142)&gt;0,"",CONCATENATE(R142," for ",N139))</f>
        <v/>
      </c>
      <c r="M142" s="38"/>
      <c r="N142" s="15" t="s">
        <v>115</v>
      </c>
      <c r="O142" s="66" t="s">
        <v>400</v>
      </c>
      <c r="P142" s="12"/>
      <c r="Q142" s="12"/>
      <c r="R142" s="12"/>
      <c r="S142" s="28">
        <f>M139</f>
        <v>0</v>
      </c>
      <c r="T142" s="11"/>
      <c r="U142" s="12" t="s">
        <v>292</v>
      </c>
      <c r="V142" s="28">
        <f t="shared" si="51"/>
        <v>0</v>
      </c>
      <c r="W142" s="28">
        <f>VLOOKUP(U142,Sheet1!$B$6:$C$45,2,FALSE)*V142</f>
        <v>0</v>
      </c>
      <c r="X142" s="59"/>
      <c r="Y142" s="12" t="s">
        <v>292</v>
      </c>
      <c r="Z142" s="68">
        <f>VLOOKUP(Takeoffs!Y142,Sheet1!$B$6:$C$124,2,FALSE)</f>
        <v>0</v>
      </c>
      <c r="AA142" s="68">
        <f t="shared" si="52"/>
        <v>0</v>
      </c>
      <c r="AB142" s="63">
        <f t="shared" si="53"/>
        <v>0</v>
      </c>
      <c r="AC142" s="28">
        <f t="shared" ref="AC142:AC159" si="58">S142</f>
        <v>0</v>
      </c>
      <c r="AD142" s="61">
        <v>1</v>
      </c>
      <c r="AE142" s="59"/>
      <c r="AF142" s="12" t="s">
        <v>292</v>
      </c>
      <c r="AG142" s="68">
        <f>VLOOKUP(Takeoffs!AF142,Sheet1!$B$6:$C$124,2,FALSE)</f>
        <v>0</v>
      </c>
      <c r="AH142" s="68">
        <f t="shared" si="54"/>
        <v>0</v>
      </c>
      <c r="AI142" s="63">
        <f t="shared" si="55"/>
        <v>0</v>
      </c>
      <c r="AJ142" s="28">
        <f t="shared" si="56"/>
        <v>0</v>
      </c>
      <c r="AK142" s="61"/>
      <c r="AL142" s="59"/>
      <c r="AO142" s="286"/>
      <c r="AP142" s="284">
        <f t="shared" si="30"/>
        <v>0</v>
      </c>
      <c r="AQ142" s="281">
        <f t="shared" si="31"/>
        <v>0</v>
      </c>
      <c r="AR142" s="284">
        <f t="shared" si="32"/>
        <v>0</v>
      </c>
      <c r="AS142" s="281">
        <f t="shared" si="33"/>
        <v>0</v>
      </c>
      <c r="AT142" s="284">
        <f t="shared" si="34"/>
        <v>0</v>
      </c>
    </row>
    <row r="143" spans="1:97" s="32" customFormat="1" ht="30.9" x14ac:dyDescent="0.8">
      <c r="A143" s="262">
        <f>ROW()</f>
        <v>143</v>
      </c>
      <c r="B143" s="114"/>
      <c r="C143" s="208"/>
      <c r="D143" s="208"/>
      <c r="E143" s="208"/>
      <c r="F143" s="208"/>
      <c r="G143" s="208"/>
      <c r="H143" s="208"/>
      <c r="I143" s="114"/>
      <c r="J143" s="32" t="str">
        <f t="shared" si="57"/>
        <v/>
      </c>
      <c r="K143" s="32" t="str">
        <f>IF(COUNTBLANK(R143)&gt;0,"",CONCATENATE(R143," for ",N139))</f>
        <v/>
      </c>
      <c r="M143" s="38"/>
      <c r="N143" s="15" t="s">
        <v>116</v>
      </c>
      <c r="O143" s="66" t="s">
        <v>401</v>
      </c>
      <c r="P143" s="12"/>
      <c r="Q143" s="12"/>
      <c r="R143" s="12"/>
      <c r="S143" s="28">
        <f>M139</f>
        <v>0</v>
      </c>
      <c r="T143" s="11"/>
      <c r="U143" s="12" t="s">
        <v>292</v>
      </c>
      <c r="V143" s="28">
        <f t="shared" si="51"/>
        <v>0</v>
      </c>
      <c r="W143" s="28">
        <f>VLOOKUP(U143,Sheet1!$B$6:$C$45,2,FALSE)*V143</f>
        <v>0</v>
      </c>
      <c r="X143" s="59"/>
      <c r="Y143" s="12" t="s">
        <v>292</v>
      </c>
      <c r="Z143" s="68">
        <f>VLOOKUP(Takeoffs!Y143,Sheet1!$B$6:$C$124,2,FALSE)</f>
        <v>0</v>
      </c>
      <c r="AA143" s="68">
        <f t="shared" si="52"/>
        <v>0</v>
      </c>
      <c r="AB143" s="63">
        <f t="shared" si="53"/>
        <v>0</v>
      </c>
      <c r="AC143" s="28">
        <f t="shared" si="58"/>
        <v>0</v>
      </c>
      <c r="AD143" s="61">
        <v>1</v>
      </c>
      <c r="AE143" s="59"/>
      <c r="AF143" s="12" t="s">
        <v>292</v>
      </c>
      <c r="AG143" s="68">
        <f>VLOOKUP(Takeoffs!AF143,Sheet1!$B$6:$C$124,2,FALSE)</f>
        <v>0</v>
      </c>
      <c r="AH143" s="68">
        <f t="shared" si="54"/>
        <v>0</v>
      </c>
      <c r="AI143" s="63">
        <f t="shared" si="55"/>
        <v>0</v>
      </c>
      <c r="AJ143" s="28">
        <f t="shared" si="56"/>
        <v>0</v>
      </c>
      <c r="AK143" s="61"/>
      <c r="AL143" s="59"/>
      <c r="AO143" s="286"/>
      <c r="AP143" s="284">
        <f t="shared" si="30"/>
        <v>0</v>
      </c>
      <c r="AQ143" s="281">
        <f t="shared" si="31"/>
        <v>0</v>
      </c>
      <c r="AR143" s="284">
        <f t="shared" si="32"/>
        <v>0</v>
      </c>
      <c r="AS143" s="281">
        <f t="shared" si="33"/>
        <v>0</v>
      </c>
      <c r="AT143" s="284">
        <f t="shared" si="34"/>
        <v>0</v>
      </c>
    </row>
    <row r="144" spans="1:97" s="32" customFormat="1" ht="30.9" x14ac:dyDescent="0.8">
      <c r="A144" s="262">
        <f>ROW()</f>
        <v>144</v>
      </c>
      <c r="B144" s="114"/>
      <c r="C144" s="208"/>
      <c r="D144" s="208"/>
      <c r="E144" s="208"/>
      <c r="F144" s="208"/>
      <c r="G144" s="208"/>
      <c r="H144" s="208"/>
      <c r="I144" s="114"/>
      <c r="J144" s="32" t="str">
        <f t="shared" si="57"/>
        <v/>
      </c>
      <c r="K144" s="32" t="str">
        <f>IF(COUNTBLANK(R144)&gt;0,"",CONCATENATE(R144," for ",N139))</f>
        <v/>
      </c>
      <c r="M144" s="38"/>
      <c r="N144" s="15" t="s">
        <v>117</v>
      </c>
      <c r="O144" s="66" t="s">
        <v>402</v>
      </c>
      <c r="P144" s="12"/>
      <c r="Q144" s="12"/>
      <c r="R144" s="12"/>
      <c r="S144" s="28">
        <f>M139</f>
        <v>0</v>
      </c>
      <c r="T144" s="11"/>
      <c r="U144" s="12" t="s">
        <v>292</v>
      </c>
      <c r="V144" s="28">
        <f t="shared" si="51"/>
        <v>0</v>
      </c>
      <c r="W144" s="28">
        <f>VLOOKUP(U144,Sheet1!$B$6:$C$45,2,FALSE)*V144</f>
        <v>0</v>
      </c>
      <c r="X144" s="59"/>
      <c r="Y144" s="12" t="s">
        <v>274</v>
      </c>
      <c r="Z144" s="68">
        <f>VLOOKUP(Takeoffs!Y144,Sheet1!$B$6:$C$124,2,FALSE)</f>
        <v>360</v>
      </c>
      <c r="AA144" s="68">
        <f t="shared" si="52"/>
        <v>0</v>
      </c>
      <c r="AB144" s="63">
        <f t="shared" si="53"/>
        <v>0</v>
      </c>
      <c r="AC144" s="28">
        <f t="shared" si="58"/>
        <v>0</v>
      </c>
      <c r="AD144" s="61">
        <v>1</v>
      </c>
      <c r="AE144" s="59"/>
      <c r="AF144" s="12" t="s">
        <v>292</v>
      </c>
      <c r="AG144" s="68">
        <f>VLOOKUP(Takeoffs!AF144,Sheet1!$B$6:$C$124,2,FALSE)</f>
        <v>0</v>
      </c>
      <c r="AH144" s="68">
        <f t="shared" si="54"/>
        <v>0</v>
      </c>
      <c r="AI144" s="63">
        <f t="shared" si="55"/>
        <v>0</v>
      </c>
      <c r="AJ144" s="28">
        <f t="shared" si="56"/>
        <v>0</v>
      </c>
      <c r="AK144" s="61"/>
      <c r="AL144" s="59"/>
      <c r="AO144" s="286"/>
      <c r="AP144" s="284">
        <f t="shared" si="30"/>
        <v>0</v>
      </c>
      <c r="AQ144" s="281">
        <f t="shared" si="31"/>
        <v>0</v>
      </c>
      <c r="AR144" s="284">
        <f t="shared" si="32"/>
        <v>0</v>
      </c>
      <c r="AS144" s="281">
        <f t="shared" si="33"/>
        <v>0</v>
      </c>
      <c r="AT144" s="284">
        <f t="shared" si="34"/>
        <v>0</v>
      </c>
    </row>
    <row r="145" spans="1:46" s="32" customFormat="1" ht="30.9" x14ac:dyDescent="0.8">
      <c r="A145" s="262">
        <f>ROW()</f>
        <v>145</v>
      </c>
      <c r="B145" s="114"/>
      <c r="C145" s="208"/>
      <c r="D145" s="208"/>
      <c r="E145" s="208"/>
      <c r="F145" s="208"/>
      <c r="G145" s="208"/>
      <c r="H145" s="208"/>
      <c r="I145" s="114"/>
      <c r="J145" s="32" t="str">
        <f t="shared" si="57"/>
        <v/>
      </c>
      <c r="K145" s="32" t="str">
        <f>IF(COUNTBLANK(R145)&gt;0,"",CONCATENATE(R145," for ",N139))</f>
        <v/>
      </c>
      <c r="M145" s="38"/>
      <c r="N145" s="15" t="s">
        <v>118</v>
      </c>
      <c r="O145" s="66" t="s">
        <v>403</v>
      </c>
      <c r="P145" s="12"/>
      <c r="Q145" s="12"/>
      <c r="R145" s="12"/>
      <c r="S145" s="28">
        <f>M139</f>
        <v>0</v>
      </c>
      <c r="T145" s="11"/>
      <c r="U145" s="12" t="s">
        <v>292</v>
      </c>
      <c r="V145" s="28">
        <f t="shared" si="51"/>
        <v>0</v>
      </c>
      <c r="W145" s="28">
        <f>VLOOKUP(U145,Sheet1!$B$6:$C$45,2,FALSE)*V145</f>
        <v>0</v>
      </c>
      <c r="X145" s="59"/>
      <c r="Y145" s="12" t="s">
        <v>292</v>
      </c>
      <c r="Z145" s="68">
        <f>VLOOKUP(Takeoffs!Y145,Sheet1!$B$6:$C$124,2,FALSE)</f>
        <v>0</v>
      </c>
      <c r="AA145" s="68">
        <f t="shared" si="52"/>
        <v>0</v>
      </c>
      <c r="AB145" s="63">
        <f t="shared" si="53"/>
        <v>0</v>
      </c>
      <c r="AC145" s="28">
        <f t="shared" si="58"/>
        <v>0</v>
      </c>
      <c r="AD145" s="61">
        <v>1</v>
      </c>
      <c r="AE145" s="59"/>
      <c r="AF145" s="12" t="s">
        <v>292</v>
      </c>
      <c r="AG145" s="68">
        <f>VLOOKUP(Takeoffs!AF145,Sheet1!$B$6:$C$124,2,FALSE)</f>
        <v>0</v>
      </c>
      <c r="AH145" s="68">
        <f t="shared" si="54"/>
        <v>0</v>
      </c>
      <c r="AI145" s="63">
        <f t="shared" si="55"/>
        <v>0</v>
      </c>
      <c r="AJ145" s="28">
        <f t="shared" si="56"/>
        <v>0</v>
      </c>
      <c r="AK145" s="61"/>
      <c r="AL145" s="59"/>
      <c r="AO145" s="286"/>
      <c r="AP145" s="284">
        <f t="shared" si="30"/>
        <v>0</v>
      </c>
      <c r="AQ145" s="281">
        <f t="shared" si="31"/>
        <v>0</v>
      </c>
      <c r="AR145" s="284">
        <f t="shared" si="32"/>
        <v>0</v>
      </c>
      <c r="AS145" s="281">
        <f t="shared" si="33"/>
        <v>0</v>
      </c>
      <c r="AT145" s="284">
        <f t="shared" si="34"/>
        <v>0</v>
      </c>
    </row>
    <row r="146" spans="1:46" s="32" customFormat="1" ht="30.9" x14ac:dyDescent="0.8">
      <c r="A146" s="262">
        <f>ROW()</f>
        <v>146</v>
      </c>
      <c r="B146" s="114"/>
      <c r="C146" s="208"/>
      <c r="D146" s="208"/>
      <c r="E146" s="208"/>
      <c r="F146" s="208"/>
      <c r="G146" s="208"/>
      <c r="H146" s="208"/>
      <c r="I146" s="114"/>
      <c r="J146" s="32" t="str">
        <f t="shared" si="57"/>
        <v/>
      </c>
      <c r="K146" s="32" t="str">
        <f>IF(COUNTBLANK(R146)&gt;0,"",CONCATENATE(R146," for ",N139))</f>
        <v/>
      </c>
      <c r="N146" s="15" t="s">
        <v>119</v>
      </c>
      <c r="O146" s="66" t="s">
        <v>404</v>
      </c>
      <c r="P146" s="12"/>
      <c r="Q146" s="12"/>
      <c r="R146" s="12"/>
      <c r="S146" s="28">
        <f>M139</f>
        <v>0</v>
      </c>
      <c r="T146" s="11"/>
      <c r="U146" s="12" t="s">
        <v>292</v>
      </c>
      <c r="V146" s="28">
        <f t="shared" si="51"/>
        <v>0</v>
      </c>
      <c r="W146" s="28">
        <f>VLOOKUP(U146,Sheet1!$B$6:$C$45,2,FALSE)*V146</f>
        <v>0</v>
      </c>
      <c r="X146" s="59"/>
      <c r="Y146" s="12" t="s">
        <v>292</v>
      </c>
      <c r="Z146" s="68">
        <f>VLOOKUP(Takeoffs!Y146,Sheet1!$B$6:$C$124,2,FALSE)</f>
        <v>0</v>
      </c>
      <c r="AA146" s="68">
        <f t="shared" si="52"/>
        <v>0</v>
      </c>
      <c r="AB146" s="63">
        <f t="shared" si="53"/>
        <v>0</v>
      </c>
      <c r="AC146" s="28">
        <f t="shared" si="58"/>
        <v>0</v>
      </c>
      <c r="AD146" s="61">
        <v>1</v>
      </c>
      <c r="AE146" s="59"/>
      <c r="AF146" s="12" t="s">
        <v>292</v>
      </c>
      <c r="AG146" s="68">
        <f>VLOOKUP(Takeoffs!AF146,Sheet1!$B$6:$C$124,2,FALSE)</f>
        <v>0</v>
      </c>
      <c r="AH146" s="68">
        <f t="shared" si="54"/>
        <v>0</v>
      </c>
      <c r="AI146" s="63">
        <f t="shared" si="55"/>
        <v>0</v>
      </c>
      <c r="AJ146" s="28">
        <f t="shared" si="56"/>
        <v>0</v>
      </c>
      <c r="AK146" s="61"/>
      <c r="AL146" s="59"/>
      <c r="AO146" s="286"/>
      <c r="AP146" s="284">
        <f t="shared" si="30"/>
        <v>0</v>
      </c>
      <c r="AQ146" s="281">
        <f t="shared" si="31"/>
        <v>0</v>
      </c>
      <c r="AR146" s="284">
        <f t="shared" si="32"/>
        <v>0</v>
      </c>
      <c r="AS146" s="281">
        <f t="shared" si="33"/>
        <v>0</v>
      </c>
      <c r="AT146" s="284">
        <f t="shared" si="34"/>
        <v>0</v>
      </c>
    </row>
    <row r="147" spans="1:46" s="32" customFormat="1" ht="30.9" x14ac:dyDescent="0.8">
      <c r="A147" s="262">
        <f>ROW()</f>
        <v>147</v>
      </c>
      <c r="B147" s="114"/>
      <c r="C147" s="208"/>
      <c r="D147" s="208"/>
      <c r="E147" s="208"/>
      <c r="F147" s="208"/>
      <c r="G147" s="208"/>
      <c r="H147" s="208"/>
      <c r="I147" s="114"/>
      <c r="J147" s="32" t="str">
        <f t="shared" si="57"/>
        <v/>
      </c>
      <c r="K147" s="32" t="str">
        <f>IF(COUNTBLANK(R147)&gt;0,"",CONCATENATE(R147," for ",N139))</f>
        <v/>
      </c>
      <c r="N147" s="15" t="s">
        <v>120</v>
      </c>
      <c r="O147" s="66" t="s">
        <v>509</v>
      </c>
      <c r="P147" s="12"/>
      <c r="Q147" s="12"/>
      <c r="R147" s="12"/>
      <c r="S147" s="28">
        <f>M139</f>
        <v>0</v>
      </c>
      <c r="T147" s="11"/>
      <c r="U147" s="12" t="s">
        <v>292</v>
      </c>
      <c r="V147" s="28">
        <f t="shared" si="51"/>
        <v>0</v>
      </c>
      <c r="W147" s="28">
        <f>VLOOKUP(U147,Sheet1!$B$6:$C$45,2,FALSE)*V147</f>
        <v>0</v>
      </c>
      <c r="X147" s="59"/>
      <c r="Y147" s="12" t="s">
        <v>292</v>
      </c>
      <c r="Z147" s="68">
        <f>VLOOKUP(Takeoffs!Y147,Sheet1!$B$6:$C$124,2,FALSE)</f>
        <v>0</v>
      </c>
      <c r="AA147" s="68">
        <f t="shared" si="52"/>
        <v>0</v>
      </c>
      <c r="AB147" s="63">
        <f t="shared" si="53"/>
        <v>0</v>
      </c>
      <c r="AC147" s="28">
        <f t="shared" si="58"/>
        <v>0</v>
      </c>
      <c r="AD147" s="61">
        <v>1</v>
      </c>
      <c r="AE147" s="59"/>
      <c r="AF147" s="12" t="s">
        <v>292</v>
      </c>
      <c r="AG147" s="68">
        <f>VLOOKUP(Takeoffs!AF147,Sheet1!$B$6:$C$124,2,FALSE)</f>
        <v>0</v>
      </c>
      <c r="AH147" s="68">
        <f t="shared" si="54"/>
        <v>0</v>
      </c>
      <c r="AI147" s="63">
        <f t="shared" si="55"/>
        <v>0</v>
      </c>
      <c r="AJ147" s="28">
        <f t="shared" si="56"/>
        <v>0</v>
      </c>
      <c r="AK147" s="61"/>
      <c r="AL147" s="59"/>
      <c r="AO147" s="286"/>
      <c r="AP147" s="284">
        <f t="shared" si="30"/>
        <v>0</v>
      </c>
      <c r="AQ147" s="281">
        <f t="shared" si="31"/>
        <v>0</v>
      </c>
      <c r="AR147" s="284">
        <f t="shared" si="32"/>
        <v>0</v>
      </c>
      <c r="AS147" s="281">
        <f t="shared" si="33"/>
        <v>0</v>
      </c>
      <c r="AT147" s="284">
        <f t="shared" si="34"/>
        <v>0</v>
      </c>
    </row>
    <row r="148" spans="1:46" s="32" customFormat="1" ht="30.9" x14ac:dyDescent="0.8">
      <c r="A148" s="262">
        <f>ROW()</f>
        <v>148</v>
      </c>
      <c r="B148" s="114"/>
      <c r="C148" s="208"/>
      <c r="D148" s="208"/>
      <c r="E148" s="208"/>
      <c r="F148" s="208"/>
      <c r="G148" s="208"/>
      <c r="H148" s="208"/>
      <c r="I148" s="114"/>
      <c r="J148" s="32" t="str">
        <f t="shared" si="57"/>
        <v/>
      </c>
      <c r="K148" s="32" t="str">
        <f>IF(COUNTBLANK(R148)&gt;0,"",CONCATENATE(R148," for ",N139))</f>
        <v/>
      </c>
      <c r="N148" s="15" t="s">
        <v>121</v>
      </c>
      <c r="O148" s="66" t="s">
        <v>440</v>
      </c>
      <c r="P148" s="12"/>
      <c r="Q148" s="12"/>
      <c r="R148" s="12"/>
      <c r="S148" s="28">
        <f>M139</f>
        <v>0</v>
      </c>
      <c r="T148" s="11"/>
      <c r="U148" s="12" t="s">
        <v>292</v>
      </c>
      <c r="V148" s="28">
        <f t="shared" si="51"/>
        <v>0</v>
      </c>
      <c r="W148" s="28">
        <f>VLOOKUP(U148,Sheet1!$B$6:$C$45,2,FALSE)*V148</f>
        <v>0</v>
      </c>
      <c r="X148" s="59"/>
      <c r="Y148" s="12" t="s">
        <v>292</v>
      </c>
      <c r="Z148" s="68">
        <f>VLOOKUP(Takeoffs!Y148,Sheet1!$B$6:$C$124,2,FALSE)</f>
        <v>0</v>
      </c>
      <c r="AA148" s="68">
        <f t="shared" si="52"/>
        <v>0</v>
      </c>
      <c r="AB148" s="63">
        <f t="shared" si="53"/>
        <v>0</v>
      </c>
      <c r="AC148" s="28">
        <f t="shared" si="58"/>
        <v>0</v>
      </c>
      <c r="AD148" s="61">
        <v>1</v>
      </c>
      <c r="AE148" s="59"/>
      <c r="AF148" s="12" t="s">
        <v>292</v>
      </c>
      <c r="AG148" s="68">
        <f>VLOOKUP(Takeoffs!AF148,Sheet1!$B$6:$C$124,2,FALSE)</f>
        <v>0</v>
      </c>
      <c r="AH148" s="68">
        <f t="shared" si="54"/>
        <v>0</v>
      </c>
      <c r="AI148" s="63">
        <f t="shared" si="55"/>
        <v>0</v>
      </c>
      <c r="AJ148" s="28">
        <f t="shared" si="56"/>
        <v>0</v>
      </c>
      <c r="AK148" s="61"/>
      <c r="AL148" s="59"/>
      <c r="AO148" s="286"/>
      <c r="AP148" s="284">
        <f t="shared" ref="AP148:AP211" si="59">IF(AND(I148&gt;0, ISNUMBER(I148)),I148*P148,0)</f>
        <v>0</v>
      </c>
      <c r="AQ148" s="281">
        <f t="shared" ref="AQ148:AQ211" si="60">IF(AND(I148&gt;0, ISNUMBER(I148)),I148*W148*80,0)</f>
        <v>0</v>
      </c>
      <c r="AR148" s="284">
        <f t="shared" ref="AR148:AR211" si="61">IF(AND(I148&gt;0, ISNUMBER(I148)),I148*AA148,0)</f>
        <v>0</v>
      </c>
      <c r="AS148" s="281">
        <f t="shared" ref="AS148:AS211" si="62">IF(AND(I148&gt;0, ISNUMBER(I148)),I148*AH148,0)</f>
        <v>0</v>
      </c>
      <c r="AT148" s="284">
        <f t="shared" ref="AT148:AT211" si="63">IF(AND(I148&gt;0, ISNUMBER(I148)),I148*(AP148-(AQ148+AR148+AS148)),0)</f>
        <v>0</v>
      </c>
    </row>
    <row r="149" spans="1:46" s="32" customFormat="1" ht="30.9" x14ac:dyDescent="0.8">
      <c r="A149" s="262">
        <f>ROW()</f>
        <v>149</v>
      </c>
      <c r="B149" s="114"/>
      <c r="C149" s="208"/>
      <c r="D149" s="208"/>
      <c r="E149" s="208"/>
      <c r="F149" s="208"/>
      <c r="G149" s="208"/>
      <c r="H149" s="208"/>
      <c r="I149" s="114"/>
      <c r="J149" s="32" t="str">
        <f t="shared" si="57"/>
        <v/>
      </c>
      <c r="K149" s="32" t="str">
        <f>IF(COUNTBLANK(R149)&gt;0,"",CONCATENATE(R149," for ",N139))</f>
        <v/>
      </c>
      <c r="N149" s="15" t="s">
        <v>122</v>
      </c>
      <c r="O149" s="66" t="s">
        <v>405</v>
      </c>
      <c r="P149" s="12"/>
      <c r="Q149" s="12"/>
      <c r="R149" s="12"/>
      <c r="S149" s="28">
        <f>M139</f>
        <v>0</v>
      </c>
      <c r="T149" s="11"/>
      <c r="U149" s="12" t="s">
        <v>292</v>
      </c>
      <c r="V149" s="28">
        <f t="shared" si="51"/>
        <v>0</v>
      </c>
      <c r="W149" s="28">
        <f>VLOOKUP(U149,Sheet1!$B$6:$C$45,2,FALSE)*V149</f>
        <v>0</v>
      </c>
      <c r="X149" s="59"/>
      <c r="Y149" s="12" t="s">
        <v>292</v>
      </c>
      <c r="Z149" s="68">
        <f>VLOOKUP(Takeoffs!Y149,Sheet1!$B$6:$C$124,2,FALSE)</f>
        <v>0</v>
      </c>
      <c r="AA149" s="68">
        <f t="shared" si="52"/>
        <v>0</v>
      </c>
      <c r="AB149" s="63">
        <f t="shared" si="53"/>
        <v>0</v>
      </c>
      <c r="AC149" s="28">
        <f t="shared" si="58"/>
        <v>0</v>
      </c>
      <c r="AD149" s="61">
        <v>1</v>
      </c>
      <c r="AE149" s="59"/>
      <c r="AF149" s="12" t="s">
        <v>292</v>
      </c>
      <c r="AG149" s="68">
        <f>VLOOKUP(Takeoffs!AF149,Sheet1!$B$6:$C$124,2,FALSE)</f>
        <v>0</v>
      </c>
      <c r="AH149" s="68">
        <f t="shared" si="54"/>
        <v>0</v>
      </c>
      <c r="AI149" s="63">
        <f t="shared" si="55"/>
        <v>0</v>
      </c>
      <c r="AJ149" s="28">
        <f t="shared" si="56"/>
        <v>0</v>
      </c>
      <c r="AK149" s="61"/>
      <c r="AL149" s="59"/>
      <c r="AO149" s="286"/>
      <c r="AP149" s="284">
        <f t="shared" si="59"/>
        <v>0</v>
      </c>
      <c r="AQ149" s="281">
        <f t="shared" si="60"/>
        <v>0</v>
      </c>
      <c r="AR149" s="284">
        <f t="shared" si="61"/>
        <v>0</v>
      </c>
      <c r="AS149" s="281">
        <f t="shared" si="62"/>
        <v>0</v>
      </c>
      <c r="AT149" s="284">
        <f t="shared" si="63"/>
        <v>0</v>
      </c>
    </row>
    <row r="150" spans="1:46" s="32" customFormat="1" ht="30.9" x14ac:dyDescent="0.8">
      <c r="A150" s="262">
        <f>ROW()</f>
        <v>150</v>
      </c>
      <c r="B150" s="114"/>
      <c r="C150" s="208"/>
      <c r="D150" s="208"/>
      <c r="E150" s="208"/>
      <c r="F150" s="208"/>
      <c r="G150" s="208"/>
      <c r="H150" s="208"/>
      <c r="I150" s="114"/>
      <c r="J150" s="32" t="str">
        <f t="shared" si="57"/>
        <v/>
      </c>
      <c r="K150" s="32" t="str">
        <f>IF(COUNTBLANK(R150)&gt;0,"",CONCATENATE(R150," for ",N139))</f>
        <v/>
      </c>
      <c r="N150" s="15" t="s">
        <v>123</v>
      </c>
      <c r="O150" s="66"/>
      <c r="P150" s="12"/>
      <c r="Q150" s="12"/>
      <c r="R150" s="12"/>
      <c r="S150" s="28">
        <f>M139</f>
        <v>0</v>
      </c>
      <c r="T150" s="11"/>
      <c r="U150" s="12" t="s">
        <v>292</v>
      </c>
      <c r="V150" s="28">
        <f t="shared" si="51"/>
        <v>0</v>
      </c>
      <c r="W150" s="28">
        <f>VLOOKUP(U150,Sheet1!$B$6:$C$45,2,FALSE)*V150</f>
        <v>0</v>
      </c>
      <c r="X150" s="59"/>
      <c r="Y150" s="12" t="s">
        <v>292</v>
      </c>
      <c r="Z150" s="68">
        <f>VLOOKUP(Takeoffs!Y150,Sheet1!$B$6:$C$124,2,FALSE)</f>
        <v>0</v>
      </c>
      <c r="AA150" s="68">
        <f t="shared" si="52"/>
        <v>0</v>
      </c>
      <c r="AB150" s="63">
        <f t="shared" si="53"/>
        <v>0</v>
      </c>
      <c r="AC150" s="28">
        <f t="shared" si="58"/>
        <v>0</v>
      </c>
      <c r="AD150" s="61">
        <v>1</v>
      </c>
      <c r="AE150" s="59"/>
      <c r="AF150" s="12" t="s">
        <v>292</v>
      </c>
      <c r="AG150" s="68">
        <f>VLOOKUP(Takeoffs!AF150,Sheet1!$B$6:$C$124,2,FALSE)</f>
        <v>0</v>
      </c>
      <c r="AH150" s="68">
        <f t="shared" si="54"/>
        <v>0</v>
      </c>
      <c r="AI150" s="63">
        <f t="shared" si="55"/>
        <v>0</v>
      </c>
      <c r="AJ150" s="28">
        <f t="shared" si="56"/>
        <v>0</v>
      </c>
      <c r="AK150" s="61"/>
      <c r="AL150" s="59"/>
      <c r="AO150" s="286"/>
      <c r="AP150" s="284">
        <f t="shared" si="59"/>
        <v>0</v>
      </c>
      <c r="AQ150" s="281">
        <f t="shared" si="60"/>
        <v>0</v>
      </c>
      <c r="AR150" s="284">
        <f t="shared" si="61"/>
        <v>0</v>
      </c>
      <c r="AS150" s="281">
        <f t="shared" si="62"/>
        <v>0</v>
      </c>
      <c r="AT150" s="284">
        <f t="shared" si="63"/>
        <v>0</v>
      </c>
    </row>
    <row r="151" spans="1:46" s="32" customFormat="1" ht="30.9" x14ac:dyDescent="0.8">
      <c r="A151" s="262">
        <f>ROW()</f>
        <v>151</v>
      </c>
      <c r="B151" s="114"/>
      <c r="C151" s="208"/>
      <c r="D151" s="208"/>
      <c r="E151" s="208"/>
      <c r="F151" s="208"/>
      <c r="G151" s="208"/>
      <c r="H151" s="208"/>
      <c r="I151" s="114"/>
      <c r="J151" s="32" t="str">
        <f t="shared" si="57"/>
        <v/>
      </c>
      <c r="K151" s="32" t="str">
        <f>IF(COUNTBLANK(R151)&gt;0,"",CONCATENATE(R151," for ",N139))</f>
        <v/>
      </c>
      <c r="N151" s="15" t="s">
        <v>124</v>
      </c>
      <c r="O151" s="66"/>
      <c r="P151" s="12"/>
      <c r="Q151" s="12"/>
      <c r="R151" s="12"/>
      <c r="S151" s="28">
        <f>M139</f>
        <v>0</v>
      </c>
      <c r="T151" s="11"/>
      <c r="U151" s="12" t="s">
        <v>292</v>
      </c>
      <c r="V151" s="28">
        <f t="shared" si="51"/>
        <v>0</v>
      </c>
      <c r="W151" s="28">
        <f>VLOOKUP(U151,Sheet1!$B$6:$C$45,2,FALSE)*V151</f>
        <v>0</v>
      </c>
      <c r="X151" s="59"/>
      <c r="Y151" s="12" t="s">
        <v>292</v>
      </c>
      <c r="Z151" s="68">
        <f>VLOOKUP(Takeoffs!Y151,Sheet1!$B$6:$C$124,2,FALSE)</f>
        <v>0</v>
      </c>
      <c r="AA151" s="68">
        <f t="shared" si="52"/>
        <v>0</v>
      </c>
      <c r="AB151" s="63">
        <f t="shared" si="53"/>
        <v>0</v>
      </c>
      <c r="AC151" s="28">
        <f t="shared" si="58"/>
        <v>0</v>
      </c>
      <c r="AD151" s="61">
        <v>1</v>
      </c>
      <c r="AE151" s="59"/>
      <c r="AF151" s="12" t="s">
        <v>292</v>
      </c>
      <c r="AG151" s="68">
        <f>VLOOKUP(Takeoffs!AF151,Sheet1!$B$6:$C$124,2,FALSE)</f>
        <v>0</v>
      </c>
      <c r="AH151" s="68">
        <f t="shared" si="54"/>
        <v>0</v>
      </c>
      <c r="AI151" s="63">
        <f t="shared" si="55"/>
        <v>0</v>
      </c>
      <c r="AJ151" s="28">
        <f t="shared" si="56"/>
        <v>0</v>
      </c>
      <c r="AK151" s="61"/>
      <c r="AL151" s="59"/>
      <c r="AO151" s="286"/>
      <c r="AP151" s="284">
        <f t="shared" si="59"/>
        <v>0</v>
      </c>
      <c r="AQ151" s="281">
        <f t="shared" si="60"/>
        <v>0</v>
      </c>
      <c r="AR151" s="284">
        <f t="shared" si="61"/>
        <v>0</v>
      </c>
      <c r="AS151" s="281">
        <f t="shared" si="62"/>
        <v>0</v>
      </c>
      <c r="AT151" s="284">
        <f t="shared" si="63"/>
        <v>0</v>
      </c>
    </row>
    <row r="152" spans="1:46" s="32" customFormat="1" ht="30.9" x14ac:dyDescent="0.8">
      <c r="A152" s="262">
        <f>ROW()</f>
        <v>152</v>
      </c>
      <c r="B152" s="114"/>
      <c r="C152" s="208"/>
      <c r="D152" s="208"/>
      <c r="E152" s="208"/>
      <c r="F152" s="208"/>
      <c r="G152" s="208"/>
      <c r="H152" s="208"/>
      <c r="I152" s="114"/>
      <c r="J152" s="32" t="str">
        <f t="shared" si="57"/>
        <v/>
      </c>
      <c r="K152" s="32" t="str">
        <f>IF(COUNTBLANK(R152)&gt;0,"",CONCATENATE(R152," for ",N139))</f>
        <v/>
      </c>
      <c r="N152" s="15" t="s">
        <v>125</v>
      </c>
      <c r="O152" s="66"/>
      <c r="P152" s="12"/>
      <c r="Q152" s="12"/>
      <c r="R152" s="12"/>
      <c r="S152" s="28">
        <f>M139</f>
        <v>0</v>
      </c>
      <c r="T152" s="11"/>
      <c r="U152" s="12" t="s">
        <v>292</v>
      </c>
      <c r="V152" s="28">
        <f t="shared" si="51"/>
        <v>0</v>
      </c>
      <c r="W152" s="28">
        <f>VLOOKUP(U152,Sheet1!$B$6:$C$45,2,FALSE)*V152</f>
        <v>0</v>
      </c>
      <c r="X152" s="59"/>
      <c r="Y152" s="12" t="s">
        <v>292</v>
      </c>
      <c r="Z152" s="68">
        <f>VLOOKUP(Takeoffs!Y152,Sheet1!$B$6:$C$124,2,FALSE)</f>
        <v>0</v>
      </c>
      <c r="AA152" s="68">
        <f t="shared" si="52"/>
        <v>0</v>
      </c>
      <c r="AB152" s="63">
        <f t="shared" si="53"/>
        <v>0</v>
      </c>
      <c r="AC152" s="28">
        <f t="shared" si="58"/>
        <v>0</v>
      </c>
      <c r="AD152" s="61">
        <v>1</v>
      </c>
      <c r="AE152" s="59"/>
      <c r="AF152" s="12" t="s">
        <v>292</v>
      </c>
      <c r="AG152" s="68">
        <f>VLOOKUP(Takeoffs!AF152,Sheet1!$B$6:$C$124,2,FALSE)</f>
        <v>0</v>
      </c>
      <c r="AH152" s="68">
        <f t="shared" si="54"/>
        <v>0</v>
      </c>
      <c r="AI152" s="63">
        <f t="shared" si="55"/>
        <v>0</v>
      </c>
      <c r="AJ152" s="28">
        <f t="shared" si="56"/>
        <v>0</v>
      </c>
      <c r="AK152" s="61"/>
      <c r="AL152" s="59"/>
      <c r="AO152" s="286"/>
      <c r="AP152" s="284">
        <f t="shared" si="59"/>
        <v>0</v>
      </c>
      <c r="AQ152" s="281">
        <f t="shared" si="60"/>
        <v>0</v>
      </c>
      <c r="AR152" s="284">
        <f t="shared" si="61"/>
        <v>0</v>
      </c>
      <c r="AS152" s="281">
        <f t="shared" si="62"/>
        <v>0</v>
      </c>
      <c r="AT152" s="284">
        <f t="shared" si="63"/>
        <v>0</v>
      </c>
    </row>
    <row r="153" spans="1:46" s="32" customFormat="1" ht="30.9" x14ac:dyDescent="0.8">
      <c r="A153" s="262">
        <f>ROW()</f>
        <v>153</v>
      </c>
      <c r="B153" s="114"/>
      <c r="C153" s="208"/>
      <c r="D153" s="208"/>
      <c r="E153" s="208"/>
      <c r="F153" s="208"/>
      <c r="G153" s="208"/>
      <c r="H153" s="208"/>
      <c r="I153" s="114"/>
      <c r="J153" s="32" t="str">
        <f t="shared" si="57"/>
        <v/>
      </c>
      <c r="K153" s="32" t="str">
        <f>IF(COUNTBLANK(R153)&gt;0,"",CONCATENATE(R153," for ",N139))</f>
        <v/>
      </c>
      <c r="N153" s="15" t="s">
        <v>126</v>
      </c>
      <c r="O153" s="66"/>
      <c r="P153" s="12"/>
      <c r="Q153" s="12"/>
      <c r="R153" s="12"/>
      <c r="S153" s="28">
        <f>M139</f>
        <v>0</v>
      </c>
      <c r="T153" s="11"/>
      <c r="U153" s="12" t="s">
        <v>292</v>
      </c>
      <c r="V153" s="28">
        <f t="shared" si="51"/>
        <v>0</v>
      </c>
      <c r="W153" s="28">
        <f>VLOOKUP(U153,Sheet1!$B$6:$C$45,2,FALSE)*V153</f>
        <v>0</v>
      </c>
      <c r="X153" s="59"/>
      <c r="Y153" s="12" t="s">
        <v>292</v>
      </c>
      <c r="Z153" s="68">
        <f>VLOOKUP(Takeoffs!Y153,Sheet1!$B$6:$C$124,2,FALSE)</f>
        <v>0</v>
      </c>
      <c r="AA153" s="68">
        <f t="shared" si="52"/>
        <v>0</v>
      </c>
      <c r="AB153" s="63">
        <f t="shared" si="53"/>
        <v>0</v>
      </c>
      <c r="AC153" s="28">
        <f t="shared" si="58"/>
        <v>0</v>
      </c>
      <c r="AD153" s="61">
        <v>1</v>
      </c>
      <c r="AE153" s="59"/>
      <c r="AF153" s="12" t="s">
        <v>292</v>
      </c>
      <c r="AG153" s="68">
        <f>VLOOKUP(Takeoffs!AF153,Sheet1!$B$6:$C$124,2,FALSE)</f>
        <v>0</v>
      </c>
      <c r="AH153" s="68">
        <f t="shared" si="54"/>
        <v>0</v>
      </c>
      <c r="AI153" s="63">
        <f t="shared" si="55"/>
        <v>0</v>
      </c>
      <c r="AJ153" s="28">
        <f t="shared" si="56"/>
        <v>0</v>
      </c>
      <c r="AK153" s="61"/>
      <c r="AL153" s="59"/>
      <c r="AO153" s="286"/>
      <c r="AP153" s="284">
        <f t="shared" si="59"/>
        <v>0</v>
      </c>
      <c r="AQ153" s="281">
        <f t="shared" si="60"/>
        <v>0</v>
      </c>
      <c r="AR153" s="284">
        <f t="shared" si="61"/>
        <v>0</v>
      </c>
      <c r="AS153" s="281">
        <f t="shared" si="62"/>
        <v>0</v>
      </c>
      <c r="AT153" s="284">
        <f t="shared" si="63"/>
        <v>0</v>
      </c>
    </row>
    <row r="154" spans="1:46" s="32" customFormat="1" ht="30.9" x14ac:dyDescent="0.8">
      <c r="A154" s="262">
        <f>ROW()</f>
        <v>154</v>
      </c>
      <c r="B154" s="114"/>
      <c r="C154" s="208"/>
      <c r="D154" s="208"/>
      <c r="E154" s="208"/>
      <c r="F154" s="208"/>
      <c r="G154" s="208"/>
      <c r="H154" s="208"/>
      <c r="I154" s="114"/>
      <c r="J154" s="32" t="str">
        <f t="shared" si="57"/>
        <v/>
      </c>
      <c r="K154" s="32" t="str">
        <f>IF(COUNTBLANK(R154)&gt;0,"",CONCATENATE(R154," for ",N139))</f>
        <v/>
      </c>
      <c r="N154" s="15" t="s">
        <v>127</v>
      </c>
      <c r="O154" s="66"/>
      <c r="P154" s="12"/>
      <c r="Q154" s="12"/>
      <c r="R154" s="12"/>
      <c r="S154" s="28">
        <f>M139</f>
        <v>0</v>
      </c>
      <c r="T154" s="11"/>
      <c r="U154" s="12" t="s">
        <v>292</v>
      </c>
      <c r="V154" s="28">
        <f t="shared" si="51"/>
        <v>0</v>
      </c>
      <c r="W154" s="28">
        <f>VLOOKUP(U154,Sheet1!$B$6:$C$45,2,FALSE)*V154</f>
        <v>0</v>
      </c>
      <c r="X154" s="59"/>
      <c r="Y154" s="12" t="s">
        <v>292</v>
      </c>
      <c r="Z154" s="68">
        <f>VLOOKUP(Takeoffs!Y154,Sheet1!$B$6:$C$124,2,FALSE)</f>
        <v>0</v>
      </c>
      <c r="AA154" s="68">
        <f t="shared" si="52"/>
        <v>0</v>
      </c>
      <c r="AB154" s="63">
        <f t="shared" si="53"/>
        <v>0</v>
      </c>
      <c r="AC154" s="28">
        <f t="shared" si="58"/>
        <v>0</v>
      </c>
      <c r="AD154" s="61">
        <v>2</v>
      </c>
      <c r="AE154" s="59"/>
      <c r="AF154" s="12" t="s">
        <v>292</v>
      </c>
      <c r="AG154" s="68">
        <f>VLOOKUP(Takeoffs!AF154,Sheet1!$B$6:$C$124,2,FALSE)</f>
        <v>0</v>
      </c>
      <c r="AH154" s="68">
        <f t="shared" si="54"/>
        <v>0</v>
      </c>
      <c r="AI154" s="63">
        <f t="shared" si="55"/>
        <v>0</v>
      </c>
      <c r="AJ154" s="28">
        <f t="shared" si="56"/>
        <v>0</v>
      </c>
      <c r="AK154" s="61"/>
      <c r="AL154" s="59"/>
      <c r="AO154" s="286"/>
      <c r="AP154" s="284">
        <f t="shared" si="59"/>
        <v>0</v>
      </c>
      <c r="AQ154" s="281">
        <f t="shared" si="60"/>
        <v>0</v>
      </c>
      <c r="AR154" s="284">
        <f t="shared" si="61"/>
        <v>0</v>
      </c>
      <c r="AS154" s="281">
        <f t="shared" si="62"/>
        <v>0</v>
      </c>
      <c r="AT154" s="284">
        <f t="shared" si="63"/>
        <v>0</v>
      </c>
    </row>
    <row r="155" spans="1:46" s="32" customFormat="1" ht="30.9" x14ac:dyDescent="0.8">
      <c r="A155" s="262">
        <f>ROW()</f>
        <v>155</v>
      </c>
      <c r="B155" s="114"/>
      <c r="C155" s="208"/>
      <c r="D155" s="208"/>
      <c r="E155" s="208"/>
      <c r="F155" s="208"/>
      <c r="G155" s="208"/>
      <c r="H155" s="208"/>
      <c r="I155" s="114"/>
      <c r="J155" s="32" t="str">
        <f t="shared" si="57"/>
        <v/>
      </c>
      <c r="K155" s="32" t="str">
        <f>IF(COUNTBLANK(R155)&gt;0,"",CONCATENATE(R155," for ",N139))</f>
        <v/>
      </c>
      <c r="N155" s="15" t="s">
        <v>128</v>
      </c>
      <c r="O155" s="66"/>
      <c r="P155" s="12"/>
      <c r="Q155" s="12"/>
      <c r="R155" s="12"/>
      <c r="S155" s="28">
        <f>M139</f>
        <v>0</v>
      </c>
      <c r="T155" s="11"/>
      <c r="U155" s="12" t="s">
        <v>292</v>
      </c>
      <c r="V155" s="28">
        <f t="shared" si="51"/>
        <v>0</v>
      </c>
      <c r="W155" s="28">
        <f>VLOOKUP(U155,Sheet1!$B$6:$C$45,2,FALSE)*V155</f>
        <v>0</v>
      </c>
      <c r="X155" s="59"/>
      <c r="Y155" s="12" t="s">
        <v>292</v>
      </c>
      <c r="Z155" s="68">
        <f>VLOOKUP(Takeoffs!Y155,Sheet1!$B$6:$C$124,2,FALSE)</f>
        <v>0</v>
      </c>
      <c r="AA155" s="68">
        <f t="shared" si="52"/>
        <v>0</v>
      </c>
      <c r="AB155" s="63">
        <f t="shared" si="53"/>
        <v>0</v>
      </c>
      <c r="AC155" s="28">
        <f t="shared" si="58"/>
        <v>0</v>
      </c>
      <c r="AD155" s="61">
        <v>1</v>
      </c>
      <c r="AE155" s="59"/>
      <c r="AF155" s="12" t="s">
        <v>292</v>
      </c>
      <c r="AG155" s="68">
        <f>VLOOKUP(Takeoffs!AF155,Sheet1!$B$6:$C$124,2,FALSE)</f>
        <v>0</v>
      </c>
      <c r="AH155" s="68">
        <f t="shared" si="54"/>
        <v>0</v>
      </c>
      <c r="AI155" s="63">
        <f t="shared" si="55"/>
        <v>0</v>
      </c>
      <c r="AJ155" s="28">
        <f t="shared" si="56"/>
        <v>0</v>
      </c>
      <c r="AK155" s="61"/>
      <c r="AL155" s="59"/>
      <c r="AO155" s="286"/>
      <c r="AP155" s="284">
        <f t="shared" si="59"/>
        <v>0</v>
      </c>
      <c r="AQ155" s="281">
        <f t="shared" si="60"/>
        <v>0</v>
      </c>
      <c r="AR155" s="284">
        <f t="shared" si="61"/>
        <v>0</v>
      </c>
      <c r="AS155" s="281">
        <f t="shared" si="62"/>
        <v>0</v>
      </c>
      <c r="AT155" s="284">
        <f t="shared" si="63"/>
        <v>0</v>
      </c>
    </row>
    <row r="156" spans="1:46" s="32" customFormat="1" ht="30.9" x14ac:dyDescent="0.8">
      <c r="A156" s="262">
        <f>ROW()</f>
        <v>156</v>
      </c>
      <c r="B156" s="114"/>
      <c r="C156" s="208"/>
      <c r="D156" s="208"/>
      <c r="E156" s="208"/>
      <c r="F156" s="208"/>
      <c r="G156" s="208"/>
      <c r="H156" s="208"/>
      <c r="I156" s="114"/>
      <c r="J156" s="32" t="str">
        <f t="shared" si="57"/>
        <v/>
      </c>
      <c r="K156" s="32" t="str">
        <f>IF(COUNTBLANK(R156)&gt;0,"",CONCATENATE(R156," for ",N139))</f>
        <v/>
      </c>
      <c r="N156" s="15" t="s">
        <v>129</v>
      </c>
      <c r="O156" s="66"/>
      <c r="P156" s="12"/>
      <c r="Q156" s="12"/>
      <c r="R156" s="12"/>
      <c r="S156" s="28">
        <f>M139</f>
        <v>0</v>
      </c>
      <c r="T156" s="11"/>
      <c r="U156" s="12" t="s">
        <v>292</v>
      </c>
      <c r="V156" s="28">
        <f t="shared" si="51"/>
        <v>0</v>
      </c>
      <c r="W156" s="28">
        <f>VLOOKUP(U156,Sheet1!$B$6:$C$45,2,FALSE)*V156</f>
        <v>0</v>
      </c>
      <c r="X156" s="59"/>
      <c r="Y156" s="12" t="s">
        <v>292</v>
      </c>
      <c r="Z156" s="68">
        <f>VLOOKUP(Takeoffs!Y156,Sheet1!$B$6:$C$124,2,FALSE)</f>
        <v>0</v>
      </c>
      <c r="AA156" s="68">
        <f t="shared" si="52"/>
        <v>0</v>
      </c>
      <c r="AB156" s="63">
        <f t="shared" si="53"/>
        <v>0</v>
      </c>
      <c r="AC156" s="28">
        <f t="shared" si="58"/>
        <v>0</v>
      </c>
      <c r="AD156" s="61">
        <v>1</v>
      </c>
      <c r="AE156" s="59"/>
      <c r="AF156" s="12" t="s">
        <v>292</v>
      </c>
      <c r="AG156" s="68">
        <f>VLOOKUP(Takeoffs!AF156,Sheet1!$B$6:$C$124,2,FALSE)</f>
        <v>0</v>
      </c>
      <c r="AH156" s="68">
        <f t="shared" si="54"/>
        <v>0</v>
      </c>
      <c r="AI156" s="63">
        <f t="shared" si="55"/>
        <v>0</v>
      </c>
      <c r="AJ156" s="28">
        <f t="shared" si="56"/>
        <v>0</v>
      </c>
      <c r="AK156" s="61"/>
      <c r="AL156" s="59"/>
      <c r="AO156" s="286"/>
      <c r="AP156" s="284">
        <f t="shared" si="59"/>
        <v>0</v>
      </c>
      <c r="AQ156" s="281">
        <f t="shared" si="60"/>
        <v>0</v>
      </c>
      <c r="AR156" s="284">
        <f t="shared" si="61"/>
        <v>0</v>
      </c>
      <c r="AS156" s="281">
        <f t="shared" si="62"/>
        <v>0</v>
      </c>
      <c r="AT156" s="284">
        <f t="shared" si="63"/>
        <v>0</v>
      </c>
    </row>
    <row r="157" spans="1:46" s="32" customFormat="1" ht="30.9" x14ac:dyDescent="0.8">
      <c r="A157" s="262">
        <f>ROW()</f>
        <v>157</v>
      </c>
      <c r="B157" s="114"/>
      <c r="C157" s="208"/>
      <c r="D157" s="208"/>
      <c r="E157" s="208"/>
      <c r="F157" s="208"/>
      <c r="G157" s="208"/>
      <c r="H157" s="208"/>
      <c r="I157" s="114"/>
      <c r="J157" s="32" t="str">
        <f t="shared" si="57"/>
        <v/>
      </c>
      <c r="K157" s="32" t="str">
        <f>IF(COUNTBLANK(R157)&gt;0,"",CONCATENATE(R157," for ",N139))</f>
        <v/>
      </c>
      <c r="N157" s="15" t="s">
        <v>130</v>
      </c>
      <c r="O157" s="66"/>
      <c r="P157" s="12"/>
      <c r="Q157" s="12"/>
      <c r="R157" s="12"/>
      <c r="S157" s="28">
        <f>M139</f>
        <v>0</v>
      </c>
      <c r="T157" s="11"/>
      <c r="U157" s="12" t="s">
        <v>292</v>
      </c>
      <c r="V157" s="28">
        <f t="shared" si="51"/>
        <v>0</v>
      </c>
      <c r="W157" s="28">
        <f>VLOOKUP(U157,Sheet1!$B$6:$C$45,2,FALSE)*V157</f>
        <v>0</v>
      </c>
      <c r="X157" s="59"/>
      <c r="Y157" s="12" t="s">
        <v>292</v>
      </c>
      <c r="Z157" s="68">
        <f>VLOOKUP(Takeoffs!Y157,Sheet1!$B$6:$C$124,2,FALSE)</f>
        <v>0</v>
      </c>
      <c r="AA157" s="68">
        <f t="shared" si="52"/>
        <v>0</v>
      </c>
      <c r="AB157" s="63">
        <f t="shared" si="53"/>
        <v>0</v>
      </c>
      <c r="AC157" s="28">
        <f t="shared" si="58"/>
        <v>0</v>
      </c>
      <c r="AD157" s="61">
        <v>1</v>
      </c>
      <c r="AE157" s="59"/>
      <c r="AF157" s="12" t="s">
        <v>292</v>
      </c>
      <c r="AG157" s="68">
        <f>VLOOKUP(Takeoffs!AF157,Sheet1!$B$6:$C$124,2,FALSE)</f>
        <v>0</v>
      </c>
      <c r="AH157" s="68">
        <f t="shared" si="54"/>
        <v>0</v>
      </c>
      <c r="AI157" s="63">
        <f t="shared" si="55"/>
        <v>0</v>
      </c>
      <c r="AJ157" s="28">
        <f t="shared" si="56"/>
        <v>0</v>
      </c>
      <c r="AK157" s="61">
        <f>T157</f>
        <v>0</v>
      </c>
      <c r="AL157" s="59"/>
      <c r="AO157" s="286"/>
      <c r="AP157" s="284">
        <f t="shared" si="59"/>
        <v>0</v>
      </c>
      <c r="AQ157" s="281">
        <f t="shared" si="60"/>
        <v>0</v>
      </c>
      <c r="AR157" s="284">
        <f t="shared" si="61"/>
        <v>0</v>
      </c>
      <c r="AS157" s="281">
        <f t="shared" si="62"/>
        <v>0</v>
      </c>
      <c r="AT157" s="284">
        <f t="shared" si="63"/>
        <v>0</v>
      </c>
    </row>
    <row r="158" spans="1:46" s="32" customFormat="1" ht="30.9" x14ac:dyDescent="0.8">
      <c r="A158" s="262">
        <f>ROW()</f>
        <v>158</v>
      </c>
      <c r="B158" s="114"/>
      <c r="C158" s="208"/>
      <c r="D158" s="208"/>
      <c r="E158" s="208"/>
      <c r="F158" s="208"/>
      <c r="G158" s="208"/>
      <c r="H158" s="208"/>
      <c r="I158" s="114"/>
      <c r="J158" s="32" t="str">
        <f t="shared" si="57"/>
        <v/>
      </c>
      <c r="K158" s="32" t="str">
        <f>IF(COUNTBLANK(R158)&gt;0,"",CONCATENATE(R158," for ",N139))</f>
        <v/>
      </c>
      <c r="N158" s="15" t="s">
        <v>131</v>
      </c>
      <c r="O158" s="66"/>
      <c r="P158" s="12"/>
      <c r="Q158" s="12"/>
      <c r="R158" s="12"/>
      <c r="S158" s="28">
        <f>M139</f>
        <v>0</v>
      </c>
      <c r="T158" s="11"/>
      <c r="U158" s="12" t="s">
        <v>292</v>
      </c>
      <c r="V158" s="28">
        <f t="shared" si="51"/>
        <v>0</v>
      </c>
      <c r="W158" s="28">
        <f>VLOOKUP(U158,Sheet1!$B$6:$C$45,2,FALSE)*V158</f>
        <v>0</v>
      </c>
      <c r="X158" s="59"/>
      <c r="Y158" s="12" t="s">
        <v>292</v>
      </c>
      <c r="Z158" s="68">
        <f>VLOOKUP(Takeoffs!Y158,Sheet1!$B$6:$C$124,2,FALSE)</f>
        <v>0</v>
      </c>
      <c r="AA158" s="68">
        <f t="shared" si="52"/>
        <v>0</v>
      </c>
      <c r="AB158" s="63">
        <f t="shared" si="53"/>
        <v>0</v>
      </c>
      <c r="AC158" s="28">
        <f t="shared" si="58"/>
        <v>0</v>
      </c>
      <c r="AD158" s="61">
        <v>1</v>
      </c>
      <c r="AE158" s="59"/>
      <c r="AF158" s="12" t="s">
        <v>292</v>
      </c>
      <c r="AG158" s="68">
        <f>VLOOKUP(Takeoffs!AF158,Sheet1!$B$6:$C$124,2,FALSE)</f>
        <v>0</v>
      </c>
      <c r="AH158" s="68">
        <f t="shared" si="54"/>
        <v>0</v>
      </c>
      <c r="AI158" s="63">
        <f t="shared" si="55"/>
        <v>0</v>
      </c>
      <c r="AJ158" s="28">
        <f t="shared" si="56"/>
        <v>0</v>
      </c>
      <c r="AK158" s="61">
        <f>T158</f>
        <v>0</v>
      </c>
      <c r="AL158" s="59"/>
      <c r="AO158" s="286"/>
      <c r="AP158" s="284">
        <f t="shared" si="59"/>
        <v>0</v>
      </c>
      <c r="AQ158" s="281">
        <f t="shared" si="60"/>
        <v>0</v>
      </c>
      <c r="AR158" s="284">
        <f t="shared" si="61"/>
        <v>0</v>
      </c>
      <c r="AS158" s="281">
        <f t="shared" si="62"/>
        <v>0</v>
      </c>
      <c r="AT158" s="284">
        <f t="shared" si="63"/>
        <v>0</v>
      </c>
    </row>
    <row r="159" spans="1:46" s="32" customFormat="1" ht="30.9" x14ac:dyDescent="0.8">
      <c r="A159" s="262">
        <f>ROW()</f>
        <v>159</v>
      </c>
      <c r="B159" s="114"/>
      <c r="C159" s="208"/>
      <c r="D159" s="208"/>
      <c r="E159" s="208"/>
      <c r="F159" s="208"/>
      <c r="G159" s="208"/>
      <c r="H159" s="208"/>
      <c r="I159" s="114"/>
      <c r="J159" s="32" t="str">
        <f t="shared" si="57"/>
        <v/>
      </c>
      <c r="K159" s="32" t="str">
        <f>IF(COUNTBLANK(R159)&gt;0,"",CONCATENATE(R159," for ",N139))</f>
        <v/>
      </c>
      <c r="N159" s="15" t="s">
        <v>132</v>
      </c>
      <c r="O159" s="66"/>
      <c r="P159" s="12"/>
      <c r="Q159" s="12"/>
      <c r="R159" s="12"/>
      <c r="S159" s="28">
        <f>M139</f>
        <v>0</v>
      </c>
      <c r="T159" s="11"/>
      <c r="U159" s="12" t="s">
        <v>292</v>
      </c>
      <c r="V159" s="28">
        <f t="shared" si="51"/>
        <v>0</v>
      </c>
      <c r="W159" s="28">
        <f>VLOOKUP(U159,Sheet1!$B$6:$C$45,2,FALSE)*V159</f>
        <v>0</v>
      </c>
      <c r="X159" s="59"/>
      <c r="Y159" s="12" t="s">
        <v>292</v>
      </c>
      <c r="Z159" s="68">
        <f>VLOOKUP(Takeoffs!Y159,Sheet1!$B$6:$C$124,2,FALSE)</f>
        <v>0</v>
      </c>
      <c r="AA159" s="68">
        <f t="shared" si="52"/>
        <v>0</v>
      </c>
      <c r="AB159" s="63">
        <f t="shared" si="53"/>
        <v>0</v>
      </c>
      <c r="AC159" s="28">
        <f t="shared" si="58"/>
        <v>0</v>
      </c>
      <c r="AD159" s="61">
        <v>1</v>
      </c>
      <c r="AE159" s="59"/>
      <c r="AF159" s="12" t="s">
        <v>292</v>
      </c>
      <c r="AG159" s="68">
        <f>VLOOKUP(Takeoffs!AF159,Sheet1!$B$6:$C$124,2,FALSE)</f>
        <v>0</v>
      </c>
      <c r="AH159" s="68">
        <f t="shared" si="54"/>
        <v>0</v>
      </c>
      <c r="AI159" s="63">
        <f t="shared" si="55"/>
        <v>0</v>
      </c>
      <c r="AJ159" s="28">
        <f t="shared" si="56"/>
        <v>0</v>
      </c>
      <c r="AK159" s="61">
        <f>T159</f>
        <v>0</v>
      </c>
      <c r="AL159" s="59"/>
      <c r="AO159" s="286"/>
      <c r="AP159" s="284">
        <f t="shared" si="59"/>
        <v>0</v>
      </c>
      <c r="AQ159" s="281">
        <f t="shared" si="60"/>
        <v>0</v>
      </c>
      <c r="AR159" s="284">
        <f t="shared" si="61"/>
        <v>0</v>
      </c>
      <c r="AS159" s="281">
        <f t="shared" si="62"/>
        <v>0</v>
      </c>
      <c r="AT159" s="284">
        <f t="shared" si="63"/>
        <v>0</v>
      </c>
    </row>
    <row r="160" spans="1:46" s="21" customFormat="1" ht="31.5" customHeight="1" x14ac:dyDescent="0.8">
      <c r="A160" s="262">
        <f>ROW()</f>
        <v>160</v>
      </c>
      <c r="B160" s="128"/>
      <c r="C160" s="212"/>
      <c r="D160" s="212"/>
      <c r="E160" s="212"/>
      <c r="F160" s="212"/>
      <c r="G160" s="212"/>
      <c r="H160" s="212"/>
      <c r="I160" s="128"/>
      <c r="J160" s="21" t="s">
        <v>377</v>
      </c>
      <c r="L160" s="21" t="s">
        <v>378</v>
      </c>
      <c r="N160" s="22"/>
      <c r="O160" s="23" t="s">
        <v>357</v>
      </c>
      <c r="P160" s="98">
        <f>V160+AA160+AH160</f>
        <v>0</v>
      </c>
      <c r="Q160" s="65"/>
      <c r="R160" s="65"/>
      <c r="S160" s="23"/>
      <c r="T160" s="20"/>
      <c r="U160" s="19" t="s">
        <v>351</v>
      </c>
      <c r="V160" s="20">
        <f>W160*80</f>
        <v>0</v>
      </c>
      <c r="W160" s="69">
        <f>SUM(W139:W159)</f>
        <v>0</v>
      </c>
      <c r="X160" s="70"/>
      <c r="Y160" s="20" t="s">
        <v>352</v>
      </c>
      <c r="Z160" s="2"/>
      <c r="AA160" s="2">
        <f>SUM(AA139:AA159)</f>
        <v>0</v>
      </c>
      <c r="AB160" s="71"/>
      <c r="AC160" s="71"/>
      <c r="AD160" s="71"/>
      <c r="AE160" s="71"/>
      <c r="AF160" s="20" t="s">
        <v>356</v>
      </c>
      <c r="AG160" s="2"/>
      <c r="AH160" s="2">
        <f>SUM(AH139:AH159)</f>
        <v>0</v>
      </c>
      <c r="AI160" s="71"/>
      <c r="AJ160" s="71"/>
      <c r="AK160" s="71"/>
      <c r="AL160" s="71"/>
      <c r="AM160" s="150">
        <f>P160</f>
        <v>0</v>
      </c>
      <c r="AO160" s="286"/>
      <c r="AP160" s="284">
        <f t="shared" si="59"/>
        <v>0</v>
      </c>
      <c r="AQ160" s="281">
        <f t="shared" si="60"/>
        <v>0</v>
      </c>
      <c r="AR160" s="284">
        <f t="shared" si="61"/>
        <v>0</v>
      </c>
      <c r="AS160" s="281">
        <f t="shared" si="62"/>
        <v>0</v>
      </c>
      <c r="AT160" s="284">
        <f t="shared" si="63"/>
        <v>0</v>
      </c>
    </row>
    <row r="161" spans="1:97" s="234" customFormat="1" ht="92.6" x14ac:dyDescent="0.8">
      <c r="A161" s="262">
        <f>ROW()</f>
        <v>161</v>
      </c>
      <c r="B161" s="234" t="s">
        <v>491</v>
      </c>
      <c r="C161" s="217" t="str">
        <f>N139</f>
        <v>medium-sized weatherproof Form 1 MSSB</v>
      </c>
      <c r="D161" s="260" t="str">
        <f>IF(B161="Shopping List",IF(ISNUMBER(SEARCH("MSSB",C161)),"MSSB",IF(ISNUMBER(SEARCH("local",C161)),"LOCAL","")))</f>
        <v>MSSB</v>
      </c>
      <c r="E161" s="238"/>
      <c r="F161" s="217"/>
      <c r="G161" s="217"/>
      <c r="H161" s="245"/>
      <c r="I161" s="270"/>
      <c r="J161" s="241" t="str">
        <f>CONCATENATE(O139," ",L139, " (",M139,") ",N139,".", IF(M139&gt;1," Each "," This "),"includes supply and install of ",O140,O141,O142,O143,O144,O145,O146,O147,O148,O149,O150,O151,O152,O153,O154,O155,O156,O157,O158,O159,J140,J141,J142,J143,J144,J145,J146,J147,J148,J149,J150,J151,J152,J153,J154,J155,J156,J157,J158,J159)</f>
        <v xml:space="preserve">Electrical services for Zero (0) medium-sized weatherproof Form 1 MSSB. This includes supply and install of Main switch contactors circuit breakers busbar and wiring trefolyte labelling miscellaneous items testing escutcheon plate (to retain IP rating for mounting of lights and switches), inside powder coated enclosure. Please note: MSSB includes other components listed under each system type. </v>
      </c>
      <c r="K161" s="246">
        <f>P160</f>
        <v>0</v>
      </c>
      <c r="L161" s="234" t="str">
        <f>CONCATENATE(Q140,Q141,Q142,Q143,Q144,Q145,Q146,Q147,Q148,Q149,Q150,Q151,Q152,Q153,Q154,Q155,Q156,Q157,Q158,Q159,)</f>
        <v/>
      </c>
      <c r="M161" s="91" t="s">
        <v>367</v>
      </c>
      <c r="N161" s="83" t="str">
        <f>N139</f>
        <v>medium-sized weatherproof Form 1 MSSB</v>
      </c>
      <c r="O161" s="83" t="s">
        <v>365</v>
      </c>
      <c r="P161" s="84" t="e">
        <f>P160/M139</f>
        <v>#DIV/0!</v>
      </c>
      <c r="Q161" s="84"/>
      <c r="R161" s="84"/>
      <c r="S161" s="83"/>
      <c r="T161" s="84"/>
      <c r="U161" s="503" t="s">
        <v>366</v>
      </c>
      <c r="V161" s="503"/>
      <c r="W161" s="85" t="e">
        <f>W160/M139</f>
        <v>#DIV/0!</v>
      </c>
      <c r="X161" s="86"/>
      <c r="Y161" s="501" t="s">
        <v>365</v>
      </c>
      <c r="Z161" s="501"/>
      <c r="AA161" s="87" t="e">
        <f>AA160/M139</f>
        <v>#DIV/0!</v>
      </c>
      <c r="AB161" s="84"/>
      <c r="AC161" s="84"/>
      <c r="AD161" s="84"/>
      <c r="AE161" s="84"/>
      <c r="AF161" s="501" t="s">
        <v>365</v>
      </c>
      <c r="AG161" s="501"/>
      <c r="AH161" s="87" t="e">
        <f>AH160/M139</f>
        <v>#DIV/0!</v>
      </c>
      <c r="AI161" s="84"/>
      <c r="AJ161" s="84"/>
      <c r="AK161" s="84"/>
      <c r="AL161" s="247"/>
      <c r="AM161" s="257"/>
      <c r="AN161" s="236">
        <f>K161*1.25</f>
        <v>0</v>
      </c>
      <c r="AO161" s="286"/>
      <c r="AP161" s="284">
        <f t="shared" si="59"/>
        <v>0</v>
      </c>
      <c r="AQ161" s="281">
        <f t="shared" si="60"/>
        <v>0</v>
      </c>
      <c r="AR161" s="284">
        <f t="shared" si="61"/>
        <v>0</v>
      </c>
      <c r="AS161" s="281">
        <f t="shared" si="62"/>
        <v>0</v>
      </c>
      <c r="AT161" s="284">
        <f t="shared" si="63"/>
        <v>0</v>
      </c>
      <c r="AU161" s="117"/>
      <c r="AV161" s="117"/>
      <c r="AW161" s="117"/>
      <c r="AX161" s="117"/>
      <c r="AY161" s="117"/>
      <c r="AZ161" s="117"/>
      <c r="BA161" s="117"/>
      <c r="BB161" s="117"/>
      <c r="BC161" s="117"/>
      <c r="BD161" s="117"/>
      <c r="BE161" s="117"/>
      <c r="BF161" s="117"/>
      <c r="BG161" s="117"/>
      <c r="BH161" s="117"/>
      <c r="BI161" s="117"/>
      <c r="BJ161" s="117"/>
      <c r="BK161" s="117"/>
      <c r="BL161" s="117"/>
      <c r="BM161" s="117"/>
      <c r="BN161" s="117"/>
      <c r="BO161" s="117"/>
      <c r="BP161" s="117"/>
      <c r="BQ161" s="117"/>
      <c r="BR161" s="117"/>
      <c r="BS161" s="117"/>
      <c r="BT161" s="117"/>
      <c r="BU161" s="117"/>
      <c r="BV161" s="117"/>
      <c r="BW161" s="117"/>
      <c r="BX161" s="117"/>
      <c r="BY161" s="117"/>
      <c r="BZ161" s="117"/>
      <c r="CA161" s="117"/>
      <c r="CB161" s="117"/>
      <c r="CC161" s="117"/>
      <c r="CD161" s="117"/>
      <c r="CE161" s="117"/>
      <c r="CF161" s="117"/>
      <c r="CG161" s="117"/>
      <c r="CH161" s="117"/>
      <c r="CI161" s="117"/>
      <c r="CJ161" s="117"/>
      <c r="CK161" s="117"/>
      <c r="CL161" s="117"/>
      <c r="CM161" s="117"/>
      <c r="CN161" s="117"/>
      <c r="CO161" s="117"/>
      <c r="CP161" s="117"/>
      <c r="CQ161" s="117"/>
      <c r="CR161" s="117"/>
      <c r="CS161" s="117"/>
    </row>
    <row r="162" spans="1:97" s="2" customFormat="1" ht="192.75" customHeight="1" x14ac:dyDescent="0.8">
      <c r="A162" s="262">
        <f>ROW()</f>
        <v>162</v>
      </c>
      <c r="B162" s="116"/>
      <c r="C162" s="211"/>
      <c r="D162" s="211"/>
      <c r="E162" s="211"/>
      <c r="F162" s="211"/>
      <c r="G162" s="211"/>
      <c r="H162" s="211"/>
      <c r="I162" s="116"/>
      <c r="K162" s="2" t="s">
        <v>452</v>
      </c>
      <c r="M162" s="2" t="s">
        <v>107</v>
      </c>
      <c r="N162" s="2" t="s">
        <v>108</v>
      </c>
      <c r="O162" s="97" t="s">
        <v>386</v>
      </c>
      <c r="P162" s="502" t="s">
        <v>375</v>
      </c>
      <c r="Q162" s="502"/>
      <c r="R162" s="101" t="s">
        <v>452</v>
      </c>
      <c r="S162" s="2" t="s">
        <v>0</v>
      </c>
      <c r="T162" s="9"/>
      <c r="U162" s="2" t="s">
        <v>287</v>
      </c>
      <c r="V162" s="2" t="s">
        <v>288</v>
      </c>
      <c r="W162" s="2" t="s">
        <v>291</v>
      </c>
      <c r="X162" s="58"/>
      <c r="Y162" s="2" t="s">
        <v>289</v>
      </c>
      <c r="Z162" s="2" t="s">
        <v>354</v>
      </c>
      <c r="AA162" s="2" t="s">
        <v>355</v>
      </c>
      <c r="AB162" s="2" t="s">
        <v>317</v>
      </c>
      <c r="AC162" s="2" t="s">
        <v>318</v>
      </c>
      <c r="AD162" s="2" t="s">
        <v>316</v>
      </c>
      <c r="AE162" s="58"/>
      <c r="AF162" s="2" t="s">
        <v>293</v>
      </c>
      <c r="AG162" s="2" t="s">
        <v>354</v>
      </c>
      <c r="AH162" s="2" t="s">
        <v>355</v>
      </c>
      <c r="AI162" s="2" t="s">
        <v>296</v>
      </c>
      <c r="AJ162" s="2" t="s">
        <v>294</v>
      </c>
      <c r="AK162" s="2" t="s">
        <v>295</v>
      </c>
      <c r="AL162" s="58"/>
      <c r="AO162" s="288"/>
      <c r="AP162" s="284">
        <f t="shared" si="59"/>
        <v>0</v>
      </c>
      <c r="AQ162" s="281">
        <f t="shared" si="60"/>
        <v>0</v>
      </c>
      <c r="AR162" s="284">
        <f t="shared" si="61"/>
        <v>0</v>
      </c>
      <c r="AS162" s="281">
        <f t="shared" si="62"/>
        <v>0</v>
      </c>
      <c r="AT162" s="284">
        <f t="shared" si="63"/>
        <v>0</v>
      </c>
    </row>
    <row r="163" spans="1:97" s="32" customFormat="1" ht="31.5" customHeight="1" x14ac:dyDescent="0.8">
      <c r="A163" s="262">
        <f>ROW()</f>
        <v>163</v>
      </c>
      <c r="B163" s="114"/>
      <c r="C163" s="208"/>
      <c r="D163" s="208"/>
      <c r="E163" s="208"/>
      <c r="F163" s="208"/>
      <c r="G163" s="208"/>
      <c r="H163" s="208"/>
      <c r="I163" s="114"/>
      <c r="L163" s="16" t="str">
        <f>VLOOKUP(M163,Sheet2!$D$2:$E$1024,2,FALSE)</f>
        <v>Zero</v>
      </c>
      <c r="M163" s="121">
        <f>I185</f>
        <v>0</v>
      </c>
      <c r="N163" s="27" t="s">
        <v>528</v>
      </c>
      <c r="O163" s="12" t="s">
        <v>195</v>
      </c>
      <c r="P163" s="96" t="s">
        <v>379</v>
      </c>
      <c r="Q163" s="96" t="s">
        <v>375</v>
      </c>
      <c r="R163" s="96"/>
      <c r="S163" s="28">
        <f>M163</f>
        <v>0</v>
      </c>
      <c r="T163" s="10"/>
      <c r="U163" s="73" t="s">
        <v>236</v>
      </c>
      <c r="V163" s="28">
        <f>S163</f>
        <v>0</v>
      </c>
      <c r="W163" s="28">
        <f>VLOOKUP(U163,Sheet1!$B$6:$C$45,2,FALSE)*V163</f>
        <v>0</v>
      </c>
      <c r="X163" s="59"/>
      <c r="Y163" s="12" t="s">
        <v>292</v>
      </c>
      <c r="Z163" s="68">
        <f>VLOOKUP(Takeoffs!Y163,Sheet1!$B$6:$C$124,2,FALSE)</f>
        <v>0</v>
      </c>
      <c r="AA163" s="68">
        <f>Z163*AB163</f>
        <v>0</v>
      </c>
      <c r="AB163" s="63">
        <f>AD163*AC163</f>
        <v>0</v>
      </c>
      <c r="AC163" s="28">
        <f>S163</f>
        <v>0</v>
      </c>
      <c r="AD163" s="61">
        <v>1</v>
      </c>
      <c r="AE163" s="59"/>
      <c r="AF163" s="12" t="s">
        <v>292</v>
      </c>
      <c r="AG163" s="68">
        <f>VLOOKUP(Takeoffs!AF163,Sheet1!$B$6:$C$124,2,FALSE)</f>
        <v>0</v>
      </c>
      <c r="AH163" s="68">
        <f>AG163*AI163</f>
        <v>0</v>
      </c>
      <c r="AI163" s="63">
        <f>AK163*AJ163</f>
        <v>0</v>
      </c>
      <c r="AJ163" s="28">
        <f>S163</f>
        <v>0</v>
      </c>
      <c r="AK163" s="61"/>
      <c r="AL163" s="59"/>
      <c r="AO163" s="286"/>
      <c r="AP163" s="284">
        <f t="shared" si="59"/>
        <v>0</v>
      </c>
      <c r="AQ163" s="281">
        <f t="shared" si="60"/>
        <v>0</v>
      </c>
      <c r="AR163" s="284">
        <f t="shared" si="61"/>
        <v>0</v>
      </c>
      <c r="AS163" s="281">
        <f t="shared" si="62"/>
        <v>0</v>
      </c>
      <c r="AT163" s="284">
        <f t="shared" si="63"/>
        <v>0</v>
      </c>
    </row>
    <row r="164" spans="1:97" s="32" customFormat="1" ht="30.9" x14ac:dyDescent="0.8">
      <c r="A164" s="262">
        <f>ROW()</f>
        <v>164</v>
      </c>
      <c r="B164" s="114"/>
      <c r="C164" s="208"/>
      <c r="D164" s="208"/>
      <c r="E164" s="208"/>
      <c r="F164" s="208"/>
      <c r="G164" s="208"/>
      <c r="H164" s="208"/>
      <c r="I164" s="114"/>
      <c r="J164" s="32" t="str">
        <f>IF(COUNTBLANK(Q164)&gt;0,"",CONCATENATE("Coordination Note: - ",P164,": Please refer to our exclusions relating to ",Q164))</f>
        <v/>
      </c>
      <c r="K164" s="32" t="str">
        <f>IF(COUNTBLANK(R164)&gt;0,"",CONCATENATE(R164," for ",N163))</f>
        <v/>
      </c>
      <c r="M164" s="38"/>
      <c r="N164" s="15" t="s">
        <v>113</v>
      </c>
      <c r="O164" s="66" t="s">
        <v>398</v>
      </c>
      <c r="P164" s="12"/>
      <c r="Q164" s="12"/>
      <c r="R164" s="12"/>
      <c r="S164" s="28">
        <f>M163</f>
        <v>0</v>
      </c>
      <c r="T164" s="11"/>
      <c r="U164" s="12" t="s">
        <v>292</v>
      </c>
      <c r="V164" s="28">
        <f t="shared" ref="V164:V183" si="64">S164</f>
        <v>0</v>
      </c>
      <c r="W164" s="28">
        <f>VLOOKUP(U164,Sheet1!$B$6:$C$45,2,FALSE)*V164</f>
        <v>0</v>
      </c>
      <c r="X164" s="59"/>
      <c r="Y164" s="73" t="s">
        <v>417</v>
      </c>
      <c r="Z164" s="68">
        <f>VLOOKUP(Takeoffs!Y164,Sheet1!$B$6:$C$124,2,FALSE)</f>
        <v>586.15199999999993</v>
      </c>
      <c r="AA164" s="68">
        <f t="shared" ref="AA164:AA183" si="65">Z164*AB164</f>
        <v>0</v>
      </c>
      <c r="AB164" s="63">
        <f t="shared" ref="AB164:AB183" si="66">AD164*AC164</f>
        <v>0</v>
      </c>
      <c r="AC164" s="28">
        <f>S164</f>
        <v>0</v>
      </c>
      <c r="AD164" s="61">
        <v>1</v>
      </c>
      <c r="AE164" s="59"/>
      <c r="AF164" s="12" t="s">
        <v>292</v>
      </c>
      <c r="AG164" s="68">
        <f>VLOOKUP(Takeoffs!AF164,Sheet1!$B$6:$C$124,2,FALSE)</f>
        <v>0</v>
      </c>
      <c r="AH164" s="68">
        <f t="shared" ref="AH164:AH183" si="67">AG164*AI164</f>
        <v>0</v>
      </c>
      <c r="AI164" s="63">
        <f t="shared" ref="AI164:AI183" si="68">AK164*AJ164</f>
        <v>0</v>
      </c>
      <c r="AJ164" s="28">
        <f t="shared" ref="AJ164:AJ183" si="69">S164</f>
        <v>0</v>
      </c>
      <c r="AK164" s="61"/>
      <c r="AL164" s="59"/>
      <c r="AO164" s="286"/>
      <c r="AP164" s="284">
        <f t="shared" si="59"/>
        <v>0</v>
      </c>
      <c r="AQ164" s="281">
        <f t="shared" si="60"/>
        <v>0</v>
      </c>
      <c r="AR164" s="284">
        <f t="shared" si="61"/>
        <v>0</v>
      </c>
      <c r="AS164" s="281">
        <f t="shared" si="62"/>
        <v>0</v>
      </c>
      <c r="AT164" s="284">
        <f t="shared" si="63"/>
        <v>0</v>
      </c>
    </row>
    <row r="165" spans="1:97" s="32" customFormat="1" ht="30.9" x14ac:dyDescent="0.8">
      <c r="A165" s="262">
        <f>ROW()</f>
        <v>165</v>
      </c>
      <c r="B165" s="114"/>
      <c r="C165" s="208"/>
      <c r="D165" s="208"/>
      <c r="E165" s="208"/>
      <c r="F165" s="208"/>
      <c r="G165" s="208"/>
      <c r="H165" s="208"/>
      <c r="I165" s="114"/>
      <c r="J165" s="32" t="str">
        <f t="shared" ref="J165:J183" si="70">IF(COUNTBLANK(Q165)&gt;0,"",CONCATENATE("Coordination Note: - ",P165,": Please refer to our exclusions relating to ",Q165))</f>
        <v/>
      </c>
      <c r="K165" s="32" t="str">
        <f>IF(COUNTBLANK(R165)&gt;0,"",CONCATENATE(R165," for ",N163))</f>
        <v/>
      </c>
      <c r="M165" s="38"/>
      <c r="N165" s="15" t="s">
        <v>114</v>
      </c>
      <c r="O165" s="66" t="s">
        <v>399</v>
      </c>
      <c r="P165" s="12"/>
      <c r="Q165" s="12"/>
      <c r="R165" s="12"/>
      <c r="S165" s="28">
        <f>M163</f>
        <v>0</v>
      </c>
      <c r="T165" s="11"/>
      <c r="U165" s="12" t="s">
        <v>292</v>
      </c>
      <c r="V165" s="28">
        <f t="shared" si="64"/>
        <v>0</v>
      </c>
      <c r="W165" s="28">
        <f>VLOOKUP(U165,Sheet1!$B$6:$C$45,2,FALSE)*V165</f>
        <v>0</v>
      </c>
      <c r="X165" s="59"/>
      <c r="Y165" s="12" t="s">
        <v>292</v>
      </c>
      <c r="Z165" s="68">
        <f>VLOOKUP(Takeoffs!Y165,Sheet1!$B$6:$C$124,2,FALSE)</f>
        <v>0</v>
      </c>
      <c r="AA165" s="68">
        <f t="shared" si="65"/>
        <v>0</v>
      </c>
      <c r="AB165" s="63">
        <f t="shared" si="66"/>
        <v>0</v>
      </c>
      <c r="AC165" s="28">
        <f>S165</f>
        <v>0</v>
      </c>
      <c r="AD165" s="61">
        <v>1</v>
      </c>
      <c r="AE165" s="59"/>
      <c r="AF165" s="12" t="s">
        <v>292</v>
      </c>
      <c r="AG165" s="68">
        <f>VLOOKUP(Takeoffs!AF165,Sheet1!$B$6:$C$124,2,FALSE)</f>
        <v>0</v>
      </c>
      <c r="AH165" s="68">
        <f t="shared" si="67"/>
        <v>0</v>
      </c>
      <c r="AI165" s="63">
        <f t="shared" si="68"/>
        <v>0</v>
      </c>
      <c r="AJ165" s="28">
        <f t="shared" si="69"/>
        <v>0</v>
      </c>
      <c r="AK165" s="61"/>
      <c r="AL165" s="59"/>
      <c r="AO165" s="286"/>
      <c r="AP165" s="284">
        <f t="shared" si="59"/>
        <v>0</v>
      </c>
      <c r="AQ165" s="281">
        <f t="shared" si="60"/>
        <v>0</v>
      </c>
      <c r="AR165" s="284">
        <f t="shared" si="61"/>
        <v>0</v>
      </c>
      <c r="AS165" s="281">
        <f t="shared" si="62"/>
        <v>0</v>
      </c>
      <c r="AT165" s="284">
        <f t="shared" si="63"/>
        <v>0</v>
      </c>
    </row>
    <row r="166" spans="1:97" s="32" customFormat="1" ht="30.9" x14ac:dyDescent="0.8">
      <c r="A166" s="262">
        <f>ROW()</f>
        <v>166</v>
      </c>
      <c r="B166" s="114"/>
      <c r="C166" s="208"/>
      <c r="D166" s="208"/>
      <c r="E166" s="208"/>
      <c r="F166" s="208"/>
      <c r="G166" s="208"/>
      <c r="H166" s="208"/>
      <c r="I166" s="114"/>
      <c r="J166" s="32" t="str">
        <f t="shared" si="70"/>
        <v/>
      </c>
      <c r="K166" s="32" t="str">
        <f>IF(COUNTBLANK(R166)&gt;0,"",CONCATENATE(R166," for ",N163))</f>
        <v/>
      </c>
      <c r="M166" s="38"/>
      <c r="N166" s="15" t="s">
        <v>115</v>
      </c>
      <c r="O166" s="66" t="s">
        <v>400</v>
      </c>
      <c r="P166" s="12"/>
      <c r="Q166" s="12"/>
      <c r="R166" s="12"/>
      <c r="S166" s="28">
        <f>M163</f>
        <v>0</v>
      </c>
      <c r="T166" s="11"/>
      <c r="U166" s="12" t="s">
        <v>292</v>
      </c>
      <c r="V166" s="28">
        <f t="shared" si="64"/>
        <v>0</v>
      </c>
      <c r="W166" s="28">
        <f>VLOOKUP(U166,Sheet1!$B$6:$C$45,2,FALSE)*V166</f>
        <v>0</v>
      </c>
      <c r="X166" s="59"/>
      <c r="Y166" s="12" t="s">
        <v>292</v>
      </c>
      <c r="Z166" s="68">
        <f>VLOOKUP(Takeoffs!Y166,Sheet1!$B$6:$C$124,2,FALSE)</f>
        <v>0</v>
      </c>
      <c r="AA166" s="68">
        <f t="shared" si="65"/>
        <v>0</v>
      </c>
      <c r="AB166" s="63">
        <f t="shared" si="66"/>
        <v>0</v>
      </c>
      <c r="AC166" s="28">
        <f t="shared" ref="AC166:AC183" si="71">S166</f>
        <v>0</v>
      </c>
      <c r="AD166" s="61">
        <v>1</v>
      </c>
      <c r="AE166" s="59"/>
      <c r="AF166" s="12" t="s">
        <v>292</v>
      </c>
      <c r="AG166" s="68">
        <f>VLOOKUP(Takeoffs!AF166,Sheet1!$B$6:$C$124,2,FALSE)</f>
        <v>0</v>
      </c>
      <c r="AH166" s="68">
        <f t="shared" si="67"/>
        <v>0</v>
      </c>
      <c r="AI166" s="63">
        <f t="shared" si="68"/>
        <v>0</v>
      </c>
      <c r="AJ166" s="28">
        <f t="shared" si="69"/>
        <v>0</v>
      </c>
      <c r="AK166" s="61"/>
      <c r="AL166" s="59"/>
      <c r="AO166" s="286"/>
      <c r="AP166" s="284">
        <f t="shared" si="59"/>
        <v>0</v>
      </c>
      <c r="AQ166" s="281">
        <f t="shared" si="60"/>
        <v>0</v>
      </c>
      <c r="AR166" s="284">
        <f t="shared" si="61"/>
        <v>0</v>
      </c>
      <c r="AS166" s="281">
        <f t="shared" si="62"/>
        <v>0</v>
      </c>
      <c r="AT166" s="284">
        <f t="shared" si="63"/>
        <v>0</v>
      </c>
    </row>
    <row r="167" spans="1:97" s="32" customFormat="1" ht="30.9" x14ac:dyDescent="0.8">
      <c r="A167" s="262">
        <f>ROW()</f>
        <v>167</v>
      </c>
      <c r="B167" s="114"/>
      <c r="C167" s="208"/>
      <c r="D167" s="208"/>
      <c r="E167" s="208"/>
      <c r="F167" s="208"/>
      <c r="G167" s="208"/>
      <c r="H167" s="208"/>
      <c r="I167" s="114"/>
      <c r="J167" s="32" t="str">
        <f t="shared" si="70"/>
        <v/>
      </c>
      <c r="K167" s="32" t="str">
        <f>IF(COUNTBLANK(R167)&gt;0,"",CONCATENATE(R167," for ",N163))</f>
        <v/>
      </c>
      <c r="M167" s="38"/>
      <c r="N167" s="15" t="s">
        <v>116</v>
      </c>
      <c r="O167" s="66" t="s">
        <v>401</v>
      </c>
      <c r="P167" s="12"/>
      <c r="Q167" s="12"/>
      <c r="R167" s="12"/>
      <c r="S167" s="28">
        <f>M163</f>
        <v>0</v>
      </c>
      <c r="T167" s="11"/>
      <c r="U167" s="12" t="s">
        <v>292</v>
      </c>
      <c r="V167" s="28">
        <f t="shared" si="64"/>
        <v>0</v>
      </c>
      <c r="W167" s="28">
        <f>VLOOKUP(U167,Sheet1!$B$6:$C$45,2,FALSE)*V167</f>
        <v>0</v>
      </c>
      <c r="X167" s="59"/>
      <c r="Y167" s="12" t="s">
        <v>292</v>
      </c>
      <c r="Z167" s="68">
        <f>VLOOKUP(Takeoffs!Y167,Sheet1!$B$6:$C$124,2,FALSE)</f>
        <v>0</v>
      </c>
      <c r="AA167" s="68">
        <f t="shared" si="65"/>
        <v>0</v>
      </c>
      <c r="AB167" s="63">
        <f t="shared" si="66"/>
        <v>0</v>
      </c>
      <c r="AC167" s="28">
        <f t="shared" si="71"/>
        <v>0</v>
      </c>
      <c r="AD167" s="61">
        <v>1</v>
      </c>
      <c r="AE167" s="59"/>
      <c r="AF167" s="12" t="s">
        <v>292</v>
      </c>
      <c r="AG167" s="68">
        <f>VLOOKUP(Takeoffs!AF167,Sheet1!$B$6:$C$124,2,FALSE)</f>
        <v>0</v>
      </c>
      <c r="AH167" s="68">
        <f t="shared" si="67"/>
        <v>0</v>
      </c>
      <c r="AI167" s="63">
        <f t="shared" si="68"/>
        <v>0</v>
      </c>
      <c r="AJ167" s="28">
        <f t="shared" si="69"/>
        <v>0</v>
      </c>
      <c r="AK167" s="61"/>
      <c r="AL167" s="59"/>
      <c r="AO167" s="286"/>
      <c r="AP167" s="284">
        <f t="shared" si="59"/>
        <v>0</v>
      </c>
      <c r="AQ167" s="281">
        <f t="shared" si="60"/>
        <v>0</v>
      </c>
      <c r="AR167" s="284">
        <f t="shared" si="61"/>
        <v>0</v>
      </c>
      <c r="AS167" s="281">
        <f t="shared" si="62"/>
        <v>0</v>
      </c>
      <c r="AT167" s="284">
        <f t="shared" si="63"/>
        <v>0</v>
      </c>
    </row>
    <row r="168" spans="1:97" s="32" customFormat="1" ht="30.9" x14ac:dyDescent="0.8">
      <c r="A168" s="262">
        <f>ROW()</f>
        <v>168</v>
      </c>
      <c r="B168" s="114"/>
      <c r="C168" s="208"/>
      <c r="D168" s="208"/>
      <c r="E168" s="208"/>
      <c r="F168" s="208"/>
      <c r="G168" s="208"/>
      <c r="H168" s="208"/>
      <c r="I168" s="114"/>
      <c r="J168" s="32" t="str">
        <f t="shared" si="70"/>
        <v/>
      </c>
      <c r="K168" s="32" t="str">
        <f>IF(COUNTBLANK(R168)&gt;0,"",CONCATENATE(R168," for ",N163))</f>
        <v/>
      </c>
      <c r="M168" s="38"/>
      <c r="N168" s="15" t="s">
        <v>117</v>
      </c>
      <c r="O168" s="66" t="s">
        <v>402</v>
      </c>
      <c r="P168" s="12"/>
      <c r="Q168" s="12"/>
      <c r="R168" s="12"/>
      <c r="S168" s="28">
        <f>M163</f>
        <v>0</v>
      </c>
      <c r="T168" s="11"/>
      <c r="U168" s="12" t="s">
        <v>292</v>
      </c>
      <c r="V168" s="28">
        <f t="shared" si="64"/>
        <v>0</v>
      </c>
      <c r="W168" s="28">
        <f>VLOOKUP(U168,Sheet1!$B$6:$C$45,2,FALSE)*V168</f>
        <v>0</v>
      </c>
      <c r="X168" s="59"/>
      <c r="Y168" s="12" t="s">
        <v>274</v>
      </c>
      <c r="Z168" s="68">
        <f>VLOOKUP(Takeoffs!Y168,Sheet1!$B$6:$C$124,2,FALSE)</f>
        <v>360</v>
      </c>
      <c r="AA168" s="68">
        <f t="shared" si="65"/>
        <v>0</v>
      </c>
      <c r="AB168" s="63">
        <f t="shared" si="66"/>
        <v>0</v>
      </c>
      <c r="AC168" s="28">
        <f t="shared" si="71"/>
        <v>0</v>
      </c>
      <c r="AD168" s="61">
        <v>1</v>
      </c>
      <c r="AE168" s="59"/>
      <c r="AF168" s="12" t="s">
        <v>292</v>
      </c>
      <c r="AG168" s="68">
        <f>VLOOKUP(Takeoffs!AF168,Sheet1!$B$6:$C$124,2,FALSE)</f>
        <v>0</v>
      </c>
      <c r="AH168" s="68">
        <f t="shared" si="67"/>
        <v>0</v>
      </c>
      <c r="AI168" s="63">
        <f t="shared" si="68"/>
        <v>0</v>
      </c>
      <c r="AJ168" s="28">
        <f t="shared" si="69"/>
        <v>0</v>
      </c>
      <c r="AK168" s="61"/>
      <c r="AL168" s="59"/>
      <c r="AO168" s="286"/>
      <c r="AP168" s="284">
        <f t="shared" si="59"/>
        <v>0</v>
      </c>
      <c r="AQ168" s="281">
        <f t="shared" si="60"/>
        <v>0</v>
      </c>
      <c r="AR168" s="284">
        <f t="shared" si="61"/>
        <v>0</v>
      </c>
      <c r="AS168" s="281">
        <f t="shared" si="62"/>
        <v>0</v>
      </c>
      <c r="AT168" s="284">
        <f t="shared" si="63"/>
        <v>0</v>
      </c>
    </row>
    <row r="169" spans="1:97" s="32" customFormat="1" ht="30.9" x14ac:dyDescent="0.8">
      <c r="A169" s="262">
        <f>ROW()</f>
        <v>169</v>
      </c>
      <c r="B169" s="114"/>
      <c r="C169" s="208"/>
      <c r="D169" s="208"/>
      <c r="E169" s="208"/>
      <c r="F169" s="208"/>
      <c r="G169" s="208"/>
      <c r="H169" s="208"/>
      <c r="I169" s="114"/>
      <c r="J169" s="32" t="str">
        <f t="shared" si="70"/>
        <v/>
      </c>
      <c r="K169" s="32" t="str">
        <f>IF(COUNTBLANK(R169)&gt;0,"",CONCATENATE(R169," for ",N163))</f>
        <v/>
      </c>
      <c r="M169" s="38"/>
      <c r="N169" s="15" t="s">
        <v>118</v>
      </c>
      <c r="O169" s="66" t="s">
        <v>403</v>
      </c>
      <c r="P169" s="12"/>
      <c r="Q169" s="12"/>
      <c r="R169" s="12"/>
      <c r="S169" s="28">
        <f>M163</f>
        <v>0</v>
      </c>
      <c r="T169" s="11"/>
      <c r="U169" s="12" t="s">
        <v>292</v>
      </c>
      <c r="V169" s="28">
        <f t="shared" si="64"/>
        <v>0</v>
      </c>
      <c r="W169" s="28">
        <f>VLOOKUP(U169,Sheet1!$B$6:$C$45,2,FALSE)*V169</f>
        <v>0</v>
      </c>
      <c r="X169" s="59"/>
      <c r="Y169" s="12" t="s">
        <v>292</v>
      </c>
      <c r="Z169" s="68">
        <f>VLOOKUP(Takeoffs!Y169,Sheet1!$B$6:$C$124,2,FALSE)</f>
        <v>0</v>
      </c>
      <c r="AA169" s="68">
        <f t="shared" si="65"/>
        <v>0</v>
      </c>
      <c r="AB169" s="63">
        <f t="shared" si="66"/>
        <v>0</v>
      </c>
      <c r="AC169" s="28">
        <f t="shared" si="71"/>
        <v>0</v>
      </c>
      <c r="AD169" s="61">
        <v>1</v>
      </c>
      <c r="AE169" s="59"/>
      <c r="AF169" s="12" t="s">
        <v>292</v>
      </c>
      <c r="AG169" s="68">
        <f>VLOOKUP(Takeoffs!AF169,Sheet1!$B$6:$C$124,2,FALSE)</f>
        <v>0</v>
      </c>
      <c r="AH169" s="68">
        <f t="shared" si="67"/>
        <v>0</v>
      </c>
      <c r="AI169" s="63">
        <f t="shared" si="68"/>
        <v>0</v>
      </c>
      <c r="AJ169" s="28">
        <f t="shared" si="69"/>
        <v>0</v>
      </c>
      <c r="AK169" s="61"/>
      <c r="AL169" s="59"/>
      <c r="AO169" s="286"/>
      <c r="AP169" s="284">
        <f t="shared" si="59"/>
        <v>0</v>
      </c>
      <c r="AQ169" s="281">
        <f t="shared" si="60"/>
        <v>0</v>
      </c>
      <c r="AR169" s="284">
        <f t="shared" si="61"/>
        <v>0</v>
      </c>
      <c r="AS169" s="281">
        <f t="shared" si="62"/>
        <v>0</v>
      </c>
      <c r="AT169" s="284">
        <f t="shared" si="63"/>
        <v>0</v>
      </c>
    </row>
    <row r="170" spans="1:97" s="32" customFormat="1" ht="30.9" x14ac:dyDescent="0.8">
      <c r="A170" s="262">
        <f>ROW()</f>
        <v>170</v>
      </c>
      <c r="B170" s="114"/>
      <c r="C170" s="208"/>
      <c r="D170" s="208"/>
      <c r="E170" s="208"/>
      <c r="F170" s="208"/>
      <c r="G170" s="208"/>
      <c r="H170" s="208"/>
      <c r="I170" s="114"/>
      <c r="J170" s="32" t="str">
        <f t="shared" si="70"/>
        <v/>
      </c>
      <c r="K170" s="32" t="str">
        <f>IF(COUNTBLANK(R170)&gt;0,"",CONCATENATE(R170," for ",N163))</f>
        <v/>
      </c>
      <c r="N170" s="15" t="s">
        <v>119</v>
      </c>
      <c r="O170" s="66" t="s">
        <v>404</v>
      </c>
      <c r="P170" s="12"/>
      <c r="Q170" s="12"/>
      <c r="R170" s="12"/>
      <c r="S170" s="28">
        <f>M163</f>
        <v>0</v>
      </c>
      <c r="T170" s="11"/>
      <c r="U170" s="12" t="s">
        <v>292</v>
      </c>
      <c r="V170" s="28">
        <f t="shared" si="64"/>
        <v>0</v>
      </c>
      <c r="W170" s="28">
        <f>VLOOKUP(U170,Sheet1!$B$6:$C$45,2,FALSE)*V170</f>
        <v>0</v>
      </c>
      <c r="X170" s="59"/>
      <c r="Y170" s="12" t="s">
        <v>292</v>
      </c>
      <c r="Z170" s="68">
        <f>VLOOKUP(Takeoffs!Y170,Sheet1!$B$6:$C$124,2,FALSE)</f>
        <v>0</v>
      </c>
      <c r="AA170" s="68">
        <f t="shared" si="65"/>
        <v>0</v>
      </c>
      <c r="AB170" s="63">
        <f t="shared" si="66"/>
        <v>0</v>
      </c>
      <c r="AC170" s="28">
        <f t="shared" si="71"/>
        <v>0</v>
      </c>
      <c r="AD170" s="61">
        <v>1</v>
      </c>
      <c r="AE170" s="59"/>
      <c r="AF170" s="12" t="s">
        <v>292</v>
      </c>
      <c r="AG170" s="68">
        <f>VLOOKUP(Takeoffs!AF170,Sheet1!$B$6:$C$124,2,FALSE)</f>
        <v>0</v>
      </c>
      <c r="AH170" s="68">
        <f t="shared" si="67"/>
        <v>0</v>
      </c>
      <c r="AI170" s="63">
        <f t="shared" si="68"/>
        <v>0</v>
      </c>
      <c r="AJ170" s="28">
        <f t="shared" si="69"/>
        <v>0</v>
      </c>
      <c r="AK170" s="61"/>
      <c r="AL170" s="59"/>
      <c r="AO170" s="286"/>
      <c r="AP170" s="284">
        <f t="shared" si="59"/>
        <v>0</v>
      </c>
      <c r="AQ170" s="281">
        <f t="shared" si="60"/>
        <v>0</v>
      </c>
      <c r="AR170" s="284">
        <f t="shared" si="61"/>
        <v>0</v>
      </c>
      <c r="AS170" s="281">
        <f t="shared" si="62"/>
        <v>0</v>
      </c>
      <c r="AT170" s="284">
        <f t="shared" si="63"/>
        <v>0</v>
      </c>
    </row>
    <row r="171" spans="1:97" s="32" customFormat="1" ht="30.9" x14ac:dyDescent="0.8">
      <c r="A171" s="262">
        <f>ROW()</f>
        <v>171</v>
      </c>
      <c r="B171" s="114"/>
      <c r="C171" s="208"/>
      <c r="D171" s="208"/>
      <c r="E171" s="208"/>
      <c r="F171" s="208"/>
      <c r="G171" s="208"/>
      <c r="H171" s="208"/>
      <c r="I171" s="114"/>
      <c r="J171" s="32" t="str">
        <f t="shared" si="70"/>
        <v/>
      </c>
      <c r="K171" s="32" t="str">
        <f>IF(COUNTBLANK(R171)&gt;0,"",CONCATENATE(R171," for ",N163))</f>
        <v/>
      </c>
      <c r="N171" s="15" t="s">
        <v>120</v>
      </c>
      <c r="O171" s="66" t="s">
        <v>440</v>
      </c>
      <c r="P171" s="12"/>
      <c r="Q171" s="12"/>
      <c r="R171" s="12"/>
      <c r="S171" s="28">
        <f>M163</f>
        <v>0</v>
      </c>
      <c r="T171" s="11"/>
      <c r="U171" s="12" t="s">
        <v>292</v>
      </c>
      <c r="V171" s="28">
        <f t="shared" si="64"/>
        <v>0</v>
      </c>
      <c r="W171" s="28">
        <f>VLOOKUP(U171,Sheet1!$B$6:$C$45,2,FALSE)*V171</f>
        <v>0</v>
      </c>
      <c r="X171" s="59"/>
      <c r="Y171" s="12" t="s">
        <v>292</v>
      </c>
      <c r="Z171" s="68">
        <f>VLOOKUP(Takeoffs!Y171,Sheet1!$B$6:$C$124,2,FALSE)</f>
        <v>0</v>
      </c>
      <c r="AA171" s="68">
        <f t="shared" si="65"/>
        <v>0</v>
      </c>
      <c r="AB171" s="63">
        <f t="shared" si="66"/>
        <v>0</v>
      </c>
      <c r="AC171" s="28">
        <f t="shared" si="71"/>
        <v>0</v>
      </c>
      <c r="AD171" s="61">
        <v>1</v>
      </c>
      <c r="AE171" s="59"/>
      <c r="AF171" s="12" t="s">
        <v>292</v>
      </c>
      <c r="AG171" s="68">
        <f>VLOOKUP(Takeoffs!AF171,Sheet1!$B$6:$C$124,2,FALSE)</f>
        <v>0</v>
      </c>
      <c r="AH171" s="68">
        <f t="shared" si="67"/>
        <v>0</v>
      </c>
      <c r="AI171" s="63">
        <f t="shared" si="68"/>
        <v>0</v>
      </c>
      <c r="AJ171" s="28">
        <f t="shared" si="69"/>
        <v>0</v>
      </c>
      <c r="AK171" s="61"/>
      <c r="AL171" s="59"/>
      <c r="AO171" s="286"/>
      <c r="AP171" s="284">
        <f t="shared" si="59"/>
        <v>0</v>
      </c>
      <c r="AQ171" s="281">
        <f t="shared" si="60"/>
        <v>0</v>
      </c>
      <c r="AR171" s="284">
        <f t="shared" si="61"/>
        <v>0</v>
      </c>
      <c r="AS171" s="281">
        <f t="shared" si="62"/>
        <v>0</v>
      </c>
      <c r="AT171" s="284">
        <f t="shared" si="63"/>
        <v>0</v>
      </c>
    </row>
    <row r="172" spans="1:97" s="32" customFormat="1" ht="30.9" x14ac:dyDescent="0.8">
      <c r="A172" s="262">
        <f>ROW()</f>
        <v>172</v>
      </c>
      <c r="B172" s="114"/>
      <c r="C172" s="208"/>
      <c r="D172" s="208"/>
      <c r="E172" s="208"/>
      <c r="F172" s="208"/>
      <c r="G172" s="208"/>
      <c r="H172" s="208"/>
      <c r="I172" s="114"/>
      <c r="J172" s="32" t="str">
        <f t="shared" si="70"/>
        <v/>
      </c>
      <c r="K172" s="32" t="str">
        <f>IF(COUNTBLANK(R172)&gt;0,"",CONCATENATE(R172," for ",N163))</f>
        <v/>
      </c>
      <c r="N172" s="15" t="s">
        <v>121</v>
      </c>
      <c r="O172" s="66"/>
      <c r="P172" s="12"/>
      <c r="Q172" s="12"/>
      <c r="R172" s="12"/>
      <c r="S172" s="28">
        <f>M163</f>
        <v>0</v>
      </c>
      <c r="T172" s="11"/>
      <c r="U172" s="12" t="s">
        <v>292</v>
      </c>
      <c r="V172" s="28">
        <f t="shared" si="64"/>
        <v>0</v>
      </c>
      <c r="W172" s="28">
        <f>VLOOKUP(U172,Sheet1!$B$6:$C$45,2,FALSE)*V172</f>
        <v>0</v>
      </c>
      <c r="X172" s="59"/>
      <c r="Y172" s="12" t="s">
        <v>292</v>
      </c>
      <c r="Z172" s="68">
        <f>VLOOKUP(Takeoffs!Y172,Sheet1!$B$6:$C$124,2,FALSE)</f>
        <v>0</v>
      </c>
      <c r="AA172" s="68">
        <f t="shared" si="65"/>
        <v>0</v>
      </c>
      <c r="AB172" s="63">
        <f t="shared" si="66"/>
        <v>0</v>
      </c>
      <c r="AC172" s="28">
        <f t="shared" si="71"/>
        <v>0</v>
      </c>
      <c r="AD172" s="61">
        <v>1</v>
      </c>
      <c r="AE172" s="59"/>
      <c r="AF172" s="12" t="s">
        <v>292</v>
      </c>
      <c r="AG172" s="68">
        <f>VLOOKUP(Takeoffs!AF172,Sheet1!$B$6:$C$124,2,FALSE)</f>
        <v>0</v>
      </c>
      <c r="AH172" s="68">
        <f t="shared" si="67"/>
        <v>0</v>
      </c>
      <c r="AI172" s="63">
        <f t="shared" si="68"/>
        <v>0</v>
      </c>
      <c r="AJ172" s="28">
        <f t="shared" si="69"/>
        <v>0</v>
      </c>
      <c r="AK172" s="61"/>
      <c r="AL172" s="59"/>
      <c r="AO172" s="286"/>
      <c r="AP172" s="284">
        <f t="shared" si="59"/>
        <v>0</v>
      </c>
      <c r="AQ172" s="281">
        <f t="shared" si="60"/>
        <v>0</v>
      </c>
      <c r="AR172" s="284">
        <f t="shared" si="61"/>
        <v>0</v>
      </c>
      <c r="AS172" s="281">
        <f t="shared" si="62"/>
        <v>0</v>
      </c>
      <c r="AT172" s="284">
        <f t="shared" si="63"/>
        <v>0</v>
      </c>
    </row>
    <row r="173" spans="1:97" s="32" customFormat="1" ht="30.9" x14ac:dyDescent="0.8">
      <c r="A173" s="262">
        <f>ROW()</f>
        <v>173</v>
      </c>
      <c r="B173" s="114"/>
      <c r="C173" s="208"/>
      <c r="D173" s="208"/>
      <c r="E173" s="208"/>
      <c r="F173" s="208"/>
      <c r="G173" s="208"/>
      <c r="H173" s="208"/>
      <c r="I173" s="114"/>
      <c r="J173" s="32" t="str">
        <f t="shared" si="70"/>
        <v/>
      </c>
      <c r="K173" s="32" t="str">
        <f>IF(COUNTBLANK(R173)&gt;0,"",CONCATENATE(R173," for ",N163))</f>
        <v/>
      </c>
      <c r="N173" s="15" t="s">
        <v>122</v>
      </c>
      <c r="O173" s="66"/>
      <c r="P173" s="12"/>
      <c r="Q173" s="12"/>
      <c r="R173" s="12"/>
      <c r="S173" s="28">
        <f>M163</f>
        <v>0</v>
      </c>
      <c r="T173" s="11"/>
      <c r="U173" s="12" t="s">
        <v>292</v>
      </c>
      <c r="V173" s="28">
        <f t="shared" si="64"/>
        <v>0</v>
      </c>
      <c r="W173" s="28">
        <f>VLOOKUP(U173,Sheet1!$B$6:$C$45,2,FALSE)*V173</f>
        <v>0</v>
      </c>
      <c r="X173" s="59"/>
      <c r="Y173" s="12" t="s">
        <v>292</v>
      </c>
      <c r="Z173" s="68">
        <f>VLOOKUP(Takeoffs!Y173,Sheet1!$B$6:$C$124,2,FALSE)</f>
        <v>0</v>
      </c>
      <c r="AA173" s="68">
        <f t="shared" si="65"/>
        <v>0</v>
      </c>
      <c r="AB173" s="63">
        <f t="shared" si="66"/>
        <v>0</v>
      </c>
      <c r="AC173" s="28">
        <f t="shared" si="71"/>
        <v>0</v>
      </c>
      <c r="AD173" s="61">
        <v>1</v>
      </c>
      <c r="AE173" s="59"/>
      <c r="AF173" s="12" t="s">
        <v>292</v>
      </c>
      <c r="AG173" s="68">
        <f>VLOOKUP(Takeoffs!AF173,Sheet1!$B$6:$C$124,2,FALSE)</f>
        <v>0</v>
      </c>
      <c r="AH173" s="68">
        <f t="shared" si="67"/>
        <v>0</v>
      </c>
      <c r="AI173" s="63">
        <f t="shared" si="68"/>
        <v>0</v>
      </c>
      <c r="AJ173" s="28">
        <f t="shared" si="69"/>
        <v>0</v>
      </c>
      <c r="AK173" s="61"/>
      <c r="AL173" s="59"/>
      <c r="AO173" s="286"/>
      <c r="AP173" s="284">
        <f t="shared" si="59"/>
        <v>0</v>
      </c>
      <c r="AQ173" s="281">
        <f t="shared" si="60"/>
        <v>0</v>
      </c>
      <c r="AR173" s="284">
        <f t="shared" si="61"/>
        <v>0</v>
      </c>
      <c r="AS173" s="281">
        <f t="shared" si="62"/>
        <v>0</v>
      </c>
      <c r="AT173" s="284">
        <f t="shared" si="63"/>
        <v>0</v>
      </c>
    </row>
    <row r="174" spans="1:97" s="32" customFormat="1" ht="30.9" x14ac:dyDescent="0.8">
      <c r="A174" s="262">
        <f>ROW()</f>
        <v>174</v>
      </c>
      <c r="B174" s="114"/>
      <c r="C174" s="208"/>
      <c r="D174" s="208"/>
      <c r="E174" s="208"/>
      <c r="F174" s="208"/>
      <c r="G174" s="208"/>
      <c r="H174" s="208"/>
      <c r="I174" s="114"/>
      <c r="J174" s="32" t="str">
        <f t="shared" si="70"/>
        <v/>
      </c>
      <c r="K174" s="32" t="str">
        <f>IF(COUNTBLANK(R174)&gt;0,"",CONCATENATE(R174," for ",N163))</f>
        <v/>
      </c>
      <c r="N174" s="15" t="s">
        <v>123</v>
      </c>
      <c r="O174" s="66"/>
      <c r="P174" s="12"/>
      <c r="Q174" s="12"/>
      <c r="R174" s="12"/>
      <c r="S174" s="28">
        <f>M163</f>
        <v>0</v>
      </c>
      <c r="T174" s="11"/>
      <c r="U174" s="12" t="s">
        <v>292</v>
      </c>
      <c r="V174" s="28">
        <f t="shared" si="64"/>
        <v>0</v>
      </c>
      <c r="W174" s="28">
        <f>VLOOKUP(U174,Sheet1!$B$6:$C$45,2,FALSE)*V174</f>
        <v>0</v>
      </c>
      <c r="X174" s="59"/>
      <c r="Y174" s="12" t="s">
        <v>292</v>
      </c>
      <c r="Z174" s="68">
        <f>VLOOKUP(Takeoffs!Y174,Sheet1!$B$6:$C$124,2,FALSE)</f>
        <v>0</v>
      </c>
      <c r="AA174" s="68">
        <f t="shared" si="65"/>
        <v>0</v>
      </c>
      <c r="AB174" s="63">
        <f t="shared" si="66"/>
        <v>0</v>
      </c>
      <c r="AC174" s="28">
        <f t="shared" si="71"/>
        <v>0</v>
      </c>
      <c r="AD174" s="61">
        <v>1</v>
      </c>
      <c r="AE174" s="59"/>
      <c r="AF174" s="12" t="s">
        <v>292</v>
      </c>
      <c r="AG174" s="68">
        <f>VLOOKUP(Takeoffs!AF174,Sheet1!$B$6:$C$124,2,FALSE)</f>
        <v>0</v>
      </c>
      <c r="AH174" s="68">
        <f t="shared" si="67"/>
        <v>0</v>
      </c>
      <c r="AI174" s="63">
        <f t="shared" si="68"/>
        <v>0</v>
      </c>
      <c r="AJ174" s="28">
        <f t="shared" si="69"/>
        <v>0</v>
      </c>
      <c r="AK174" s="61"/>
      <c r="AL174" s="59"/>
      <c r="AO174" s="286"/>
      <c r="AP174" s="284">
        <f t="shared" si="59"/>
        <v>0</v>
      </c>
      <c r="AQ174" s="281">
        <f t="shared" si="60"/>
        <v>0</v>
      </c>
      <c r="AR174" s="284">
        <f t="shared" si="61"/>
        <v>0</v>
      </c>
      <c r="AS174" s="281">
        <f t="shared" si="62"/>
        <v>0</v>
      </c>
      <c r="AT174" s="284">
        <f t="shared" si="63"/>
        <v>0</v>
      </c>
    </row>
    <row r="175" spans="1:97" s="32" customFormat="1" ht="30.9" x14ac:dyDescent="0.8">
      <c r="A175" s="262">
        <f>ROW()</f>
        <v>175</v>
      </c>
      <c r="B175" s="114"/>
      <c r="C175" s="208"/>
      <c r="D175" s="208"/>
      <c r="E175" s="208"/>
      <c r="F175" s="208"/>
      <c r="G175" s="208"/>
      <c r="H175" s="208"/>
      <c r="I175" s="114"/>
      <c r="J175" s="32" t="str">
        <f t="shared" si="70"/>
        <v/>
      </c>
      <c r="K175" s="32" t="str">
        <f>IF(COUNTBLANK(R175)&gt;0,"",CONCATENATE(R175," for ",N163))</f>
        <v/>
      </c>
      <c r="N175" s="15" t="s">
        <v>124</v>
      </c>
      <c r="O175" s="66"/>
      <c r="P175" s="12"/>
      <c r="Q175" s="12"/>
      <c r="R175" s="12"/>
      <c r="S175" s="28">
        <f>M163</f>
        <v>0</v>
      </c>
      <c r="T175" s="11"/>
      <c r="U175" s="12" t="s">
        <v>292</v>
      </c>
      <c r="V175" s="28">
        <f t="shared" si="64"/>
        <v>0</v>
      </c>
      <c r="W175" s="28">
        <f>VLOOKUP(U175,Sheet1!$B$6:$C$45,2,FALSE)*V175</f>
        <v>0</v>
      </c>
      <c r="X175" s="59"/>
      <c r="Y175" s="12" t="s">
        <v>292</v>
      </c>
      <c r="Z175" s="68">
        <f>VLOOKUP(Takeoffs!Y175,Sheet1!$B$6:$C$124,2,FALSE)</f>
        <v>0</v>
      </c>
      <c r="AA175" s="68">
        <f t="shared" si="65"/>
        <v>0</v>
      </c>
      <c r="AB175" s="63">
        <f t="shared" si="66"/>
        <v>0</v>
      </c>
      <c r="AC175" s="28">
        <f t="shared" si="71"/>
        <v>0</v>
      </c>
      <c r="AD175" s="61">
        <v>1</v>
      </c>
      <c r="AE175" s="59"/>
      <c r="AF175" s="12" t="s">
        <v>292</v>
      </c>
      <c r="AG175" s="68">
        <f>VLOOKUP(Takeoffs!AF175,Sheet1!$B$6:$C$124,2,FALSE)</f>
        <v>0</v>
      </c>
      <c r="AH175" s="68">
        <f t="shared" si="67"/>
        <v>0</v>
      </c>
      <c r="AI175" s="63">
        <f t="shared" si="68"/>
        <v>0</v>
      </c>
      <c r="AJ175" s="28">
        <f t="shared" si="69"/>
        <v>0</v>
      </c>
      <c r="AK175" s="61"/>
      <c r="AL175" s="59"/>
      <c r="AO175" s="286"/>
      <c r="AP175" s="284">
        <f t="shared" si="59"/>
        <v>0</v>
      </c>
      <c r="AQ175" s="281">
        <f t="shared" si="60"/>
        <v>0</v>
      </c>
      <c r="AR175" s="284">
        <f t="shared" si="61"/>
        <v>0</v>
      </c>
      <c r="AS175" s="281">
        <f t="shared" si="62"/>
        <v>0</v>
      </c>
      <c r="AT175" s="284">
        <f t="shared" si="63"/>
        <v>0</v>
      </c>
    </row>
    <row r="176" spans="1:97" s="32" customFormat="1" ht="30.9" x14ac:dyDescent="0.8">
      <c r="A176" s="262">
        <f>ROW()</f>
        <v>176</v>
      </c>
      <c r="B176" s="114"/>
      <c r="C176" s="208"/>
      <c r="D176" s="208"/>
      <c r="E176" s="208"/>
      <c r="F176" s="208"/>
      <c r="G176" s="208"/>
      <c r="H176" s="208"/>
      <c r="I176" s="114"/>
      <c r="J176" s="32" t="str">
        <f t="shared" si="70"/>
        <v/>
      </c>
      <c r="K176" s="32" t="str">
        <f>IF(COUNTBLANK(R176)&gt;0,"",CONCATENATE(R176," for ",N163))</f>
        <v/>
      </c>
      <c r="N176" s="15" t="s">
        <v>125</v>
      </c>
      <c r="O176" s="66"/>
      <c r="P176" s="12"/>
      <c r="Q176" s="12"/>
      <c r="R176" s="12"/>
      <c r="S176" s="28">
        <f>M163</f>
        <v>0</v>
      </c>
      <c r="T176" s="11"/>
      <c r="U176" s="12" t="s">
        <v>292</v>
      </c>
      <c r="V176" s="28">
        <f t="shared" si="64"/>
        <v>0</v>
      </c>
      <c r="W176" s="28">
        <f>VLOOKUP(U176,Sheet1!$B$6:$C$45,2,FALSE)*V176</f>
        <v>0</v>
      </c>
      <c r="X176" s="59"/>
      <c r="Y176" s="12" t="s">
        <v>292</v>
      </c>
      <c r="Z176" s="68">
        <f>VLOOKUP(Takeoffs!Y176,Sheet1!$B$6:$C$124,2,FALSE)</f>
        <v>0</v>
      </c>
      <c r="AA176" s="68">
        <f t="shared" si="65"/>
        <v>0</v>
      </c>
      <c r="AB176" s="63">
        <f t="shared" si="66"/>
        <v>0</v>
      </c>
      <c r="AC176" s="28">
        <f t="shared" si="71"/>
        <v>0</v>
      </c>
      <c r="AD176" s="61">
        <v>1</v>
      </c>
      <c r="AE176" s="59"/>
      <c r="AF176" s="12" t="s">
        <v>292</v>
      </c>
      <c r="AG176" s="68">
        <f>VLOOKUP(Takeoffs!AF176,Sheet1!$B$6:$C$124,2,FALSE)</f>
        <v>0</v>
      </c>
      <c r="AH176" s="68">
        <f t="shared" si="67"/>
        <v>0</v>
      </c>
      <c r="AI176" s="63">
        <f t="shared" si="68"/>
        <v>0</v>
      </c>
      <c r="AJ176" s="28">
        <f t="shared" si="69"/>
        <v>0</v>
      </c>
      <c r="AK176" s="61"/>
      <c r="AL176" s="59"/>
      <c r="AO176" s="286"/>
      <c r="AP176" s="284">
        <f t="shared" si="59"/>
        <v>0</v>
      </c>
      <c r="AQ176" s="281">
        <f t="shared" si="60"/>
        <v>0</v>
      </c>
      <c r="AR176" s="284">
        <f t="shared" si="61"/>
        <v>0</v>
      </c>
      <c r="AS176" s="281">
        <f t="shared" si="62"/>
        <v>0</v>
      </c>
      <c r="AT176" s="284">
        <f t="shared" si="63"/>
        <v>0</v>
      </c>
    </row>
    <row r="177" spans="1:97" s="32" customFormat="1" ht="30.9" x14ac:dyDescent="0.8">
      <c r="A177" s="262">
        <f>ROW()</f>
        <v>177</v>
      </c>
      <c r="B177" s="114"/>
      <c r="C177" s="208"/>
      <c r="D177" s="208"/>
      <c r="E177" s="208"/>
      <c r="F177" s="208"/>
      <c r="G177" s="208"/>
      <c r="H177" s="208"/>
      <c r="I177" s="114"/>
      <c r="J177" s="32" t="str">
        <f t="shared" si="70"/>
        <v/>
      </c>
      <c r="K177" s="32" t="str">
        <f>IF(COUNTBLANK(R177)&gt;0,"",CONCATENATE(R177," for ",N163))</f>
        <v/>
      </c>
      <c r="N177" s="15" t="s">
        <v>126</v>
      </c>
      <c r="O177" s="66"/>
      <c r="P177" s="12"/>
      <c r="Q177" s="12"/>
      <c r="R177" s="12"/>
      <c r="S177" s="28">
        <f>M163</f>
        <v>0</v>
      </c>
      <c r="T177" s="11"/>
      <c r="U177" s="12" t="s">
        <v>292</v>
      </c>
      <c r="V177" s="28">
        <f t="shared" si="64"/>
        <v>0</v>
      </c>
      <c r="W177" s="28">
        <f>VLOOKUP(U177,Sheet1!$B$6:$C$45,2,FALSE)*V177</f>
        <v>0</v>
      </c>
      <c r="X177" s="59"/>
      <c r="Y177" s="12" t="s">
        <v>292</v>
      </c>
      <c r="Z177" s="68">
        <f>VLOOKUP(Takeoffs!Y177,Sheet1!$B$6:$C$124,2,FALSE)</f>
        <v>0</v>
      </c>
      <c r="AA177" s="68">
        <f t="shared" si="65"/>
        <v>0</v>
      </c>
      <c r="AB177" s="63">
        <f t="shared" si="66"/>
        <v>0</v>
      </c>
      <c r="AC177" s="28">
        <f t="shared" si="71"/>
        <v>0</v>
      </c>
      <c r="AD177" s="61">
        <v>1</v>
      </c>
      <c r="AE177" s="59"/>
      <c r="AF177" s="12" t="s">
        <v>292</v>
      </c>
      <c r="AG177" s="68">
        <f>VLOOKUP(Takeoffs!AF177,Sheet1!$B$6:$C$124,2,FALSE)</f>
        <v>0</v>
      </c>
      <c r="AH177" s="68">
        <f t="shared" si="67"/>
        <v>0</v>
      </c>
      <c r="AI177" s="63">
        <f t="shared" si="68"/>
        <v>0</v>
      </c>
      <c r="AJ177" s="28">
        <f t="shared" si="69"/>
        <v>0</v>
      </c>
      <c r="AK177" s="61"/>
      <c r="AL177" s="59"/>
      <c r="AO177" s="286"/>
      <c r="AP177" s="284">
        <f t="shared" si="59"/>
        <v>0</v>
      </c>
      <c r="AQ177" s="281">
        <f t="shared" si="60"/>
        <v>0</v>
      </c>
      <c r="AR177" s="284">
        <f t="shared" si="61"/>
        <v>0</v>
      </c>
      <c r="AS177" s="281">
        <f t="shared" si="62"/>
        <v>0</v>
      </c>
      <c r="AT177" s="284">
        <f t="shared" si="63"/>
        <v>0</v>
      </c>
    </row>
    <row r="178" spans="1:97" s="32" customFormat="1" ht="30.9" x14ac:dyDescent="0.8">
      <c r="A178" s="262">
        <f>ROW()</f>
        <v>178</v>
      </c>
      <c r="B178" s="114"/>
      <c r="C178" s="208"/>
      <c r="D178" s="208"/>
      <c r="E178" s="208"/>
      <c r="F178" s="208"/>
      <c r="G178" s="208"/>
      <c r="H178" s="208"/>
      <c r="I178" s="114"/>
      <c r="J178" s="32" t="str">
        <f t="shared" si="70"/>
        <v/>
      </c>
      <c r="K178" s="32" t="str">
        <f>IF(COUNTBLANK(R178)&gt;0,"",CONCATENATE(R178," for ",N163))</f>
        <v/>
      </c>
      <c r="N178" s="15" t="s">
        <v>127</v>
      </c>
      <c r="O178" s="66"/>
      <c r="P178" s="12"/>
      <c r="Q178" s="12"/>
      <c r="R178" s="12"/>
      <c r="S178" s="28">
        <f>M163</f>
        <v>0</v>
      </c>
      <c r="T178" s="11"/>
      <c r="U178" s="12" t="s">
        <v>292</v>
      </c>
      <c r="V178" s="28">
        <f t="shared" si="64"/>
        <v>0</v>
      </c>
      <c r="W178" s="28">
        <f>VLOOKUP(U178,Sheet1!$B$6:$C$45,2,FALSE)*V178</f>
        <v>0</v>
      </c>
      <c r="X178" s="59"/>
      <c r="Y178" s="12" t="s">
        <v>292</v>
      </c>
      <c r="Z178" s="68">
        <f>VLOOKUP(Takeoffs!Y178,Sheet1!$B$6:$C$124,2,FALSE)</f>
        <v>0</v>
      </c>
      <c r="AA178" s="68">
        <f t="shared" si="65"/>
        <v>0</v>
      </c>
      <c r="AB178" s="63">
        <f t="shared" si="66"/>
        <v>0</v>
      </c>
      <c r="AC178" s="28">
        <f t="shared" si="71"/>
        <v>0</v>
      </c>
      <c r="AD178" s="61">
        <v>2</v>
      </c>
      <c r="AE178" s="59"/>
      <c r="AF178" s="12" t="s">
        <v>292</v>
      </c>
      <c r="AG178" s="68">
        <f>VLOOKUP(Takeoffs!AF178,Sheet1!$B$6:$C$124,2,FALSE)</f>
        <v>0</v>
      </c>
      <c r="AH178" s="68">
        <f t="shared" si="67"/>
        <v>0</v>
      </c>
      <c r="AI178" s="63">
        <f t="shared" si="68"/>
        <v>0</v>
      </c>
      <c r="AJ178" s="28">
        <f t="shared" si="69"/>
        <v>0</v>
      </c>
      <c r="AK178" s="61"/>
      <c r="AL178" s="59"/>
      <c r="AO178" s="286"/>
      <c r="AP178" s="284">
        <f t="shared" si="59"/>
        <v>0</v>
      </c>
      <c r="AQ178" s="281">
        <f t="shared" si="60"/>
        <v>0</v>
      </c>
      <c r="AR178" s="284">
        <f t="shared" si="61"/>
        <v>0</v>
      </c>
      <c r="AS178" s="281">
        <f t="shared" si="62"/>
        <v>0</v>
      </c>
      <c r="AT178" s="284">
        <f t="shared" si="63"/>
        <v>0</v>
      </c>
    </row>
    <row r="179" spans="1:97" s="32" customFormat="1" ht="30.9" x14ac:dyDescent="0.8">
      <c r="A179" s="262">
        <f>ROW()</f>
        <v>179</v>
      </c>
      <c r="B179" s="114"/>
      <c r="C179" s="208"/>
      <c r="D179" s="208"/>
      <c r="E179" s="208"/>
      <c r="F179" s="208"/>
      <c r="G179" s="208"/>
      <c r="H179" s="208"/>
      <c r="I179" s="114"/>
      <c r="J179" s="32" t="str">
        <f t="shared" si="70"/>
        <v/>
      </c>
      <c r="K179" s="32" t="str">
        <f>IF(COUNTBLANK(R179)&gt;0,"",CONCATENATE(R179," for ",N163))</f>
        <v/>
      </c>
      <c r="N179" s="15" t="s">
        <v>128</v>
      </c>
      <c r="O179" s="66"/>
      <c r="P179" s="12"/>
      <c r="Q179" s="12"/>
      <c r="R179" s="12"/>
      <c r="S179" s="28">
        <f>M163</f>
        <v>0</v>
      </c>
      <c r="T179" s="11"/>
      <c r="U179" s="12" t="s">
        <v>292</v>
      </c>
      <c r="V179" s="28">
        <f t="shared" si="64"/>
        <v>0</v>
      </c>
      <c r="W179" s="28">
        <f>VLOOKUP(U179,Sheet1!$B$6:$C$45,2,FALSE)*V179</f>
        <v>0</v>
      </c>
      <c r="X179" s="59"/>
      <c r="Y179" s="12" t="s">
        <v>292</v>
      </c>
      <c r="Z179" s="68">
        <f>VLOOKUP(Takeoffs!Y179,Sheet1!$B$6:$C$124,2,FALSE)</f>
        <v>0</v>
      </c>
      <c r="AA179" s="68">
        <f t="shared" si="65"/>
        <v>0</v>
      </c>
      <c r="AB179" s="63">
        <f t="shared" si="66"/>
        <v>0</v>
      </c>
      <c r="AC179" s="28">
        <f t="shared" si="71"/>
        <v>0</v>
      </c>
      <c r="AD179" s="61">
        <v>1</v>
      </c>
      <c r="AE179" s="59"/>
      <c r="AF179" s="12" t="s">
        <v>292</v>
      </c>
      <c r="AG179" s="68">
        <f>VLOOKUP(Takeoffs!AF179,Sheet1!$B$6:$C$124,2,FALSE)</f>
        <v>0</v>
      </c>
      <c r="AH179" s="68">
        <f t="shared" si="67"/>
        <v>0</v>
      </c>
      <c r="AI179" s="63">
        <f t="shared" si="68"/>
        <v>0</v>
      </c>
      <c r="AJ179" s="28">
        <f t="shared" si="69"/>
        <v>0</v>
      </c>
      <c r="AK179" s="61"/>
      <c r="AL179" s="59"/>
      <c r="AO179" s="286"/>
      <c r="AP179" s="284">
        <f t="shared" si="59"/>
        <v>0</v>
      </c>
      <c r="AQ179" s="281">
        <f t="shared" si="60"/>
        <v>0</v>
      </c>
      <c r="AR179" s="284">
        <f t="shared" si="61"/>
        <v>0</v>
      </c>
      <c r="AS179" s="281">
        <f t="shared" si="62"/>
        <v>0</v>
      </c>
      <c r="AT179" s="284">
        <f t="shared" si="63"/>
        <v>0</v>
      </c>
    </row>
    <row r="180" spans="1:97" s="32" customFormat="1" ht="30.9" x14ac:dyDescent="0.8">
      <c r="A180" s="262">
        <f>ROW()</f>
        <v>180</v>
      </c>
      <c r="B180" s="114"/>
      <c r="C180" s="208"/>
      <c r="D180" s="208"/>
      <c r="E180" s="208"/>
      <c r="F180" s="208"/>
      <c r="G180" s="208"/>
      <c r="H180" s="208"/>
      <c r="I180" s="114"/>
      <c r="J180" s="32" t="str">
        <f t="shared" si="70"/>
        <v/>
      </c>
      <c r="K180" s="32" t="str">
        <f>IF(COUNTBLANK(R180)&gt;0,"",CONCATENATE(R180," for ",N163))</f>
        <v/>
      </c>
      <c r="N180" s="15" t="s">
        <v>129</v>
      </c>
      <c r="O180" s="66"/>
      <c r="P180" s="12"/>
      <c r="Q180" s="12"/>
      <c r="R180" s="12"/>
      <c r="S180" s="28">
        <f>M163</f>
        <v>0</v>
      </c>
      <c r="T180" s="11"/>
      <c r="U180" s="12" t="s">
        <v>292</v>
      </c>
      <c r="V180" s="28">
        <f t="shared" si="64"/>
        <v>0</v>
      </c>
      <c r="W180" s="28">
        <f>VLOOKUP(U180,Sheet1!$B$6:$C$45,2,FALSE)*V180</f>
        <v>0</v>
      </c>
      <c r="X180" s="59"/>
      <c r="Y180" s="12" t="s">
        <v>292</v>
      </c>
      <c r="Z180" s="68">
        <f>VLOOKUP(Takeoffs!Y180,Sheet1!$B$6:$C$124,2,FALSE)</f>
        <v>0</v>
      </c>
      <c r="AA180" s="68">
        <f t="shared" si="65"/>
        <v>0</v>
      </c>
      <c r="AB180" s="63">
        <f t="shared" si="66"/>
        <v>0</v>
      </c>
      <c r="AC180" s="28">
        <f t="shared" si="71"/>
        <v>0</v>
      </c>
      <c r="AD180" s="61">
        <v>1</v>
      </c>
      <c r="AE180" s="59"/>
      <c r="AF180" s="12" t="s">
        <v>292</v>
      </c>
      <c r="AG180" s="68">
        <f>VLOOKUP(Takeoffs!AF180,Sheet1!$B$6:$C$124,2,FALSE)</f>
        <v>0</v>
      </c>
      <c r="AH180" s="68">
        <f t="shared" si="67"/>
        <v>0</v>
      </c>
      <c r="AI180" s="63">
        <f t="shared" si="68"/>
        <v>0</v>
      </c>
      <c r="AJ180" s="28">
        <f t="shared" si="69"/>
        <v>0</v>
      </c>
      <c r="AK180" s="61"/>
      <c r="AL180" s="59"/>
      <c r="AO180" s="286"/>
      <c r="AP180" s="284">
        <f t="shared" si="59"/>
        <v>0</v>
      </c>
      <c r="AQ180" s="281">
        <f t="shared" si="60"/>
        <v>0</v>
      </c>
      <c r="AR180" s="284">
        <f t="shared" si="61"/>
        <v>0</v>
      </c>
      <c r="AS180" s="281">
        <f t="shared" si="62"/>
        <v>0</v>
      </c>
      <c r="AT180" s="284">
        <f t="shared" si="63"/>
        <v>0</v>
      </c>
    </row>
    <row r="181" spans="1:97" s="32" customFormat="1" ht="30.9" x14ac:dyDescent="0.8">
      <c r="A181" s="262">
        <f>ROW()</f>
        <v>181</v>
      </c>
      <c r="B181" s="114"/>
      <c r="C181" s="208"/>
      <c r="D181" s="208"/>
      <c r="E181" s="208"/>
      <c r="F181" s="208"/>
      <c r="G181" s="208"/>
      <c r="H181" s="208"/>
      <c r="I181" s="114"/>
      <c r="J181" s="32" t="str">
        <f t="shared" si="70"/>
        <v/>
      </c>
      <c r="K181" s="32" t="str">
        <f>IF(COUNTBLANK(R181)&gt;0,"",CONCATENATE(R181," for ",N163))</f>
        <v/>
      </c>
      <c r="N181" s="15" t="s">
        <v>130</v>
      </c>
      <c r="O181" s="66"/>
      <c r="P181" s="12"/>
      <c r="Q181" s="12"/>
      <c r="R181" s="12"/>
      <c r="S181" s="28">
        <f>M163</f>
        <v>0</v>
      </c>
      <c r="T181" s="11"/>
      <c r="U181" s="12" t="s">
        <v>292</v>
      </c>
      <c r="V181" s="28">
        <f t="shared" si="64"/>
        <v>0</v>
      </c>
      <c r="W181" s="28">
        <f>VLOOKUP(U181,Sheet1!$B$6:$C$45,2,FALSE)*V181</f>
        <v>0</v>
      </c>
      <c r="X181" s="59"/>
      <c r="Y181" s="12" t="s">
        <v>292</v>
      </c>
      <c r="Z181" s="68">
        <f>VLOOKUP(Takeoffs!Y181,Sheet1!$B$6:$C$124,2,FALSE)</f>
        <v>0</v>
      </c>
      <c r="AA181" s="68">
        <f t="shared" si="65"/>
        <v>0</v>
      </c>
      <c r="AB181" s="63">
        <f t="shared" si="66"/>
        <v>0</v>
      </c>
      <c r="AC181" s="28">
        <f t="shared" si="71"/>
        <v>0</v>
      </c>
      <c r="AD181" s="61">
        <v>1</v>
      </c>
      <c r="AE181" s="59"/>
      <c r="AF181" s="12" t="s">
        <v>292</v>
      </c>
      <c r="AG181" s="68">
        <f>VLOOKUP(Takeoffs!AF181,Sheet1!$B$6:$C$124,2,FALSE)</f>
        <v>0</v>
      </c>
      <c r="AH181" s="68">
        <f t="shared" si="67"/>
        <v>0</v>
      </c>
      <c r="AI181" s="63">
        <f t="shared" si="68"/>
        <v>0</v>
      </c>
      <c r="AJ181" s="28">
        <f t="shared" si="69"/>
        <v>0</v>
      </c>
      <c r="AK181" s="61">
        <f>T181</f>
        <v>0</v>
      </c>
      <c r="AL181" s="59"/>
      <c r="AO181" s="286"/>
      <c r="AP181" s="284">
        <f t="shared" si="59"/>
        <v>0</v>
      </c>
      <c r="AQ181" s="281">
        <f t="shared" si="60"/>
        <v>0</v>
      </c>
      <c r="AR181" s="284">
        <f t="shared" si="61"/>
        <v>0</v>
      </c>
      <c r="AS181" s="281">
        <f t="shared" si="62"/>
        <v>0</v>
      </c>
      <c r="AT181" s="284">
        <f t="shared" si="63"/>
        <v>0</v>
      </c>
    </row>
    <row r="182" spans="1:97" s="32" customFormat="1" ht="30.9" x14ac:dyDescent="0.8">
      <c r="A182" s="262">
        <f>ROW()</f>
        <v>182</v>
      </c>
      <c r="B182" s="114"/>
      <c r="C182" s="208"/>
      <c r="D182" s="208"/>
      <c r="E182" s="208"/>
      <c r="F182" s="208"/>
      <c r="G182" s="208"/>
      <c r="H182" s="208"/>
      <c r="I182" s="114"/>
      <c r="J182" s="32" t="str">
        <f t="shared" si="70"/>
        <v/>
      </c>
      <c r="K182" s="32" t="str">
        <f>IF(COUNTBLANK(R182)&gt;0,"",CONCATENATE(R182," for ",N163))</f>
        <v/>
      </c>
      <c r="N182" s="15" t="s">
        <v>131</v>
      </c>
      <c r="O182" s="66"/>
      <c r="P182" s="12"/>
      <c r="Q182" s="12"/>
      <c r="R182" s="12"/>
      <c r="S182" s="28">
        <f>M163</f>
        <v>0</v>
      </c>
      <c r="T182" s="11"/>
      <c r="U182" s="12" t="s">
        <v>292</v>
      </c>
      <c r="V182" s="28">
        <f t="shared" si="64"/>
        <v>0</v>
      </c>
      <c r="W182" s="28">
        <f>VLOOKUP(U182,Sheet1!$B$6:$C$45,2,FALSE)*V182</f>
        <v>0</v>
      </c>
      <c r="X182" s="59"/>
      <c r="Y182" s="12" t="s">
        <v>292</v>
      </c>
      <c r="Z182" s="68">
        <f>VLOOKUP(Takeoffs!Y182,Sheet1!$B$6:$C$124,2,FALSE)</f>
        <v>0</v>
      </c>
      <c r="AA182" s="68">
        <f t="shared" si="65"/>
        <v>0</v>
      </c>
      <c r="AB182" s="63">
        <f t="shared" si="66"/>
        <v>0</v>
      </c>
      <c r="AC182" s="28">
        <f t="shared" si="71"/>
        <v>0</v>
      </c>
      <c r="AD182" s="61">
        <v>1</v>
      </c>
      <c r="AE182" s="59"/>
      <c r="AF182" s="12" t="s">
        <v>292</v>
      </c>
      <c r="AG182" s="68">
        <f>VLOOKUP(Takeoffs!AF182,Sheet1!$B$6:$C$124,2,FALSE)</f>
        <v>0</v>
      </c>
      <c r="AH182" s="68">
        <f t="shared" si="67"/>
        <v>0</v>
      </c>
      <c r="AI182" s="63">
        <f t="shared" si="68"/>
        <v>0</v>
      </c>
      <c r="AJ182" s="28">
        <f t="shared" si="69"/>
        <v>0</v>
      </c>
      <c r="AK182" s="61">
        <f>T182</f>
        <v>0</v>
      </c>
      <c r="AL182" s="59"/>
      <c r="AO182" s="286"/>
      <c r="AP182" s="284">
        <f t="shared" si="59"/>
        <v>0</v>
      </c>
      <c r="AQ182" s="281">
        <f t="shared" si="60"/>
        <v>0</v>
      </c>
      <c r="AR182" s="284">
        <f t="shared" si="61"/>
        <v>0</v>
      </c>
      <c r="AS182" s="281">
        <f t="shared" si="62"/>
        <v>0</v>
      </c>
      <c r="AT182" s="284">
        <f t="shared" si="63"/>
        <v>0</v>
      </c>
    </row>
    <row r="183" spans="1:97" s="32" customFormat="1" ht="30.9" x14ac:dyDescent="0.8">
      <c r="A183" s="262">
        <f>ROW()</f>
        <v>183</v>
      </c>
      <c r="B183" s="114"/>
      <c r="C183" s="208"/>
      <c r="D183" s="208"/>
      <c r="E183" s="208"/>
      <c r="F183" s="208"/>
      <c r="G183" s="208"/>
      <c r="H183" s="208"/>
      <c r="I183" s="114"/>
      <c r="J183" s="32" t="str">
        <f t="shared" si="70"/>
        <v/>
      </c>
      <c r="K183" s="32" t="str">
        <f>IF(COUNTBLANK(R183)&gt;0,"",CONCATENATE(R183," for ",N163))</f>
        <v/>
      </c>
      <c r="N183" s="15" t="s">
        <v>132</v>
      </c>
      <c r="O183" s="66"/>
      <c r="P183" s="12"/>
      <c r="Q183" s="12"/>
      <c r="R183" s="12"/>
      <c r="S183" s="28">
        <f>M163</f>
        <v>0</v>
      </c>
      <c r="T183" s="11"/>
      <c r="U183" s="12" t="s">
        <v>292</v>
      </c>
      <c r="V183" s="28">
        <f t="shared" si="64"/>
        <v>0</v>
      </c>
      <c r="W183" s="28">
        <f>VLOOKUP(U183,Sheet1!$B$6:$C$45,2,FALSE)*V183</f>
        <v>0</v>
      </c>
      <c r="X183" s="59"/>
      <c r="Y183" s="12" t="s">
        <v>292</v>
      </c>
      <c r="Z183" s="68">
        <f>VLOOKUP(Takeoffs!Y183,Sheet1!$B$6:$C$124,2,FALSE)</f>
        <v>0</v>
      </c>
      <c r="AA183" s="68">
        <f t="shared" si="65"/>
        <v>0</v>
      </c>
      <c r="AB183" s="63">
        <f t="shared" si="66"/>
        <v>0</v>
      </c>
      <c r="AC183" s="28">
        <f t="shared" si="71"/>
        <v>0</v>
      </c>
      <c r="AD183" s="61">
        <v>1</v>
      </c>
      <c r="AE183" s="59"/>
      <c r="AF183" s="12" t="s">
        <v>292</v>
      </c>
      <c r="AG183" s="68">
        <f>VLOOKUP(Takeoffs!AF183,Sheet1!$B$6:$C$124,2,FALSE)</f>
        <v>0</v>
      </c>
      <c r="AH183" s="68">
        <f t="shared" si="67"/>
        <v>0</v>
      </c>
      <c r="AI183" s="63">
        <f t="shared" si="68"/>
        <v>0</v>
      </c>
      <c r="AJ183" s="28">
        <f t="shared" si="69"/>
        <v>0</v>
      </c>
      <c r="AK183" s="61">
        <f>T183</f>
        <v>0</v>
      </c>
      <c r="AL183" s="59"/>
      <c r="AO183" s="286"/>
      <c r="AP183" s="284">
        <f t="shared" si="59"/>
        <v>0</v>
      </c>
      <c r="AQ183" s="281">
        <f t="shared" si="60"/>
        <v>0</v>
      </c>
      <c r="AR183" s="284">
        <f t="shared" si="61"/>
        <v>0</v>
      </c>
      <c r="AS183" s="281">
        <f t="shared" si="62"/>
        <v>0</v>
      </c>
      <c r="AT183" s="284">
        <f t="shared" si="63"/>
        <v>0</v>
      </c>
    </row>
    <row r="184" spans="1:97" s="21" customFormat="1" ht="31.5" customHeight="1" x14ac:dyDescent="0.8">
      <c r="A184" s="262">
        <f>ROW()</f>
        <v>184</v>
      </c>
      <c r="B184" s="128"/>
      <c r="C184" s="212"/>
      <c r="D184" s="212"/>
      <c r="E184" s="212"/>
      <c r="F184" s="212"/>
      <c r="G184" s="212"/>
      <c r="H184" s="212"/>
      <c r="I184" s="128"/>
      <c r="J184" s="21" t="s">
        <v>377</v>
      </c>
      <c r="L184" s="21" t="s">
        <v>378</v>
      </c>
      <c r="N184" s="22"/>
      <c r="O184" s="23" t="s">
        <v>357</v>
      </c>
      <c r="P184" s="98">
        <f>V184+AA184+AH184</f>
        <v>0</v>
      </c>
      <c r="Q184" s="65"/>
      <c r="R184" s="65"/>
      <c r="S184" s="23"/>
      <c r="T184" s="20"/>
      <c r="U184" s="19" t="s">
        <v>351</v>
      </c>
      <c r="V184" s="20">
        <f>W184*80</f>
        <v>0</v>
      </c>
      <c r="W184" s="69">
        <f>SUM(W163:W183)</f>
        <v>0</v>
      </c>
      <c r="X184" s="70"/>
      <c r="Y184" s="20" t="s">
        <v>352</v>
      </c>
      <c r="Z184" s="2"/>
      <c r="AA184" s="2">
        <f>SUM(AA163:AA183)</f>
        <v>0</v>
      </c>
      <c r="AB184" s="71"/>
      <c r="AC184" s="71"/>
      <c r="AD184" s="71"/>
      <c r="AE184" s="71"/>
      <c r="AF184" s="20" t="s">
        <v>356</v>
      </c>
      <c r="AG184" s="2"/>
      <c r="AH184" s="2">
        <f>SUM(AH163:AH183)</f>
        <v>0</v>
      </c>
      <c r="AI184" s="71"/>
      <c r="AJ184" s="71"/>
      <c r="AK184" s="71"/>
      <c r="AL184" s="71"/>
      <c r="AM184" s="150">
        <f>P184</f>
        <v>0</v>
      </c>
      <c r="AO184" s="286"/>
      <c r="AP184" s="284">
        <f t="shared" si="59"/>
        <v>0</v>
      </c>
      <c r="AQ184" s="281">
        <f t="shared" si="60"/>
        <v>0</v>
      </c>
      <c r="AR184" s="284">
        <f t="shared" si="61"/>
        <v>0</v>
      </c>
      <c r="AS184" s="281">
        <f t="shared" si="62"/>
        <v>0</v>
      </c>
      <c r="AT184" s="284">
        <f t="shared" si="63"/>
        <v>0</v>
      </c>
    </row>
    <row r="185" spans="1:97" s="234" customFormat="1" ht="61.75" x14ac:dyDescent="0.8">
      <c r="A185" s="262">
        <f>ROW()</f>
        <v>185</v>
      </c>
      <c r="B185" s="234" t="s">
        <v>491</v>
      </c>
      <c r="C185" s="217" t="str">
        <f>N163</f>
        <v>medium-sized Form 1 MSSBs</v>
      </c>
      <c r="D185" s="260" t="str">
        <f>IF(B185="Shopping List",IF(ISNUMBER(SEARCH("MSSB",C185)),"MSSB",IF(ISNUMBER(SEARCH("local",C185)),"LOCAL","")))</f>
        <v>MSSB</v>
      </c>
      <c r="E185" s="238"/>
      <c r="F185" s="217"/>
      <c r="G185" s="217"/>
      <c r="H185" s="245"/>
      <c r="I185" s="270"/>
      <c r="J185" s="241" t="str">
        <f>CONCATENATE(O163," ",L163, " (",M163,") ",N163,".", IF(M163&gt;1," Each "," This "),"includes supply and install of ",O164,O165,O166,O167,O168,O169,O170,O171,O172,O173,O174,O175,O176,O177,O178,O179,O180,O181,O182,O183,J164,J165,J166,J167,J168,J169,J170,J171,J172,J173,J174,J175,J176,J177,J178,J179,J180,J181,J182,J183)</f>
        <v xml:space="preserve">Electrical services for Zero (0) medium-sized Form 1 MSSBs. This includes supply and install of Main switch contactors circuit breakers busbar and wiring trefolyte labelling miscellaneous items testing inside powder coated enclosure. </v>
      </c>
      <c r="K185" s="246">
        <f>P184</f>
        <v>0</v>
      </c>
      <c r="L185" s="234" t="str">
        <f>CONCATENATE(Q164,Q165,Q166,Q167,Q168,Q169,Q170,Q171,Q172,Q173,Q174,Q175,Q176,Q177,Q178,Q179,Q180,Q181,Q182,Q183,)</f>
        <v/>
      </c>
      <c r="M185" s="91" t="s">
        <v>367</v>
      </c>
      <c r="N185" s="83" t="str">
        <f>N163</f>
        <v>medium-sized Form 1 MSSBs</v>
      </c>
      <c r="O185" s="83" t="s">
        <v>365</v>
      </c>
      <c r="P185" s="64" t="e">
        <f>P184/M163</f>
        <v>#DIV/0!</v>
      </c>
      <c r="Q185" s="84"/>
      <c r="R185" s="84"/>
      <c r="S185" s="83"/>
      <c r="T185" s="84"/>
      <c r="U185" s="503" t="s">
        <v>366</v>
      </c>
      <c r="V185" s="503"/>
      <c r="W185" s="85" t="e">
        <f>W184/M163</f>
        <v>#DIV/0!</v>
      </c>
      <c r="X185" s="86"/>
      <c r="Y185" s="501" t="s">
        <v>365</v>
      </c>
      <c r="Z185" s="501"/>
      <c r="AA185" s="87" t="e">
        <f>AA184/M163</f>
        <v>#DIV/0!</v>
      </c>
      <c r="AB185" s="84"/>
      <c r="AC185" s="84"/>
      <c r="AD185" s="84"/>
      <c r="AE185" s="84"/>
      <c r="AF185" s="501" t="s">
        <v>365</v>
      </c>
      <c r="AG185" s="501"/>
      <c r="AH185" s="87" t="e">
        <f>AH184/M163</f>
        <v>#DIV/0!</v>
      </c>
      <c r="AI185" s="84"/>
      <c r="AJ185" s="84"/>
      <c r="AK185" s="84"/>
      <c r="AL185" s="247"/>
      <c r="AM185" s="257"/>
      <c r="AN185" s="236">
        <f>K185*1.25</f>
        <v>0</v>
      </c>
      <c r="AO185" s="286"/>
      <c r="AP185" s="284">
        <f t="shared" si="59"/>
        <v>0</v>
      </c>
      <c r="AQ185" s="281">
        <f t="shared" si="60"/>
        <v>0</v>
      </c>
      <c r="AR185" s="284">
        <f t="shared" si="61"/>
        <v>0</v>
      </c>
      <c r="AS185" s="281">
        <f t="shared" si="62"/>
        <v>0</v>
      </c>
      <c r="AT185" s="284">
        <f t="shared" si="63"/>
        <v>0</v>
      </c>
      <c r="AU185" s="117"/>
      <c r="AV185" s="117"/>
      <c r="AW185" s="117"/>
      <c r="AX185" s="117"/>
      <c r="AY185" s="117"/>
      <c r="AZ185" s="117"/>
      <c r="BA185" s="117"/>
      <c r="BB185" s="117"/>
      <c r="BC185" s="117"/>
      <c r="BD185" s="117"/>
      <c r="BE185" s="117"/>
      <c r="BF185" s="117"/>
      <c r="BG185" s="117"/>
      <c r="BH185" s="117"/>
      <c r="BI185" s="117"/>
      <c r="BJ185" s="117"/>
      <c r="BK185" s="117"/>
      <c r="BL185" s="117"/>
      <c r="BM185" s="117"/>
      <c r="BN185" s="117"/>
      <c r="BO185" s="117"/>
      <c r="BP185" s="117"/>
      <c r="BQ185" s="117"/>
      <c r="BR185" s="117"/>
      <c r="BS185" s="117"/>
      <c r="BT185" s="117"/>
      <c r="BU185" s="117"/>
      <c r="BV185" s="117"/>
      <c r="BW185" s="117"/>
      <c r="BX185" s="117"/>
      <c r="BY185" s="117"/>
      <c r="BZ185" s="117"/>
      <c r="CA185" s="117"/>
      <c r="CB185" s="117"/>
      <c r="CC185" s="117"/>
      <c r="CD185" s="117"/>
      <c r="CE185" s="117"/>
      <c r="CF185" s="117"/>
      <c r="CG185" s="117"/>
      <c r="CH185" s="117"/>
      <c r="CI185" s="117"/>
      <c r="CJ185" s="117"/>
      <c r="CK185" s="117"/>
      <c r="CL185" s="117"/>
      <c r="CM185" s="117"/>
      <c r="CN185" s="117"/>
      <c r="CO185" s="117"/>
      <c r="CP185" s="117"/>
      <c r="CQ185" s="117"/>
      <c r="CR185" s="117"/>
      <c r="CS185" s="117"/>
    </row>
    <row r="186" spans="1:97" s="2" customFormat="1" ht="192.75" customHeight="1" x14ac:dyDescent="0.8">
      <c r="A186" s="262">
        <f>ROW()</f>
        <v>186</v>
      </c>
      <c r="B186" s="116"/>
      <c r="C186" s="211"/>
      <c r="D186" s="211"/>
      <c r="E186" s="211"/>
      <c r="F186" s="211"/>
      <c r="G186" s="211"/>
      <c r="H186" s="211"/>
      <c r="I186" s="116"/>
      <c r="K186" s="2" t="s">
        <v>452</v>
      </c>
      <c r="M186" s="2" t="s">
        <v>107</v>
      </c>
      <c r="N186" s="2" t="s">
        <v>108</v>
      </c>
      <c r="O186" s="97" t="s">
        <v>386</v>
      </c>
      <c r="P186" s="502" t="s">
        <v>375</v>
      </c>
      <c r="Q186" s="502"/>
      <c r="R186" s="101" t="s">
        <v>452</v>
      </c>
      <c r="S186" s="2" t="s">
        <v>0</v>
      </c>
      <c r="T186" s="9"/>
      <c r="U186" s="2" t="s">
        <v>287</v>
      </c>
      <c r="V186" s="2" t="s">
        <v>288</v>
      </c>
      <c r="W186" s="2" t="s">
        <v>291</v>
      </c>
      <c r="X186" s="58"/>
      <c r="Y186" s="2" t="s">
        <v>289</v>
      </c>
      <c r="Z186" s="2" t="s">
        <v>354</v>
      </c>
      <c r="AA186" s="2" t="s">
        <v>355</v>
      </c>
      <c r="AB186" s="2" t="s">
        <v>317</v>
      </c>
      <c r="AC186" s="2" t="s">
        <v>318</v>
      </c>
      <c r="AD186" s="2" t="s">
        <v>316</v>
      </c>
      <c r="AE186" s="58"/>
      <c r="AF186" s="2" t="s">
        <v>293</v>
      </c>
      <c r="AG186" s="2" t="s">
        <v>354</v>
      </c>
      <c r="AH186" s="2" t="s">
        <v>355</v>
      </c>
      <c r="AI186" s="2" t="s">
        <v>296</v>
      </c>
      <c r="AJ186" s="2" t="s">
        <v>294</v>
      </c>
      <c r="AK186" s="2" t="s">
        <v>295</v>
      </c>
      <c r="AL186" s="58"/>
      <c r="AO186" s="288"/>
      <c r="AP186" s="284">
        <f t="shared" si="59"/>
        <v>0</v>
      </c>
      <c r="AQ186" s="281">
        <f t="shared" si="60"/>
        <v>0</v>
      </c>
      <c r="AR186" s="284">
        <f t="shared" si="61"/>
        <v>0</v>
      </c>
      <c r="AS186" s="281">
        <f t="shared" si="62"/>
        <v>0</v>
      </c>
      <c r="AT186" s="284">
        <f t="shared" si="63"/>
        <v>0</v>
      </c>
    </row>
    <row r="187" spans="1:97" s="32" customFormat="1" ht="31.5" customHeight="1" x14ac:dyDescent="0.8">
      <c r="A187" s="262">
        <f>ROW()</f>
        <v>187</v>
      </c>
      <c r="B187" s="114"/>
      <c r="C187" s="208"/>
      <c r="D187" s="208"/>
      <c r="E187" s="208"/>
      <c r="F187" s="208"/>
      <c r="G187" s="208"/>
      <c r="H187" s="208"/>
      <c r="I187" s="114"/>
      <c r="L187" s="16" t="str">
        <f>VLOOKUP(M187,Sheet2!$D$2:$E$1024,2,FALSE)</f>
        <v>Zero</v>
      </c>
      <c r="M187" s="121">
        <f>I209</f>
        <v>0</v>
      </c>
      <c r="N187" s="27" t="s">
        <v>348</v>
      </c>
      <c r="O187" s="12" t="s">
        <v>195</v>
      </c>
      <c r="P187" s="96" t="s">
        <v>379</v>
      </c>
      <c r="Q187" s="96" t="s">
        <v>375</v>
      </c>
      <c r="R187" s="96"/>
      <c r="S187" s="28">
        <f>M187</f>
        <v>0</v>
      </c>
      <c r="T187" s="10"/>
      <c r="U187" s="73" t="s">
        <v>236</v>
      </c>
      <c r="V187" s="28">
        <f>S187</f>
        <v>0</v>
      </c>
      <c r="W187" s="28">
        <f>VLOOKUP(U187,Sheet1!$B$6:$C$45,2,FALSE)*V187</f>
        <v>0</v>
      </c>
      <c r="X187" s="59"/>
      <c r="Y187" s="12" t="s">
        <v>292</v>
      </c>
      <c r="Z187" s="68">
        <f>VLOOKUP(Takeoffs!Y187,Sheet1!$B$6:$C$124,2,FALSE)</f>
        <v>0</v>
      </c>
      <c r="AA187" s="68">
        <f>Z187*AB187</f>
        <v>0</v>
      </c>
      <c r="AB187" s="63">
        <f>AD187*AC187</f>
        <v>0</v>
      </c>
      <c r="AC187" s="28">
        <f>S187</f>
        <v>0</v>
      </c>
      <c r="AD187" s="61">
        <v>1</v>
      </c>
      <c r="AE187" s="59"/>
      <c r="AF187" s="12" t="s">
        <v>292</v>
      </c>
      <c r="AG187" s="68">
        <f>VLOOKUP(Takeoffs!AF187,Sheet1!$B$6:$C$124,2,FALSE)</f>
        <v>0</v>
      </c>
      <c r="AH187" s="68">
        <f>AG187*AI187</f>
        <v>0</v>
      </c>
      <c r="AI187" s="63">
        <f>AK187*AJ187</f>
        <v>0</v>
      </c>
      <c r="AJ187" s="28">
        <f>S187</f>
        <v>0</v>
      </c>
      <c r="AK187" s="61"/>
      <c r="AL187" s="59"/>
      <c r="AO187" s="286"/>
      <c r="AP187" s="284">
        <f t="shared" si="59"/>
        <v>0</v>
      </c>
      <c r="AQ187" s="281">
        <f t="shared" si="60"/>
        <v>0</v>
      </c>
      <c r="AR187" s="284">
        <f t="shared" si="61"/>
        <v>0</v>
      </c>
      <c r="AS187" s="281">
        <f t="shared" si="62"/>
        <v>0</v>
      </c>
      <c r="AT187" s="284">
        <f t="shared" si="63"/>
        <v>0</v>
      </c>
    </row>
    <row r="188" spans="1:97" s="32" customFormat="1" ht="30.9" x14ac:dyDescent="0.8">
      <c r="A188" s="262">
        <f>ROW()</f>
        <v>188</v>
      </c>
      <c r="B188" s="114"/>
      <c r="C188" s="208"/>
      <c r="D188" s="208"/>
      <c r="E188" s="208"/>
      <c r="F188" s="208"/>
      <c r="G188" s="208"/>
      <c r="H188" s="208"/>
      <c r="I188" s="114"/>
      <c r="J188" s="32" t="str">
        <f>IF(COUNTBLANK(Q188)&gt;0,"",CONCATENATE("Coordination Note: - ",P188,": Please refer to our exclusions relating to ",Q188))</f>
        <v/>
      </c>
      <c r="K188" s="32" t="str">
        <f>IF(COUNTBLANK(R188)&gt;0,"",CONCATENATE(R188," for ",N187))</f>
        <v/>
      </c>
      <c r="M188" s="38"/>
      <c r="N188" s="15" t="s">
        <v>113</v>
      </c>
      <c r="O188" s="66" t="s">
        <v>398</v>
      </c>
      <c r="P188" s="12"/>
      <c r="Q188" s="12"/>
      <c r="R188" s="12"/>
      <c r="S188" s="28">
        <f>M187</f>
        <v>0</v>
      </c>
      <c r="T188" s="11"/>
      <c r="U188" s="12" t="s">
        <v>292</v>
      </c>
      <c r="V188" s="28">
        <f t="shared" ref="V188:V207" si="72">S188</f>
        <v>0</v>
      </c>
      <c r="W188" s="28">
        <f>VLOOKUP(U188,Sheet1!$B$6:$C$45,2,FALSE)*V188</f>
        <v>0</v>
      </c>
      <c r="X188" s="59"/>
      <c r="Y188" s="73" t="s">
        <v>417</v>
      </c>
      <c r="Z188" s="68">
        <f>VLOOKUP(Takeoffs!Y188,Sheet1!$B$6:$C$124,2,FALSE)</f>
        <v>586.15199999999993</v>
      </c>
      <c r="AA188" s="68">
        <f t="shared" ref="AA188:AA207" si="73">Z188*AB188</f>
        <v>0</v>
      </c>
      <c r="AB188" s="63">
        <f t="shared" ref="AB188:AB207" si="74">AD188*AC188</f>
        <v>0</v>
      </c>
      <c r="AC188" s="28">
        <f>S188</f>
        <v>0</v>
      </c>
      <c r="AD188" s="61">
        <v>1</v>
      </c>
      <c r="AE188" s="59"/>
      <c r="AF188" s="12" t="s">
        <v>292</v>
      </c>
      <c r="AG188" s="68">
        <f>VLOOKUP(Takeoffs!AF188,Sheet1!$B$6:$C$124,2,FALSE)</f>
        <v>0</v>
      </c>
      <c r="AH188" s="68">
        <f t="shared" ref="AH188:AH207" si="75">AG188*AI188</f>
        <v>0</v>
      </c>
      <c r="AI188" s="63">
        <f t="shared" ref="AI188:AI207" si="76">AK188*AJ188</f>
        <v>0</v>
      </c>
      <c r="AJ188" s="28">
        <f t="shared" ref="AJ188:AJ207" si="77">S188</f>
        <v>0</v>
      </c>
      <c r="AK188" s="61"/>
      <c r="AL188" s="59"/>
      <c r="AO188" s="286"/>
      <c r="AP188" s="284">
        <f t="shared" si="59"/>
        <v>0</v>
      </c>
      <c r="AQ188" s="281">
        <f t="shared" si="60"/>
        <v>0</v>
      </c>
      <c r="AR188" s="284">
        <f t="shared" si="61"/>
        <v>0</v>
      </c>
      <c r="AS188" s="281">
        <f t="shared" si="62"/>
        <v>0</v>
      </c>
      <c r="AT188" s="284">
        <f t="shared" si="63"/>
        <v>0</v>
      </c>
    </row>
    <row r="189" spans="1:97" s="32" customFormat="1" ht="30.9" x14ac:dyDescent="0.8">
      <c r="A189" s="262">
        <f>ROW()</f>
        <v>189</v>
      </c>
      <c r="B189" s="114"/>
      <c r="C189" s="208"/>
      <c r="D189" s="208"/>
      <c r="E189" s="208"/>
      <c r="F189" s="208"/>
      <c r="G189" s="208"/>
      <c r="H189" s="208"/>
      <c r="I189" s="114"/>
      <c r="J189" s="32" t="str">
        <f t="shared" ref="J189:J207" si="78">IF(COUNTBLANK(Q189)&gt;0,"",CONCATENATE("Coordination Note: - ",P189,": Please refer to our exclusions relating to ",Q189))</f>
        <v/>
      </c>
      <c r="K189" s="32" t="str">
        <f>IF(COUNTBLANK(R189)&gt;0,"",CONCATENATE(R189," for ",N187))</f>
        <v/>
      </c>
      <c r="M189" s="38"/>
      <c r="N189" s="15" t="s">
        <v>114</v>
      </c>
      <c r="O189" s="66" t="s">
        <v>399</v>
      </c>
      <c r="P189" s="12"/>
      <c r="Q189" s="12"/>
      <c r="R189" s="12"/>
      <c r="S189" s="28">
        <f>M187</f>
        <v>0</v>
      </c>
      <c r="T189" s="11"/>
      <c r="U189" s="12" t="s">
        <v>292</v>
      </c>
      <c r="V189" s="28">
        <f t="shared" si="72"/>
        <v>0</v>
      </c>
      <c r="W189" s="28">
        <f>VLOOKUP(U189,Sheet1!$B$6:$C$45,2,FALSE)*V189</f>
        <v>0</v>
      </c>
      <c r="X189" s="59"/>
      <c r="Y189" s="12" t="s">
        <v>292</v>
      </c>
      <c r="Z189" s="68">
        <f>VLOOKUP(Takeoffs!Y189,Sheet1!$B$6:$C$124,2,FALSE)</f>
        <v>0</v>
      </c>
      <c r="AA189" s="68">
        <f t="shared" si="73"/>
        <v>0</v>
      </c>
      <c r="AB189" s="63">
        <f t="shared" si="74"/>
        <v>0</v>
      </c>
      <c r="AC189" s="28">
        <f>S189</f>
        <v>0</v>
      </c>
      <c r="AD189" s="61">
        <v>1</v>
      </c>
      <c r="AE189" s="59"/>
      <c r="AF189" s="12" t="s">
        <v>292</v>
      </c>
      <c r="AG189" s="68">
        <f>VLOOKUP(Takeoffs!AF189,Sheet1!$B$6:$C$124,2,FALSE)</f>
        <v>0</v>
      </c>
      <c r="AH189" s="68">
        <f t="shared" si="75"/>
        <v>0</v>
      </c>
      <c r="AI189" s="63">
        <f t="shared" si="76"/>
        <v>0</v>
      </c>
      <c r="AJ189" s="28">
        <f t="shared" si="77"/>
        <v>0</v>
      </c>
      <c r="AK189" s="61"/>
      <c r="AL189" s="59"/>
      <c r="AO189" s="286"/>
      <c r="AP189" s="284">
        <f t="shared" si="59"/>
        <v>0</v>
      </c>
      <c r="AQ189" s="281">
        <f t="shared" si="60"/>
        <v>0</v>
      </c>
      <c r="AR189" s="284">
        <f t="shared" si="61"/>
        <v>0</v>
      </c>
      <c r="AS189" s="281">
        <f t="shared" si="62"/>
        <v>0</v>
      </c>
      <c r="AT189" s="284">
        <f t="shared" si="63"/>
        <v>0</v>
      </c>
    </row>
    <row r="190" spans="1:97" s="32" customFormat="1" ht="30.9" x14ac:dyDescent="0.8">
      <c r="A190" s="262">
        <f>ROW()</f>
        <v>190</v>
      </c>
      <c r="B190" s="114"/>
      <c r="C190" s="208"/>
      <c r="D190" s="208"/>
      <c r="E190" s="208"/>
      <c r="F190" s="208"/>
      <c r="G190" s="208"/>
      <c r="H190" s="208"/>
      <c r="I190" s="114"/>
      <c r="J190" s="32" t="str">
        <f t="shared" si="78"/>
        <v/>
      </c>
      <c r="K190" s="32" t="str">
        <f>IF(COUNTBLANK(R190)&gt;0,"",CONCATENATE(R190," for ",N187))</f>
        <v/>
      </c>
      <c r="M190" s="38"/>
      <c r="N190" s="15" t="s">
        <v>115</v>
      </c>
      <c r="O190" s="66" t="s">
        <v>400</v>
      </c>
      <c r="P190" s="12"/>
      <c r="Q190" s="12"/>
      <c r="R190" s="12"/>
      <c r="S190" s="28">
        <f>M187</f>
        <v>0</v>
      </c>
      <c r="T190" s="11"/>
      <c r="U190" s="12" t="s">
        <v>292</v>
      </c>
      <c r="V190" s="28">
        <f t="shared" si="72"/>
        <v>0</v>
      </c>
      <c r="W190" s="28">
        <f>VLOOKUP(U190,Sheet1!$B$6:$C$45,2,FALSE)*V190</f>
        <v>0</v>
      </c>
      <c r="X190" s="59"/>
      <c r="Y190" s="12" t="s">
        <v>292</v>
      </c>
      <c r="Z190" s="68">
        <f>VLOOKUP(Takeoffs!Y190,Sheet1!$B$6:$C$124,2,FALSE)</f>
        <v>0</v>
      </c>
      <c r="AA190" s="68">
        <f t="shared" si="73"/>
        <v>0</v>
      </c>
      <c r="AB190" s="63">
        <f t="shared" si="74"/>
        <v>0</v>
      </c>
      <c r="AC190" s="28">
        <f t="shared" ref="AC190:AC207" si="79">S190</f>
        <v>0</v>
      </c>
      <c r="AD190" s="61">
        <v>1</v>
      </c>
      <c r="AE190" s="59"/>
      <c r="AF190" s="12" t="s">
        <v>292</v>
      </c>
      <c r="AG190" s="68">
        <f>VLOOKUP(Takeoffs!AF190,Sheet1!$B$6:$C$124,2,FALSE)</f>
        <v>0</v>
      </c>
      <c r="AH190" s="68">
        <f t="shared" si="75"/>
        <v>0</v>
      </c>
      <c r="AI190" s="63">
        <f t="shared" si="76"/>
        <v>0</v>
      </c>
      <c r="AJ190" s="28">
        <f t="shared" si="77"/>
        <v>0</v>
      </c>
      <c r="AK190" s="61"/>
      <c r="AL190" s="59"/>
      <c r="AO190" s="286"/>
      <c r="AP190" s="284">
        <f t="shared" si="59"/>
        <v>0</v>
      </c>
      <c r="AQ190" s="281">
        <f t="shared" si="60"/>
        <v>0</v>
      </c>
      <c r="AR190" s="284">
        <f t="shared" si="61"/>
        <v>0</v>
      </c>
      <c r="AS190" s="281">
        <f t="shared" si="62"/>
        <v>0</v>
      </c>
      <c r="AT190" s="284">
        <f t="shared" si="63"/>
        <v>0</v>
      </c>
    </row>
    <row r="191" spans="1:97" s="32" customFormat="1" ht="30.9" x14ac:dyDescent="0.8">
      <c r="A191" s="262">
        <f>ROW()</f>
        <v>191</v>
      </c>
      <c r="B191" s="114"/>
      <c r="C191" s="208"/>
      <c r="D191" s="208"/>
      <c r="E191" s="208"/>
      <c r="F191" s="208"/>
      <c r="G191" s="208"/>
      <c r="H191" s="208"/>
      <c r="I191" s="114"/>
      <c r="J191" s="32" t="str">
        <f t="shared" si="78"/>
        <v/>
      </c>
      <c r="K191" s="32" t="str">
        <f>IF(COUNTBLANK(R191)&gt;0,"",CONCATENATE(R191," for ",N187))</f>
        <v/>
      </c>
      <c r="M191" s="38"/>
      <c r="N191" s="15" t="s">
        <v>116</v>
      </c>
      <c r="O191" s="66" t="s">
        <v>401</v>
      </c>
      <c r="P191" s="12"/>
      <c r="Q191" s="12"/>
      <c r="R191" s="12"/>
      <c r="S191" s="28">
        <f>M187</f>
        <v>0</v>
      </c>
      <c r="T191" s="11"/>
      <c r="U191" s="12" t="s">
        <v>292</v>
      </c>
      <c r="V191" s="28">
        <f t="shared" si="72"/>
        <v>0</v>
      </c>
      <c r="W191" s="28">
        <f>VLOOKUP(U191,Sheet1!$B$6:$C$45,2,FALSE)*V191</f>
        <v>0</v>
      </c>
      <c r="X191" s="59"/>
      <c r="Y191" s="12" t="s">
        <v>292</v>
      </c>
      <c r="Z191" s="68">
        <f>VLOOKUP(Takeoffs!Y191,Sheet1!$B$6:$C$124,2,FALSE)</f>
        <v>0</v>
      </c>
      <c r="AA191" s="68">
        <f t="shared" si="73"/>
        <v>0</v>
      </c>
      <c r="AB191" s="63">
        <f t="shared" si="74"/>
        <v>0</v>
      </c>
      <c r="AC191" s="28">
        <f t="shared" si="79"/>
        <v>0</v>
      </c>
      <c r="AD191" s="61">
        <v>1</v>
      </c>
      <c r="AE191" s="59"/>
      <c r="AF191" s="12" t="s">
        <v>292</v>
      </c>
      <c r="AG191" s="68">
        <f>VLOOKUP(Takeoffs!AF191,Sheet1!$B$6:$C$124,2,FALSE)</f>
        <v>0</v>
      </c>
      <c r="AH191" s="68">
        <f t="shared" si="75"/>
        <v>0</v>
      </c>
      <c r="AI191" s="63">
        <f t="shared" si="76"/>
        <v>0</v>
      </c>
      <c r="AJ191" s="28">
        <f t="shared" si="77"/>
        <v>0</v>
      </c>
      <c r="AK191" s="61"/>
      <c r="AL191" s="59"/>
      <c r="AO191" s="286"/>
      <c r="AP191" s="284">
        <f t="shared" si="59"/>
        <v>0</v>
      </c>
      <c r="AQ191" s="281">
        <f t="shared" si="60"/>
        <v>0</v>
      </c>
      <c r="AR191" s="284">
        <f t="shared" si="61"/>
        <v>0</v>
      </c>
      <c r="AS191" s="281">
        <f t="shared" si="62"/>
        <v>0</v>
      </c>
      <c r="AT191" s="284">
        <f t="shared" si="63"/>
        <v>0</v>
      </c>
    </row>
    <row r="192" spans="1:97" s="32" customFormat="1" ht="30.9" x14ac:dyDescent="0.8">
      <c r="A192" s="262">
        <f>ROW()</f>
        <v>192</v>
      </c>
      <c r="B192" s="114"/>
      <c r="C192" s="208"/>
      <c r="D192" s="208"/>
      <c r="E192" s="208"/>
      <c r="F192" s="208"/>
      <c r="G192" s="208"/>
      <c r="H192" s="208"/>
      <c r="I192" s="114"/>
      <c r="J192" s="32" t="str">
        <f t="shared" si="78"/>
        <v/>
      </c>
      <c r="K192" s="32" t="str">
        <f>IF(COUNTBLANK(R192)&gt;0,"",CONCATENATE(R192," for ",N187))</f>
        <v/>
      </c>
      <c r="M192" s="38"/>
      <c r="N192" s="15" t="s">
        <v>117</v>
      </c>
      <c r="O192" s="66" t="s">
        <v>402</v>
      </c>
      <c r="P192" s="12"/>
      <c r="Q192" s="12"/>
      <c r="R192" s="12"/>
      <c r="S192" s="28">
        <f>M187</f>
        <v>0</v>
      </c>
      <c r="T192" s="11"/>
      <c r="U192" s="12" t="s">
        <v>292</v>
      </c>
      <c r="V192" s="28">
        <f t="shared" si="72"/>
        <v>0</v>
      </c>
      <c r="W192" s="28">
        <f>VLOOKUP(U192,Sheet1!$B$6:$C$45,2,FALSE)*V192</f>
        <v>0</v>
      </c>
      <c r="X192" s="59"/>
      <c r="Y192" s="12" t="s">
        <v>274</v>
      </c>
      <c r="Z192" s="68">
        <f>VLOOKUP(Takeoffs!Y192,Sheet1!$B$6:$C$124,2,FALSE)</f>
        <v>360</v>
      </c>
      <c r="AA192" s="68">
        <f t="shared" si="73"/>
        <v>0</v>
      </c>
      <c r="AB192" s="63">
        <f t="shared" si="74"/>
        <v>0</v>
      </c>
      <c r="AC192" s="28">
        <f t="shared" si="79"/>
        <v>0</v>
      </c>
      <c r="AD192" s="61">
        <v>1</v>
      </c>
      <c r="AE192" s="59"/>
      <c r="AF192" s="12" t="s">
        <v>292</v>
      </c>
      <c r="AG192" s="68">
        <f>VLOOKUP(Takeoffs!AF192,Sheet1!$B$6:$C$124,2,FALSE)</f>
        <v>0</v>
      </c>
      <c r="AH192" s="68">
        <f t="shared" si="75"/>
        <v>0</v>
      </c>
      <c r="AI192" s="63">
        <f t="shared" si="76"/>
        <v>0</v>
      </c>
      <c r="AJ192" s="28">
        <f t="shared" si="77"/>
        <v>0</v>
      </c>
      <c r="AK192" s="61"/>
      <c r="AL192" s="59"/>
      <c r="AO192" s="286"/>
      <c r="AP192" s="284">
        <f t="shared" si="59"/>
        <v>0</v>
      </c>
      <c r="AQ192" s="281">
        <f t="shared" si="60"/>
        <v>0</v>
      </c>
      <c r="AR192" s="284">
        <f t="shared" si="61"/>
        <v>0</v>
      </c>
      <c r="AS192" s="281">
        <f t="shared" si="62"/>
        <v>0</v>
      </c>
      <c r="AT192" s="284">
        <f t="shared" si="63"/>
        <v>0</v>
      </c>
    </row>
    <row r="193" spans="1:46" s="32" customFormat="1" ht="30.9" x14ac:dyDescent="0.8">
      <c r="A193" s="262">
        <f>ROW()</f>
        <v>193</v>
      </c>
      <c r="B193" s="114"/>
      <c r="C193" s="208"/>
      <c r="D193" s="208"/>
      <c r="E193" s="208"/>
      <c r="F193" s="208"/>
      <c r="G193" s="208"/>
      <c r="H193" s="208"/>
      <c r="I193" s="114"/>
      <c r="J193" s="32" t="str">
        <f t="shared" si="78"/>
        <v/>
      </c>
      <c r="K193" s="32" t="str">
        <f>IF(COUNTBLANK(R193)&gt;0,"",CONCATENATE(R193," for ",N187))</f>
        <v/>
      </c>
      <c r="M193" s="38"/>
      <c r="N193" s="15" t="s">
        <v>118</v>
      </c>
      <c r="O193" s="66" t="s">
        <v>403</v>
      </c>
      <c r="P193" s="12"/>
      <c r="Q193" s="12"/>
      <c r="R193" s="12"/>
      <c r="S193" s="28">
        <f>M187</f>
        <v>0</v>
      </c>
      <c r="T193" s="11"/>
      <c r="U193" s="12" t="s">
        <v>292</v>
      </c>
      <c r="V193" s="28">
        <f t="shared" si="72"/>
        <v>0</v>
      </c>
      <c r="W193" s="28">
        <f>VLOOKUP(U193,Sheet1!$B$6:$C$45,2,FALSE)*V193</f>
        <v>0</v>
      </c>
      <c r="X193" s="59"/>
      <c r="Y193" s="12" t="s">
        <v>292</v>
      </c>
      <c r="Z193" s="68">
        <f>VLOOKUP(Takeoffs!Y193,Sheet1!$B$6:$C$124,2,FALSE)</f>
        <v>0</v>
      </c>
      <c r="AA193" s="68">
        <f t="shared" si="73"/>
        <v>0</v>
      </c>
      <c r="AB193" s="63">
        <f t="shared" si="74"/>
        <v>0</v>
      </c>
      <c r="AC193" s="28">
        <f t="shared" si="79"/>
        <v>0</v>
      </c>
      <c r="AD193" s="61">
        <v>1</v>
      </c>
      <c r="AE193" s="59"/>
      <c r="AF193" s="12" t="s">
        <v>292</v>
      </c>
      <c r="AG193" s="68">
        <f>VLOOKUP(Takeoffs!AF193,Sheet1!$B$6:$C$124,2,FALSE)</f>
        <v>0</v>
      </c>
      <c r="AH193" s="68">
        <f t="shared" si="75"/>
        <v>0</v>
      </c>
      <c r="AI193" s="63">
        <f t="shared" si="76"/>
        <v>0</v>
      </c>
      <c r="AJ193" s="28">
        <f t="shared" si="77"/>
        <v>0</v>
      </c>
      <c r="AK193" s="61"/>
      <c r="AL193" s="59"/>
      <c r="AO193" s="286"/>
      <c r="AP193" s="284">
        <f t="shared" si="59"/>
        <v>0</v>
      </c>
      <c r="AQ193" s="281">
        <f t="shared" si="60"/>
        <v>0</v>
      </c>
      <c r="AR193" s="284">
        <f t="shared" si="61"/>
        <v>0</v>
      </c>
      <c r="AS193" s="281">
        <f t="shared" si="62"/>
        <v>0</v>
      </c>
      <c r="AT193" s="284">
        <f t="shared" si="63"/>
        <v>0</v>
      </c>
    </row>
    <row r="194" spans="1:46" s="32" customFormat="1" ht="30.9" x14ac:dyDescent="0.8">
      <c r="A194" s="262">
        <f>ROW()</f>
        <v>194</v>
      </c>
      <c r="B194" s="114"/>
      <c r="C194" s="208"/>
      <c r="D194" s="208"/>
      <c r="E194" s="208"/>
      <c r="F194" s="208"/>
      <c r="G194" s="208"/>
      <c r="H194" s="208"/>
      <c r="I194" s="114"/>
      <c r="J194" s="32" t="str">
        <f t="shared" si="78"/>
        <v/>
      </c>
      <c r="K194" s="32" t="str">
        <f>IF(COUNTBLANK(R194)&gt;0,"",CONCATENATE(R194," for ",N187))</f>
        <v/>
      </c>
      <c r="N194" s="15" t="s">
        <v>119</v>
      </c>
      <c r="O194" s="66" t="s">
        <v>404</v>
      </c>
      <c r="P194" s="12"/>
      <c r="Q194" s="12"/>
      <c r="R194" s="12"/>
      <c r="S194" s="28">
        <f>M187</f>
        <v>0</v>
      </c>
      <c r="T194" s="11"/>
      <c r="U194" s="12" t="s">
        <v>292</v>
      </c>
      <c r="V194" s="28">
        <f t="shared" si="72"/>
        <v>0</v>
      </c>
      <c r="W194" s="28">
        <f>VLOOKUP(U194,Sheet1!$B$6:$C$45,2,FALSE)*V194</f>
        <v>0</v>
      </c>
      <c r="X194" s="59"/>
      <c r="Y194" s="12" t="s">
        <v>292</v>
      </c>
      <c r="Z194" s="68">
        <f>VLOOKUP(Takeoffs!Y194,Sheet1!$B$6:$C$124,2,FALSE)</f>
        <v>0</v>
      </c>
      <c r="AA194" s="68">
        <f t="shared" si="73"/>
        <v>0</v>
      </c>
      <c r="AB194" s="63">
        <f t="shared" si="74"/>
        <v>0</v>
      </c>
      <c r="AC194" s="28">
        <f t="shared" si="79"/>
        <v>0</v>
      </c>
      <c r="AD194" s="61">
        <v>1</v>
      </c>
      <c r="AE194" s="59"/>
      <c r="AF194" s="12" t="s">
        <v>292</v>
      </c>
      <c r="AG194" s="68">
        <f>VLOOKUP(Takeoffs!AF194,Sheet1!$B$6:$C$124,2,FALSE)</f>
        <v>0</v>
      </c>
      <c r="AH194" s="68">
        <f t="shared" si="75"/>
        <v>0</v>
      </c>
      <c r="AI194" s="63">
        <f t="shared" si="76"/>
        <v>0</v>
      </c>
      <c r="AJ194" s="28">
        <f t="shared" si="77"/>
        <v>0</v>
      </c>
      <c r="AK194" s="61"/>
      <c r="AL194" s="59"/>
      <c r="AO194" s="286"/>
      <c r="AP194" s="284">
        <f t="shared" si="59"/>
        <v>0</v>
      </c>
      <c r="AQ194" s="281">
        <f t="shared" si="60"/>
        <v>0</v>
      </c>
      <c r="AR194" s="284">
        <f t="shared" si="61"/>
        <v>0</v>
      </c>
      <c r="AS194" s="281">
        <f t="shared" si="62"/>
        <v>0</v>
      </c>
      <c r="AT194" s="284">
        <f t="shared" si="63"/>
        <v>0</v>
      </c>
    </row>
    <row r="195" spans="1:46" s="32" customFormat="1" ht="30.9" x14ac:dyDescent="0.8">
      <c r="A195" s="262">
        <f>ROW()</f>
        <v>195</v>
      </c>
      <c r="B195" s="114"/>
      <c r="C195" s="208"/>
      <c r="D195" s="208"/>
      <c r="E195" s="208"/>
      <c r="F195" s="208"/>
      <c r="G195" s="208"/>
      <c r="H195" s="208"/>
      <c r="I195" s="114"/>
      <c r="J195" s="32" t="str">
        <f t="shared" si="78"/>
        <v/>
      </c>
      <c r="K195" s="32" t="str">
        <f>IF(COUNTBLANK(R195)&gt;0,"",CONCATENATE(R195," for ",N187))</f>
        <v/>
      </c>
      <c r="N195" s="15" t="s">
        <v>120</v>
      </c>
      <c r="O195" s="66" t="s">
        <v>440</v>
      </c>
      <c r="P195" s="12"/>
      <c r="Q195" s="12"/>
      <c r="R195" s="12"/>
      <c r="S195" s="28">
        <f>M187</f>
        <v>0</v>
      </c>
      <c r="T195" s="11"/>
      <c r="U195" s="12" t="s">
        <v>292</v>
      </c>
      <c r="V195" s="28">
        <f t="shared" si="72"/>
        <v>0</v>
      </c>
      <c r="W195" s="28">
        <f>VLOOKUP(U195,Sheet1!$B$6:$C$45,2,FALSE)*V195</f>
        <v>0</v>
      </c>
      <c r="X195" s="59"/>
      <c r="Y195" s="12" t="s">
        <v>292</v>
      </c>
      <c r="Z195" s="68">
        <f>VLOOKUP(Takeoffs!Y195,Sheet1!$B$6:$C$124,2,FALSE)</f>
        <v>0</v>
      </c>
      <c r="AA195" s="68">
        <f t="shared" si="73"/>
        <v>0</v>
      </c>
      <c r="AB195" s="63">
        <f t="shared" si="74"/>
        <v>0</v>
      </c>
      <c r="AC195" s="28">
        <f t="shared" si="79"/>
        <v>0</v>
      </c>
      <c r="AD195" s="61">
        <v>1</v>
      </c>
      <c r="AE195" s="59"/>
      <c r="AF195" s="12" t="s">
        <v>292</v>
      </c>
      <c r="AG195" s="68">
        <f>VLOOKUP(Takeoffs!AF195,Sheet1!$B$6:$C$124,2,FALSE)</f>
        <v>0</v>
      </c>
      <c r="AH195" s="68">
        <f t="shared" si="75"/>
        <v>0</v>
      </c>
      <c r="AI195" s="63">
        <f t="shared" si="76"/>
        <v>0</v>
      </c>
      <c r="AJ195" s="28">
        <f t="shared" si="77"/>
        <v>0</v>
      </c>
      <c r="AK195" s="61"/>
      <c r="AL195" s="59"/>
      <c r="AO195" s="286"/>
      <c r="AP195" s="284">
        <f t="shared" si="59"/>
        <v>0</v>
      </c>
      <c r="AQ195" s="281">
        <f t="shared" si="60"/>
        <v>0</v>
      </c>
      <c r="AR195" s="284">
        <f t="shared" si="61"/>
        <v>0</v>
      </c>
      <c r="AS195" s="281">
        <f t="shared" si="62"/>
        <v>0</v>
      </c>
      <c r="AT195" s="284">
        <f t="shared" si="63"/>
        <v>0</v>
      </c>
    </row>
    <row r="196" spans="1:46" s="32" customFormat="1" ht="30.9" x14ac:dyDescent="0.8">
      <c r="A196" s="262">
        <f>ROW()</f>
        <v>196</v>
      </c>
      <c r="B196" s="114"/>
      <c r="C196" s="208"/>
      <c r="D196" s="208"/>
      <c r="E196" s="208"/>
      <c r="F196" s="208"/>
      <c r="G196" s="208"/>
      <c r="H196" s="208"/>
      <c r="I196" s="114"/>
      <c r="J196" s="32" t="str">
        <f t="shared" si="78"/>
        <v/>
      </c>
      <c r="K196" s="32" t="str">
        <f>IF(COUNTBLANK(R196)&gt;0,"",CONCATENATE(R196," for ",N187))</f>
        <v/>
      </c>
      <c r="N196" s="15" t="s">
        <v>121</v>
      </c>
      <c r="O196" s="66"/>
      <c r="P196" s="12"/>
      <c r="Q196" s="12"/>
      <c r="R196" s="12"/>
      <c r="S196" s="28">
        <f>M187</f>
        <v>0</v>
      </c>
      <c r="T196" s="11"/>
      <c r="U196" s="12" t="s">
        <v>292</v>
      </c>
      <c r="V196" s="28">
        <f t="shared" si="72"/>
        <v>0</v>
      </c>
      <c r="W196" s="28">
        <f>VLOOKUP(U196,Sheet1!$B$6:$C$45,2,FALSE)*V196</f>
        <v>0</v>
      </c>
      <c r="X196" s="59"/>
      <c r="Y196" s="12" t="s">
        <v>292</v>
      </c>
      <c r="Z196" s="68">
        <f>VLOOKUP(Takeoffs!Y196,Sheet1!$B$6:$C$124,2,FALSE)</f>
        <v>0</v>
      </c>
      <c r="AA196" s="68">
        <f t="shared" si="73"/>
        <v>0</v>
      </c>
      <c r="AB196" s="63">
        <f t="shared" si="74"/>
        <v>0</v>
      </c>
      <c r="AC196" s="28">
        <f t="shared" si="79"/>
        <v>0</v>
      </c>
      <c r="AD196" s="61">
        <v>1</v>
      </c>
      <c r="AE196" s="59"/>
      <c r="AF196" s="12" t="s">
        <v>292</v>
      </c>
      <c r="AG196" s="68">
        <f>VLOOKUP(Takeoffs!AF196,Sheet1!$B$6:$C$124,2,FALSE)</f>
        <v>0</v>
      </c>
      <c r="AH196" s="68">
        <f t="shared" si="75"/>
        <v>0</v>
      </c>
      <c r="AI196" s="63">
        <f t="shared" si="76"/>
        <v>0</v>
      </c>
      <c r="AJ196" s="28">
        <f t="shared" si="77"/>
        <v>0</v>
      </c>
      <c r="AK196" s="61"/>
      <c r="AL196" s="59"/>
      <c r="AO196" s="286"/>
      <c r="AP196" s="284">
        <f t="shared" si="59"/>
        <v>0</v>
      </c>
      <c r="AQ196" s="281">
        <f t="shared" si="60"/>
        <v>0</v>
      </c>
      <c r="AR196" s="284">
        <f t="shared" si="61"/>
        <v>0</v>
      </c>
      <c r="AS196" s="281">
        <f t="shared" si="62"/>
        <v>0</v>
      </c>
      <c r="AT196" s="284">
        <f t="shared" si="63"/>
        <v>0</v>
      </c>
    </row>
    <row r="197" spans="1:46" s="32" customFormat="1" ht="30.9" x14ac:dyDescent="0.8">
      <c r="A197" s="262">
        <f>ROW()</f>
        <v>197</v>
      </c>
      <c r="B197" s="114"/>
      <c r="C197" s="208"/>
      <c r="D197" s="208"/>
      <c r="E197" s="208"/>
      <c r="F197" s="208"/>
      <c r="G197" s="208"/>
      <c r="H197" s="208"/>
      <c r="I197" s="114"/>
      <c r="J197" s="32" t="str">
        <f t="shared" si="78"/>
        <v/>
      </c>
      <c r="K197" s="32" t="str">
        <f>IF(COUNTBLANK(R197)&gt;0,"",CONCATENATE(R197," for ",N187))</f>
        <v/>
      </c>
      <c r="N197" s="15" t="s">
        <v>122</v>
      </c>
      <c r="O197" s="66"/>
      <c r="P197" s="12"/>
      <c r="Q197" s="12"/>
      <c r="R197" s="12"/>
      <c r="S197" s="28">
        <f>M187</f>
        <v>0</v>
      </c>
      <c r="T197" s="11"/>
      <c r="U197" s="12" t="s">
        <v>292</v>
      </c>
      <c r="V197" s="28">
        <f t="shared" si="72"/>
        <v>0</v>
      </c>
      <c r="W197" s="28">
        <f>VLOOKUP(U197,Sheet1!$B$6:$C$45,2,FALSE)*V197</f>
        <v>0</v>
      </c>
      <c r="X197" s="59"/>
      <c r="Y197" s="12" t="s">
        <v>292</v>
      </c>
      <c r="Z197" s="68">
        <f>VLOOKUP(Takeoffs!Y197,Sheet1!$B$6:$C$124,2,FALSE)</f>
        <v>0</v>
      </c>
      <c r="AA197" s="68">
        <f t="shared" si="73"/>
        <v>0</v>
      </c>
      <c r="AB197" s="63">
        <f t="shared" si="74"/>
        <v>0</v>
      </c>
      <c r="AC197" s="28">
        <f t="shared" si="79"/>
        <v>0</v>
      </c>
      <c r="AD197" s="61">
        <v>1</v>
      </c>
      <c r="AE197" s="59"/>
      <c r="AF197" s="12" t="s">
        <v>292</v>
      </c>
      <c r="AG197" s="68">
        <f>VLOOKUP(Takeoffs!AF197,Sheet1!$B$6:$C$124,2,FALSE)</f>
        <v>0</v>
      </c>
      <c r="AH197" s="68">
        <f t="shared" si="75"/>
        <v>0</v>
      </c>
      <c r="AI197" s="63">
        <f t="shared" si="76"/>
        <v>0</v>
      </c>
      <c r="AJ197" s="28">
        <f t="shared" si="77"/>
        <v>0</v>
      </c>
      <c r="AK197" s="61"/>
      <c r="AL197" s="59"/>
      <c r="AO197" s="286"/>
      <c r="AP197" s="284">
        <f t="shared" si="59"/>
        <v>0</v>
      </c>
      <c r="AQ197" s="281">
        <f t="shared" si="60"/>
        <v>0</v>
      </c>
      <c r="AR197" s="284">
        <f t="shared" si="61"/>
        <v>0</v>
      </c>
      <c r="AS197" s="281">
        <f t="shared" si="62"/>
        <v>0</v>
      </c>
      <c r="AT197" s="284">
        <f t="shared" si="63"/>
        <v>0</v>
      </c>
    </row>
    <row r="198" spans="1:46" s="32" customFormat="1" ht="30.9" x14ac:dyDescent="0.8">
      <c r="A198" s="262">
        <f>ROW()</f>
        <v>198</v>
      </c>
      <c r="B198" s="114"/>
      <c r="C198" s="208"/>
      <c r="D198" s="208"/>
      <c r="E198" s="208"/>
      <c r="F198" s="208"/>
      <c r="G198" s="208"/>
      <c r="H198" s="208"/>
      <c r="I198" s="114"/>
      <c r="J198" s="32" t="str">
        <f t="shared" si="78"/>
        <v/>
      </c>
      <c r="K198" s="32" t="str">
        <f>IF(COUNTBLANK(R198)&gt;0,"",CONCATENATE(R198," for ",N187))</f>
        <v/>
      </c>
      <c r="N198" s="15" t="s">
        <v>123</v>
      </c>
      <c r="O198" s="66"/>
      <c r="P198" s="12"/>
      <c r="Q198" s="12"/>
      <c r="R198" s="12"/>
      <c r="S198" s="28">
        <f>M187</f>
        <v>0</v>
      </c>
      <c r="T198" s="11"/>
      <c r="U198" s="12" t="s">
        <v>292</v>
      </c>
      <c r="V198" s="28">
        <f t="shared" si="72"/>
        <v>0</v>
      </c>
      <c r="W198" s="28">
        <f>VLOOKUP(U198,Sheet1!$B$6:$C$45,2,FALSE)*V198</f>
        <v>0</v>
      </c>
      <c r="X198" s="59"/>
      <c r="Y198" s="12" t="s">
        <v>292</v>
      </c>
      <c r="Z198" s="68">
        <f>VLOOKUP(Takeoffs!Y198,Sheet1!$B$6:$C$124,2,FALSE)</f>
        <v>0</v>
      </c>
      <c r="AA198" s="68">
        <f t="shared" si="73"/>
        <v>0</v>
      </c>
      <c r="AB198" s="63">
        <f t="shared" si="74"/>
        <v>0</v>
      </c>
      <c r="AC198" s="28">
        <f t="shared" si="79"/>
        <v>0</v>
      </c>
      <c r="AD198" s="61">
        <v>1</v>
      </c>
      <c r="AE198" s="59"/>
      <c r="AF198" s="12" t="s">
        <v>292</v>
      </c>
      <c r="AG198" s="68">
        <f>VLOOKUP(Takeoffs!AF198,Sheet1!$B$6:$C$124,2,FALSE)</f>
        <v>0</v>
      </c>
      <c r="AH198" s="68">
        <f t="shared" si="75"/>
        <v>0</v>
      </c>
      <c r="AI198" s="63">
        <f t="shared" si="76"/>
        <v>0</v>
      </c>
      <c r="AJ198" s="28">
        <f t="shared" si="77"/>
        <v>0</v>
      </c>
      <c r="AK198" s="61"/>
      <c r="AL198" s="59"/>
      <c r="AO198" s="286"/>
      <c r="AP198" s="284">
        <f t="shared" si="59"/>
        <v>0</v>
      </c>
      <c r="AQ198" s="281">
        <f t="shared" si="60"/>
        <v>0</v>
      </c>
      <c r="AR198" s="284">
        <f t="shared" si="61"/>
        <v>0</v>
      </c>
      <c r="AS198" s="281">
        <f t="shared" si="62"/>
        <v>0</v>
      </c>
      <c r="AT198" s="284">
        <f t="shared" si="63"/>
        <v>0</v>
      </c>
    </row>
    <row r="199" spans="1:46" s="32" customFormat="1" ht="30.9" x14ac:dyDescent="0.8">
      <c r="A199" s="262">
        <f>ROW()</f>
        <v>199</v>
      </c>
      <c r="B199" s="114"/>
      <c r="C199" s="208"/>
      <c r="D199" s="208"/>
      <c r="E199" s="208"/>
      <c r="F199" s="208"/>
      <c r="G199" s="208"/>
      <c r="H199" s="208"/>
      <c r="I199" s="114"/>
      <c r="J199" s="32" t="str">
        <f t="shared" si="78"/>
        <v/>
      </c>
      <c r="K199" s="32" t="str">
        <f>IF(COUNTBLANK(R199)&gt;0,"",CONCATENATE(R199," for ",N187))</f>
        <v/>
      </c>
      <c r="N199" s="15" t="s">
        <v>124</v>
      </c>
      <c r="O199" s="66"/>
      <c r="P199" s="12"/>
      <c r="Q199" s="12"/>
      <c r="R199" s="12"/>
      <c r="S199" s="28">
        <f>M187</f>
        <v>0</v>
      </c>
      <c r="T199" s="11"/>
      <c r="U199" s="12" t="s">
        <v>292</v>
      </c>
      <c r="V199" s="28">
        <f t="shared" si="72"/>
        <v>0</v>
      </c>
      <c r="W199" s="28">
        <f>VLOOKUP(U199,Sheet1!$B$6:$C$45,2,FALSE)*V199</f>
        <v>0</v>
      </c>
      <c r="X199" s="59"/>
      <c r="Y199" s="12" t="s">
        <v>292</v>
      </c>
      <c r="Z199" s="68">
        <f>VLOOKUP(Takeoffs!Y199,Sheet1!$B$6:$C$124,2,FALSE)</f>
        <v>0</v>
      </c>
      <c r="AA199" s="68">
        <f t="shared" si="73"/>
        <v>0</v>
      </c>
      <c r="AB199" s="63">
        <f t="shared" si="74"/>
        <v>0</v>
      </c>
      <c r="AC199" s="28">
        <f t="shared" si="79"/>
        <v>0</v>
      </c>
      <c r="AD199" s="61">
        <v>1</v>
      </c>
      <c r="AE199" s="59"/>
      <c r="AF199" s="12" t="s">
        <v>292</v>
      </c>
      <c r="AG199" s="68">
        <f>VLOOKUP(Takeoffs!AF199,Sheet1!$B$6:$C$124,2,FALSE)</f>
        <v>0</v>
      </c>
      <c r="AH199" s="68">
        <f t="shared" si="75"/>
        <v>0</v>
      </c>
      <c r="AI199" s="63">
        <f t="shared" si="76"/>
        <v>0</v>
      </c>
      <c r="AJ199" s="28">
        <f t="shared" si="77"/>
        <v>0</v>
      </c>
      <c r="AK199" s="61"/>
      <c r="AL199" s="59"/>
      <c r="AO199" s="286"/>
      <c r="AP199" s="284">
        <f t="shared" si="59"/>
        <v>0</v>
      </c>
      <c r="AQ199" s="281">
        <f t="shared" si="60"/>
        <v>0</v>
      </c>
      <c r="AR199" s="284">
        <f t="shared" si="61"/>
        <v>0</v>
      </c>
      <c r="AS199" s="281">
        <f t="shared" si="62"/>
        <v>0</v>
      </c>
      <c r="AT199" s="284">
        <f t="shared" si="63"/>
        <v>0</v>
      </c>
    </row>
    <row r="200" spans="1:46" s="32" customFormat="1" ht="30.9" x14ac:dyDescent="0.8">
      <c r="A200" s="262">
        <f>ROW()</f>
        <v>200</v>
      </c>
      <c r="B200" s="114"/>
      <c r="C200" s="208"/>
      <c r="D200" s="208"/>
      <c r="E200" s="208"/>
      <c r="F200" s="208"/>
      <c r="G200" s="208"/>
      <c r="H200" s="208"/>
      <c r="I200" s="114"/>
      <c r="J200" s="32" t="str">
        <f t="shared" si="78"/>
        <v/>
      </c>
      <c r="K200" s="32" t="str">
        <f>IF(COUNTBLANK(R200)&gt;0,"",CONCATENATE(R200," for ",N187))</f>
        <v/>
      </c>
      <c r="N200" s="15" t="s">
        <v>125</v>
      </c>
      <c r="O200" s="66"/>
      <c r="P200" s="12"/>
      <c r="Q200" s="12"/>
      <c r="R200" s="12"/>
      <c r="S200" s="28">
        <f>M187</f>
        <v>0</v>
      </c>
      <c r="T200" s="11"/>
      <c r="U200" s="12" t="s">
        <v>292</v>
      </c>
      <c r="V200" s="28">
        <f t="shared" si="72"/>
        <v>0</v>
      </c>
      <c r="W200" s="28">
        <f>VLOOKUP(U200,Sheet1!$B$6:$C$45,2,FALSE)*V200</f>
        <v>0</v>
      </c>
      <c r="X200" s="59"/>
      <c r="Y200" s="12" t="s">
        <v>292</v>
      </c>
      <c r="Z200" s="68">
        <f>VLOOKUP(Takeoffs!Y200,Sheet1!$B$6:$C$124,2,FALSE)</f>
        <v>0</v>
      </c>
      <c r="AA200" s="68">
        <f t="shared" si="73"/>
        <v>0</v>
      </c>
      <c r="AB200" s="63">
        <f t="shared" si="74"/>
        <v>0</v>
      </c>
      <c r="AC200" s="28">
        <f t="shared" si="79"/>
        <v>0</v>
      </c>
      <c r="AD200" s="61">
        <v>1</v>
      </c>
      <c r="AE200" s="59"/>
      <c r="AF200" s="12" t="s">
        <v>292</v>
      </c>
      <c r="AG200" s="68">
        <f>VLOOKUP(Takeoffs!AF200,Sheet1!$B$6:$C$124,2,FALSE)</f>
        <v>0</v>
      </c>
      <c r="AH200" s="68">
        <f t="shared" si="75"/>
        <v>0</v>
      </c>
      <c r="AI200" s="63">
        <f t="shared" si="76"/>
        <v>0</v>
      </c>
      <c r="AJ200" s="28">
        <f t="shared" si="77"/>
        <v>0</v>
      </c>
      <c r="AK200" s="61"/>
      <c r="AL200" s="59"/>
      <c r="AO200" s="286"/>
      <c r="AP200" s="284">
        <f t="shared" si="59"/>
        <v>0</v>
      </c>
      <c r="AQ200" s="281">
        <f t="shared" si="60"/>
        <v>0</v>
      </c>
      <c r="AR200" s="284">
        <f t="shared" si="61"/>
        <v>0</v>
      </c>
      <c r="AS200" s="281">
        <f t="shared" si="62"/>
        <v>0</v>
      </c>
      <c r="AT200" s="284">
        <f t="shared" si="63"/>
        <v>0</v>
      </c>
    </row>
    <row r="201" spans="1:46" s="32" customFormat="1" ht="30.9" x14ac:dyDescent="0.8">
      <c r="A201" s="262">
        <f>ROW()</f>
        <v>201</v>
      </c>
      <c r="B201" s="114"/>
      <c r="C201" s="208"/>
      <c r="D201" s="208"/>
      <c r="E201" s="208"/>
      <c r="F201" s="208"/>
      <c r="G201" s="208"/>
      <c r="H201" s="208"/>
      <c r="I201" s="114"/>
      <c r="J201" s="32" t="str">
        <f t="shared" si="78"/>
        <v/>
      </c>
      <c r="K201" s="32" t="str">
        <f>IF(COUNTBLANK(R201)&gt;0,"",CONCATENATE(R201," for ",N187))</f>
        <v/>
      </c>
      <c r="N201" s="15" t="s">
        <v>126</v>
      </c>
      <c r="O201" s="66"/>
      <c r="P201" s="12"/>
      <c r="Q201" s="12"/>
      <c r="R201" s="12"/>
      <c r="S201" s="28">
        <f>M187</f>
        <v>0</v>
      </c>
      <c r="T201" s="11"/>
      <c r="U201" s="12" t="s">
        <v>292</v>
      </c>
      <c r="V201" s="28">
        <f t="shared" si="72"/>
        <v>0</v>
      </c>
      <c r="W201" s="28">
        <f>VLOOKUP(U201,Sheet1!$B$6:$C$45,2,FALSE)*V201</f>
        <v>0</v>
      </c>
      <c r="X201" s="59"/>
      <c r="Y201" s="12" t="s">
        <v>292</v>
      </c>
      <c r="Z201" s="68">
        <f>VLOOKUP(Takeoffs!Y201,Sheet1!$B$6:$C$124,2,FALSE)</f>
        <v>0</v>
      </c>
      <c r="AA201" s="68">
        <f t="shared" si="73"/>
        <v>0</v>
      </c>
      <c r="AB201" s="63">
        <f t="shared" si="74"/>
        <v>0</v>
      </c>
      <c r="AC201" s="28">
        <f t="shared" si="79"/>
        <v>0</v>
      </c>
      <c r="AD201" s="61">
        <v>1</v>
      </c>
      <c r="AE201" s="59"/>
      <c r="AF201" s="12" t="s">
        <v>292</v>
      </c>
      <c r="AG201" s="68">
        <f>VLOOKUP(Takeoffs!AF201,Sheet1!$B$6:$C$124,2,FALSE)</f>
        <v>0</v>
      </c>
      <c r="AH201" s="68">
        <f t="shared" si="75"/>
        <v>0</v>
      </c>
      <c r="AI201" s="63">
        <f t="shared" si="76"/>
        <v>0</v>
      </c>
      <c r="AJ201" s="28">
        <f t="shared" si="77"/>
        <v>0</v>
      </c>
      <c r="AK201" s="61"/>
      <c r="AL201" s="59"/>
      <c r="AO201" s="286"/>
      <c r="AP201" s="284">
        <f t="shared" si="59"/>
        <v>0</v>
      </c>
      <c r="AQ201" s="281">
        <f t="shared" si="60"/>
        <v>0</v>
      </c>
      <c r="AR201" s="284">
        <f t="shared" si="61"/>
        <v>0</v>
      </c>
      <c r="AS201" s="281">
        <f t="shared" si="62"/>
        <v>0</v>
      </c>
      <c r="AT201" s="284">
        <f t="shared" si="63"/>
        <v>0</v>
      </c>
    </row>
    <row r="202" spans="1:46" s="32" customFormat="1" ht="30.9" x14ac:dyDescent="0.8">
      <c r="A202" s="262">
        <f>ROW()</f>
        <v>202</v>
      </c>
      <c r="B202" s="114"/>
      <c r="C202" s="208"/>
      <c r="D202" s="208"/>
      <c r="E202" s="208"/>
      <c r="F202" s="208"/>
      <c r="G202" s="208"/>
      <c r="H202" s="208"/>
      <c r="I202" s="114"/>
      <c r="J202" s="32" t="str">
        <f t="shared" si="78"/>
        <v/>
      </c>
      <c r="K202" s="32" t="str">
        <f>IF(COUNTBLANK(R202)&gt;0,"",CONCATENATE(R202," for ",N187))</f>
        <v/>
      </c>
      <c r="N202" s="15" t="s">
        <v>127</v>
      </c>
      <c r="O202" s="66"/>
      <c r="P202" s="12"/>
      <c r="Q202" s="12"/>
      <c r="R202" s="12"/>
      <c r="S202" s="28">
        <f>M187</f>
        <v>0</v>
      </c>
      <c r="T202" s="11"/>
      <c r="U202" s="12" t="s">
        <v>292</v>
      </c>
      <c r="V202" s="28">
        <f t="shared" si="72"/>
        <v>0</v>
      </c>
      <c r="W202" s="28">
        <f>VLOOKUP(U202,Sheet1!$B$6:$C$45,2,FALSE)*V202</f>
        <v>0</v>
      </c>
      <c r="X202" s="59"/>
      <c r="Y202" s="12" t="s">
        <v>292</v>
      </c>
      <c r="Z202" s="68">
        <f>VLOOKUP(Takeoffs!Y202,Sheet1!$B$6:$C$124,2,FALSE)</f>
        <v>0</v>
      </c>
      <c r="AA202" s="68">
        <f t="shared" si="73"/>
        <v>0</v>
      </c>
      <c r="AB202" s="63">
        <f t="shared" si="74"/>
        <v>0</v>
      </c>
      <c r="AC202" s="28">
        <f t="shared" si="79"/>
        <v>0</v>
      </c>
      <c r="AD202" s="61">
        <v>2</v>
      </c>
      <c r="AE202" s="59"/>
      <c r="AF202" s="12" t="s">
        <v>292</v>
      </c>
      <c r="AG202" s="68">
        <f>VLOOKUP(Takeoffs!AF202,Sheet1!$B$6:$C$124,2,FALSE)</f>
        <v>0</v>
      </c>
      <c r="AH202" s="68">
        <f t="shared" si="75"/>
        <v>0</v>
      </c>
      <c r="AI202" s="63">
        <f t="shared" si="76"/>
        <v>0</v>
      </c>
      <c r="AJ202" s="28">
        <f t="shared" si="77"/>
        <v>0</v>
      </c>
      <c r="AK202" s="61"/>
      <c r="AL202" s="59"/>
      <c r="AO202" s="286"/>
      <c r="AP202" s="284">
        <f t="shared" si="59"/>
        <v>0</v>
      </c>
      <c r="AQ202" s="281">
        <f t="shared" si="60"/>
        <v>0</v>
      </c>
      <c r="AR202" s="284">
        <f t="shared" si="61"/>
        <v>0</v>
      </c>
      <c r="AS202" s="281">
        <f t="shared" si="62"/>
        <v>0</v>
      </c>
      <c r="AT202" s="284">
        <f t="shared" si="63"/>
        <v>0</v>
      </c>
    </row>
    <row r="203" spans="1:46" s="32" customFormat="1" ht="30.9" x14ac:dyDescent="0.8">
      <c r="A203" s="262">
        <f>ROW()</f>
        <v>203</v>
      </c>
      <c r="B203" s="114"/>
      <c r="C203" s="208"/>
      <c r="D203" s="208"/>
      <c r="E203" s="208"/>
      <c r="F203" s="208"/>
      <c r="G203" s="208"/>
      <c r="H203" s="208"/>
      <c r="I203" s="114"/>
      <c r="J203" s="32" t="str">
        <f t="shared" si="78"/>
        <v/>
      </c>
      <c r="K203" s="32" t="str">
        <f>IF(COUNTBLANK(R203)&gt;0,"",CONCATENATE(R203," for ",N187))</f>
        <v/>
      </c>
      <c r="N203" s="15" t="s">
        <v>128</v>
      </c>
      <c r="O203" s="66"/>
      <c r="P203" s="12"/>
      <c r="Q203" s="12"/>
      <c r="R203" s="12"/>
      <c r="S203" s="28">
        <f>M187</f>
        <v>0</v>
      </c>
      <c r="T203" s="11"/>
      <c r="U203" s="12" t="s">
        <v>292</v>
      </c>
      <c r="V203" s="28">
        <f t="shared" si="72"/>
        <v>0</v>
      </c>
      <c r="W203" s="28">
        <f>VLOOKUP(U203,Sheet1!$B$6:$C$45,2,FALSE)*V203</f>
        <v>0</v>
      </c>
      <c r="X203" s="59"/>
      <c r="Y203" s="12" t="s">
        <v>292</v>
      </c>
      <c r="Z203" s="68">
        <f>VLOOKUP(Takeoffs!Y203,Sheet1!$B$6:$C$124,2,FALSE)</f>
        <v>0</v>
      </c>
      <c r="AA203" s="68">
        <f t="shared" si="73"/>
        <v>0</v>
      </c>
      <c r="AB203" s="63">
        <f t="shared" si="74"/>
        <v>0</v>
      </c>
      <c r="AC203" s="28">
        <f t="shared" si="79"/>
        <v>0</v>
      </c>
      <c r="AD203" s="61">
        <v>1</v>
      </c>
      <c r="AE203" s="59"/>
      <c r="AF203" s="12" t="s">
        <v>292</v>
      </c>
      <c r="AG203" s="68">
        <f>VLOOKUP(Takeoffs!AF203,Sheet1!$B$6:$C$124,2,FALSE)</f>
        <v>0</v>
      </c>
      <c r="AH203" s="68">
        <f t="shared" si="75"/>
        <v>0</v>
      </c>
      <c r="AI203" s="63">
        <f t="shared" si="76"/>
        <v>0</v>
      </c>
      <c r="AJ203" s="28">
        <f t="shared" si="77"/>
        <v>0</v>
      </c>
      <c r="AK203" s="61"/>
      <c r="AL203" s="59"/>
      <c r="AO203" s="286"/>
      <c r="AP203" s="284">
        <f t="shared" si="59"/>
        <v>0</v>
      </c>
      <c r="AQ203" s="281">
        <f t="shared" si="60"/>
        <v>0</v>
      </c>
      <c r="AR203" s="284">
        <f t="shared" si="61"/>
        <v>0</v>
      </c>
      <c r="AS203" s="281">
        <f t="shared" si="62"/>
        <v>0</v>
      </c>
      <c r="AT203" s="284">
        <f t="shared" si="63"/>
        <v>0</v>
      </c>
    </row>
    <row r="204" spans="1:46" s="32" customFormat="1" ht="30.9" x14ac:dyDescent="0.8">
      <c r="A204" s="262">
        <f>ROW()</f>
        <v>204</v>
      </c>
      <c r="B204" s="114"/>
      <c r="C204" s="208"/>
      <c r="D204" s="208"/>
      <c r="E204" s="208"/>
      <c r="F204" s="208"/>
      <c r="G204" s="208"/>
      <c r="H204" s="208"/>
      <c r="I204" s="114"/>
      <c r="J204" s="32" t="str">
        <f t="shared" si="78"/>
        <v/>
      </c>
      <c r="K204" s="32" t="str">
        <f>IF(COUNTBLANK(R204)&gt;0,"",CONCATENATE(R204," for ",N187))</f>
        <v/>
      </c>
      <c r="N204" s="15" t="s">
        <v>129</v>
      </c>
      <c r="O204" s="66"/>
      <c r="P204" s="12"/>
      <c r="Q204" s="12"/>
      <c r="R204" s="12"/>
      <c r="S204" s="28">
        <f>M187</f>
        <v>0</v>
      </c>
      <c r="T204" s="11"/>
      <c r="U204" s="12" t="s">
        <v>292</v>
      </c>
      <c r="V204" s="28">
        <f t="shared" si="72"/>
        <v>0</v>
      </c>
      <c r="W204" s="28">
        <f>VLOOKUP(U204,Sheet1!$B$6:$C$45,2,FALSE)*V204</f>
        <v>0</v>
      </c>
      <c r="X204" s="59"/>
      <c r="Y204" s="12" t="s">
        <v>292</v>
      </c>
      <c r="Z204" s="68">
        <f>VLOOKUP(Takeoffs!Y204,Sheet1!$B$6:$C$124,2,FALSE)</f>
        <v>0</v>
      </c>
      <c r="AA204" s="68">
        <f t="shared" si="73"/>
        <v>0</v>
      </c>
      <c r="AB204" s="63">
        <f t="shared" si="74"/>
        <v>0</v>
      </c>
      <c r="AC204" s="28">
        <f t="shared" si="79"/>
        <v>0</v>
      </c>
      <c r="AD204" s="61">
        <v>1</v>
      </c>
      <c r="AE204" s="59"/>
      <c r="AF204" s="12" t="s">
        <v>292</v>
      </c>
      <c r="AG204" s="68">
        <f>VLOOKUP(Takeoffs!AF204,Sheet1!$B$6:$C$124,2,FALSE)</f>
        <v>0</v>
      </c>
      <c r="AH204" s="68">
        <f t="shared" si="75"/>
        <v>0</v>
      </c>
      <c r="AI204" s="63">
        <f t="shared" si="76"/>
        <v>0</v>
      </c>
      <c r="AJ204" s="28">
        <f t="shared" si="77"/>
        <v>0</v>
      </c>
      <c r="AK204" s="61"/>
      <c r="AL204" s="59"/>
      <c r="AO204" s="286"/>
      <c r="AP204" s="284">
        <f t="shared" si="59"/>
        <v>0</v>
      </c>
      <c r="AQ204" s="281">
        <f t="shared" si="60"/>
        <v>0</v>
      </c>
      <c r="AR204" s="284">
        <f t="shared" si="61"/>
        <v>0</v>
      </c>
      <c r="AS204" s="281">
        <f t="shared" si="62"/>
        <v>0</v>
      </c>
      <c r="AT204" s="284">
        <f t="shared" si="63"/>
        <v>0</v>
      </c>
    </row>
    <row r="205" spans="1:46" s="32" customFormat="1" ht="30.9" x14ac:dyDescent="0.8">
      <c r="A205" s="262">
        <f>ROW()</f>
        <v>205</v>
      </c>
      <c r="B205" s="114"/>
      <c r="C205" s="208"/>
      <c r="D205" s="208"/>
      <c r="E205" s="208"/>
      <c r="F205" s="208"/>
      <c r="G205" s="208"/>
      <c r="H205" s="208"/>
      <c r="I205" s="114"/>
      <c r="J205" s="32" t="str">
        <f t="shared" si="78"/>
        <v/>
      </c>
      <c r="K205" s="32" t="str">
        <f>IF(COUNTBLANK(R205)&gt;0,"",CONCATENATE(R205," for ",N187))</f>
        <v/>
      </c>
      <c r="N205" s="15" t="s">
        <v>130</v>
      </c>
      <c r="O205" s="66"/>
      <c r="P205" s="12"/>
      <c r="Q205" s="12"/>
      <c r="R205" s="12"/>
      <c r="S205" s="28">
        <f>M187</f>
        <v>0</v>
      </c>
      <c r="T205" s="11"/>
      <c r="U205" s="12" t="s">
        <v>292</v>
      </c>
      <c r="V205" s="28">
        <f t="shared" si="72"/>
        <v>0</v>
      </c>
      <c r="W205" s="28">
        <f>VLOOKUP(U205,Sheet1!$B$6:$C$45,2,FALSE)*V205</f>
        <v>0</v>
      </c>
      <c r="X205" s="59"/>
      <c r="Y205" s="12" t="s">
        <v>292</v>
      </c>
      <c r="Z205" s="68">
        <f>VLOOKUP(Takeoffs!Y205,Sheet1!$B$6:$C$124,2,FALSE)</f>
        <v>0</v>
      </c>
      <c r="AA205" s="68">
        <f t="shared" si="73"/>
        <v>0</v>
      </c>
      <c r="AB205" s="63">
        <f t="shared" si="74"/>
        <v>0</v>
      </c>
      <c r="AC205" s="28">
        <f t="shared" si="79"/>
        <v>0</v>
      </c>
      <c r="AD205" s="61">
        <v>1</v>
      </c>
      <c r="AE205" s="59"/>
      <c r="AF205" s="12" t="s">
        <v>292</v>
      </c>
      <c r="AG205" s="68">
        <f>VLOOKUP(Takeoffs!AF205,Sheet1!$B$6:$C$124,2,FALSE)</f>
        <v>0</v>
      </c>
      <c r="AH205" s="68">
        <f t="shared" si="75"/>
        <v>0</v>
      </c>
      <c r="AI205" s="63">
        <f t="shared" si="76"/>
        <v>0</v>
      </c>
      <c r="AJ205" s="28">
        <f t="shared" si="77"/>
        <v>0</v>
      </c>
      <c r="AK205" s="61"/>
      <c r="AL205" s="59"/>
      <c r="AO205" s="286"/>
      <c r="AP205" s="284">
        <f t="shared" si="59"/>
        <v>0</v>
      </c>
      <c r="AQ205" s="281">
        <f t="shared" si="60"/>
        <v>0</v>
      </c>
      <c r="AR205" s="284">
        <f t="shared" si="61"/>
        <v>0</v>
      </c>
      <c r="AS205" s="281">
        <f t="shared" si="62"/>
        <v>0</v>
      </c>
      <c r="AT205" s="284">
        <f t="shared" si="63"/>
        <v>0</v>
      </c>
    </row>
    <row r="206" spans="1:46" s="32" customFormat="1" ht="30.9" x14ac:dyDescent="0.8">
      <c r="A206" s="262">
        <f>ROW()</f>
        <v>206</v>
      </c>
      <c r="B206" s="114"/>
      <c r="C206" s="208"/>
      <c r="D206" s="208"/>
      <c r="E206" s="208"/>
      <c r="F206" s="208"/>
      <c r="G206" s="208"/>
      <c r="H206" s="208"/>
      <c r="I206" s="114"/>
      <c r="J206" s="32" t="str">
        <f t="shared" si="78"/>
        <v/>
      </c>
      <c r="K206" s="32" t="str">
        <f>IF(COUNTBLANK(R206)&gt;0,"",CONCATENATE(R206," for ",N187))</f>
        <v/>
      </c>
      <c r="N206" s="15" t="s">
        <v>131</v>
      </c>
      <c r="O206" s="66"/>
      <c r="P206" s="12"/>
      <c r="Q206" s="12"/>
      <c r="R206" s="12"/>
      <c r="S206" s="28">
        <f>M187</f>
        <v>0</v>
      </c>
      <c r="T206" s="11"/>
      <c r="U206" s="12" t="s">
        <v>292</v>
      </c>
      <c r="V206" s="28">
        <f t="shared" si="72"/>
        <v>0</v>
      </c>
      <c r="W206" s="28">
        <f>VLOOKUP(U206,Sheet1!$B$6:$C$45,2,FALSE)*V206</f>
        <v>0</v>
      </c>
      <c r="X206" s="59"/>
      <c r="Y206" s="12" t="s">
        <v>292</v>
      </c>
      <c r="Z206" s="68">
        <f>VLOOKUP(Takeoffs!Y206,Sheet1!$B$6:$C$124,2,FALSE)</f>
        <v>0</v>
      </c>
      <c r="AA206" s="68">
        <f t="shared" si="73"/>
        <v>0</v>
      </c>
      <c r="AB206" s="63">
        <f t="shared" si="74"/>
        <v>0</v>
      </c>
      <c r="AC206" s="28">
        <f t="shared" si="79"/>
        <v>0</v>
      </c>
      <c r="AD206" s="61">
        <v>1</v>
      </c>
      <c r="AE206" s="59"/>
      <c r="AF206" s="12" t="s">
        <v>292</v>
      </c>
      <c r="AG206" s="68">
        <f>VLOOKUP(Takeoffs!AF206,Sheet1!$B$6:$C$124,2,FALSE)</f>
        <v>0</v>
      </c>
      <c r="AH206" s="68">
        <f t="shared" si="75"/>
        <v>0</v>
      </c>
      <c r="AI206" s="63">
        <f t="shared" si="76"/>
        <v>0</v>
      </c>
      <c r="AJ206" s="28">
        <f t="shared" si="77"/>
        <v>0</v>
      </c>
      <c r="AK206" s="61"/>
      <c r="AL206" s="59"/>
      <c r="AO206" s="286"/>
      <c r="AP206" s="284">
        <f t="shared" si="59"/>
        <v>0</v>
      </c>
      <c r="AQ206" s="281">
        <f t="shared" si="60"/>
        <v>0</v>
      </c>
      <c r="AR206" s="284">
        <f t="shared" si="61"/>
        <v>0</v>
      </c>
      <c r="AS206" s="281">
        <f t="shared" si="62"/>
        <v>0</v>
      </c>
      <c r="AT206" s="284">
        <f t="shared" si="63"/>
        <v>0</v>
      </c>
    </row>
    <row r="207" spans="1:46" s="32" customFormat="1" ht="30.9" x14ac:dyDescent="0.8">
      <c r="A207" s="262">
        <f>ROW()</f>
        <v>207</v>
      </c>
      <c r="B207" s="114"/>
      <c r="C207" s="208"/>
      <c r="D207" s="208"/>
      <c r="E207" s="208"/>
      <c r="F207" s="208"/>
      <c r="G207" s="208"/>
      <c r="H207" s="208"/>
      <c r="I207" s="114"/>
      <c r="J207" s="32" t="str">
        <f t="shared" si="78"/>
        <v/>
      </c>
      <c r="K207" s="32" t="str">
        <f>IF(COUNTBLANK(R207)&gt;0,"",CONCATENATE(R207," for ",N187))</f>
        <v/>
      </c>
      <c r="N207" s="15" t="s">
        <v>132</v>
      </c>
      <c r="O207" s="66"/>
      <c r="P207" s="12"/>
      <c r="Q207" s="12"/>
      <c r="R207" s="12"/>
      <c r="S207" s="28">
        <f>M187</f>
        <v>0</v>
      </c>
      <c r="T207" s="11"/>
      <c r="U207" s="12" t="s">
        <v>292</v>
      </c>
      <c r="V207" s="28">
        <f t="shared" si="72"/>
        <v>0</v>
      </c>
      <c r="W207" s="28">
        <f>VLOOKUP(U207,Sheet1!$B$6:$C$45,2,FALSE)*V207</f>
        <v>0</v>
      </c>
      <c r="X207" s="59"/>
      <c r="Y207" s="12" t="s">
        <v>292</v>
      </c>
      <c r="Z207" s="68">
        <f>VLOOKUP(Takeoffs!Y207,Sheet1!$B$6:$C$124,2,FALSE)</f>
        <v>0</v>
      </c>
      <c r="AA207" s="68">
        <f t="shared" si="73"/>
        <v>0</v>
      </c>
      <c r="AB207" s="63">
        <f t="shared" si="74"/>
        <v>0</v>
      </c>
      <c r="AC207" s="28">
        <f t="shared" si="79"/>
        <v>0</v>
      </c>
      <c r="AD207" s="61">
        <v>1</v>
      </c>
      <c r="AE207" s="59"/>
      <c r="AF207" s="12" t="s">
        <v>292</v>
      </c>
      <c r="AG207" s="68">
        <f>VLOOKUP(Takeoffs!AF207,Sheet1!$B$6:$C$124,2,FALSE)</f>
        <v>0</v>
      </c>
      <c r="AH207" s="68">
        <f t="shared" si="75"/>
        <v>0</v>
      </c>
      <c r="AI207" s="63">
        <f t="shared" si="76"/>
        <v>0</v>
      </c>
      <c r="AJ207" s="28">
        <f t="shared" si="77"/>
        <v>0</v>
      </c>
      <c r="AK207" s="61">
        <f>T207</f>
        <v>0</v>
      </c>
      <c r="AL207" s="59"/>
      <c r="AO207" s="286"/>
      <c r="AP207" s="284">
        <f t="shared" si="59"/>
        <v>0</v>
      </c>
      <c r="AQ207" s="281">
        <f t="shared" si="60"/>
        <v>0</v>
      </c>
      <c r="AR207" s="284">
        <f t="shared" si="61"/>
        <v>0</v>
      </c>
      <c r="AS207" s="281">
        <f t="shared" si="62"/>
        <v>0</v>
      </c>
      <c r="AT207" s="284">
        <f t="shared" si="63"/>
        <v>0</v>
      </c>
    </row>
    <row r="208" spans="1:46" s="21" customFormat="1" ht="31.5" customHeight="1" x14ac:dyDescent="0.8">
      <c r="A208" s="262">
        <f>ROW()</f>
        <v>208</v>
      </c>
      <c r="B208" s="128"/>
      <c r="C208" s="212"/>
      <c r="D208" s="212"/>
      <c r="E208" s="212"/>
      <c r="F208" s="212"/>
      <c r="G208" s="212"/>
      <c r="H208" s="212"/>
      <c r="I208" s="128"/>
      <c r="J208" s="21" t="s">
        <v>377</v>
      </c>
      <c r="L208" s="21" t="s">
        <v>378</v>
      </c>
      <c r="N208" s="22"/>
      <c r="O208" s="23" t="s">
        <v>357</v>
      </c>
      <c r="P208" s="98">
        <f>V208+AA208+AH208</f>
        <v>0</v>
      </c>
      <c r="Q208" s="65"/>
      <c r="R208" s="65"/>
      <c r="S208" s="23"/>
      <c r="T208" s="20"/>
      <c r="U208" s="19" t="s">
        <v>351</v>
      </c>
      <c r="V208" s="20">
        <f>W208*80</f>
        <v>0</v>
      </c>
      <c r="W208" s="69">
        <f>SUM(W187:W207)</f>
        <v>0</v>
      </c>
      <c r="X208" s="70"/>
      <c r="Y208" s="20" t="s">
        <v>352</v>
      </c>
      <c r="Z208" s="2"/>
      <c r="AA208" s="2">
        <f>SUM(AA187:AA207)</f>
        <v>0</v>
      </c>
      <c r="AB208" s="71"/>
      <c r="AC208" s="71"/>
      <c r="AD208" s="71"/>
      <c r="AE208" s="71"/>
      <c r="AF208" s="20" t="s">
        <v>356</v>
      </c>
      <c r="AG208" s="2"/>
      <c r="AH208" s="2">
        <f>SUM(AH187:AH207)</f>
        <v>0</v>
      </c>
      <c r="AI208" s="71"/>
      <c r="AJ208" s="71"/>
      <c r="AK208" s="71"/>
      <c r="AL208" s="71"/>
      <c r="AM208" s="150">
        <f>P208</f>
        <v>0</v>
      </c>
      <c r="AO208" s="286"/>
      <c r="AP208" s="284">
        <f t="shared" si="59"/>
        <v>0</v>
      </c>
      <c r="AQ208" s="281">
        <f t="shared" si="60"/>
        <v>0</v>
      </c>
      <c r="AR208" s="284">
        <f t="shared" si="61"/>
        <v>0</v>
      </c>
      <c r="AS208" s="281">
        <f t="shared" si="62"/>
        <v>0</v>
      </c>
      <c r="AT208" s="284">
        <f t="shared" si="63"/>
        <v>0</v>
      </c>
    </row>
    <row r="209" spans="1:97" s="234" customFormat="1" ht="61.75" x14ac:dyDescent="0.8">
      <c r="A209" s="262">
        <f>ROW()</f>
        <v>209</v>
      </c>
      <c r="B209" s="234" t="s">
        <v>491</v>
      </c>
      <c r="C209" s="217" t="str">
        <f>N187</f>
        <v>small MSSBs</v>
      </c>
      <c r="D209" s="260" t="str">
        <f>IF(B209="Shopping List",IF(ISNUMBER(SEARCH("MSSB",C209)),"MSSB",IF(ISNUMBER(SEARCH("local",C209)),"LOCAL","")))</f>
        <v>MSSB</v>
      </c>
      <c r="E209" s="238"/>
      <c r="F209" s="217"/>
      <c r="G209" s="217"/>
      <c r="H209" s="245"/>
      <c r="I209" s="270"/>
      <c r="J209" s="241" t="str">
        <f>CONCATENATE(O187," ",L187, " (",M187,") ",N187,".", IF(M187&gt;1," Each "," This "),"includes supply and install of ",O188,O189,O190,O191,O192,O193,O194,O195,O196,O197,O198,O199,O200,O201,O202,O203,O204,O205,O206,O207,J188,J189,J190,J191,J192,J193,J194,J195,J196,J197,J198,J199,J200,J201,J202,J203,J204,J205,J206,J207)</f>
        <v xml:space="preserve">Electrical services for Zero (0) small MSSBs. This includes supply and install of Main switch contactors circuit breakers busbar and wiring trefolyte labelling miscellaneous items testing inside powder coated enclosure. </v>
      </c>
      <c r="K209" s="246">
        <f>P208</f>
        <v>0</v>
      </c>
      <c r="L209" s="234" t="str">
        <f>CONCATENATE(Q188,Q189,Q190,Q191,Q192,Q193,Q194,Q195,Q196,Q197,Q198,Q199,Q200,Q201,Q202,Q203,Q204,Q205,Q206,Q207,)</f>
        <v/>
      </c>
      <c r="M209" s="91" t="s">
        <v>367</v>
      </c>
      <c r="N209" s="83" t="str">
        <f>N187</f>
        <v>small MSSBs</v>
      </c>
      <c r="O209" s="83" t="s">
        <v>365</v>
      </c>
      <c r="P209" s="84" t="e">
        <f>P208/M187</f>
        <v>#DIV/0!</v>
      </c>
      <c r="Q209" s="84"/>
      <c r="R209" s="84"/>
      <c r="S209" s="83"/>
      <c r="T209" s="84"/>
      <c r="U209" s="503" t="s">
        <v>366</v>
      </c>
      <c r="V209" s="503"/>
      <c r="W209" s="85" t="e">
        <f>W208/M187</f>
        <v>#DIV/0!</v>
      </c>
      <c r="X209" s="86"/>
      <c r="Y209" s="501" t="s">
        <v>365</v>
      </c>
      <c r="Z209" s="501"/>
      <c r="AA209" s="87" t="e">
        <f>AA208/M187</f>
        <v>#DIV/0!</v>
      </c>
      <c r="AB209" s="84"/>
      <c r="AC209" s="84"/>
      <c r="AD209" s="84"/>
      <c r="AE209" s="84"/>
      <c r="AF209" s="501" t="s">
        <v>365</v>
      </c>
      <c r="AG209" s="501"/>
      <c r="AH209" s="87" t="e">
        <f>AH208/M187</f>
        <v>#DIV/0!</v>
      </c>
      <c r="AI209" s="84"/>
      <c r="AJ209" s="84"/>
      <c r="AK209" s="84"/>
      <c r="AL209" s="247"/>
      <c r="AM209" s="257"/>
      <c r="AN209" s="236">
        <f>K209*1.25</f>
        <v>0</v>
      </c>
      <c r="AO209" s="286"/>
      <c r="AP209" s="284">
        <f t="shared" si="59"/>
        <v>0</v>
      </c>
      <c r="AQ209" s="281">
        <f t="shared" si="60"/>
        <v>0</v>
      </c>
      <c r="AR209" s="284">
        <f t="shared" si="61"/>
        <v>0</v>
      </c>
      <c r="AS209" s="281">
        <f t="shared" si="62"/>
        <v>0</v>
      </c>
      <c r="AT209" s="284">
        <f t="shared" si="63"/>
        <v>0</v>
      </c>
      <c r="AU209" s="117"/>
      <c r="AV209" s="117"/>
      <c r="AW209" s="117"/>
      <c r="AX209" s="117"/>
      <c r="AY209" s="117"/>
      <c r="AZ209" s="117"/>
      <c r="BA209" s="117"/>
      <c r="BB209" s="117"/>
      <c r="BC209" s="117"/>
      <c r="BD209" s="117"/>
      <c r="BE209" s="117"/>
      <c r="BF209" s="117"/>
      <c r="BG209" s="117"/>
      <c r="BH209" s="117"/>
      <c r="BI209" s="117"/>
      <c r="BJ209" s="117"/>
      <c r="BK209" s="117"/>
      <c r="BL209" s="117"/>
      <c r="BM209" s="117"/>
      <c r="BN209" s="117"/>
      <c r="BO209" s="117"/>
      <c r="BP209" s="117"/>
      <c r="BQ209" s="117"/>
      <c r="BR209" s="117"/>
      <c r="BS209" s="117"/>
      <c r="BT209" s="117"/>
      <c r="BU209" s="117"/>
      <c r="BV209" s="117"/>
      <c r="BW209" s="117"/>
      <c r="BX209" s="117"/>
      <c r="BY209" s="117"/>
      <c r="BZ209" s="117"/>
      <c r="CA209" s="117"/>
      <c r="CB209" s="117"/>
      <c r="CC209" s="117"/>
      <c r="CD209" s="117"/>
      <c r="CE209" s="117"/>
      <c r="CF209" s="117"/>
      <c r="CG209" s="117"/>
      <c r="CH209" s="117"/>
      <c r="CI209" s="117"/>
      <c r="CJ209" s="117"/>
      <c r="CK209" s="117"/>
      <c r="CL209" s="117"/>
      <c r="CM209" s="117"/>
      <c r="CN209" s="117"/>
      <c r="CO209" s="117"/>
      <c r="CP209" s="117"/>
      <c r="CQ209" s="117"/>
      <c r="CR209" s="117"/>
      <c r="CS209" s="117"/>
    </row>
    <row r="210" spans="1:97" s="261" customFormat="1" ht="92.6" x14ac:dyDescent="1.2">
      <c r="A210" s="262">
        <f>ROW()</f>
        <v>210</v>
      </c>
      <c r="B210" s="261" t="s">
        <v>491</v>
      </c>
      <c r="I210" s="269">
        <f>SUM(I234:I954)</f>
        <v>1</v>
      </c>
      <c r="J210" s="261" t="s">
        <v>493</v>
      </c>
      <c r="L210" s="261" t="str">
        <f>J210</f>
        <v>Fans</v>
      </c>
      <c r="AO210" s="289"/>
      <c r="AP210" s="284">
        <f t="shared" si="59"/>
        <v>0</v>
      </c>
      <c r="AQ210" s="281">
        <f t="shared" si="60"/>
        <v>0</v>
      </c>
      <c r="AR210" s="284">
        <f t="shared" si="61"/>
        <v>0</v>
      </c>
      <c r="AS210" s="281">
        <f t="shared" si="62"/>
        <v>0</v>
      </c>
      <c r="AT210" s="284">
        <f t="shared" si="63"/>
        <v>0</v>
      </c>
    </row>
    <row r="211" spans="1:97" s="2" customFormat="1" ht="192.75" customHeight="1" x14ac:dyDescent="0.8">
      <c r="A211" s="262">
        <f>ROW()</f>
        <v>211</v>
      </c>
      <c r="B211" s="116"/>
      <c r="C211" s="211"/>
      <c r="D211" s="211"/>
      <c r="E211" s="211"/>
      <c r="F211" s="211"/>
      <c r="G211" s="211"/>
      <c r="H211" s="211"/>
      <c r="I211" s="116"/>
      <c r="K211" s="2" t="s">
        <v>452</v>
      </c>
      <c r="M211" s="2" t="s">
        <v>107</v>
      </c>
      <c r="N211" s="2" t="s">
        <v>108</v>
      </c>
      <c r="O211" s="97" t="s">
        <v>386</v>
      </c>
      <c r="P211" s="504" t="s">
        <v>375</v>
      </c>
      <c r="Q211" s="504"/>
      <c r="R211" s="101" t="s">
        <v>452</v>
      </c>
      <c r="S211" s="2" t="s">
        <v>0</v>
      </c>
      <c r="T211" s="9"/>
      <c r="U211" s="2" t="s">
        <v>287</v>
      </c>
      <c r="V211" s="2" t="s">
        <v>288</v>
      </c>
      <c r="W211" s="2" t="s">
        <v>291</v>
      </c>
      <c r="X211" s="58"/>
      <c r="Y211" s="2" t="s">
        <v>289</v>
      </c>
      <c r="Z211" s="2" t="s">
        <v>354</v>
      </c>
      <c r="AA211" s="2" t="s">
        <v>355</v>
      </c>
      <c r="AB211" s="2" t="s">
        <v>317</v>
      </c>
      <c r="AC211" s="2" t="s">
        <v>318</v>
      </c>
      <c r="AD211" s="2" t="s">
        <v>316</v>
      </c>
      <c r="AE211" s="58"/>
      <c r="AF211" s="2" t="s">
        <v>293</v>
      </c>
      <c r="AG211" s="2" t="s">
        <v>354</v>
      </c>
      <c r="AH211" s="2" t="s">
        <v>355</v>
      </c>
      <c r="AI211" s="2" t="s">
        <v>296</v>
      </c>
      <c r="AJ211" s="2" t="s">
        <v>294</v>
      </c>
      <c r="AK211" s="2" t="s">
        <v>295</v>
      </c>
      <c r="AL211" s="58"/>
      <c r="AO211" s="288"/>
      <c r="AP211" s="284">
        <f t="shared" si="59"/>
        <v>0</v>
      </c>
      <c r="AQ211" s="281">
        <f t="shared" si="60"/>
        <v>0</v>
      </c>
      <c r="AR211" s="284">
        <f t="shared" si="61"/>
        <v>0</v>
      </c>
      <c r="AS211" s="281">
        <f t="shared" si="62"/>
        <v>0</v>
      </c>
      <c r="AT211" s="284">
        <f t="shared" si="63"/>
        <v>0</v>
      </c>
    </row>
    <row r="212" spans="1:97" s="32" customFormat="1" ht="40.5" customHeight="1" x14ac:dyDescent="0.8">
      <c r="A212" s="262">
        <f>ROW()</f>
        <v>212</v>
      </c>
      <c r="B212" s="114"/>
      <c r="C212" s="208"/>
      <c r="D212" s="208"/>
      <c r="E212" s="208"/>
      <c r="F212" s="208"/>
      <c r="G212" s="208"/>
      <c r="H212" s="208"/>
      <c r="I212" s="114"/>
      <c r="L212" s="16" t="str">
        <f>VLOOKUP(M212,Sheet2!$D$2:$E$1024,2,FALSE)</f>
        <v>Zero</v>
      </c>
      <c r="M212" s="121">
        <f>I234</f>
        <v>0</v>
      </c>
      <c r="N212" s="27" t="s">
        <v>344</v>
      </c>
      <c r="O212" s="12" t="s">
        <v>347</v>
      </c>
      <c r="P212" s="96" t="s">
        <v>379</v>
      </c>
      <c r="Q212" s="96" t="s">
        <v>375</v>
      </c>
      <c r="R212" s="96"/>
      <c r="S212" s="28">
        <f>M212</f>
        <v>0</v>
      </c>
      <c r="T212" s="10"/>
      <c r="U212" s="12" t="s">
        <v>292</v>
      </c>
      <c r="V212" s="28">
        <f>S212</f>
        <v>0</v>
      </c>
      <c r="W212" s="28">
        <f>VLOOKUP(U212,Sheet1!$B$6:$C$45,2,FALSE)*V212</f>
        <v>0</v>
      </c>
      <c r="X212" s="59"/>
      <c r="Y212" s="12" t="s">
        <v>292</v>
      </c>
      <c r="Z212" s="68">
        <f>VLOOKUP(Takeoffs!Y212,Sheet1!$B$6:$C$124,2,FALSE)</f>
        <v>0</v>
      </c>
      <c r="AA212" s="68">
        <f>Z212*AB212</f>
        <v>0</v>
      </c>
      <c r="AB212" s="63">
        <f>AD212*AC212</f>
        <v>0</v>
      </c>
      <c r="AC212" s="28">
        <f>S212</f>
        <v>0</v>
      </c>
      <c r="AD212" s="61">
        <v>1</v>
      </c>
      <c r="AE212" s="59"/>
      <c r="AF212" s="12" t="s">
        <v>292</v>
      </c>
      <c r="AG212" s="68">
        <f>VLOOKUP(Takeoffs!AF212,Sheet1!$B$6:$C$124,2,FALSE)</f>
        <v>0</v>
      </c>
      <c r="AH212" s="68">
        <f>AG212*AI212</f>
        <v>0</v>
      </c>
      <c r="AI212" s="63">
        <f>AK212*AJ212</f>
        <v>0</v>
      </c>
      <c r="AJ212" s="28">
        <f>S212</f>
        <v>0</v>
      </c>
      <c r="AK212" s="61">
        <f>T212</f>
        <v>0</v>
      </c>
      <c r="AL212" s="59"/>
      <c r="AO212" s="286"/>
      <c r="AP212" s="284">
        <f t="shared" ref="AP212:AP275" si="80">IF(AND(I212&gt;0, ISNUMBER(I212)),I212*P212,0)</f>
        <v>0</v>
      </c>
      <c r="AQ212" s="281">
        <f t="shared" ref="AQ212:AQ275" si="81">IF(AND(I212&gt;0, ISNUMBER(I212)),I212*W212*80,0)</f>
        <v>0</v>
      </c>
      <c r="AR212" s="284">
        <f t="shared" ref="AR212:AR275" si="82">IF(AND(I212&gt;0, ISNUMBER(I212)),I212*AA212,0)</f>
        <v>0</v>
      </c>
      <c r="AS212" s="281">
        <f t="shared" ref="AS212:AS275" si="83">IF(AND(I212&gt;0, ISNUMBER(I212)),I212*AH212,0)</f>
        <v>0</v>
      </c>
      <c r="AT212" s="284">
        <f t="shared" ref="AT212:AT275" si="84">IF(AND(I212&gt;0, ISNUMBER(I212)),I212*(AP212-(AQ212+AR212+AS212)),0)</f>
        <v>0</v>
      </c>
    </row>
    <row r="213" spans="1:97" s="32" customFormat="1" ht="30.9" x14ac:dyDescent="0.8">
      <c r="A213" s="262">
        <f>ROW()</f>
        <v>213</v>
      </c>
      <c r="B213" s="114"/>
      <c r="C213" s="208"/>
      <c r="D213" s="208"/>
      <c r="E213" s="208"/>
      <c r="F213" s="208"/>
      <c r="G213" s="208"/>
      <c r="H213" s="208"/>
      <c r="I213" s="114"/>
      <c r="J213" s="32" t="str">
        <f>IF(COUNTBLANK(Q213)&gt;0,"",CONCATENATE("Coordination Note: - ",P213,": Please refer to our exclusions relating to ",Q213))</f>
        <v/>
      </c>
      <c r="K213" s="32" t="str">
        <f>IF(COUNTBLANK(R213)&gt;0,"",CONCATENATE(R213," for ",N212))</f>
        <v/>
      </c>
      <c r="M213" s="117" t="str">
        <f>RIGHT(O213,1)</f>
        <v xml:space="preserve"> </v>
      </c>
      <c r="N213" s="15" t="s">
        <v>113</v>
      </c>
      <c r="O213" s="66" t="s">
        <v>340</v>
      </c>
      <c r="P213" s="12"/>
      <c r="Q213" s="66"/>
      <c r="R213" s="12"/>
      <c r="S213" s="28">
        <f>M212</f>
        <v>0</v>
      </c>
      <c r="T213" s="11"/>
      <c r="U213" s="12" t="s">
        <v>233</v>
      </c>
      <c r="V213" s="28">
        <f t="shared" ref="V213:V232" si="85">S213</f>
        <v>0</v>
      </c>
      <c r="W213" s="28">
        <f>VLOOKUP(U213,Sheet1!$B$6:$C$45,2,FALSE)*V213</f>
        <v>0</v>
      </c>
      <c r="X213" s="59"/>
      <c r="Y213" s="12" t="s">
        <v>292</v>
      </c>
      <c r="Z213" s="68">
        <f>VLOOKUP(Takeoffs!Y213,Sheet1!$B$6:$C$124,2,FALSE)</f>
        <v>0</v>
      </c>
      <c r="AA213" s="68">
        <f t="shared" ref="AA213:AA232" si="86">Z213*AB213</f>
        <v>0</v>
      </c>
      <c r="AB213" s="63">
        <f t="shared" ref="AB213:AB232" si="87">AD213*AC213</f>
        <v>0</v>
      </c>
      <c r="AC213" s="28">
        <f>S213</f>
        <v>0</v>
      </c>
      <c r="AD213" s="61">
        <v>1</v>
      </c>
      <c r="AE213" s="59"/>
      <c r="AF213" s="12" t="s">
        <v>292</v>
      </c>
      <c r="AG213" s="68">
        <f>VLOOKUP(Takeoffs!AF213,Sheet1!$B$6:$C$124,2,FALSE)</f>
        <v>0</v>
      </c>
      <c r="AH213" s="68">
        <f t="shared" ref="AH213:AH232" si="88">AG213*AI213</f>
        <v>0</v>
      </c>
      <c r="AI213" s="63">
        <f t="shared" ref="AI213:AI232" si="89">AK213*AJ213</f>
        <v>0</v>
      </c>
      <c r="AJ213" s="28">
        <f t="shared" ref="AJ213:AJ232" si="90">S213</f>
        <v>0</v>
      </c>
      <c r="AK213" s="61">
        <f>T213</f>
        <v>0</v>
      </c>
      <c r="AL213" s="59"/>
      <c r="AO213" s="286"/>
      <c r="AP213" s="284">
        <f t="shared" si="80"/>
        <v>0</v>
      </c>
      <c r="AQ213" s="281">
        <f t="shared" si="81"/>
        <v>0</v>
      </c>
      <c r="AR213" s="284">
        <f t="shared" si="82"/>
        <v>0</v>
      </c>
      <c r="AS213" s="281">
        <f t="shared" si="83"/>
        <v>0</v>
      </c>
      <c r="AT213" s="284">
        <f t="shared" si="84"/>
        <v>0</v>
      </c>
    </row>
    <row r="214" spans="1:97" s="32" customFormat="1" ht="30.9" x14ac:dyDescent="0.8">
      <c r="A214" s="262">
        <f>ROW()</f>
        <v>214</v>
      </c>
      <c r="B214" s="114"/>
      <c r="C214" s="208"/>
      <c r="D214" s="208"/>
      <c r="E214" s="208"/>
      <c r="F214" s="208"/>
      <c r="G214" s="208"/>
      <c r="H214" s="208"/>
      <c r="I214" s="114"/>
      <c r="J214" s="32" t="str">
        <f t="shared" ref="J214:J232" si="91">IF(COUNTBLANK(Q214)&gt;0,"",CONCATENATE("Coordination Note: - ",P214,": Please refer to our exclusions relating to ",Q214))</f>
        <v xml:space="preserve">Coordination Note: - Builders electrician: Please refer to our exclusions relating to local power supply </v>
      </c>
      <c r="K214" s="32" t="str">
        <f>IF(COUNTBLANK(R214)&gt;0,"",CONCATENATE(R214," for ",N212))</f>
        <v/>
      </c>
      <c r="M214" s="117" t="str">
        <f t="shared" ref="M214:M232" si="92">RIGHT(O214,1)</f>
        <v xml:space="preserve"> </v>
      </c>
      <c r="N214" s="15" t="s">
        <v>114</v>
      </c>
      <c r="O214" s="66" t="s">
        <v>441</v>
      </c>
      <c r="P214" s="12" t="s">
        <v>539</v>
      </c>
      <c r="Q214" s="66" t="s">
        <v>687</v>
      </c>
      <c r="R214" s="12"/>
      <c r="S214" s="28">
        <f>M212</f>
        <v>0</v>
      </c>
      <c r="T214" s="11"/>
      <c r="U214" s="12" t="s">
        <v>361</v>
      </c>
      <c r="V214" s="28">
        <f t="shared" si="85"/>
        <v>0</v>
      </c>
      <c r="W214" s="28">
        <f>VLOOKUP(U214,Sheet1!$B$6:$C$45,2,FALSE)*V214</f>
        <v>0</v>
      </c>
      <c r="X214" s="59"/>
      <c r="Y214" s="12" t="s">
        <v>292</v>
      </c>
      <c r="Z214" s="68">
        <f>VLOOKUP(Takeoffs!Y214,Sheet1!$B$6:$C$124,2,FALSE)</f>
        <v>0</v>
      </c>
      <c r="AA214" s="68">
        <f t="shared" si="86"/>
        <v>0</v>
      </c>
      <c r="AB214" s="63">
        <f t="shared" si="87"/>
        <v>0</v>
      </c>
      <c r="AC214" s="28">
        <f>S214</f>
        <v>0</v>
      </c>
      <c r="AD214" s="61">
        <v>1</v>
      </c>
      <c r="AE214" s="59"/>
      <c r="AF214" s="13" t="s">
        <v>267</v>
      </c>
      <c r="AG214" s="68">
        <f>VLOOKUP(Takeoffs!AF214,Sheet1!$B$6:$C$124,2,FALSE)</f>
        <v>3.48</v>
      </c>
      <c r="AH214" s="68">
        <f t="shared" si="88"/>
        <v>0</v>
      </c>
      <c r="AI214" s="63">
        <f t="shared" si="89"/>
        <v>0</v>
      </c>
      <c r="AJ214" s="28">
        <f t="shared" si="90"/>
        <v>0</v>
      </c>
      <c r="AK214" s="61">
        <v>5</v>
      </c>
      <c r="AL214" s="59"/>
      <c r="AO214" s="286"/>
      <c r="AP214" s="284">
        <f t="shared" si="80"/>
        <v>0</v>
      </c>
      <c r="AQ214" s="281">
        <f t="shared" si="81"/>
        <v>0</v>
      </c>
      <c r="AR214" s="284">
        <f t="shared" si="82"/>
        <v>0</v>
      </c>
      <c r="AS214" s="281">
        <f t="shared" si="83"/>
        <v>0</v>
      </c>
      <c r="AT214" s="284">
        <f t="shared" si="84"/>
        <v>0</v>
      </c>
    </row>
    <row r="215" spans="1:97" s="32" customFormat="1" ht="30.9" x14ac:dyDescent="0.8">
      <c r="A215" s="262">
        <f>ROW()</f>
        <v>215</v>
      </c>
      <c r="B215" s="114"/>
      <c r="C215" s="208"/>
      <c r="D215" s="208"/>
      <c r="E215" s="208"/>
      <c r="F215" s="208"/>
      <c r="G215" s="208"/>
      <c r="H215" s="208"/>
      <c r="I215" s="114"/>
      <c r="J215" s="32" t="str">
        <f t="shared" si="91"/>
        <v/>
      </c>
      <c r="K215" s="32" t="str">
        <f>IF(COUNTBLANK(R215)&gt;0,"",CONCATENATE(R215," for ",N212))</f>
        <v/>
      </c>
      <c r="M215" s="117" t="str">
        <f t="shared" si="92"/>
        <v xml:space="preserve"> </v>
      </c>
      <c r="N215" s="15" t="s">
        <v>115</v>
      </c>
      <c r="O215" s="66" t="s">
        <v>406</v>
      </c>
      <c r="P215" s="12"/>
      <c r="Q215" s="66"/>
      <c r="R215" s="12"/>
      <c r="S215" s="28">
        <f>M212</f>
        <v>0</v>
      </c>
      <c r="T215" s="11"/>
      <c r="U215" s="12" t="s">
        <v>292</v>
      </c>
      <c r="V215" s="28">
        <f t="shared" si="85"/>
        <v>0</v>
      </c>
      <c r="W215" s="28">
        <f>VLOOKUP(U215,Sheet1!$B$6:$C$45,2,FALSE)*V215</f>
        <v>0</v>
      </c>
      <c r="X215" s="59"/>
      <c r="Y215" s="13" t="s">
        <v>245</v>
      </c>
      <c r="Z215" s="68">
        <f>VLOOKUP(Takeoffs!Y215,Sheet1!$B$6:$C$124,2,FALSE)</f>
        <v>46.463999999999999</v>
      </c>
      <c r="AA215" s="68">
        <f t="shared" si="86"/>
        <v>0</v>
      </c>
      <c r="AB215" s="63">
        <f t="shared" si="87"/>
        <v>0</v>
      </c>
      <c r="AC215" s="28">
        <f t="shared" ref="AC215:AC232" si="93">S215</f>
        <v>0</v>
      </c>
      <c r="AD215" s="61">
        <v>1</v>
      </c>
      <c r="AE215" s="59"/>
      <c r="AF215" s="12" t="s">
        <v>292</v>
      </c>
      <c r="AG215" s="68">
        <f>VLOOKUP(Takeoffs!AF215,Sheet1!$B$6:$C$124,2,FALSE)</f>
        <v>0</v>
      </c>
      <c r="AH215" s="68">
        <f t="shared" si="88"/>
        <v>0</v>
      </c>
      <c r="AI215" s="63">
        <f t="shared" si="89"/>
        <v>0</v>
      </c>
      <c r="AJ215" s="28">
        <f t="shared" si="90"/>
        <v>0</v>
      </c>
      <c r="AK215" s="61">
        <f t="shared" ref="AK215:AK221" si="94">T215</f>
        <v>0</v>
      </c>
      <c r="AL215" s="59"/>
      <c r="AO215" s="286"/>
      <c r="AP215" s="284">
        <f t="shared" si="80"/>
        <v>0</v>
      </c>
      <c r="AQ215" s="281">
        <f t="shared" si="81"/>
        <v>0</v>
      </c>
      <c r="AR215" s="284">
        <f t="shared" si="82"/>
        <v>0</v>
      </c>
      <c r="AS215" s="281">
        <f t="shared" si="83"/>
        <v>0</v>
      </c>
      <c r="AT215" s="284">
        <f t="shared" si="84"/>
        <v>0</v>
      </c>
    </row>
    <row r="216" spans="1:97" s="32" customFormat="1" ht="30.9" x14ac:dyDescent="0.8">
      <c r="A216" s="262">
        <f>ROW()</f>
        <v>216</v>
      </c>
      <c r="B216" s="114"/>
      <c r="C216" s="208"/>
      <c r="D216" s="208"/>
      <c r="E216" s="208"/>
      <c r="F216" s="208"/>
      <c r="G216" s="208"/>
      <c r="H216" s="208"/>
      <c r="I216" s="114"/>
      <c r="J216" s="32" t="str">
        <f t="shared" si="91"/>
        <v/>
      </c>
      <c r="K216" s="32" t="str">
        <f>IF(COUNTBLANK(R216)&gt;0,"",CONCATENATE(R216," for ",N212))</f>
        <v/>
      </c>
      <c r="M216" s="117" t="str">
        <f t="shared" si="92"/>
        <v/>
      </c>
      <c r="N216" s="15" t="s">
        <v>116</v>
      </c>
      <c r="O216" s="66"/>
      <c r="P216" s="12"/>
      <c r="Q216" s="66"/>
      <c r="R216" s="12"/>
      <c r="S216" s="28">
        <f>M212</f>
        <v>0</v>
      </c>
      <c r="T216" s="11"/>
      <c r="U216" s="12" t="s">
        <v>292</v>
      </c>
      <c r="V216" s="28">
        <f t="shared" si="85"/>
        <v>0</v>
      </c>
      <c r="W216" s="28">
        <f>VLOOKUP(U216,Sheet1!$B$6:$C$45,2,FALSE)*V216</f>
        <v>0</v>
      </c>
      <c r="X216" s="59"/>
      <c r="Y216" s="12" t="s">
        <v>292</v>
      </c>
      <c r="Z216" s="68">
        <f>VLOOKUP(Takeoffs!Y216,Sheet1!$B$6:$C$124,2,FALSE)</f>
        <v>0</v>
      </c>
      <c r="AA216" s="68">
        <f t="shared" si="86"/>
        <v>0</v>
      </c>
      <c r="AB216" s="63">
        <f t="shared" si="87"/>
        <v>0</v>
      </c>
      <c r="AC216" s="28">
        <f t="shared" si="93"/>
        <v>0</v>
      </c>
      <c r="AD216" s="61">
        <v>1</v>
      </c>
      <c r="AE216" s="59"/>
      <c r="AF216" s="12" t="s">
        <v>292</v>
      </c>
      <c r="AG216" s="68">
        <f>VLOOKUP(Takeoffs!AF216,Sheet1!$B$6:$C$124,2,FALSE)</f>
        <v>0</v>
      </c>
      <c r="AH216" s="68">
        <f t="shared" si="88"/>
        <v>0</v>
      </c>
      <c r="AI216" s="63">
        <f t="shared" si="89"/>
        <v>0</v>
      </c>
      <c r="AJ216" s="28">
        <f t="shared" si="90"/>
        <v>0</v>
      </c>
      <c r="AK216" s="61">
        <f t="shared" si="94"/>
        <v>0</v>
      </c>
      <c r="AL216" s="59"/>
      <c r="AO216" s="286"/>
      <c r="AP216" s="284">
        <f t="shared" si="80"/>
        <v>0</v>
      </c>
      <c r="AQ216" s="281">
        <f t="shared" si="81"/>
        <v>0</v>
      </c>
      <c r="AR216" s="284">
        <f t="shared" si="82"/>
        <v>0</v>
      </c>
      <c r="AS216" s="281">
        <f t="shared" si="83"/>
        <v>0</v>
      </c>
      <c r="AT216" s="284">
        <f t="shared" si="84"/>
        <v>0</v>
      </c>
    </row>
    <row r="217" spans="1:97" s="32" customFormat="1" ht="30.9" x14ac:dyDescent="0.8">
      <c r="A217" s="262">
        <f>ROW()</f>
        <v>217</v>
      </c>
      <c r="B217" s="114"/>
      <c r="C217" s="208"/>
      <c r="D217" s="208"/>
      <c r="E217" s="208"/>
      <c r="F217" s="208"/>
      <c r="G217" s="208"/>
      <c r="H217" s="208"/>
      <c r="I217" s="114"/>
      <c r="J217" s="32" t="str">
        <f t="shared" si="91"/>
        <v/>
      </c>
      <c r="K217" s="32" t="str">
        <f>IF(COUNTBLANK(R217)&gt;0,"",CONCATENATE(R217," for ",N212))</f>
        <v/>
      </c>
      <c r="M217" s="117" t="str">
        <f t="shared" si="92"/>
        <v/>
      </c>
      <c r="N217" s="15" t="s">
        <v>117</v>
      </c>
      <c r="O217" s="66"/>
      <c r="P217" s="12"/>
      <c r="Q217" s="66"/>
      <c r="R217" s="12"/>
      <c r="S217" s="28">
        <f>M212</f>
        <v>0</v>
      </c>
      <c r="T217" s="11"/>
      <c r="U217" s="12" t="s">
        <v>292</v>
      </c>
      <c r="V217" s="28">
        <f t="shared" si="85"/>
        <v>0</v>
      </c>
      <c r="W217" s="28">
        <f>VLOOKUP(U217,Sheet1!$B$6:$C$45,2,FALSE)*V217</f>
        <v>0</v>
      </c>
      <c r="X217" s="59"/>
      <c r="Y217" s="12" t="s">
        <v>292</v>
      </c>
      <c r="Z217" s="68">
        <f>VLOOKUP(Takeoffs!Y217,Sheet1!$B$6:$C$124,2,FALSE)</f>
        <v>0</v>
      </c>
      <c r="AA217" s="68">
        <f t="shared" si="86"/>
        <v>0</v>
      </c>
      <c r="AB217" s="63">
        <f t="shared" si="87"/>
        <v>0</v>
      </c>
      <c r="AC217" s="28">
        <f t="shared" si="93"/>
        <v>0</v>
      </c>
      <c r="AD217" s="61">
        <v>1</v>
      </c>
      <c r="AE217" s="59"/>
      <c r="AF217" s="12" t="s">
        <v>292</v>
      </c>
      <c r="AG217" s="68">
        <f>VLOOKUP(Takeoffs!AF217,Sheet1!$B$6:$C$124,2,FALSE)</f>
        <v>0</v>
      </c>
      <c r="AH217" s="68">
        <f t="shared" si="88"/>
        <v>0</v>
      </c>
      <c r="AI217" s="63">
        <f t="shared" si="89"/>
        <v>0</v>
      </c>
      <c r="AJ217" s="28">
        <f t="shared" si="90"/>
        <v>0</v>
      </c>
      <c r="AK217" s="61">
        <f t="shared" si="94"/>
        <v>0</v>
      </c>
      <c r="AL217" s="59"/>
      <c r="AO217" s="286"/>
      <c r="AP217" s="284">
        <f t="shared" si="80"/>
        <v>0</v>
      </c>
      <c r="AQ217" s="281">
        <f t="shared" si="81"/>
        <v>0</v>
      </c>
      <c r="AR217" s="284">
        <f t="shared" si="82"/>
        <v>0</v>
      </c>
      <c r="AS217" s="281">
        <f t="shared" si="83"/>
        <v>0</v>
      </c>
      <c r="AT217" s="284">
        <f t="shared" si="84"/>
        <v>0</v>
      </c>
    </row>
    <row r="218" spans="1:97" s="32" customFormat="1" ht="30.9" x14ac:dyDescent="0.8">
      <c r="A218" s="262">
        <f>ROW()</f>
        <v>218</v>
      </c>
      <c r="B218" s="114"/>
      <c r="C218" s="208"/>
      <c r="D218" s="208"/>
      <c r="E218" s="208"/>
      <c r="F218" s="208"/>
      <c r="G218" s="208"/>
      <c r="H218" s="208"/>
      <c r="I218" s="114"/>
      <c r="J218" s="32" t="str">
        <f t="shared" si="91"/>
        <v/>
      </c>
      <c r="K218" s="32" t="str">
        <f>IF(COUNTBLANK(R218)&gt;0,"",CONCATENATE(R218," for ",N212))</f>
        <v/>
      </c>
      <c r="M218" s="117" t="str">
        <f t="shared" si="92"/>
        <v/>
      </c>
      <c r="N218" s="15" t="s">
        <v>118</v>
      </c>
      <c r="O218" s="66"/>
      <c r="P218" s="12"/>
      <c r="Q218" s="66"/>
      <c r="R218" s="12"/>
      <c r="S218" s="28">
        <f>M212</f>
        <v>0</v>
      </c>
      <c r="T218" s="11"/>
      <c r="U218" s="12" t="s">
        <v>292</v>
      </c>
      <c r="V218" s="28">
        <f t="shared" si="85"/>
        <v>0</v>
      </c>
      <c r="W218" s="28">
        <f>VLOOKUP(U218,Sheet1!$B$6:$C$45,2,FALSE)*V218</f>
        <v>0</v>
      </c>
      <c r="X218" s="59"/>
      <c r="Y218" s="12" t="s">
        <v>292</v>
      </c>
      <c r="Z218" s="68">
        <f>VLOOKUP(Takeoffs!Y218,Sheet1!$B$6:$C$124,2,FALSE)</f>
        <v>0</v>
      </c>
      <c r="AA218" s="68">
        <f t="shared" si="86"/>
        <v>0</v>
      </c>
      <c r="AB218" s="63">
        <f t="shared" si="87"/>
        <v>0</v>
      </c>
      <c r="AC218" s="28">
        <f t="shared" si="93"/>
        <v>0</v>
      </c>
      <c r="AD218" s="61">
        <v>1</v>
      </c>
      <c r="AE218" s="59"/>
      <c r="AF218" s="12" t="s">
        <v>292</v>
      </c>
      <c r="AG218" s="68">
        <f>VLOOKUP(Takeoffs!AF218,Sheet1!$B$6:$C$124,2,FALSE)</f>
        <v>0</v>
      </c>
      <c r="AH218" s="68">
        <f t="shared" si="88"/>
        <v>0</v>
      </c>
      <c r="AI218" s="63">
        <f t="shared" si="89"/>
        <v>0</v>
      </c>
      <c r="AJ218" s="28">
        <f t="shared" si="90"/>
        <v>0</v>
      </c>
      <c r="AK218" s="61">
        <f t="shared" si="94"/>
        <v>0</v>
      </c>
      <c r="AL218" s="59"/>
      <c r="AO218" s="286"/>
      <c r="AP218" s="284">
        <f t="shared" si="80"/>
        <v>0</v>
      </c>
      <c r="AQ218" s="281">
        <f t="shared" si="81"/>
        <v>0</v>
      </c>
      <c r="AR218" s="284">
        <f t="shared" si="82"/>
        <v>0</v>
      </c>
      <c r="AS218" s="281">
        <f t="shared" si="83"/>
        <v>0</v>
      </c>
      <c r="AT218" s="284">
        <f t="shared" si="84"/>
        <v>0</v>
      </c>
    </row>
    <row r="219" spans="1:97" s="32" customFormat="1" ht="30.9" x14ac:dyDescent="0.8">
      <c r="A219" s="262">
        <f>ROW()</f>
        <v>219</v>
      </c>
      <c r="B219" s="114"/>
      <c r="C219" s="208"/>
      <c r="D219" s="208"/>
      <c r="E219" s="208"/>
      <c r="F219" s="208"/>
      <c r="G219" s="208"/>
      <c r="H219" s="208"/>
      <c r="I219" s="114"/>
      <c r="J219" s="32" t="str">
        <f t="shared" si="91"/>
        <v/>
      </c>
      <c r="K219" s="32" t="str">
        <f>IF(COUNTBLANK(R219)&gt;0,"",CONCATENATE(R219," for ",N212))</f>
        <v/>
      </c>
      <c r="M219" s="117" t="str">
        <f t="shared" si="92"/>
        <v/>
      </c>
      <c r="N219" s="15" t="s">
        <v>119</v>
      </c>
      <c r="O219" s="66"/>
      <c r="P219" s="12"/>
      <c r="Q219" s="66"/>
      <c r="R219" s="12"/>
      <c r="S219" s="28">
        <f>M212</f>
        <v>0</v>
      </c>
      <c r="T219" s="11"/>
      <c r="U219" s="12" t="s">
        <v>292</v>
      </c>
      <c r="V219" s="28">
        <f t="shared" si="85"/>
        <v>0</v>
      </c>
      <c r="W219" s="28">
        <f>VLOOKUP(U219,Sheet1!$B$6:$C$45,2,FALSE)*V219</f>
        <v>0</v>
      </c>
      <c r="X219" s="59"/>
      <c r="Y219" s="12" t="s">
        <v>292</v>
      </c>
      <c r="Z219" s="68">
        <f>VLOOKUP(Takeoffs!Y219,Sheet1!$B$6:$C$124,2,FALSE)</f>
        <v>0</v>
      </c>
      <c r="AA219" s="68">
        <f t="shared" si="86"/>
        <v>0</v>
      </c>
      <c r="AB219" s="63">
        <f t="shared" si="87"/>
        <v>0</v>
      </c>
      <c r="AC219" s="28">
        <f t="shared" si="93"/>
        <v>0</v>
      </c>
      <c r="AD219" s="61">
        <v>1</v>
      </c>
      <c r="AE219" s="59"/>
      <c r="AF219" s="12" t="s">
        <v>292</v>
      </c>
      <c r="AG219" s="68">
        <f>VLOOKUP(Takeoffs!AF219,Sheet1!$B$6:$C$124,2,FALSE)</f>
        <v>0</v>
      </c>
      <c r="AH219" s="68">
        <f t="shared" si="88"/>
        <v>0</v>
      </c>
      <c r="AI219" s="63">
        <f t="shared" si="89"/>
        <v>0</v>
      </c>
      <c r="AJ219" s="28">
        <f t="shared" si="90"/>
        <v>0</v>
      </c>
      <c r="AK219" s="61">
        <f t="shared" si="94"/>
        <v>0</v>
      </c>
      <c r="AL219" s="59"/>
      <c r="AO219" s="286"/>
      <c r="AP219" s="284">
        <f t="shared" si="80"/>
        <v>0</v>
      </c>
      <c r="AQ219" s="281">
        <f t="shared" si="81"/>
        <v>0</v>
      </c>
      <c r="AR219" s="284">
        <f t="shared" si="82"/>
        <v>0</v>
      </c>
      <c r="AS219" s="281">
        <f t="shared" si="83"/>
        <v>0</v>
      </c>
      <c r="AT219" s="284">
        <f t="shared" si="84"/>
        <v>0</v>
      </c>
    </row>
    <row r="220" spans="1:97" s="32" customFormat="1" ht="30.9" x14ac:dyDescent="0.8">
      <c r="A220" s="262">
        <f>ROW()</f>
        <v>220</v>
      </c>
      <c r="B220" s="114"/>
      <c r="C220" s="208"/>
      <c r="D220" s="208"/>
      <c r="E220" s="208"/>
      <c r="F220" s="208"/>
      <c r="G220" s="208"/>
      <c r="H220" s="208"/>
      <c r="I220" s="114"/>
      <c r="J220" s="32" t="str">
        <f t="shared" si="91"/>
        <v/>
      </c>
      <c r="K220" s="32" t="str">
        <f>IF(COUNTBLANK(R220)&gt;0,"",CONCATENATE(R220," for ",N212))</f>
        <v/>
      </c>
      <c r="M220" s="117" t="str">
        <f t="shared" si="92"/>
        <v xml:space="preserve"> </v>
      </c>
      <c r="N220" s="15" t="s">
        <v>120</v>
      </c>
      <c r="O220" s="66" t="s">
        <v>328</v>
      </c>
      <c r="P220" s="12"/>
      <c r="Q220" s="66"/>
      <c r="R220" s="12"/>
      <c r="S220" s="28">
        <f>M212</f>
        <v>0</v>
      </c>
      <c r="T220" s="11"/>
      <c r="U220" s="12" t="s">
        <v>242</v>
      </c>
      <c r="V220" s="28">
        <f t="shared" si="85"/>
        <v>0</v>
      </c>
      <c r="W220" s="28">
        <f>VLOOKUP(U220,Sheet1!$B$6:$C$45,2,FALSE)*V220</f>
        <v>0</v>
      </c>
      <c r="X220" s="59"/>
      <c r="Y220" s="12" t="s">
        <v>292</v>
      </c>
      <c r="Z220" s="68">
        <f>VLOOKUP(Takeoffs!Y220,Sheet1!$B$6:$C$124,2,FALSE)</f>
        <v>0</v>
      </c>
      <c r="AA220" s="68">
        <f t="shared" si="86"/>
        <v>0</v>
      </c>
      <c r="AB220" s="63">
        <f t="shared" si="87"/>
        <v>0</v>
      </c>
      <c r="AC220" s="28">
        <f t="shared" si="93"/>
        <v>0</v>
      </c>
      <c r="AD220" s="61">
        <v>1</v>
      </c>
      <c r="AE220" s="59"/>
      <c r="AF220" s="12" t="s">
        <v>292</v>
      </c>
      <c r="AG220" s="68">
        <f>VLOOKUP(Takeoffs!AF220,Sheet1!$B$6:$C$124,2,FALSE)</f>
        <v>0</v>
      </c>
      <c r="AH220" s="68">
        <f t="shared" si="88"/>
        <v>0</v>
      </c>
      <c r="AI220" s="63">
        <f t="shared" si="89"/>
        <v>0</v>
      </c>
      <c r="AJ220" s="28">
        <f t="shared" si="90"/>
        <v>0</v>
      </c>
      <c r="AK220" s="61">
        <f t="shared" si="94"/>
        <v>0</v>
      </c>
      <c r="AL220" s="59"/>
      <c r="AO220" s="286"/>
      <c r="AP220" s="284">
        <f t="shared" si="80"/>
        <v>0</v>
      </c>
      <c r="AQ220" s="281">
        <f t="shared" si="81"/>
        <v>0</v>
      </c>
      <c r="AR220" s="284">
        <f t="shared" si="82"/>
        <v>0</v>
      </c>
      <c r="AS220" s="281">
        <f t="shared" si="83"/>
        <v>0</v>
      </c>
      <c r="AT220" s="284">
        <f t="shared" si="84"/>
        <v>0</v>
      </c>
    </row>
    <row r="221" spans="1:97" s="32" customFormat="1" ht="30.9" x14ac:dyDescent="0.8">
      <c r="A221" s="262">
        <f>ROW()</f>
        <v>221</v>
      </c>
      <c r="B221" s="114"/>
      <c r="C221" s="208"/>
      <c r="D221" s="208"/>
      <c r="E221" s="208"/>
      <c r="F221" s="208"/>
      <c r="G221" s="208"/>
      <c r="H221" s="208"/>
      <c r="I221" s="114"/>
      <c r="J221" s="32" t="str">
        <f t="shared" si="91"/>
        <v/>
      </c>
      <c r="K221" s="32" t="str">
        <f>IF(COUNTBLANK(R221)&gt;0,"",CONCATENATE(R221," for ",N212))</f>
        <v/>
      </c>
      <c r="M221" s="117" t="str">
        <f t="shared" si="92"/>
        <v/>
      </c>
      <c r="N221" s="15" t="s">
        <v>121</v>
      </c>
      <c r="O221" s="66"/>
      <c r="P221" s="12"/>
      <c r="Q221" s="66"/>
      <c r="R221" s="12"/>
      <c r="S221" s="28">
        <f>M212</f>
        <v>0</v>
      </c>
      <c r="T221" s="11"/>
      <c r="U221" s="12" t="s">
        <v>292</v>
      </c>
      <c r="V221" s="28">
        <f t="shared" si="85"/>
        <v>0</v>
      </c>
      <c r="W221" s="28">
        <f>VLOOKUP(U221,Sheet1!$B$6:$C$45,2,FALSE)*V221</f>
        <v>0</v>
      </c>
      <c r="X221" s="59"/>
      <c r="Y221" s="12" t="s">
        <v>292</v>
      </c>
      <c r="Z221" s="68">
        <f>VLOOKUP(Takeoffs!Y221,Sheet1!$B$6:$C$124,2,FALSE)</f>
        <v>0</v>
      </c>
      <c r="AA221" s="68">
        <f t="shared" si="86"/>
        <v>0</v>
      </c>
      <c r="AB221" s="63">
        <f t="shared" si="87"/>
        <v>0</v>
      </c>
      <c r="AC221" s="28">
        <f t="shared" si="93"/>
        <v>0</v>
      </c>
      <c r="AD221" s="61">
        <v>1</v>
      </c>
      <c r="AE221" s="59"/>
      <c r="AF221" s="12" t="s">
        <v>292</v>
      </c>
      <c r="AG221" s="68">
        <f>VLOOKUP(Takeoffs!AF221,Sheet1!$B$6:$C$124,2,FALSE)</f>
        <v>0</v>
      </c>
      <c r="AH221" s="68">
        <f t="shared" si="88"/>
        <v>0</v>
      </c>
      <c r="AI221" s="63">
        <f t="shared" si="89"/>
        <v>0</v>
      </c>
      <c r="AJ221" s="28">
        <f t="shared" si="90"/>
        <v>0</v>
      </c>
      <c r="AK221" s="61">
        <f t="shared" si="94"/>
        <v>0</v>
      </c>
      <c r="AL221" s="59"/>
      <c r="AO221" s="286"/>
      <c r="AP221" s="284">
        <f t="shared" si="80"/>
        <v>0</v>
      </c>
      <c r="AQ221" s="281">
        <f t="shared" si="81"/>
        <v>0</v>
      </c>
      <c r="AR221" s="284">
        <f t="shared" si="82"/>
        <v>0</v>
      </c>
      <c r="AS221" s="281">
        <f t="shared" si="83"/>
        <v>0</v>
      </c>
      <c r="AT221" s="284">
        <f t="shared" si="84"/>
        <v>0</v>
      </c>
    </row>
    <row r="222" spans="1:97" s="32" customFormat="1" ht="30.9" x14ac:dyDescent="0.8">
      <c r="A222" s="262">
        <f>ROW()</f>
        <v>222</v>
      </c>
      <c r="B222" s="114"/>
      <c r="C222" s="208"/>
      <c r="D222" s="208"/>
      <c r="E222" s="208"/>
      <c r="F222" s="208"/>
      <c r="G222" s="208"/>
      <c r="H222" s="208"/>
      <c r="I222" s="114"/>
      <c r="J222" s="32" t="str">
        <f t="shared" si="91"/>
        <v/>
      </c>
      <c r="K222" s="32" t="str">
        <f>IF(COUNTBLANK(R222)&gt;0,"",CONCATENATE(R222," for ",N212))</f>
        <v>high temp thermostat  (for additional safety/redundancy) for fire pump room fan - from local power supply</v>
      </c>
      <c r="M222" s="117" t="str">
        <f t="shared" si="92"/>
        <v xml:space="preserve"> </v>
      </c>
      <c r="N222" s="15" t="s">
        <v>122</v>
      </c>
      <c r="O222" s="66" t="s">
        <v>336</v>
      </c>
      <c r="P222" s="12"/>
      <c r="Q222" s="66"/>
      <c r="R222" s="12" t="s">
        <v>454</v>
      </c>
      <c r="S222" s="28">
        <f>M212</f>
        <v>0</v>
      </c>
      <c r="T222" s="11"/>
      <c r="U222" s="12" t="s">
        <v>363</v>
      </c>
      <c r="V222" s="28">
        <f t="shared" si="85"/>
        <v>0</v>
      </c>
      <c r="W222" s="28">
        <f>VLOOKUP(U222,Sheet1!$B$6:$C$45,2,FALSE)*V222</f>
        <v>0</v>
      </c>
      <c r="X222" s="59"/>
      <c r="Y222" s="13" t="s">
        <v>273</v>
      </c>
      <c r="Z222" s="68">
        <f>VLOOKUP(Takeoffs!Y222,Sheet1!$B$6:$C$124,2,FALSE)</f>
        <v>307.2</v>
      </c>
      <c r="AA222" s="68">
        <f t="shared" si="86"/>
        <v>0</v>
      </c>
      <c r="AB222" s="63">
        <f t="shared" si="87"/>
        <v>0</v>
      </c>
      <c r="AC222" s="28">
        <f t="shared" si="93"/>
        <v>0</v>
      </c>
      <c r="AD222" s="61">
        <v>1</v>
      </c>
      <c r="AE222" s="59"/>
      <c r="AF222" s="12" t="s">
        <v>292</v>
      </c>
      <c r="AG222" s="68">
        <f>VLOOKUP(Takeoffs!AF222,Sheet1!$B$6:$C$124,2,FALSE)</f>
        <v>0</v>
      </c>
      <c r="AH222" s="68">
        <f t="shared" si="88"/>
        <v>0</v>
      </c>
      <c r="AI222" s="63">
        <f t="shared" si="89"/>
        <v>0</v>
      </c>
      <c r="AJ222" s="28">
        <f t="shared" si="90"/>
        <v>0</v>
      </c>
      <c r="AK222" s="61">
        <f>T222</f>
        <v>0</v>
      </c>
      <c r="AL222" s="59"/>
      <c r="AO222" s="286"/>
      <c r="AP222" s="284">
        <f t="shared" si="80"/>
        <v>0</v>
      </c>
      <c r="AQ222" s="281">
        <f t="shared" si="81"/>
        <v>0</v>
      </c>
      <c r="AR222" s="284">
        <f t="shared" si="82"/>
        <v>0</v>
      </c>
      <c r="AS222" s="281">
        <f t="shared" si="83"/>
        <v>0</v>
      </c>
      <c r="AT222" s="284">
        <f t="shared" si="84"/>
        <v>0</v>
      </c>
    </row>
    <row r="223" spans="1:97" s="32" customFormat="1" ht="30.9" x14ac:dyDescent="0.8">
      <c r="A223" s="262">
        <f>ROW()</f>
        <v>223</v>
      </c>
      <c r="B223" s="114"/>
      <c r="C223" s="208"/>
      <c r="D223" s="208"/>
      <c r="E223" s="208"/>
      <c r="F223" s="208"/>
      <c r="G223" s="208"/>
      <c r="H223" s="208"/>
      <c r="I223" s="114"/>
      <c r="J223" s="32" t="str">
        <f t="shared" si="91"/>
        <v/>
      </c>
      <c r="K223" s="32" t="str">
        <f>IF(COUNTBLANK(R223)&gt;0,"",CONCATENATE(R223," for ",N212))</f>
        <v/>
      </c>
      <c r="M223" s="117" t="str">
        <f t="shared" si="92"/>
        <v xml:space="preserve"> </v>
      </c>
      <c r="N223" s="15" t="s">
        <v>123</v>
      </c>
      <c r="O223" s="66" t="s">
        <v>498</v>
      </c>
      <c r="P223" s="12"/>
      <c r="Q223" s="66"/>
      <c r="R223" s="12"/>
      <c r="S223" s="28">
        <f>M212</f>
        <v>0</v>
      </c>
      <c r="T223" s="11"/>
      <c r="U223" s="12" t="s">
        <v>363</v>
      </c>
      <c r="V223" s="28">
        <f t="shared" si="85"/>
        <v>0</v>
      </c>
      <c r="W223" s="28">
        <f>VLOOKUP(U223,Sheet1!$B$6:$C$45,2,FALSE)*V223</f>
        <v>0</v>
      </c>
      <c r="X223" s="59"/>
      <c r="Y223" s="12" t="s">
        <v>292</v>
      </c>
      <c r="Z223" s="68">
        <f>VLOOKUP(Takeoffs!Y223,Sheet1!$B$6:$C$124,2,FALSE)</f>
        <v>0</v>
      </c>
      <c r="AA223" s="68">
        <f t="shared" si="86"/>
        <v>0</v>
      </c>
      <c r="AB223" s="63">
        <f t="shared" si="87"/>
        <v>0</v>
      </c>
      <c r="AC223" s="28">
        <f t="shared" si="93"/>
        <v>0</v>
      </c>
      <c r="AD223" s="61">
        <v>1</v>
      </c>
      <c r="AE223" s="59"/>
      <c r="AF223" s="13" t="s">
        <v>267</v>
      </c>
      <c r="AG223" s="68">
        <f>VLOOKUP(Takeoffs!AF223,Sheet1!$B$6:$C$124,2,FALSE)</f>
        <v>3.48</v>
      </c>
      <c r="AH223" s="68">
        <f t="shared" si="88"/>
        <v>0</v>
      </c>
      <c r="AI223" s="63">
        <f t="shared" si="89"/>
        <v>0</v>
      </c>
      <c r="AJ223" s="28">
        <f t="shared" si="90"/>
        <v>0</v>
      </c>
      <c r="AK223" s="61">
        <v>10</v>
      </c>
      <c r="AL223" s="59"/>
      <c r="AO223" s="286"/>
      <c r="AP223" s="284">
        <f t="shared" si="80"/>
        <v>0</v>
      </c>
      <c r="AQ223" s="281">
        <f t="shared" si="81"/>
        <v>0</v>
      </c>
      <c r="AR223" s="284">
        <f t="shared" si="82"/>
        <v>0</v>
      </c>
      <c r="AS223" s="281">
        <f t="shared" si="83"/>
        <v>0</v>
      </c>
      <c r="AT223" s="284">
        <f t="shared" si="84"/>
        <v>0</v>
      </c>
    </row>
    <row r="224" spans="1:97" s="32" customFormat="1" ht="30.9" x14ac:dyDescent="0.8">
      <c r="A224" s="262">
        <f>ROW()</f>
        <v>224</v>
      </c>
      <c r="B224" s="114"/>
      <c r="C224" s="208"/>
      <c r="D224" s="208"/>
      <c r="E224" s="208"/>
      <c r="F224" s="208"/>
      <c r="G224" s="208"/>
      <c r="H224" s="208"/>
      <c r="I224" s="114"/>
      <c r="J224" s="32" t="str">
        <f t="shared" si="91"/>
        <v/>
      </c>
      <c r="K224" s="32" t="str">
        <f>IF(COUNTBLANK(R224)&gt;0,"",CONCATENATE(R224," for ",N212))</f>
        <v/>
      </c>
      <c r="M224" s="117" t="str">
        <f t="shared" si="92"/>
        <v xml:space="preserve"> </v>
      </c>
      <c r="N224" s="15" t="s">
        <v>124</v>
      </c>
      <c r="O224" s="66" t="s">
        <v>140</v>
      </c>
      <c r="P224" s="12"/>
      <c r="Q224" s="66"/>
      <c r="R224" s="12"/>
      <c r="S224" s="28">
        <f>M212</f>
        <v>0</v>
      </c>
      <c r="T224" s="11"/>
      <c r="U224" s="12" t="s">
        <v>292</v>
      </c>
      <c r="V224" s="28">
        <f t="shared" si="85"/>
        <v>0</v>
      </c>
      <c r="W224" s="28">
        <f>VLOOKUP(U224,Sheet1!$B$6:$C$45,2,FALSE)*V224</f>
        <v>0</v>
      </c>
      <c r="X224" s="59"/>
      <c r="Y224" s="12" t="s">
        <v>292</v>
      </c>
      <c r="Z224" s="68">
        <f>VLOOKUP(Takeoffs!Y224,Sheet1!$B$6:$C$124,2,FALSE)</f>
        <v>0</v>
      </c>
      <c r="AA224" s="68">
        <f t="shared" si="86"/>
        <v>0</v>
      </c>
      <c r="AB224" s="63">
        <f t="shared" si="87"/>
        <v>0</v>
      </c>
      <c r="AC224" s="28">
        <f t="shared" si="93"/>
        <v>0</v>
      </c>
      <c r="AD224" s="61">
        <v>1</v>
      </c>
      <c r="AE224" s="59"/>
      <c r="AF224" s="65" t="s">
        <v>269</v>
      </c>
      <c r="AG224" s="68">
        <f>VLOOKUP(Takeoffs!AF224,Sheet1!$B$6:$C$124,2,FALSE)</f>
        <v>1.056</v>
      </c>
      <c r="AH224" s="68">
        <f t="shared" si="88"/>
        <v>0</v>
      </c>
      <c r="AI224" s="63">
        <f t="shared" si="89"/>
        <v>0</v>
      </c>
      <c r="AJ224" s="28">
        <f t="shared" si="90"/>
        <v>0</v>
      </c>
      <c r="AK224" s="61">
        <v>10</v>
      </c>
      <c r="AL224" s="59"/>
      <c r="AO224" s="286"/>
      <c r="AP224" s="284">
        <f t="shared" si="80"/>
        <v>0</v>
      </c>
      <c r="AQ224" s="281">
        <f t="shared" si="81"/>
        <v>0</v>
      </c>
      <c r="AR224" s="284">
        <f t="shared" si="82"/>
        <v>0</v>
      </c>
      <c r="AS224" s="281">
        <f t="shared" si="83"/>
        <v>0</v>
      </c>
      <c r="AT224" s="284">
        <f t="shared" si="84"/>
        <v>0</v>
      </c>
    </row>
    <row r="225" spans="1:97" s="32" customFormat="1" ht="30.9" x14ac:dyDescent="0.8">
      <c r="A225" s="262">
        <f>ROW()</f>
        <v>225</v>
      </c>
      <c r="B225" s="114"/>
      <c r="C225" s="208"/>
      <c r="D225" s="208"/>
      <c r="E225" s="208"/>
      <c r="F225" s="208"/>
      <c r="G225" s="208"/>
      <c r="H225" s="208"/>
      <c r="I225" s="114"/>
      <c r="J225" s="32" t="str">
        <f t="shared" si="91"/>
        <v/>
      </c>
      <c r="K225" s="32" t="str">
        <f>IF(COUNTBLANK(R225)&gt;0,"",CONCATENATE(R225," for ",N212))</f>
        <v/>
      </c>
      <c r="M225" s="117" t="str">
        <f t="shared" si="92"/>
        <v xml:space="preserve"> </v>
      </c>
      <c r="N225" s="15" t="s">
        <v>125</v>
      </c>
      <c r="O225" s="66" t="s">
        <v>312</v>
      </c>
      <c r="P225" s="12"/>
      <c r="Q225" s="66"/>
      <c r="R225" s="12"/>
      <c r="S225" s="28">
        <f>M212</f>
        <v>0</v>
      </c>
      <c r="T225" s="11"/>
      <c r="U225" s="12" t="s">
        <v>232</v>
      </c>
      <c r="V225" s="28">
        <f t="shared" si="85"/>
        <v>0</v>
      </c>
      <c r="W225" s="28">
        <f>VLOOKUP(U225,Sheet1!$B$6:$C$45,2,FALSE)*V225</f>
        <v>0</v>
      </c>
      <c r="X225" s="59"/>
      <c r="Y225" s="13" t="s">
        <v>1345</v>
      </c>
      <c r="Z225" s="68">
        <f>VLOOKUP(Takeoffs!Y225,Sheet1!$B$6:$C$124,2,FALSE)</f>
        <v>109.25999999999999</v>
      </c>
      <c r="AA225" s="68">
        <f t="shared" si="86"/>
        <v>0</v>
      </c>
      <c r="AB225" s="63">
        <f t="shared" si="87"/>
        <v>0</v>
      </c>
      <c r="AC225" s="28">
        <f t="shared" si="93"/>
        <v>0</v>
      </c>
      <c r="AD225" s="61">
        <v>1</v>
      </c>
      <c r="AE225" s="59"/>
      <c r="AF225" s="12" t="s">
        <v>292</v>
      </c>
      <c r="AG225" s="68">
        <f>VLOOKUP(Takeoffs!AF225,Sheet1!$B$6:$C$124,2,FALSE)</f>
        <v>0</v>
      </c>
      <c r="AH225" s="68">
        <f t="shared" si="88"/>
        <v>0</v>
      </c>
      <c r="AI225" s="63">
        <f t="shared" si="89"/>
        <v>0</v>
      </c>
      <c r="AJ225" s="28">
        <f t="shared" si="90"/>
        <v>0</v>
      </c>
      <c r="AK225" s="61">
        <f t="shared" ref="AK225:AK232" si="95">T225</f>
        <v>0</v>
      </c>
      <c r="AL225" s="59"/>
      <c r="AO225" s="286"/>
      <c r="AP225" s="284">
        <f t="shared" si="80"/>
        <v>0</v>
      </c>
      <c r="AQ225" s="281">
        <f t="shared" si="81"/>
        <v>0</v>
      </c>
      <c r="AR225" s="284">
        <f t="shared" si="82"/>
        <v>0</v>
      </c>
      <c r="AS225" s="281">
        <f t="shared" si="83"/>
        <v>0</v>
      </c>
      <c r="AT225" s="284">
        <f t="shared" si="84"/>
        <v>0</v>
      </c>
    </row>
    <row r="226" spans="1:97" s="32" customFormat="1" ht="30.9" x14ac:dyDescent="0.8">
      <c r="A226" s="262">
        <f>ROW()</f>
        <v>226</v>
      </c>
      <c r="B226" s="114"/>
      <c r="C226" s="208"/>
      <c r="D226" s="208"/>
      <c r="E226" s="208"/>
      <c r="F226" s="208"/>
      <c r="G226" s="208"/>
      <c r="H226" s="208"/>
      <c r="I226" s="114"/>
      <c r="J226" s="32" t="str">
        <f t="shared" si="91"/>
        <v xml:space="preserve">Coordination Note: - Fire trade: Please refer to our exclusions relating to status cabling from pumps. </v>
      </c>
      <c r="K226" s="32" t="str">
        <f>IF(COUNTBLANK(R226)&gt;0,"",CONCATENATE(R226," for ",N212))</f>
        <v/>
      </c>
      <c r="M226" s="117" t="str">
        <f t="shared" si="92"/>
        <v xml:space="preserve"> </v>
      </c>
      <c r="N226" s="15" t="s">
        <v>126</v>
      </c>
      <c r="O226" s="66" t="s">
        <v>345</v>
      </c>
      <c r="P226" s="12" t="s">
        <v>380</v>
      </c>
      <c r="Q226" s="66" t="s">
        <v>421</v>
      </c>
      <c r="R226" s="12"/>
      <c r="S226" s="28">
        <f>M212</f>
        <v>0</v>
      </c>
      <c r="T226" s="11"/>
      <c r="U226" s="12" t="s">
        <v>292</v>
      </c>
      <c r="V226" s="28">
        <f t="shared" si="85"/>
        <v>0</v>
      </c>
      <c r="W226" s="28">
        <f>VLOOKUP(U226,Sheet1!$B$6:$C$45,2,FALSE)*V226</f>
        <v>0</v>
      </c>
      <c r="X226" s="59"/>
      <c r="Y226" s="13" t="s">
        <v>326</v>
      </c>
      <c r="Z226" s="68">
        <f>VLOOKUP(Takeoffs!Y226,Sheet1!$B$6:$C$124,2,FALSE)</f>
        <v>29.04</v>
      </c>
      <c r="AA226" s="68">
        <f t="shared" si="86"/>
        <v>0</v>
      </c>
      <c r="AB226" s="63">
        <f t="shared" si="87"/>
        <v>0</v>
      </c>
      <c r="AC226" s="28">
        <f t="shared" si="93"/>
        <v>0</v>
      </c>
      <c r="AD226" s="61">
        <v>1</v>
      </c>
      <c r="AE226" s="59"/>
      <c r="AF226" s="12" t="s">
        <v>292</v>
      </c>
      <c r="AG226" s="68">
        <f>VLOOKUP(Takeoffs!AF226,Sheet1!$B$6:$C$124,2,FALSE)</f>
        <v>0</v>
      </c>
      <c r="AH226" s="68">
        <f t="shared" si="88"/>
        <v>0</v>
      </c>
      <c r="AI226" s="63">
        <f t="shared" si="89"/>
        <v>0</v>
      </c>
      <c r="AJ226" s="28">
        <f t="shared" si="90"/>
        <v>0</v>
      </c>
      <c r="AK226" s="61">
        <f t="shared" si="95"/>
        <v>0</v>
      </c>
      <c r="AL226" s="59"/>
      <c r="AO226" s="286"/>
      <c r="AP226" s="284">
        <f t="shared" si="80"/>
        <v>0</v>
      </c>
      <c r="AQ226" s="281">
        <f t="shared" si="81"/>
        <v>0</v>
      </c>
      <c r="AR226" s="284">
        <f t="shared" si="82"/>
        <v>0</v>
      </c>
      <c r="AS226" s="281">
        <f t="shared" si="83"/>
        <v>0</v>
      </c>
      <c r="AT226" s="284">
        <f t="shared" si="84"/>
        <v>0</v>
      </c>
    </row>
    <row r="227" spans="1:97" s="32" customFormat="1" ht="30.9" x14ac:dyDescent="0.8">
      <c r="A227" s="262">
        <f>ROW()</f>
        <v>227</v>
      </c>
      <c r="B227" s="114"/>
      <c r="C227" s="208"/>
      <c r="D227" s="208"/>
      <c r="E227" s="208"/>
      <c r="F227" s="208"/>
      <c r="G227" s="208"/>
      <c r="H227" s="208"/>
      <c r="I227" s="114"/>
      <c r="J227" s="32" t="str">
        <f t="shared" si="91"/>
        <v/>
      </c>
      <c r="K227" s="32" t="str">
        <f>IF(COUNTBLANK(R227)&gt;0,"",CONCATENATE(R227," for ",N212))</f>
        <v/>
      </c>
      <c r="M227" s="117" t="str">
        <f t="shared" si="92"/>
        <v xml:space="preserve"> </v>
      </c>
      <c r="N227" s="15" t="s">
        <v>127</v>
      </c>
      <c r="O227" s="66" t="s">
        <v>337</v>
      </c>
      <c r="P227" s="12"/>
      <c r="Q227" s="66"/>
      <c r="R227" s="12"/>
      <c r="S227" s="28">
        <f>M212</f>
        <v>0</v>
      </c>
      <c r="T227" s="11"/>
      <c r="U227" s="12" t="s">
        <v>292</v>
      </c>
      <c r="V227" s="28">
        <f t="shared" si="85"/>
        <v>0</v>
      </c>
      <c r="W227" s="28">
        <f>VLOOKUP(U227,Sheet1!$B$6:$C$45,2,FALSE)*V227</f>
        <v>0</v>
      </c>
      <c r="X227" s="59"/>
      <c r="Y227" s="13" t="s">
        <v>280</v>
      </c>
      <c r="Z227" s="68">
        <f>VLOOKUP(Takeoffs!Y227,Sheet1!$B$6:$C$124,2,FALSE)</f>
        <v>19.2</v>
      </c>
      <c r="AA227" s="68">
        <f t="shared" si="86"/>
        <v>0</v>
      </c>
      <c r="AB227" s="63">
        <f t="shared" si="87"/>
        <v>0</v>
      </c>
      <c r="AC227" s="28">
        <f t="shared" si="93"/>
        <v>0</v>
      </c>
      <c r="AD227" s="61">
        <v>2</v>
      </c>
      <c r="AE227" s="59"/>
      <c r="AF227" s="12" t="s">
        <v>292</v>
      </c>
      <c r="AG227" s="68">
        <f>VLOOKUP(Takeoffs!AF227,Sheet1!$B$6:$C$124,2,FALSE)</f>
        <v>0</v>
      </c>
      <c r="AH227" s="68">
        <f t="shared" si="88"/>
        <v>0</v>
      </c>
      <c r="AI227" s="63">
        <f t="shared" si="89"/>
        <v>0</v>
      </c>
      <c r="AJ227" s="28">
        <f t="shared" si="90"/>
        <v>0</v>
      </c>
      <c r="AK227" s="61">
        <f t="shared" si="95"/>
        <v>0</v>
      </c>
      <c r="AL227" s="59"/>
      <c r="AO227" s="286"/>
      <c r="AP227" s="284">
        <f t="shared" si="80"/>
        <v>0</v>
      </c>
      <c r="AQ227" s="281">
        <f t="shared" si="81"/>
        <v>0</v>
      </c>
      <c r="AR227" s="284">
        <f t="shared" si="82"/>
        <v>0</v>
      </c>
      <c r="AS227" s="281">
        <f t="shared" si="83"/>
        <v>0</v>
      </c>
      <c r="AT227" s="284">
        <f t="shared" si="84"/>
        <v>0</v>
      </c>
    </row>
    <row r="228" spans="1:97" s="32" customFormat="1" ht="30.9" x14ac:dyDescent="0.8">
      <c r="A228" s="262">
        <f>ROW()</f>
        <v>228</v>
      </c>
      <c r="B228" s="114"/>
      <c r="C228" s="208"/>
      <c r="D228" s="208"/>
      <c r="E228" s="208"/>
      <c r="F228" s="208"/>
      <c r="G228" s="208"/>
      <c r="H228" s="208"/>
      <c r="I228" s="114"/>
      <c r="J228" s="32" t="str">
        <f t="shared" si="91"/>
        <v/>
      </c>
      <c r="K228" s="32" t="str">
        <f>IF(COUNTBLANK(R228)&gt;0,"",CONCATENATE(R228," for ",N212))</f>
        <v/>
      </c>
      <c r="M228" s="117" t="str">
        <f t="shared" si="92"/>
        <v/>
      </c>
      <c r="N228" s="15" t="s">
        <v>128</v>
      </c>
      <c r="O228" s="66"/>
      <c r="P228" s="12"/>
      <c r="Q228" s="66"/>
      <c r="R228" s="12"/>
      <c r="S228" s="28">
        <f>M212</f>
        <v>0</v>
      </c>
      <c r="T228" s="11"/>
      <c r="U228" s="12" t="s">
        <v>292</v>
      </c>
      <c r="V228" s="28">
        <f t="shared" si="85"/>
        <v>0</v>
      </c>
      <c r="W228" s="28">
        <f>VLOOKUP(U228,Sheet1!$B$6:$C$45,2,FALSE)*V228</f>
        <v>0</v>
      </c>
      <c r="X228" s="59"/>
      <c r="Y228" s="12" t="s">
        <v>292</v>
      </c>
      <c r="Z228" s="68">
        <f>VLOOKUP(Takeoffs!Y228,Sheet1!$B$6:$C$124,2,FALSE)</f>
        <v>0</v>
      </c>
      <c r="AA228" s="68">
        <f t="shared" si="86"/>
        <v>0</v>
      </c>
      <c r="AB228" s="63">
        <f t="shared" si="87"/>
        <v>0</v>
      </c>
      <c r="AC228" s="28">
        <f t="shared" si="93"/>
        <v>0</v>
      </c>
      <c r="AD228" s="61">
        <v>1</v>
      </c>
      <c r="AE228" s="59"/>
      <c r="AF228" s="12" t="s">
        <v>292</v>
      </c>
      <c r="AG228" s="68">
        <f>VLOOKUP(Takeoffs!AF228,Sheet1!$B$6:$C$124,2,FALSE)</f>
        <v>0</v>
      </c>
      <c r="AH228" s="68">
        <f t="shared" si="88"/>
        <v>0</v>
      </c>
      <c r="AI228" s="63">
        <f t="shared" si="89"/>
        <v>0</v>
      </c>
      <c r="AJ228" s="28">
        <f t="shared" si="90"/>
        <v>0</v>
      </c>
      <c r="AK228" s="61">
        <f t="shared" si="95"/>
        <v>0</v>
      </c>
      <c r="AL228" s="59"/>
      <c r="AO228" s="286"/>
      <c r="AP228" s="284">
        <f t="shared" si="80"/>
        <v>0</v>
      </c>
      <c r="AQ228" s="281">
        <f t="shared" si="81"/>
        <v>0</v>
      </c>
      <c r="AR228" s="284">
        <f t="shared" si="82"/>
        <v>0</v>
      </c>
      <c r="AS228" s="281">
        <f t="shared" si="83"/>
        <v>0</v>
      </c>
      <c r="AT228" s="284">
        <f t="shared" si="84"/>
        <v>0</v>
      </c>
    </row>
    <row r="229" spans="1:97" s="32" customFormat="1" ht="30.9" x14ac:dyDescent="0.8">
      <c r="A229" s="262">
        <f>ROW()</f>
        <v>229</v>
      </c>
      <c r="B229" s="114"/>
      <c r="C229" s="208"/>
      <c r="D229" s="208"/>
      <c r="E229" s="208"/>
      <c r="F229" s="208"/>
      <c r="G229" s="208"/>
      <c r="H229" s="208"/>
      <c r="I229" s="114"/>
      <c r="J229" s="32" t="str">
        <f t="shared" si="91"/>
        <v/>
      </c>
      <c r="K229" s="32" t="str">
        <f>IF(COUNTBLANK(R229)&gt;0,"",CONCATENATE(R229," for ",N212))</f>
        <v>Auto/Off/On switch for fire pump room fan - from local power supply</v>
      </c>
      <c r="M229" s="117" t="str">
        <f t="shared" si="92"/>
        <v xml:space="preserve"> </v>
      </c>
      <c r="N229" s="15" t="s">
        <v>129</v>
      </c>
      <c r="O229" s="66" t="s">
        <v>329</v>
      </c>
      <c r="P229" s="12"/>
      <c r="Q229" s="66"/>
      <c r="R229" s="12" t="s">
        <v>304</v>
      </c>
      <c r="S229" s="28">
        <f>M212</f>
        <v>0</v>
      </c>
      <c r="T229" s="11"/>
      <c r="U229" s="12" t="s">
        <v>292</v>
      </c>
      <c r="V229" s="28">
        <f t="shared" si="85"/>
        <v>0</v>
      </c>
      <c r="W229" s="28">
        <f>VLOOKUP(U229,Sheet1!$B$6:$C$45,2,FALSE)*V229</f>
        <v>0</v>
      </c>
      <c r="X229" s="59"/>
      <c r="Y229" s="13" t="s">
        <v>277</v>
      </c>
      <c r="Z229" s="68">
        <f>VLOOKUP(Takeoffs!Y229,Sheet1!$B$6:$C$124,2,FALSE)</f>
        <v>69.540000000000006</v>
      </c>
      <c r="AA229" s="68">
        <f t="shared" si="86"/>
        <v>0</v>
      </c>
      <c r="AB229" s="63">
        <f t="shared" si="87"/>
        <v>0</v>
      </c>
      <c r="AC229" s="28">
        <f t="shared" si="93"/>
        <v>0</v>
      </c>
      <c r="AD229" s="61">
        <v>1</v>
      </c>
      <c r="AE229" s="59"/>
      <c r="AF229" s="12" t="s">
        <v>292</v>
      </c>
      <c r="AG229" s="68">
        <f>VLOOKUP(Takeoffs!AF229,Sheet1!$B$6:$C$124,2,FALSE)</f>
        <v>0</v>
      </c>
      <c r="AH229" s="68">
        <f t="shared" si="88"/>
        <v>0</v>
      </c>
      <c r="AI229" s="63">
        <f t="shared" si="89"/>
        <v>0</v>
      </c>
      <c r="AJ229" s="28">
        <f t="shared" si="90"/>
        <v>0</v>
      </c>
      <c r="AK229" s="61">
        <f t="shared" si="95"/>
        <v>0</v>
      </c>
      <c r="AL229" s="59"/>
      <c r="AO229" s="286"/>
      <c r="AP229" s="284">
        <f t="shared" si="80"/>
        <v>0</v>
      </c>
      <c r="AQ229" s="281">
        <f t="shared" si="81"/>
        <v>0</v>
      </c>
      <c r="AR229" s="284">
        <f t="shared" si="82"/>
        <v>0</v>
      </c>
      <c r="AS229" s="281">
        <f t="shared" si="83"/>
        <v>0</v>
      </c>
      <c r="AT229" s="284">
        <f t="shared" si="84"/>
        <v>0</v>
      </c>
    </row>
    <row r="230" spans="1:97" s="32" customFormat="1" ht="30.9" x14ac:dyDescent="0.8">
      <c r="A230" s="262">
        <f>ROW()</f>
        <v>230</v>
      </c>
      <c r="B230" s="114"/>
      <c r="C230" s="208"/>
      <c r="D230" s="208"/>
      <c r="E230" s="208"/>
      <c r="F230" s="208"/>
      <c r="G230" s="208"/>
      <c r="H230" s="208"/>
      <c r="I230" s="114"/>
      <c r="J230" s="32" t="str">
        <f t="shared" si="91"/>
        <v/>
      </c>
      <c r="K230" s="32" t="str">
        <f>IF(COUNTBLANK(R230)&gt;0,"",CONCATENATE(R230," for ",N212))</f>
        <v/>
      </c>
      <c r="M230" s="117" t="str">
        <f t="shared" si="92"/>
        <v xml:space="preserve"> </v>
      </c>
      <c r="N230" s="15" t="s">
        <v>130</v>
      </c>
      <c r="O230" s="66" t="s">
        <v>338</v>
      </c>
      <c r="P230" s="12"/>
      <c r="Q230" s="66"/>
      <c r="R230" s="12"/>
      <c r="S230" s="28">
        <f>M212</f>
        <v>0</v>
      </c>
      <c r="T230" s="11"/>
      <c r="U230" s="12" t="s">
        <v>292</v>
      </c>
      <c r="V230" s="28">
        <f t="shared" si="85"/>
        <v>0</v>
      </c>
      <c r="W230" s="28">
        <f>VLOOKUP(U230,Sheet1!$B$6:$C$45,2,FALSE)*V230</f>
        <v>0</v>
      </c>
      <c r="X230" s="59"/>
      <c r="Y230" s="13" t="s">
        <v>333</v>
      </c>
      <c r="Z230" s="68">
        <f>VLOOKUP(Takeoffs!Y230,Sheet1!$B$6:$C$124,2,FALSE)</f>
        <v>60</v>
      </c>
      <c r="AA230" s="68">
        <f t="shared" si="86"/>
        <v>0</v>
      </c>
      <c r="AB230" s="63">
        <f t="shared" si="87"/>
        <v>0</v>
      </c>
      <c r="AC230" s="28">
        <f t="shared" si="93"/>
        <v>0</v>
      </c>
      <c r="AD230" s="61">
        <v>1</v>
      </c>
      <c r="AE230" s="59"/>
      <c r="AF230" s="12" t="s">
        <v>292</v>
      </c>
      <c r="AG230" s="68">
        <f>VLOOKUP(Takeoffs!AF230,Sheet1!$B$6:$C$124,2,FALSE)</f>
        <v>0</v>
      </c>
      <c r="AH230" s="68">
        <f t="shared" si="88"/>
        <v>0</v>
      </c>
      <c r="AI230" s="63">
        <f t="shared" si="89"/>
        <v>0</v>
      </c>
      <c r="AJ230" s="28">
        <f t="shared" si="90"/>
        <v>0</v>
      </c>
      <c r="AK230" s="61">
        <f t="shared" si="95"/>
        <v>0</v>
      </c>
      <c r="AL230" s="59"/>
      <c r="AO230" s="286"/>
      <c r="AP230" s="284">
        <f t="shared" si="80"/>
        <v>0</v>
      </c>
      <c r="AQ230" s="281">
        <f t="shared" si="81"/>
        <v>0</v>
      </c>
      <c r="AR230" s="284">
        <f t="shared" si="82"/>
        <v>0</v>
      </c>
      <c r="AS230" s="281">
        <f t="shared" si="83"/>
        <v>0</v>
      </c>
      <c r="AT230" s="284">
        <f t="shared" si="84"/>
        <v>0</v>
      </c>
    </row>
    <row r="231" spans="1:97" s="32" customFormat="1" ht="30.9" x14ac:dyDescent="0.8">
      <c r="A231" s="262">
        <f>ROW()</f>
        <v>231</v>
      </c>
      <c r="B231" s="114"/>
      <c r="C231" s="208"/>
      <c r="D231" s="208"/>
      <c r="E231" s="208"/>
      <c r="F231" s="208"/>
      <c r="G231" s="208"/>
      <c r="H231" s="208"/>
      <c r="I231" s="114"/>
      <c r="J231" s="32" t="str">
        <f t="shared" si="91"/>
        <v/>
      </c>
      <c r="K231" s="32" t="str">
        <f>IF(COUNTBLANK(R231)&gt;0,"",CONCATENATE(R231," for ",N212))</f>
        <v/>
      </c>
      <c r="M231" s="117" t="str">
        <f t="shared" si="92"/>
        <v xml:space="preserve"> </v>
      </c>
      <c r="N231" s="15" t="s">
        <v>131</v>
      </c>
      <c r="O231" s="66" t="s">
        <v>402</v>
      </c>
      <c r="P231" s="12"/>
      <c r="Q231" s="66"/>
      <c r="R231" s="12"/>
      <c r="S231" s="28">
        <f>M212</f>
        <v>0</v>
      </c>
      <c r="T231" s="11"/>
      <c r="U231" s="12" t="s">
        <v>292</v>
      </c>
      <c r="V231" s="28">
        <f t="shared" si="85"/>
        <v>0</v>
      </c>
      <c r="W231" s="28">
        <f>VLOOKUP(U231,Sheet1!$B$6:$C$45,2,FALSE)*V231</f>
        <v>0</v>
      </c>
      <c r="X231" s="59"/>
      <c r="Y231" s="12" t="s">
        <v>274</v>
      </c>
      <c r="Z231" s="68">
        <f>VLOOKUP(Takeoffs!Y231,Sheet1!$B$6:$C$124,2,FALSE)</f>
        <v>360</v>
      </c>
      <c r="AA231" s="68">
        <f t="shared" si="86"/>
        <v>0</v>
      </c>
      <c r="AB231" s="63">
        <f t="shared" si="87"/>
        <v>0</v>
      </c>
      <c r="AC231" s="28">
        <f t="shared" si="93"/>
        <v>0</v>
      </c>
      <c r="AD231" s="61">
        <v>1</v>
      </c>
      <c r="AE231" s="59"/>
      <c r="AF231" s="12" t="s">
        <v>292</v>
      </c>
      <c r="AG231" s="68">
        <f>VLOOKUP(Takeoffs!AF231,Sheet1!$B$6:$C$124,2,FALSE)</f>
        <v>0</v>
      </c>
      <c r="AH231" s="68">
        <f t="shared" si="88"/>
        <v>0</v>
      </c>
      <c r="AI231" s="63">
        <f t="shared" si="89"/>
        <v>0</v>
      </c>
      <c r="AJ231" s="28">
        <f t="shared" si="90"/>
        <v>0</v>
      </c>
      <c r="AK231" s="61">
        <f t="shared" si="95"/>
        <v>0</v>
      </c>
      <c r="AL231" s="59"/>
      <c r="AO231" s="286"/>
      <c r="AP231" s="284">
        <f t="shared" si="80"/>
        <v>0</v>
      </c>
      <c r="AQ231" s="281">
        <f t="shared" si="81"/>
        <v>0</v>
      </c>
      <c r="AR231" s="284">
        <f t="shared" si="82"/>
        <v>0</v>
      </c>
      <c r="AS231" s="281">
        <f t="shared" si="83"/>
        <v>0</v>
      </c>
      <c r="AT231" s="284">
        <f t="shared" si="84"/>
        <v>0</v>
      </c>
    </row>
    <row r="232" spans="1:97" s="32" customFormat="1" ht="30.9" x14ac:dyDescent="0.8">
      <c r="A232" s="262">
        <f>ROW()</f>
        <v>232</v>
      </c>
      <c r="B232" s="114"/>
      <c r="C232" s="208"/>
      <c r="D232" s="208"/>
      <c r="E232" s="208"/>
      <c r="F232" s="208"/>
      <c r="G232" s="208"/>
      <c r="H232" s="208"/>
      <c r="I232" s="114"/>
      <c r="J232" s="32" t="str">
        <f t="shared" si="91"/>
        <v/>
      </c>
      <c r="K232" s="32" t="str">
        <f>IF(COUNTBLANK(R232)&gt;0,"",CONCATENATE(R232," for ",N212))</f>
        <v/>
      </c>
      <c r="M232" s="117" t="str">
        <f t="shared" si="92"/>
        <v xml:space="preserve"> </v>
      </c>
      <c r="N232" s="15" t="s">
        <v>132</v>
      </c>
      <c r="O232" s="66" t="s">
        <v>408</v>
      </c>
      <c r="P232" s="12"/>
      <c r="Q232" s="66"/>
      <c r="R232" s="12"/>
      <c r="S232" s="28">
        <f>M212</f>
        <v>0</v>
      </c>
      <c r="T232" s="11"/>
      <c r="U232" s="12" t="s">
        <v>362</v>
      </c>
      <c r="V232" s="28">
        <f t="shared" si="85"/>
        <v>0</v>
      </c>
      <c r="W232" s="28">
        <f>VLOOKUP(U232,Sheet1!$B$6:$C$45,2,FALSE)*V232</f>
        <v>0</v>
      </c>
      <c r="X232" s="59"/>
      <c r="Y232" s="12" t="s">
        <v>292</v>
      </c>
      <c r="Z232" s="68">
        <f>VLOOKUP(Takeoffs!Y232,Sheet1!$B$6:$C$124,2,FALSE)</f>
        <v>0</v>
      </c>
      <c r="AA232" s="68">
        <f t="shared" si="86"/>
        <v>0</v>
      </c>
      <c r="AB232" s="63">
        <f t="shared" si="87"/>
        <v>0</v>
      </c>
      <c r="AC232" s="28">
        <f t="shared" si="93"/>
        <v>0</v>
      </c>
      <c r="AD232" s="61">
        <v>1</v>
      </c>
      <c r="AE232" s="59"/>
      <c r="AF232" s="12" t="s">
        <v>292</v>
      </c>
      <c r="AG232" s="68">
        <f>VLOOKUP(Takeoffs!AF232,Sheet1!$B$6:$C$124,2,FALSE)</f>
        <v>0</v>
      </c>
      <c r="AH232" s="68">
        <f t="shared" si="88"/>
        <v>0</v>
      </c>
      <c r="AI232" s="63">
        <f t="shared" si="89"/>
        <v>0</v>
      </c>
      <c r="AJ232" s="28">
        <f t="shared" si="90"/>
        <v>0</v>
      </c>
      <c r="AK232" s="61">
        <f t="shared" si="95"/>
        <v>0</v>
      </c>
      <c r="AL232" s="59"/>
      <c r="AO232" s="286"/>
      <c r="AP232" s="284">
        <f t="shared" si="80"/>
        <v>0</v>
      </c>
      <c r="AQ232" s="281">
        <f t="shared" si="81"/>
        <v>0</v>
      </c>
      <c r="AR232" s="284">
        <f t="shared" si="82"/>
        <v>0</v>
      </c>
      <c r="AS232" s="281">
        <f t="shared" si="83"/>
        <v>0</v>
      </c>
      <c r="AT232" s="284">
        <f t="shared" si="84"/>
        <v>0</v>
      </c>
    </row>
    <row r="233" spans="1:97" s="21" customFormat="1" ht="31.5" customHeight="1" x14ac:dyDescent="0.8">
      <c r="A233" s="262">
        <f>ROW()</f>
        <v>233</v>
      </c>
      <c r="B233" s="128"/>
      <c r="C233" s="212"/>
      <c r="D233" s="212"/>
      <c r="E233" s="212"/>
      <c r="F233" s="212"/>
      <c r="G233" s="212"/>
      <c r="H233" s="212"/>
      <c r="I233" s="128"/>
      <c r="J233" s="21" t="s">
        <v>377</v>
      </c>
      <c r="L233" s="21" t="s">
        <v>378</v>
      </c>
      <c r="N233" s="22"/>
      <c r="O233" s="23" t="s">
        <v>357</v>
      </c>
      <c r="P233" s="24">
        <f>V233+AA233+AH233</f>
        <v>0</v>
      </c>
      <c r="Q233" s="24"/>
      <c r="R233" s="24"/>
      <c r="S233" s="23"/>
      <c r="T233" s="20"/>
      <c r="U233" s="19" t="s">
        <v>351</v>
      </c>
      <c r="V233" s="20">
        <f>W233*80</f>
        <v>0</v>
      </c>
      <c r="W233" s="69">
        <f>SUM(W212:W232)</f>
        <v>0</v>
      </c>
      <c r="X233" s="70"/>
      <c r="Y233" s="20" t="s">
        <v>352</v>
      </c>
      <c r="Z233" s="2"/>
      <c r="AA233" s="2">
        <f>SUM(AA212:AA232)</f>
        <v>0</v>
      </c>
      <c r="AB233" s="71"/>
      <c r="AC233" s="71"/>
      <c r="AD233" s="71"/>
      <c r="AE233" s="71"/>
      <c r="AF233" s="20" t="s">
        <v>356</v>
      </c>
      <c r="AG233" s="2"/>
      <c r="AH233" s="2">
        <f>SUM(AH212:AH232)</f>
        <v>0</v>
      </c>
      <c r="AI233" s="71"/>
      <c r="AJ233" s="71"/>
      <c r="AK233" s="71"/>
      <c r="AL233" s="71"/>
      <c r="AM233" s="72">
        <f>P233</f>
        <v>0</v>
      </c>
      <c r="AO233" s="286"/>
      <c r="AP233" s="284">
        <f t="shared" si="80"/>
        <v>0</v>
      </c>
      <c r="AQ233" s="281">
        <f t="shared" si="81"/>
        <v>0</v>
      </c>
      <c r="AR233" s="284">
        <f t="shared" si="82"/>
        <v>0</v>
      </c>
      <c r="AS233" s="281">
        <f t="shared" si="83"/>
        <v>0</v>
      </c>
      <c r="AT233" s="284">
        <f t="shared" si="84"/>
        <v>0</v>
      </c>
    </row>
    <row r="234" spans="1:97" s="234" customFormat="1" ht="185.15" x14ac:dyDescent="0.8">
      <c r="A234" s="262">
        <f>ROW()</f>
        <v>234</v>
      </c>
      <c r="B234" s="234" t="s">
        <v>491</v>
      </c>
      <c r="C234" s="217" t="str">
        <f>N212</f>
        <v>fire pump room fan - from local power supply</v>
      </c>
      <c r="D234" s="260" t="str">
        <f>IF(B234="Shopping List",IF(ISNUMBER(SEARCH("MSSB",C234)),"MSSB",IF(ISNUMBER(SEARCH("local",C234)),"LOCAL","")))</f>
        <v>LOCAL</v>
      </c>
      <c r="E234" s="238"/>
      <c r="F234" s="217"/>
      <c r="G234" s="55"/>
      <c r="H234" s="245"/>
      <c r="I234" s="270"/>
      <c r="J234" s="241" t="str">
        <f>CONCATENATE(O212," ",L212, " (",M212,") ",N212,".", IF(M212&gt;1," Each "," This "),"includes supply and install of ",O213,O214,O215,O216,O217,O218,O219,O220,O221,O222,O223,O224,O225,O226,O227,O228,O229,O230,O231,O232,J213,J214,J215,J216,J217,J218,J219,J220,J221,J222,J223,J224,J225,J226,J227,J228,J229,J230,J231,J232)</f>
        <v xml:space="preserve">Electrical power supply and controls to Zero (0) fire pump room fan - from local power supply. This includes supply and install of power and controls. Power for system includes: cabling to fan and control panel (from Builder's Electrician's isolator) and local isolator. Controls for system includes: high temp thermostat, current switch and cable to light switch ( to turn system on with lights)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status cabling from pumps. </v>
      </c>
      <c r="K234" s="246">
        <f>P233</f>
        <v>0</v>
      </c>
      <c r="L234" s="234" t="str">
        <f>CONCATENATE(Q213,Q214,Q215,Q216,Q217,Q218,Q219,Q220,Q221,Q222,Q223,Q224,Q225,Q226,Q227,Q228,Q229,Q230,Q231,Q232,)</f>
        <v xml:space="preserve">local power supply status cabling from pumps. </v>
      </c>
      <c r="M234" s="91" t="s">
        <v>367</v>
      </c>
      <c r="N234" s="83" t="str">
        <f>N212</f>
        <v>fire pump room fan - from local power supply</v>
      </c>
      <c r="O234" s="83" t="s">
        <v>365</v>
      </c>
      <c r="P234" s="98" t="e">
        <f>P233/M212</f>
        <v>#DIV/0!</v>
      </c>
      <c r="Q234" s="84"/>
      <c r="R234" s="84"/>
      <c r="S234" s="83"/>
      <c r="T234" s="84"/>
      <c r="U234" s="503" t="s">
        <v>366</v>
      </c>
      <c r="V234" s="503"/>
      <c r="W234" s="85" t="e">
        <f>W233/M212</f>
        <v>#DIV/0!</v>
      </c>
      <c r="X234" s="86"/>
      <c r="Y234" s="501" t="s">
        <v>365</v>
      </c>
      <c r="Z234" s="501"/>
      <c r="AA234" s="87" t="e">
        <f>AA233/M212</f>
        <v>#DIV/0!</v>
      </c>
      <c r="AB234" s="84"/>
      <c r="AC234" s="84"/>
      <c r="AD234" s="84"/>
      <c r="AE234" s="84"/>
      <c r="AF234" s="501" t="s">
        <v>365</v>
      </c>
      <c r="AG234" s="501"/>
      <c r="AH234" s="87" t="e">
        <f>AH233/M212</f>
        <v>#DIV/0!</v>
      </c>
      <c r="AI234" s="84"/>
      <c r="AJ234" s="84"/>
      <c r="AK234" s="84"/>
      <c r="AL234" s="247"/>
      <c r="AM234" s="64">
        <f>K234*1.25</f>
        <v>0</v>
      </c>
      <c r="AN234" s="236">
        <f>K234*$D$9</f>
        <v>0</v>
      </c>
      <c r="AO234" s="286"/>
      <c r="AP234" s="284">
        <f t="shared" si="80"/>
        <v>0</v>
      </c>
      <c r="AQ234" s="281">
        <f t="shared" si="81"/>
        <v>0</v>
      </c>
      <c r="AR234" s="284">
        <f t="shared" si="82"/>
        <v>0</v>
      </c>
      <c r="AS234" s="281">
        <f t="shared" si="83"/>
        <v>0</v>
      </c>
      <c r="AT234" s="284">
        <f t="shared" si="84"/>
        <v>0</v>
      </c>
      <c r="AU234" s="117"/>
      <c r="AV234" s="117"/>
      <c r="AW234" s="117"/>
      <c r="AX234" s="117"/>
      <c r="AY234" s="117"/>
      <c r="AZ234" s="117"/>
      <c r="BA234" s="117"/>
      <c r="BB234" s="117"/>
      <c r="BC234" s="117"/>
      <c r="BD234" s="117"/>
      <c r="BE234" s="117"/>
      <c r="BF234" s="117"/>
      <c r="BG234" s="117"/>
      <c r="BH234" s="117"/>
      <c r="BI234" s="117"/>
      <c r="BJ234" s="117"/>
      <c r="BK234" s="117"/>
      <c r="BL234" s="117"/>
      <c r="BM234" s="117"/>
      <c r="BN234" s="117"/>
      <c r="BO234" s="117"/>
      <c r="BP234" s="117"/>
      <c r="BQ234" s="117"/>
      <c r="BR234" s="117"/>
      <c r="BS234" s="117"/>
      <c r="BT234" s="117"/>
      <c r="BU234" s="117"/>
      <c r="BV234" s="117"/>
      <c r="BW234" s="117"/>
      <c r="BX234" s="117"/>
      <c r="BY234" s="117"/>
      <c r="BZ234" s="117"/>
      <c r="CA234" s="117"/>
      <c r="CB234" s="117"/>
      <c r="CC234" s="117"/>
      <c r="CD234" s="117"/>
      <c r="CE234" s="117"/>
      <c r="CF234" s="117"/>
      <c r="CG234" s="117"/>
      <c r="CH234" s="117"/>
      <c r="CI234" s="117"/>
      <c r="CJ234" s="117"/>
      <c r="CK234" s="117"/>
      <c r="CL234" s="117"/>
      <c r="CM234" s="117"/>
      <c r="CN234" s="117"/>
      <c r="CO234" s="117"/>
      <c r="CP234" s="117"/>
      <c r="CQ234" s="117"/>
      <c r="CR234" s="117"/>
      <c r="CS234" s="117"/>
    </row>
    <row r="235" spans="1:97" s="116" customFormat="1" ht="192.75" customHeight="1" x14ac:dyDescent="0.8">
      <c r="A235" s="262">
        <f>ROW()</f>
        <v>235</v>
      </c>
      <c r="C235" s="211"/>
      <c r="D235" s="211"/>
      <c r="E235" s="211"/>
      <c r="F235" s="211"/>
      <c r="G235" s="211"/>
      <c r="H235" s="211"/>
      <c r="K235" s="116" t="s">
        <v>452</v>
      </c>
      <c r="M235" s="116" t="s">
        <v>107</v>
      </c>
      <c r="N235" s="116" t="s">
        <v>108</v>
      </c>
      <c r="O235" s="170" t="s">
        <v>386</v>
      </c>
      <c r="P235" s="502" t="s">
        <v>375</v>
      </c>
      <c r="Q235" s="502"/>
      <c r="R235" s="101" t="s">
        <v>452</v>
      </c>
      <c r="S235" s="116" t="s">
        <v>0</v>
      </c>
      <c r="T235" s="118"/>
      <c r="U235" s="116" t="s">
        <v>287</v>
      </c>
      <c r="V235" s="116" t="s">
        <v>288</v>
      </c>
      <c r="W235" s="116" t="s">
        <v>291</v>
      </c>
      <c r="X235" s="140"/>
      <c r="Y235" s="116" t="s">
        <v>289</v>
      </c>
      <c r="Z235" s="116" t="s">
        <v>354</v>
      </c>
      <c r="AA235" s="116" t="s">
        <v>355</v>
      </c>
      <c r="AB235" s="116" t="s">
        <v>317</v>
      </c>
      <c r="AC235" s="116" t="s">
        <v>318</v>
      </c>
      <c r="AD235" s="116" t="s">
        <v>316</v>
      </c>
      <c r="AE235" s="140"/>
      <c r="AF235" s="116" t="s">
        <v>293</v>
      </c>
      <c r="AG235" s="116" t="s">
        <v>354</v>
      </c>
      <c r="AH235" s="116" t="s">
        <v>355</v>
      </c>
      <c r="AI235" s="116" t="s">
        <v>296</v>
      </c>
      <c r="AJ235" s="116" t="s">
        <v>294</v>
      </c>
      <c r="AK235" s="116" t="s">
        <v>295</v>
      </c>
      <c r="AL235" s="140"/>
      <c r="AO235" s="288"/>
      <c r="AP235" s="284">
        <f t="shared" si="80"/>
        <v>0</v>
      </c>
      <c r="AQ235" s="281">
        <f t="shared" si="81"/>
        <v>0</v>
      </c>
      <c r="AR235" s="284">
        <f t="shared" si="82"/>
        <v>0</v>
      </c>
      <c r="AS235" s="281">
        <f t="shared" si="83"/>
        <v>0</v>
      </c>
      <c r="AT235" s="284">
        <f t="shared" si="84"/>
        <v>0</v>
      </c>
    </row>
    <row r="236" spans="1:97" s="114" customFormat="1" ht="40.5" customHeight="1" x14ac:dyDescent="0.8">
      <c r="A236" s="262">
        <f>ROW()</f>
        <v>236</v>
      </c>
      <c r="C236" s="208"/>
      <c r="D236" s="208"/>
      <c r="E236" s="208"/>
      <c r="F236" s="208"/>
      <c r="G236" s="208"/>
      <c r="H236" s="208"/>
      <c r="L236" s="124" t="str">
        <f>VLOOKUP(M236,Sheet2!$D$2:$E$1024,2,FALSE)</f>
        <v>Zero</v>
      </c>
      <c r="M236" s="121">
        <f>I258</f>
        <v>0</v>
      </c>
      <c r="N236" s="132" t="s">
        <v>633</v>
      </c>
      <c r="O236" s="121" t="s">
        <v>347</v>
      </c>
      <c r="P236" s="169" t="s">
        <v>379</v>
      </c>
      <c r="Q236" s="169" t="s">
        <v>375</v>
      </c>
      <c r="R236" s="169"/>
      <c r="S236" s="133">
        <f>M236</f>
        <v>0</v>
      </c>
      <c r="T236" s="119"/>
      <c r="U236" s="121" t="s">
        <v>292</v>
      </c>
      <c r="V236" s="133">
        <f>S236</f>
        <v>0</v>
      </c>
      <c r="W236" s="133">
        <f>VLOOKUP(U236,Sheet1!$B$6:$C$45,2,FALSE)*V236</f>
        <v>0</v>
      </c>
      <c r="X236" s="141"/>
      <c r="Y236" s="121" t="s">
        <v>292</v>
      </c>
      <c r="Z236" s="146">
        <f>VLOOKUP(Takeoffs!Y236,Sheet1!$B$6:$C$124,2,FALSE)</f>
        <v>0</v>
      </c>
      <c r="AA236" s="146">
        <f>Z236*AB236</f>
        <v>0</v>
      </c>
      <c r="AB236" s="143">
        <f>AD236*AC236</f>
        <v>0</v>
      </c>
      <c r="AC236" s="133">
        <f>S236</f>
        <v>0</v>
      </c>
      <c r="AD236" s="142">
        <v>1</v>
      </c>
      <c r="AE236" s="141"/>
      <c r="AF236" s="121" t="s">
        <v>292</v>
      </c>
      <c r="AG236" s="146">
        <f>VLOOKUP(Takeoffs!AF236,Sheet1!$B$6:$C$124,2,FALSE)</f>
        <v>0</v>
      </c>
      <c r="AH236" s="146">
        <f>AG236*AI236</f>
        <v>0</v>
      </c>
      <c r="AI236" s="143">
        <f>AK236*AJ236</f>
        <v>0</v>
      </c>
      <c r="AJ236" s="133">
        <f>S236</f>
        <v>0</v>
      </c>
      <c r="AK236" s="142">
        <f>T236</f>
        <v>0</v>
      </c>
      <c r="AL236" s="141"/>
      <c r="AO236" s="286"/>
      <c r="AP236" s="284">
        <f t="shared" si="80"/>
        <v>0</v>
      </c>
      <c r="AQ236" s="281">
        <f t="shared" si="81"/>
        <v>0</v>
      </c>
      <c r="AR236" s="284">
        <f t="shared" si="82"/>
        <v>0</v>
      </c>
      <c r="AS236" s="281">
        <f t="shared" si="83"/>
        <v>0</v>
      </c>
      <c r="AT236" s="284">
        <f t="shared" si="84"/>
        <v>0</v>
      </c>
    </row>
    <row r="237" spans="1:97" s="114" customFormat="1" ht="30.9" x14ac:dyDescent="0.8">
      <c r="A237" s="262">
        <f>ROW()</f>
        <v>237</v>
      </c>
      <c r="C237" s="208"/>
      <c r="D237" s="208"/>
      <c r="E237" s="208"/>
      <c r="F237" s="208"/>
      <c r="G237" s="208"/>
      <c r="H237" s="208"/>
      <c r="J237" s="114" t="str">
        <f>IF(COUNTBLANK(Q237)&gt;0,"",CONCATENATE("Coordination Note: - ",P237,": Please refer to our exclusions relating to ",Q237))</f>
        <v/>
      </c>
      <c r="K237" s="114" t="str">
        <f>IF(COUNTBLANK(R237)&gt;0,"",CONCATENATE(R237," for ",N236))</f>
        <v/>
      </c>
      <c r="M237" s="117"/>
      <c r="N237" s="123" t="s">
        <v>113</v>
      </c>
      <c r="O237" s="66" t="s">
        <v>340</v>
      </c>
      <c r="P237" s="121"/>
      <c r="Q237" s="66"/>
      <c r="R237" s="121"/>
      <c r="S237" s="133">
        <f>M236</f>
        <v>0</v>
      </c>
      <c r="T237" s="120"/>
      <c r="U237" s="121" t="s">
        <v>233</v>
      </c>
      <c r="V237" s="133">
        <f t="shared" ref="V237:V256" si="96">S237</f>
        <v>0</v>
      </c>
      <c r="W237" s="133">
        <f>VLOOKUP(U237,Sheet1!$B$6:$C$45,2,FALSE)*V237</f>
        <v>0</v>
      </c>
      <c r="X237" s="141"/>
      <c r="Y237" s="121" t="s">
        <v>292</v>
      </c>
      <c r="Z237" s="146">
        <f>VLOOKUP(Takeoffs!Y237,Sheet1!$B$6:$C$124,2,FALSE)</f>
        <v>0</v>
      </c>
      <c r="AA237" s="146">
        <f t="shared" ref="AA237:AA256" si="97">Z237*AB237</f>
        <v>0</v>
      </c>
      <c r="AB237" s="143">
        <f t="shared" ref="AB237:AB256" si="98">AD237*AC237</f>
        <v>0</v>
      </c>
      <c r="AC237" s="133">
        <f t="shared" ref="AC237:AC256" si="99">S237</f>
        <v>0</v>
      </c>
      <c r="AD237" s="142">
        <v>1</v>
      </c>
      <c r="AE237" s="141"/>
      <c r="AF237" s="121" t="s">
        <v>292</v>
      </c>
      <c r="AG237" s="146">
        <f>VLOOKUP(Takeoffs!AF237,Sheet1!$B$6:$C$124,2,FALSE)</f>
        <v>0</v>
      </c>
      <c r="AH237" s="146">
        <f t="shared" ref="AH237:AH256" si="100">AG237*AI237</f>
        <v>0</v>
      </c>
      <c r="AI237" s="143">
        <f t="shared" ref="AI237:AI256" si="101">AK237*AJ237</f>
        <v>0</v>
      </c>
      <c r="AJ237" s="133">
        <f t="shared" ref="AJ237:AJ256" si="102">S237</f>
        <v>0</v>
      </c>
      <c r="AK237" s="142">
        <f>T237</f>
        <v>0</v>
      </c>
      <c r="AL237" s="141"/>
      <c r="AO237" s="286"/>
      <c r="AP237" s="284">
        <f t="shared" si="80"/>
        <v>0</v>
      </c>
      <c r="AQ237" s="281">
        <f t="shared" si="81"/>
        <v>0</v>
      </c>
      <c r="AR237" s="284">
        <f t="shared" si="82"/>
        <v>0</v>
      </c>
      <c r="AS237" s="281">
        <f t="shared" si="83"/>
        <v>0</v>
      </c>
      <c r="AT237" s="284">
        <f t="shared" si="84"/>
        <v>0</v>
      </c>
    </row>
    <row r="238" spans="1:97" s="114" customFormat="1" ht="30.9" x14ac:dyDescent="0.8">
      <c r="A238" s="262">
        <f>ROW()</f>
        <v>238</v>
      </c>
      <c r="C238" s="208"/>
      <c r="D238" s="208"/>
      <c r="E238" s="208"/>
      <c r="F238" s="208"/>
      <c r="G238" s="208"/>
      <c r="H238" s="208"/>
      <c r="J238" s="114" t="str">
        <f t="shared" ref="J238:J256" si="103">IF(COUNTBLANK(Q238)&gt;0,"",CONCATENATE("Coordination Note: - ",P238,": Please refer to our exclusions relating to ",Q238))</f>
        <v xml:space="preserve">Coordination Note: - Builders electrician: Please refer to our exclusions relating to local power supply </v>
      </c>
      <c r="K238" s="114" t="str">
        <f>IF(COUNTBLANK(R238)&gt;0,"",CONCATENATE(R238," for ",N236))</f>
        <v/>
      </c>
      <c r="M238" s="117"/>
      <c r="N238" s="123" t="s">
        <v>114</v>
      </c>
      <c r="O238" s="66" t="s">
        <v>441</v>
      </c>
      <c r="P238" s="121" t="s">
        <v>539</v>
      </c>
      <c r="Q238" s="66" t="s">
        <v>687</v>
      </c>
      <c r="R238" s="121"/>
      <c r="S238" s="133">
        <f>M236</f>
        <v>0</v>
      </c>
      <c r="T238" s="120"/>
      <c r="U238" s="121" t="s">
        <v>361</v>
      </c>
      <c r="V238" s="133">
        <f t="shared" si="96"/>
        <v>0</v>
      </c>
      <c r="W238" s="133">
        <f>VLOOKUP(U238,Sheet1!$B$6:$C$45,2,FALSE)*V238</f>
        <v>0</v>
      </c>
      <c r="X238" s="141"/>
      <c r="Y238" s="121" t="s">
        <v>292</v>
      </c>
      <c r="Z238" s="146">
        <f>VLOOKUP(Takeoffs!Y238,Sheet1!$B$6:$C$124,2,FALSE)</f>
        <v>0</v>
      </c>
      <c r="AA238" s="146">
        <f t="shared" si="97"/>
        <v>0</v>
      </c>
      <c r="AB238" s="143">
        <f t="shared" si="98"/>
        <v>0</v>
      </c>
      <c r="AC238" s="133">
        <f t="shared" si="99"/>
        <v>0</v>
      </c>
      <c r="AD238" s="142">
        <v>1</v>
      </c>
      <c r="AE238" s="141"/>
      <c r="AF238" s="122" t="s">
        <v>267</v>
      </c>
      <c r="AG238" s="146">
        <f>VLOOKUP(Takeoffs!AF238,Sheet1!$B$6:$C$124,2,FALSE)</f>
        <v>3.48</v>
      </c>
      <c r="AH238" s="146">
        <f t="shared" si="100"/>
        <v>0</v>
      </c>
      <c r="AI238" s="143">
        <f t="shared" si="101"/>
        <v>0</v>
      </c>
      <c r="AJ238" s="133">
        <f t="shared" si="102"/>
        <v>0</v>
      </c>
      <c r="AK238" s="142">
        <v>5</v>
      </c>
      <c r="AL238" s="141"/>
      <c r="AO238" s="286"/>
      <c r="AP238" s="284">
        <f t="shared" si="80"/>
        <v>0</v>
      </c>
      <c r="AQ238" s="281">
        <f t="shared" si="81"/>
        <v>0</v>
      </c>
      <c r="AR238" s="284">
        <f t="shared" si="82"/>
        <v>0</v>
      </c>
      <c r="AS238" s="281">
        <f t="shared" si="83"/>
        <v>0</v>
      </c>
      <c r="AT238" s="284">
        <f t="shared" si="84"/>
        <v>0</v>
      </c>
    </row>
    <row r="239" spans="1:97" s="114" customFormat="1" ht="30.9" x14ac:dyDescent="0.8">
      <c r="A239" s="262">
        <f>ROW()</f>
        <v>239</v>
      </c>
      <c r="C239" s="208"/>
      <c r="D239" s="208"/>
      <c r="E239" s="208"/>
      <c r="F239" s="208"/>
      <c r="G239" s="208"/>
      <c r="H239" s="208"/>
      <c r="J239" s="114" t="str">
        <f t="shared" si="103"/>
        <v/>
      </c>
      <c r="K239" s="114" t="str">
        <f>IF(COUNTBLANK(R239)&gt;0,"",CONCATENATE(R239," for ",N236))</f>
        <v/>
      </c>
      <c r="M239" s="117"/>
      <c r="N239" s="123" t="s">
        <v>115</v>
      </c>
      <c r="O239" s="66" t="s">
        <v>406</v>
      </c>
      <c r="P239" s="121"/>
      <c r="Q239" s="66"/>
      <c r="R239" s="121"/>
      <c r="S239" s="133">
        <f>M236</f>
        <v>0</v>
      </c>
      <c r="T239" s="120"/>
      <c r="U239" s="121" t="s">
        <v>292</v>
      </c>
      <c r="V239" s="133">
        <f t="shared" si="96"/>
        <v>0</v>
      </c>
      <c r="W239" s="133">
        <f>VLOOKUP(U239,Sheet1!$B$6:$C$45,2,FALSE)*V239</f>
        <v>0</v>
      </c>
      <c r="X239" s="141"/>
      <c r="Y239" s="122" t="s">
        <v>245</v>
      </c>
      <c r="Z239" s="146">
        <f>VLOOKUP(Takeoffs!Y239,Sheet1!$B$6:$C$124,2,FALSE)</f>
        <v>46.463999999999999</v>
      </c>
      <c r="AA239" s="146">
        <f t="shared" si="97"/>
        <v>0</v>
      </c>
      <c r="AB239" s="143">
        <f t="shared" si="98"/>
        <v>0</v>
      </c>
      <c r="AC239" s="133">
        <f t="shared" si="99"/>
        <v>0</v>
      </c>
      <c r="AD239" s="142">
        <v>1</v>
      </c>
      <c r="AE239" s="141"/>
      <c r="AF239" s="121" t="s">
        <v>292</v>
      </c>
      <c r="AG239" s="146">
        <f>VLOOKUP(Takeoffs!AF239,Sheet1!$B$6:$C$124,2,FALSE)</f>
        <v>0</v>
      </c>
      <c r="AH239" s="146">
        <f t="shared" si="100"/>
        <v>0</v>
      </c>
      <c r="AI239" s="143">
        <f t="shared" si="101"/>
        <v>0</v>
      </c>
      <c r="AJ239" s="133">
        <f t="shared" si="102"/>
        <v>0</v>
      </c>
      <c r="AK239" s="142">
        <f t="shared" ref="AK239:AK245" si="104">T239</f>
        <v>0</v>
      </c>
      <c r="AL239" s="141"/>
      <c r="AO239" s="286"/>
      <c r="AP239" s="284">
        <f t="shared" si="80"/>
        <v>0</v>
      </c>
      <c r="AQ239" s="281">
        <f t="shared" si="81"/>
        <v>0</v>
      </c>
      <c r="AR239" s="284">
        <f t="shared" si="82"/>
        <v>0</v>
      </c>
      <c r="AS239" s="281">
        <f t="shared" si="83"/>
        <v>0</v>
      </c>
      <c r="AT239" s="284">
        <f t="shared" si="84"/>
        <v>0</v>
      </c>
    </row>
    <row r="240" spans="1:97" s="114" customFormat="1" ht="30.9" x14ac:dyDescent="0.8">
      <c r="A240" s="262">
        <f>ROW()</f>
        <v>240</v>
      </c>
      <c r="C240" s="208"/>
      <c r="D240" s="208"/>
      <c r="E240" s="208"/>
      <c r="F240" s="208"/>
      <c r="G240" s="208"/>
      <c r="H240" s="208"/>
      <c r="J240" s="114" t="str">
        <f t="shared" si="103"/>
        <v/>
      </c>
      <c r="K240" s="114" t="str">
        <f>IF(COUNTBLANK(R240)&gt;0,"",CONCATENATE(R240," for ",N236))</f>
        <v/>
      </c>
      <c r="M240" s="117"/>
      <c r="N240" s="123" t="s">
        <v>116</v>
      </c>
      <c r="O240" s="66"/>
      <c r="P240" s="121"/>
      <c r="Q240" s="66"/>
      <c r="R240" s="121"/>
      <c r="S240" s="133">
        <f>M236</f>
        <v>0</v>
      </c>
      <c r="T240" s="120"/>
      <c r="U240" s="121" t="s">
        <v>292</v>
      </c>
      <c r="V240" s="133">
        <f t="shared" si="96"/>
        <v>0</v>
      </c>
      <c r="W240" s="133">
        <f>VLOOKUP(U240,Sheet1!$B$6:$C$45,2,FALSE)*V240</f>
        <v>0</v>
      </c>
      <c r="X240" s="141"/>
      <c r="Y240" s="121" t="s">
        <v>292</v>
      </c>
      <c r="Z240" s="146">
        <f>VLOOKUP(Takeoffs!Y240,Sheet1!$B$6:$C$124,2,FALSE)</f>
        <v>0</v>
      </c>
      <c r="AA240" s="146">
        <f t="shared" si="97"/>
        <v>0</v>
      </c>
      <c r="AB240" s="143">
        <f t="shared" si="98"/>
        <v>0</v>
      </c>
      <c r="AC240" s="133">
        <f t="shared" si="99"/>
        <v>0</v>
      </c>
      <c r="AD240" s="142">
        <v>1</v>
      </c>
      <c r="AE240" s="141"/>
      <c r="AF240" s="121" t="s">
        <v>292</v>
      </c>
      <c r="AG240" s="146">
        <f>VLOOKUP(Takeoffs!AF240,Sheet1!$B$6:$C$124,2,FALSE)</f>
        <v>0</v>
      </c>
      <c r="AH240" s="146">
        <f t="shared" si="100"/>
        <v>0</v>
      </c>
      <c r="AI240" s="143">
        <f t="shared" si="101"/>
        <v>0</v>
      </c>
      <c r="AJ240" s="133">
        <f t="shared" si="102"/>
        <v>0</v>
      </c>
      <c r="AK240" s="142">
        <f t="shared" si="104"/>
        <v>0</v>
      </c>
      <c r="AL240" s="141"/>
      <c r="AO240" s="286"/>
      <c r="AP240" s="284">
        <f t="shared" si="80"/>
        <v>0</v>
      </c>
      <c r="AQ240" s="281">
        <f t="shared" si="81"/>
        <v>0</v>
      </c>
      <c r="AR240" s="284">
        <f t="shared" si="82"/>
        <v>0</v>
      </c>
      <c r="AS240" s="281">
        <f t="shared" si="83"/>
        <v>0</v>
      </c>
      <c r="AT240" s="284">
        <f t="shared" si="84"/>
        <v>0</v>
      </c>
    </row>
    <row r="241" spans="1:46" s="114" customFormat="1" ht="30.9" x14ac:dyDescent="0.8">
      <c r="A241" s="262">
        <f>ROW()</f>
        <v>241</v>
      </c>
      <c r="C241" s="208"/>
      <c r="D241" s="208"/>
      <c r="E241" s="208"/>
      <c r="F241" s="208"/>
      <c r="G241" s="208"/>
      <c r="H241" s="208"/>
      <c r="J241" s="114" t="str">
        <f t="shared" si="103"/>
        <v/>
      </c>
      <c r="K241" s="114" t="str">
        <f>IF(COUNTBLANK(R241)&gt;0,"",CONCATENATE(R241," for ",N236))</f>
        <v/>
      </c>
      <c r="M241" s="117"/>
      <c r="N241" s="123" t="s">
        <v>117</v>
      </c>
      <c r="O241" s="66"/>
      <c r="P241" s="121"/>
      <c r="Q241" s="66"/>
      <c r="R241" s="121"/>
      <c r="S241" s="133">
        <f>M236</f>
        <v>0</v>
      </c>
      <c r="T241" s="120"/>
      <c r="U241" s="121" t="s">
        <v>292</v>
      </c>
      <c r="V241" s="133">
        <f t="shared" si="96"/>
        <v>0</v>
      </c>
      <c r="W241" s="133">
        <f>VLOOKUP(U241,Sheet1!$B$6:$C$45,2,FALSE)*V241</f>
        <v>0</v>
      </c>
      <c r="X241" s="141"/>
      <c r="Y241" s="121" t="s">
        <v>292</v>
      </c>
      <c r="Z241" s="146">
        <f>VLOOKUP(Takeoffs!Y241,Sheet1!$B$6:$C$124,2,FALSE)</f>
        <v>0</v>
      </c>
      <c r="AA241" s="146">
        <f t="shared" si="97"/>
        <v>0</v>
      </c>
      <c r="AB241" s="143">
        <f t="shared" si="98"/>
        <v>0</v>
      </c>
      <c r="AC241" s="133">
        <f t="shared" si="99"/>
        <v>0</v>
      </c>
      <c r="AD241" s="142">
        <v>1</v>
      </c>
      <c r="AE241" s="141"/>
      <c r="AF241" s="121" t="s">
        <v>292</v>
      </c>
      <c r="AG241" s="146">
        <f>VLOOKUP(Takeoffs!AF241,Sheet1!$B$6:$C$124,2,FALSE)</f>
        <v>0</v>
      </c>
      <c r="AH241" s="146">
        <f t="shared" si="100"/>
        <v>0</v>
      </c>
      <c r="AI241" s="143">
        <f t="shared" si="101"/>
        <v>0</v>
      </c>
      <c r="AJ241" s="133">
        <f t="shared" si="102"/>
        <v>0</v>
      </c>
      <c r="AK241" s="142">
        <f t="shared" si="104"/>
        <v>0</v>
      </c>
      <c r="AL241" s="141"/>
      <c r="AO241" s="286"/>
      <c r="AP241" s="284">
        <f t="shared" si="80"/>
        <v>0</v>
      </c>
      <c r="AQ241" s="281">
        <f t="shared" si="81"/>
        <v>0</v>
      </c>
      <c r="AR241" s="284">
        <f t="shared" si="82"/>
        <v>0</v>
      </c>
      <c r="AS241" s="281">
        <f t="shared" si="83"/>
        <v>0</v>
      </c>
      <c r="AT241" s="284">
        <f t="shared" si="84"/>
        <v>0</v>
      </c>
    </row>
    <row r="242" spans="1:46" s="114" customFormat="1" ht="30.9" x14ac:dyDescent="0.8">
      <c r="A242" s="262">
        <f>ROW()</f>
        <v>242</v>
      </c>
      <c r="C242" s="208"/>
      <c r="D242" s="208"/>
      <c r="E242" s="208"/>
      <c r="F242" s="208"/>
      <c r="G242" s="208"/>
      <c r="H242" s="208"/>
      <c r="J242" s="114" t="str">
        <f t="shared" si="103"/>
        <v/>
      </c>
      <c r="K242" s="114" t="str">
        <f>IF(COUNTBLANK(R242)&gt;0,"",CONCATENATE(R242," for ",N236))</f>
        <v/>
      </c>
      <c r="M242" s="117"/>
      <c r="N242" s="123" t="s">
        <v>118</v>
      </c>
      <c r="O242" s="66"/>
      <c r="P242" s="121"/>
      <c r="Q242" s="66"/>
      <c r="R242" s="121"/>
      <c r="S242" s="133">
        <f>M236</f>
        <v>0</v>
      </c>
      <c r="T242" s="120"/>
      <c r="U242" s="121" t="s">
        <v>292</v>
      </c>
      <c r="V242" s="133">
        <f t="shared" si="96"/>
        <v>0</v>
      </c>
      <c r="W242" s="133">
        <f>VLOOKUP(U242,Sheet1!$B$6:$C$45,2,FALSE)*V242</f>
        <v>0</v>
      </c>
      <c r="X242" s="141"/>
      <c r="Y242" s="121" t="s">
        <v>292</v>
      </c>
      <c r="Z242" s="146">
        <f>VLOOKUP(Takeoffs!Y242,Sheet1!$B$6:$C$124,2,FALSE)</f>
        <v>0</v>
      </c>
      <c r="AA242" s="146">
        <f t="shared" si="97"/>
        <v>0</v>
      </c>
      <c r="AB242" s="143">
        <f t="shared" si="98"/>
        <v>0</v>
      </c>
      <c r="AC242" s="133">
        <f t="shared" si="99"/>
        <v>0</v>
      </c>
      <c r="AD242" s="142">
        <v>1</v>
      </c>
      <c r="AE242" s="141"/>
      <c r="AF242" s="121" t="s">
        <v>292</v>
      </c>
      <c r="AG242" s="146">
        <f>VLOOKUP(Takeoffs!AF242,Sheet1!$B$6:$C$124,2,FALSE)</f>
        <v>0</v>
      </c>
      <c r="AH242" s="146">
        <f t="shared" si="100"/>
        <v>0</v>
      </c>
      <c r="AI242" s="143">
        <f t="shared" si="101"/>
        <v>0</v>
      </c>
      <c r="AJ242" s="133">
        <f t="shared" si="102"/>
        <v>0</v>
      </c>
      <c r="AK242" s="142">
        <f t="shared" si="104"/>
        <v>0</v>
      </c>
      <c r="AL242" s="141"/>
      <c r="AO242" s="286"/>
      <c r="AP242" s="284">
        <f t="shared" si="80"/>
        <v>0</v>
      </c>
      <c r="AQ242" s="281">
        <f t="shared" si="81"/>
        <v>0</v>
      </c>
      <c r="AR242" s="284">
        <f t="shared" si="82"/>
        <v>0</v>
      </c>
      <c r="AS242" s="281">
        <f t="shared" si="83"/>
        <v>0</v>
      </c>
      <c r="AT242" s="284">
        <f t="shared" si="84"/>
        <v>0</v>
      </c>
    </row>
    <row r="243" spans="1:46" s="114" customFormat="1" ht="30.9" x14ac:dyDescent="0.8">
      <c r="A243" s="262">
        <f>ROW()</f>
        <v>243</v>
      </c>
      <c r="C243" s="208"/>
      <c r="D243" s="208"/>
      <c r="E243" s="208"/>
      <c r="F243" s="208"/>
      <c r="G243" s="208"/>
      <c r="H243" s="208"/>
      <c r="J243" s="114" t="str">
        <f t="shared" si="103"/>
        <v/>
      </c>
      <c r="K243" s="114" t="str">
        <f>IF(COUNTBLANK(R243)&gt;0,"",CONCATENATE(R243," for ",N236))</f>
        <v/>
      </c>
      <c r="N243" s="123" t="s">
        <v>119</v>
      </c>
      <c r="O243" s="66"/>
      <c r="P243" s="121"/>
      <c r="Q243" s="66"/>
      <c r="R243" s="121"/>
      <c r="S243" s="133">
        <f>M236</f>
        <v>0</v>
      </c>
      <c r="T243" s="120"/>
      <c r="U243" s="121" t="s">
        <v>292</v>
      </c>
      <c r="V243" s="133">
        <f t="shared" si="96"/>
        <v>0</v>
      </c>
      <c r="W243" s="133">
        <f>VLOOKUP(U243,Sheet1!$B$6:$C$45,2,FALSE)*V243</f>
        <v>0</v>
      </c>
      <c r="X243" s="141"/>
      <c r="Y243" s="121" t="s">
        <v>292</v>
      </c>
      <c r="Z243" s="146">
        <f>VLOOKUP(Takeoffs!Y243,Sheet1!$B$6:$C$124,2,FALSE)</f>
        <v>0</v>
      </c>
      <c r="AA243" s="146">
        <f t="shared" si="97"/>
        <v>0</v>
      </c>
      <c r="AB243" s="143">
        <f t="shared" si="98"/>
        <v>0</v>
      </c>
      <c r="AC243" s="133">
        <f t="shared" si="99"/>
        <v>0</v>
      </c>
      <c r="AD243" s="142">
        <v>1</v>
      </c>
      <c r="AE243" s="141"/>
      <c r="AF243" s="121" t="s">
        <v>292</v>
      </c>
      <c r="AG243" s="146">
        <f>VLOOKUP(Takeoffs!AF243,Sheet1!$B$6:$C$124,2,FALSE)</f>
        <v>0</v>
      </c>
      <c r="AH243" s="146">
        <f t="shared" si="100"/>
        <v>0</v>
      </c>
      <c r="AI243" s="143">
        <f t="shared" si="101"/>
        <v>0</v>
      </c>
      <c r="AJ243" s="133">
        <f t="shared" si="102"/>
        <v>0</v>
      </c>
      <c r="AK243" s="142">
        <f t="shared" si="104"/>
        <v>0</v>
      </c>
      <c r="AL243" s="141"/>
      <c r="AO243" s="286"/>
      <c r="AP243" s="284">
        <f t="shared" si="80"/>
        <v>0</v>
      </c>
      <c r="AQ243" s="281">
        <f t="shared" si="81"/>
        <v>0</v>
      </c>
      <c r="AR243" s="284">
        <f t="shared" si="82"/>
        <v>0</v>
      </c>
      <c r="AS243" s="281">
        <f t="shared" si="83"/>
        <v>0</v>
      </c>
      <c r="AT243" s="284">
        <f t="shared" si="84"/>
        <v>0</v>
      </c>
    </row>
    <row r="244" spans="1:46" s="114" customFormat="1" ht="30.9" x14ac:dyDescent="0.8">
      <c r="A244" s="262">
        <f>ROW()</f>
        <v>244</v>
      </c>
      <c r="C244" s="208"/>
      <c r="D244" s="208"/>
      <c r="E244" s="208"/>
      <c r="F244" s="208"/>
      <c r="G244" s="208"/>
      <c r="H244" s="208"/>
      <c r="J244" s="114" t="str">
        <f t="shared" si="103"/>
        <v/>
      </c>
      <c r="K244" s="114" t="str">
        <f>IF(COUNTBLANK(R244)&gt;0,"",CONCATENATE(R244," for ",N236))</f>
        <v/>
      </c>
      <c r="N244" s="123" t="s">
        <v>120</v>
      </c>
      <c r="O244" s="66" t="s">
        <v>328</v>
      </c>
      <c r="P244" s="121"/>
      <c r="Q244" s="66"/>
      <c r="R244" s="121"/>
      <c r="S244" s="133">
        <f>M236</f>
        <v>0</v>
      </c>
      <c r="T244" s="120"/>
      <c r="U244" s="121" t="s">
        <v>242</v>
      </c>
      <c r="V244" s="133">
        <f t="shared" si="96"/>
        <v>0</v>
      </c>
      <c r="W244" s="133">
        <f>VLOOKUP(U244,Sheet1!$B$6:$C$45,2,FALSE)*V244</f>
        <v>0</v>
      </c>
      <c r="X244" s="141"/>
      <c r="Y244" s="121" t="s">
        <v>292</v>
      </c>
      <c r="Z244" s="146">
        <f>VLOOKUP(Takeoffs!Y244,Sheet1!$B$6:$C$124,2,FALSE)</f>
        <v>0</v>
      </c>
      <c r="AA244" s="146">
        <f t="shared" si="97"/>
        <v>0</v>
      </c>
      <c r="AB244" s="143">
        <f t="shared" si="98"/>
        <v>0</v>
      </c>
      <c r="AC244" s="133">
        <f t="shared" si="99"/>
        <v>0</v>
      </c>
      <c r="AD244" s="142">
        <v>1</v>
      </c>
      <c r="AE244" s="141"/>
      <c r="AF244" s="121" t="s">
        <v>292</v>
      </c>
      <c r="AG244" s="146">
        <f>VLOOKUP(Takeoffs!AF244,Sheet1!$B$6:$C$124,2,FALSE)</f>
        <v>0</v>
      </c>
      <c r="AH244" s="146">
        <f t="shared" si="100"/>
        <v>0</v>
      </c>
      <c r="AI244" s="143">
        <f t="shared" si="101"/>
        <v>0</v>
      </c>
      <c r="AJ244" s="133">
        <f t="shared" si="102"/>
        <v>0</v>
      </c>
      <c r="AK244" s="142">
        <f t="shared" si="104"/>
        <v>0</v>
      </c>
      <c r="AL244" s="141"/>
      <c r="AO244" s="286"/>
      <c r="AP244" s="284">
        <f t="shared" si="80"/>
        <v>0</v>
      </c>
      <c r="AQ244" s="281">
        <f t="shared" si="81"/>
        <v>0</v>
      </c>
      <c r="AR244" s="284">
        <f t="shared" si="82"/>
        <v>0</v>
      </c>
      <c r="AS244" s="281">
        <f t="shared" si="83"/>
        <v>0</v>
      </c>
      <c r="AT244" s="284">
        <f t="shared" si="84"/>
        <v>0</v>
      </c>
    </row>
    <row r="245" spans="1:46" s="114" customFormat="1" ht="30.9" x14ac:dyDescent="0.8">
      <c r="A245" s="262">
        <f>ROW()</f>
        <v>245</v>
      </c>
      <c r="C245" s="208"/>
      <c r="D245" s="208"/>
      <c r="E245" s="208"/>
      <c r="F245" s="208"/>
      <c r="G245" s="208"/>
      <c r="H245" s="208"/>
      <c r="J245" s="114" t="str">
        <f t="shared" si="103"/>
        <v/>
      </c>
      <c r="K245" s="114" t="str">
        <f>IF(COUNTBLANK(R245)&gt;0,"",CONCATENATE(R245," for ",N236))</f>
        <v/>
      </c>
      <c r="N245" s="123" t="s">
        <v>121</v>
      </c>
      <c r="O245" s="66"/>
      <c r="P245" s="121"/>
      <c r="Q245" s="66"/>
      <c r="R245" s="121"/>
      <c r="S245" s="133">
        <f>M236</f>
        <v>0</v>
      </c>
      <c r="T245" s="120"/>
      <c r="U245" s="121" t="s">
        <v>292</v>
      </c>
      <c r="V245" s="133">
        <f t="shared" si="96"/>
        <v>0</v>
      </c>
      <c r="W245" s="133">
        <f>VLOOKUP(U245,Sheet1!$B$6:$C$45,2,FALSE)*V245</f>
        <v>0</v>
      </c>
      <c r="X245" s="141"/>
      <c r="Y245" s="121" t="s">
        <v>292</v>
      </c>
      <c r="Z245" s="146">
        <f>VLOOKUP(Takeoffs!Y245,Sheet1!$B$6:$C$124,2,FALSE)</f>
        <v>0</v>
      </c>
      <c r="AA245" s="146">
        <f t="shared" si="97"/>
        <v>0</v>
      </c>
      <c r="AB245" s="143">
        <f t="shared" si="98"/>
        <v>0</v>
      </c>
      <c r="AC245" s="133">
        <f t="shared" si="99"/>
        <v>0</v>
      </c>
      <c r="AD245" s="142">
        <v>1</v>
      </c>
      <c r="AE245" s="141"/>
      <c r="AF245" s="121" t="s">
        <v>292</v>
      </c>
      <c r="AG245" s="146">
        <f>VLOOKUP(Takeoffs!AF245,Sheet1!$B$6:$C$124,2,FALSE)</f>
        <v>0</v>
      </c>
      <c r="AH245" s="146">
        <f t="shared" si="100"/>
        <v>0</v>
      </c>
      <c r="AI245" s="143">
        <f t="shared" si="101"/>
        <v>0</v>
      </c>
      <c r="AJ245" s="133">
        <f t="shared" si="102"/>
        <v>0</v>
      </c>
      <c r="AK245" s="142">
        <f t="shared" si="104"/>
        <v>0</v>
      </c>
      <c r="AL245" s="141"/>
      <c r="AO245" s="286"/>
      <c r="AP245" s="284">
        <f t="shared" si="80"/>
        <v>0</v>
      </c>
      <c r="AQ245" s="281">
        <f t="shared" si="81"/>
        <v>0</v>
      </c>
      <c r="AR245" s="284">
        <f t="shared" si="82"/>
        <v>0</v>
      </c>
      <c r="AS245" s="281">
        <f t="shared" si="83"/>
        <v>0</v>
      </c>
      <c r="AT245" s="284">
        <f t="shared" si="84"/>
        <v>0</v>
      </c>
    </row>
    <row r="246" spans="1:46" s="114" customFormat="1" ht="30.9" x14ac:dyDescent="0.8">
      <c r="A246" s="262">
        <f>ROW()</f>
        <v>246</v>
      </c>
      <c r="C246" s="208"/>
      <c r="D246" s="208"/>
      <c r="E246" s="208"/>
      <c r="F246" s="208"/>
      <c r="G246" s="208"/>
      <c r="H246" s="208"/>
      <c r="J246" s="114" t="str">
        <f t="shared" si="103"/>
        <v/>
      </c>
      <c r="K246" s="114" t="str">
        <f>IF(COUNTBLANK(R246)&gt;0,"",CONCATENATE(R246," for ",N236))</f>
        <v/>
      </c>
      <c r="N246" s="123" t="s">
        <v>122</v>
      </c>
      <c r="O246" s="66" t="s">
        <v>634</v>
      </c>
      <c r="P246" s="121"/>
      <c r="Q246" s="66"/>
      <c r="R246" s="121"/>
      <c r="S246" s="133">
        <f>M236</f>
        <v>0</v>
      </c>
      <c r="T246" s="120"/>
      <c r="U246" s="121" t="s">
        <v>363</v>
      </c>
      <c r="V246" s="133">
        <f t="shared" si="96"/>
        <v>0</v>
      </c>
      <c r="W246" s="133">
        <f>VLOOKUP(U246,Sheet1!$B$6:$C$45,2,FALSE)*V246</f>
        <v>0</v>
      </c>
      <c r="X246" s="141"/>
      <c r="Y246" s="135" t="s">
        <v>588</v>
      </c>
      <c r="Z246" s="146">
        <f>VLOOKUP(Takeoffs!Y246,Sheet1!$B$6:$C$124,2,FALSE)</f>
        <v>96</v>
      </c>
      <c r="AA246" s="146">
        <f t="shared" si="97"/>
        <v>0</v>
      </c>
      <c r="AB246" s="143">
        <f t="shared" si="98"/>
        <v>0</v>
      </c>
      <c r="AC246" s="133">
        <f t="shared" si="99"/>
        <v>0</v>
      </c>
      <c r="AD246" s="142">
        <v>1</v>
      </c>
      <c r="AE246" s="141"/>
      <c r="AF246" s="121" t="s">
        <v>292</v>
      </c>
      <c r="AG246" s="146">
        <f>VLOOKUP(Takeoffs!AF246,Sheet1!$B$6:$C$124,2,FALSE)</f>
        <v>0</v>
      </c>
      <c r="AH246" s="146">
        <f t="shared" si="100"/>
        <v>0</v>
      </c>
      <c r="AI246" s="143">
        <f t="shared" si="101"/>
        <v>0</v>
      </c>
      <c r="AJ246" s="133">
        <f t="shared" si="102"/>
        <v>0</v>
      </c>
      <c r="AK246" s="142">
        <f>T246</f>
        <v>0</v>
      </c>
      <c r="AL246" s="141"/>
      <c r="AO246" s="286"/>
      <c r="AP246" s="284">
        <f t="shared" si="80"/>
        <v>0</v>
      </c>
      <c r="AQ246" s="281">
        <f t="shared" si="81"/>
        <v>0</v>
      </c>
      <c r="AR246" s="284">
        <f t="shared" si="82"/>
        <v>0</v>
      </c>
      <c r="AS246" s="281">
        <f t="shared" si="83"/>
        <v>0</v>
      </c>
      <c r="AT246" s="284">
        <f t="shared" si="84"/>
        <v>0</v>
      </c>
    </row>
    <row r="247" spans="1:46" s="114" customFormat="1" ht="30.9" x14ac:dyDescent="0.8">
      <c r="A247" s="262">
        <f>ROW()</f>
        <v>247</v>
      </c>
      <c r="C247" s="208"/>
      <c r="D247" s="208"/>
      <c r="E247" s="208"/>
      <c r="F247" s="208"/>
      <c r="G247" s="208"/>
      <c r="H247" s="208"/>
      <c r="J247" s="114" t="str">
        <f t="shared" si="103"/>
        <v/>
      </c>
      <c r="K247" s="114" t="str">
        <f>IF(COUNTBLANK(R247)&gt;0,"",CONCATENATE(R247," for ",N236))</f>
        <v/>
      </c>
      <c r="N247" s="123" t="s">
        <v>123</v>
      </c>
      <c r="O247" s="66"/>
      <c r="P247" s="121"/>
      <c r="Q247" s="66"/>
      <c r="R247" s="121"/>
      <c r="S247" s="133">
        <f>M236</f>
        <v>0</v>
      </c>
      <c r="T247" s="120"/>
      <c r="U247" s="121" t="s">
        <v>292</v>
      </c>
      <c r="V247" s="133">
        <f t="shared" si="96"/>
        <v>0</v>
      </c>
      <c r="W247" s="133">
        <f>VLOOKUP(U247,Sheet1!$B$6:$C$45,2,FALSE)*V247</f>
        <v>0</v>
      </c>
      <c r="X247" s="141"/>
      <c r="Y247" s="121" t="s">
        <v>292</v>
      </c>
      <c r="Z247" s="146">
        <f>VLOOKUP(Takeoffs!Y247,Sheet1!$B$6:$C$124,2,FALSE)</f>
        <v>0</v>
      </c>
      <c r="AA247" s="146">
        <f t="shared" si="97"/>
        <v>0</v>
      </c>
      <c r="AB247" s="143">
        <f t="shared" si="98"/>
        <v>0</v>
      </c>
      <c r="AC247" s="133">
        <f t="shared" si="99"/>
        <v>0</v>
      </c>
      <c r="AD247" s="142">
        <v>1</v>
      </c>
      <c r="AE247" s="141"/>
      <c r="AF247" s="121" t="s">
        <v>292</v>
      </c>
      <c r="AG247" s="146">
        <f>VLOOKUP(Takeoffs!AF247,Sheet1!$B$6:$C$124,2,FALSE)</f>
        <v>0</v>
      </c>
      <c r="AH247" s="146">
        <f t="shared" si="100"/>
        <v>0</v>
      </c>
      <c r="AI247" s="143">
        <f t="shared" si="101"/>
        <v>0</v>
      </c>
      <c r="AJ247" s="133">
        <f t="shared" si="102"/>
        <v>0</v>
      </c>
      <c r="AK247" s="142">
        <v>0</v>
      </c>
      <c r="AL247" s="141"/>
      <c r="AO247" s="286"/>
      <c r="AP247" s="284">
        <f t="shared" si="80"/>
        <v>0</v>
      </c>
      <c r="AQ247" s="281">
        <f t="shared" si="81"/>
        <v>0</v>
      </c>
      <c r="AR247" s="284">
        <f t="shared" si="82"/>
        <v>0</v>
      </c>
      <c r="AS247" s="281">
        <f t="shared" si="83"/>
        <v>0</v>
      </c>
      <c r="AT247" s="284">
        <f t="shared" si="84"/>
        <v>0</v>
      </c>
    </row>
    <row r="248" spans="1:46" s="114" customFormat="1" ht="30.9" x14ac:dyDescent="0.8">
      <c r="A248" s="262">
        <f>ROW()</f>
        <v>248</v>
      </c>
      <c r="C248" s="208"/>
      <c r="D248" s="208"/>
      <c r="E248" s="208"/>
      <c r="F248" s="208"/>
      <c r="G248" s="208"/>
      <c r="H248" s="208"/>
      <c r="J248" s="114" t="str">
        <f t="shared" si="103"/>
        <v/>
      </c>
      <c r="K248" s="114" t="str">
        <f>IF(COUNTBLANK(R248)&gt;0,"",CONCATENATE(R248," for ",N236))</f>
        <v/>
      </c>
      <c r="N248" s="123" t="s">
        <v>124</v>
      </c>
      <c r="O248" s="66" t="s">
        <v>140</v>
      </c>
      <c r="P248" s="121"/>
      <c r="Q248" s="66"/>
      <c r="R248" s="121"/>
      <c r="S248" s="133">
        <f>M236</f>
        <v>0</v>
      </c>
      <c r="T248" s="120"/>
      <c r="U248" s="121" t="s">
        <v>292</v>
      </c>
      <c r="V248" s="133">
        <f t="shared" si="96"/>
        <v>0</v>
      </c>
      <c r="W248" s="133">
        <f>VLOOKUP(U248,Sheet1!$B$6:$C$45,2,FALSE)*V248</f>
        <v>0</v>
      </c>
      <c r="X248" s="141"/>
      <c r="Y248" s="121" t="s">
        <v>292</v>
      </c>
      <c r="Z248" s="146">
        <f>VLOOKUP(Takeoffs!Y248,Sheet1!$B$6:$C$124,2,FALSE)</f>
        <v>0</v>
      </c>
      <c r="AA248" s="146">
        <f t="shared" si="97"/>
        <v>0</v>
      </c>
      <c r="AB248" s="143">
        <f t="shared" si="98"/>
        <v>0</v>
      </c>
      <c r="AC248" s="133">
        <f t="shared" si="99"/>
        <v>0</v>
      </c>
      <c r="AD248" s="142">
        <v>1</v>
      </c>
      <c r="AE248" s="141"/>
      <c r="AF248" s="144" t="s">
        <v>269</v>
      </c>
      <c r="AG248" s="146">
        <f>VLOOKUP(Takeoffs!AF248,Sheet1!$B$6:$C$124,2,FALSE)</f>
        <v>1.056</v>
      </c>
      <c r="AH248" s="146">
        <f t="shared" si="100"/>
        <v>0</v>
      </c>
      <c r="AI248" s="143">
        <f t="shared" si="101"/>
        <v>0</v>
      </c>
      <c r="AJ248" s="133">
        <f t="shared" si="102"/>
        <v>0</v>
      </c>
      <c r="AK248" s="142">
        <v>30</v>
      </c>
      <c r="AL248" s="141"/>
      <c r="AO248" s="286"/>
      <c r="AP248" s="284">
        <f t="shared" si="80"/>
        <v>0</v>
      </c>
      <c r="AQ248" s="281">
        <f t="shared" si="81"/>
        <v>0</v>
      </c>
      <c r="AR248" s="284">
        <f t="shared" si="82"/>
        <v>0</v>
      </c>
      <c r="AS248" s="281">
        <f t="shared" si="83"/>
        <v>0</v>
      </c>
      <c r="AT248" s="284">
        <f t="shared" si="84"/>
        <v>0</v>
      </c>
    </row>
    <row r="249" spans="1:46" s="114" customFormat="1" ht="30.9" x14ac:dyDescent="0.8">
      <c r="A249" s="262">
        <f>ROW()</f>
        <v>249</v>
      </c>
      <c r="C249" s="208"/>
      <c r="D249" s="208"/>
      <c r="E249" s="208"/>
      <c r="F249" s="208"/>
      <c r="G249" s="208"/>
      <c r="H249" s="208"/>
      <c r="J249" s="114" t="str">
        <f t="shared" si="103"/>
        <v/>
      </c>
      <c r="K249" s="114" t="str">
        <f>IF(COUNTBLANK(R249)&gt;0,"",CONCATENATE(R249," for ",N236))</f>
        <v/>
      </c>
      <c r="N249" s="123" t="s">
        <v>125</v>
      </c>
      <c r="O249" s="66" t="s">
        <v>312</v>
      </c>
      <c r="P249" s="121"/>
      <c r="Q249" s="66"/>
      <c r="R249" s="121"/>
      <c r="S249" s="133">
        <f>M236</f>
        <v>0</v>
      </c>
      <c r="T249" s="120"/>
      <c r="U249" s="121" t="s">
        <v>232</v>
      </c>
      <c r="V249" s="133">
        <f t="shared" si="96"/>
        <v>0</v>
      </c>
      <c r="W249" s="133">
        <f>VLOOKUP(U249,Sheet1!$B$6:$C$45,2,FALSE)*V249</f>
        <v>0</v>
      </c>
      <c r="X249" s="141"/>
      <c r="Y249" s="122" t="s">
        <v>1345</v>
      </c>
      <c r="Z249" s="146">
        <f>VLOOKUP(Takeoffs!Y249,Sheet1!$B$6:$C$124,2,FALSE)</f>
        <v>109.25999999999999</v>
      </c>
      <c r="AA249" s="146">
        <f t="shared" si="97"/>
        <v>0</v>
      </c>
      <c r="AB249" s="143">
        <f t="shared" si="98"/>
        <v>0</v>
      </c>
      <c r="AC249" s="133">
        <f t="shared" si="99"/>
        <v>0</v>
      </c>
      <c r="AD249" s="142">
        <v>1</v>
      </c>
      <c r="AE249" s="141"/>
      <c r="AF249" s="121" t="s">
        <v>292</v>
      </c>
      <c r="AG249" s="146">
        <f>VLOOKUP(Takeoffs!AF249,Sheet1!$B$6:$C$124,2,FALSE)</f>
        <v>0</v>
      </c>
      <c r="AH249" s="146">
        <f t="shared" si="100"/>
        <v>0</v>
      </c>
      <c r="AI249" s="143">
        <f t="shared" si="101"/>
        <v>0</v>
      </c>
      <c r="AJ249" s="133">
        <f t="shared" si="102"/>
        <v>0</v>
      </c>
      <c r="AK249" s="142">
        <f t="shared" ref="AK249:AK256" si="105">T249</f>
        <v>0</v>
      </c>
      <c r="AL249" s="141"/>
      <c r="AO249" s="286"/>
      <c r="AP249" s="284">
        <f t="shared" si="80"/>
        <v>0</v>
      </c>
      <c r="AQ249" s="281">
        <f t="shared" si="81"/>
        <v>0</v>
      </c>
      <c r="AR249" s="284">
        <f t="shared" si="82"/>
        <v>0</v>
      </c>
      <c r="AS249" s="281">
        <f t="shared" si="83"/>
        <v>0</v>
      </c>
      <c r="AT249" s="284">
        <f t="shared" si="84"/>
        <v>0</v>
      </c>
    </row>
    <row r="250" spans="1:46" s="114" customFormat="1" ht="30.9" x14ac:dyDescent="0.8">
      <c r="A250" s="262">
        <f>ROW()</f>
        <v>250</v>
      </c>
      <c r="C250" s="208"/>
      <c r="D250" s="208"/>
      <c r="E250" s="208"/>
      <c r="F250" s="208"/>
      <c r="G250" s="208"/>
      <c r="H250" s="208"/>
      <c r="J250" s="114" t="str">
        <f t="shared" si="103"/>
        <v/>
      </c>
      <c r="K250" s="114" t="str">
        <f>IF(COUNTBLANK(R250)&gt;0,"",CONCATENATE(R250," for ",N236))</f>
        <v/>
      </c>
      <c r="N250" s="123" t="s">
        <v>126</v>
      </c>
      <c r="O250" s="66"/>
      <c r="P250" s="121"/>
      <c r="Q250" s="66"/>
      <c r="R250" s="121"/>
      <c r="S250" s="133">
        <f>M236</f>
        <v>0</v>
      </c>
      <c r="T250" s="120"/>
      <c r="U250" s="121" t="s">
        <v>292</v>
      </c>
      <c r="V250" s="133">
        <f t="shared" si="96"/>
        <v>0</v>
      </c>
      <c r="W250" s="133">
        <f>VLOOKUP(U250,Sheet1!$B$6:$C$45,2,FALSE)*V250</f>
        <v>0</v>
      </c>
      <c r="X250" s="141"/>
      <c r="Y250" s="121" t="s">
        <v>292</v>
      </c>
      <c r="Z250" s="146">
        <f>VLOOKUP(Takeoffs!Y250,Sheet1!$B$6:$C$124,2,FALSE)</f>
        <v>0</v>
      </c>
      <c r="AA250" s="146">
        <f t="shared" si="97"/>
        <v>0</v>
      </c>
      <c r="AB250" s="143">
        <f t="shared" si="98"/>
        <v>0</v>
      </c>
      <c r="AC250" s="133">
        <f t="shared" si="99"/>
        <v>0</v>
      </c>
      <c r="AD250" s="142">
        <v>1</v>
      </c>
      <c r="AE250" s="141"/>
      <c r="AF250" s="121" t="s">
        <v>292</v>
      </c>
      <c r="AG250" s="146">
        <f>VLOOKUP(Takeoffs!AF250,Sheet1!$B$6:$C$124,2,FALSE)</f>
        <v>0</v>
      </c>
      <c r="AH250" s="146">
        <f t="shared" si="100"/>
        <v>0</v>
      </c>
      <c r="AI250" s="143">
        <f t="shared" si="101"/>
        <v>0</v>
      </c>
      <c r="AJ250" s="133">
        <f t="shared" si="102"/>
        <v>0</v>
      </c>
      <c r="AK250" s="142">
        <f t="shared" si="105"/>
        <v>0</v>
      </c>
      <c r="AL250" s="141"/>
      <c r="AO250" s="286"/>
      <c r="AP250" s="284">
        <f t="shared" si="80"/>
        <v>0</v>
      </c>
      <c r="AQ250" s="281">
        <f t="shared" si="81"/>
        <v>0</v>
      </c>
      <c r="AR250" s="284">
        <f t="shared" si="82"/>
        <v>0</v>
      </c>
      <c r="AS250" s="281">
        <f t="shared" si="83"/>
        <v>0</v>
      </c>
      <c r="AT250" s="284">
        <f t="shared" si="84"/>
        <v>0</v>
      </c>
    </row>
    <row r="251" spans="1:46" s="114" customFormat="1" ht="30.9" x14ac:dyDescent="0.8">
      <c r="A251" s="262">
        <f>ROW()</f>
        <v>251</v>
      </c>
      <c r="C251" s="208"/>
      <c r="D251" s="208"/>
      <c r="E251" s="208"/>
      <c r="F251" s="208"/>
      <c r="G251" s="208"/>
      <c r="H251" s="208"/>
      <c r="J251" s="114" t="str">
        <f t="shared" si="103"/>
        <v/>
      </c>
      <c r="K251" s="114" t="str">
        <f>IF(COUNTBLANK(R251)&gt;0,"",CONCATENATE(R251," for ",N236))</f>
        <v>run and fault lights for timeclock controlled DOL fan - from local power supply</v>
      </c>
      <c r="N251" s="123" t="s">
        <v>127</v>
      </c>
      <c r="O251" s="66" t="s">
        <v>337</v>
      </c>
      <c r="P251" s="121"/>
      <c r="Q251" s="66"/>
      <c r="R251" s="121" t="s">
        <v>331</v>
      </c>
      <c r="S251" s="133">
        <f>M236</f>
        <v>0</v>
      </c>
      <c r="T251" s="120"/>
      <c r="U251" s="121" t="s">
        <v>292</v>
      </c>
      <c r="V251" s="133">
        <f t="shared" si="96"/>
        <v>0</v>
      </c>
      <c r="W251" s="133">
        <f>VLOOKUP(U251,Sheet1!$B$6:$C$45,2,FALSE)*V251</f>
        <v>0</v>
      </c>
      <c r="X251" s="141"/>
      <c r="Y251" s="122" t="s">
        <v>280</v>
      </c>
      <c r="Z251" s="146">
        <f>VLOOKUP(Takeoffs!Y251,Sheet1!$B$6:$C$124,2,FALSE)</f>
        <v>19.2</v>
      </c>
      <c r="AA251" s="146">
        <f t="shared" si="97"/>
        <v>0</v>
      </c>
      <c r="AB251" s="143">
        <f t="shared" si="98"/>
        <v>0</v>
      </c>
      <c r="AC251" s="133">
        <f t="shared" si="99"/>
        <v>0</v>
      </c>
      <c r="AD251" s="142">
        <v>2</v>
      </c>
      <c r="AE251" s="141"/>
      <c r="AF251" s="121" t="s">
        <v>292</v>
      </c>
      <c r="AG251" s="146">
        <f>VLOOKUP(Takeoffs!AF251,Sheet1!$B$6:$C$124,2,FALSE)</f>
        <v>0</v>
      </c>
      <c r="AH251" s="146">
        <f t="shared" si="100"/>
        <v>0</v>
      </c>
      <c r="AI251" s="143">
        <f t="shared" si="101"/>
        <v>0</v>
      </c>
      <c r="AJ251" s="133">
        <f t="shared" si="102"/>
        <v>0</v>
      </c>
      <c r="AK251" s="142">
        <f t="shared" si="105"/>
        <v>0</v>
      </c>
      <c r="AL251" s="141"/>
      <c r="AO251" s="286"/>
      <c r="AP251" s="284">
        <f t="shared" si="80"/>
        <v>0</v>
      </c>
      <c r="AQ251" s="281">
        <f t="shared" si="81"/>
        <v>0</v>
      </c>
      <c r="AR251" s="284">
        <f t="shared" si="82"/>
        <v>0</v>
      </c>
      <c r="AS251" s="281">
        <f t="shared" si="83"/>
        <v>0</v>
      </c>
      <c r="AT251" s="284">
        <f t="shared" si="84"/>
        <v>0</v>
      </c>
    </row>
    <row r="252" spans="1:46" s="114" customFormat="1" ht="30.9" x14ac:dyDescent="0.8">
      <c r="A252" s="262">
        <f>ROW()</f>
        <v>252</v>
      </c>
      <c r="C252" s="208"/>
      <c r="D252" s="208"/>
      <c r="E252" s="208"/>
      <c r="F252" s="208"/>
      <c r="G252" s="208"/>
      <c r="H252" s="208"/>
      <c r="J252" s="114" t="str">
        <f t="shared" si="103"/>
        <v/>
      </c>
      <c r="K252" s="114" t="str">
        <f>IF(COUNTBLANK(R252)&gt;0,"",CONCATENATE(R252," for ",N236))</f>
        <v/>
      </c>
      <c r="N252" s="123" t="s">
        <v>128</v>
      </c>
      <c r="O252" s="66"/>
      <c r="P252" s="121"/>
      <c r="Q252" s="66"/>
      <c r="R252" s="121"/>
      <c r="S252" s="133">
        <f>M236</f>
        <v>0</v>
      </c>
      <c r="T252" s="120"/>
      <c r="U252" s="121" t="s">
        <v>292</v>
      </c>
      <c r="V252" s="133">
        <f t="shared" si="96"/>
        <v>0</v>
      </c>
      <c r="W252" s="133">
        <f>VLOOKUP(U252,Sheet1!$B$6:$C$45,2,FALSE)*V252</f>
        <v>0</v>
      </c>
      <c r="X252" s="141"/>
      <c r="Y252" s="121" t="s">
        <v>292</v>
      </c>
      <c r="Z252" s="146">
        <f>VLOOKUP(Takeoffs!Y252,Sheet1!$B$6:$C$124,2,FALSE)</f>
        <v>0</v>
      </c>
      <c r="AA252" s="146">
        <f t="shared" si="97"/>
        <v>0</v>
      </c>
      <c r="AB252" s="143">
        <f t="shared" si="98"/>
        <v>0</v>
      </c>
      <c r="AC252" s="133">
        <f t="shared" si="99"/>
        <v>0</v>
      </c>
      <c r="AD252" s="142">
        <v>1</v>
      </c>
      <c r="AE252" s="141"/>
      <c r="AF252" s="121" t="s">
        <v>292</v>
      </c>
      <c r="AG252" s="146">
        <f>VLOOKUP(Takeoffs!AF252,Sheet1!$B$6:$C$124,2,FALSE)</f>
        <v>0</v>
      </c>
      <c r="AH252" s="146">
        <f t="shared" si="100"/>
        <v>0</v>
      </c>
      <c r="AI252" s="143">
        <f t="shared" si="101"/>
        <v>0</v>
      </c>
      <c r="AJ252" s="133">
        <f t="shared" si="102"/>
        <v>0</v>
      </c>
      <c r="AK252" s="142">
        <f t="shared" si="105"/>
        <v>0</v>
      </c>
      <c r="AL252" s="141"/>
      <c r="AO252" s="286"/>
      <c r="AP252" s="284">
        <f t="shared" si="80"/>
        <v>0</v>
      </c>
      <c r="AQ252" s="281">
        <f t="shared" si="81"/>
        <v>0</v>
      </c>
      <c r="AR252" s="284">
        <f t="shared" si="82"/>
        <v>0</v>
      </c>
      <c r="AS252" s="281">
        <f t="shared" si="83"/>
        <v>0</v>
      </c>
      <c r="AT252" s="284">
        <f t="shared" si="84"/>
        <v>0</v>
      </c>
    </row>
    <row r="253" spans="1:46" s="114" customFormat="1" ht="30.9" x14ac:dyDescent="0.8">
      <c r="A253" s="262">
        <f>ROW()</f>
        <v>253</v>
      </c>
      <c r="C253" s="208"/>
      <c r="D253" s="208"/>
      <c r="E253" s="208"/>
      <c r="F253" s="208"/>
      <c r="G253" s="208"/>
      <c r="H253" s="208"/>
      <c r="J253" s="114" t="str">
        <f t="shared" si="103"/>
        <v/>
      </c>
      <c r="K253" s="114" t="str">
        <f>IF(COUNTBLANK(R253)&gt;0,"",CONCATENATE(R253," for ",N236))</f>
        <v>Auto/Off/On switch for timeclock controlled DOL fan - from local power supply</v>
      </c>
      <c r="N253" s="123" t="s">
        <v>129</v>
      </c>
      <c r="O253" s="66" t="s">
        <v>329</v>
      </c>
      <c r="P253" s="121"/>
      <c r="Q253" s="66"/>
      <c r="R253" s="121" t="s">
        <v>304</v>
      </c>
      <c r="S253" s="133">
        <f>M236</f>
        <v>0</v>
      </c>
      <c r="T253" s="120"/>
      <c r="U253" s="121" t="s">
        <v>292</v>
      </c>
      <c r="V253" s="133">
        <f t="shared" si="96"/>
        <v>0</v>
      </c>
      <c r="W253" s="133">
        <f>VLOOKUP(U253,Sheet1!$B$6:$C$45,2,FALSE)*V253</f>
        <v>0</v>
      </c>
      <c r="X253" s="141"/>
      <c r="Y253" s="122" t="s">
        <v>277</v>
      </c>
      <c r="Z253" s="146">
        <f>VLOOKUP(Takeoffs!Y253,Sheet1!$B$6:$C$124,2,FALSE)</f>
        <v>69.540000000000006</v>
      </c>
      <c r="AA253" s="146">
        <f t="shared" si="97"/>
        <v>0</v>
      </c>
      <c r="AB253" s="143">
        <f t="shared" si="98"/>
        <v>0</v>
      </c>
      <c r="AC253" s="133">
        <f t="shared" si="99"/>
        <v>0</v>
      </c>
      <c r="AD253" s="142">
        <v>1</v>
      </c>
      <c r="AE253" s="141"/>
      <c r="AF253" s="121" t="s">
        <v>292</v>
      </c>
      <c r="AG253" s="146">
        <f>VLOOKUP(Takeoffs!AF253,Sheet1!$B$6:$C$124,2,FALSE)</f>
        <v>0</v>
      </c>
      <c r="AH253" s="146">
        <f t="shared" si="100"/>
        <v>0</v>
      </c>
      <c r="AI253" s="143">
        <f t="shared" si="101"/>
        <v>0</v>
      </c>
      <c r="AJ253" s="133">
        <f t="shared" si="102"/>
        <v>0</v>
      </c>
      <c r="AK253" s="142">
        <f t="shared" si="105"/>
        <v>0</v>
      </c>
      <c r="AL253" s="141"/>
      <c r="AO253" s="286"/>
      <c r="AP253" s="284">
        <f t="shared" si="80"/>
        <v>0</v>
      </c>
      <c r="AQ253" s="281">
        <f t="shared" si="81"/>
        <v>0</v>
      </c>
      <c r="AR253" s="284">
        <f t="shared" si="82"/>
        <v>0</v>
      </c>
      <c r="AS253" s="281">
        <f t="shared" si="83"/>
        <v>0</v>
      </c>
      <c r="AT253" s="284">
        <f t="shared" si="84"/>
        <v>0</v>
      </c>
    </row>
    <row r="254" spans="1:46" s="114" customFormat="1" ht="30.9" x14ac:dyDescent="0.8">
      <c r="A254" s="262">
        <f>ROW()</f>
        <v>254</v>
      </c>
      <c r="C254" s="208"/>
      <c r="D254" s="208"/>
      <c r="E254" s="208"/>
      <c r="F254" s="208"/>
      <c r="G254" s="208"/>
      <c r="H254" s="208"/>
      <c r="J254" s="114" t="str">
        <f t="shared" si="103"/>
        <v/>
      </c>
      <c r="K254" s="114" t="str">
        <f>IF(COUNTBLANK(R254)&gt;0,"",CONCATENATE(R254," for ",N236))</f>
        <v/>
      </c>
      <c r="N254" s="123" t="s">
        <v>130</v>
      </c>
      <c r="O254" s="66" t="s">
        <v>338</v>
      </c>
      <c r="P254" s="121"/>
      <c r="Q254" s="66"/>
      <c r="R254" s="121"/>
      <c r="S254" s="133">
        <f>M236</f>
        <v>0</v>
      </c>
      <c r="T254" s="120"/>
      <c r="U254" s="121" t="s">
        <v>292</v>
      </c>
      <c r="V254" s="133">
        <f t="shared" si="96"/>
        <v>0</v>
      </c>
      <c r="W254" s="133">
        <f>VLOOKUP(U254,Sheet1!$B$6:$C$45,2,FALSE)*V254</f>
        <v>0</v>
      </c>
      <c r="X254" s="141"/>
      <c r="Y254" s="122" t="s">
        <v>333</v>
      </c>
      <c r="Z254" s="146">
        <f>VLOOKUP(Takeoffs!Y254,Sheet1!$B$6:$C$124,2,FALSE)</f>
        <v>60</v>
      </c>
      <c r="AA254" s="146">
        <f t="shared" si="97"/>
        <v>0</v>
      </c>
      <c r="AB254" s="143">
        <f t="shared" si="98"/>
        <v>0</v>
      </c>
      <c r="AC254" s="133">
        <f t="shared" si="99"/>
        <v>0</v>
      </c>
      <c r="AD254" s="142">
        <v>1</v>
      </c>
      <c r="AE254" s="141"/>
      <c r="AF254" s="121" t="s">
        <v>292</v>
      </c>
      <c r="AG254" s="146">
        <f>VLOOKUP(Takeoffs!AF254,Sheet1!$B$6:$C$124,2,FALSE)</f>
        <v>0</v>
      </c>
      <c r="AH254" s="146">
        <f t="shared" si="100"/>
        <v>0</v>
      </c>
      <c r="AI254" s="143">
        <f t="shared" si="101"/>
        <v>0</v>
      </c>
      <c r="AJ254" s="133">
        <f t="shared" si="102"/>
        <v>0</v>
      </c>
      <c r="AK254" s="142">
        <f t="shared" si="105"/>
        <v>0</v>
      </c>
      <c r="AL254" s="141"/>
      <c r="AO254" s="286"/>
      <c r="AP254" s="284">
        <f t="shared" si="80"/>
        <v>0</v>
      </c>
      <c r="AQ254" s="281">
        <f t="shared" si="81"/>
        <v>0</v>
      </c>
      <c r="AR254" s="284">
        <f t="shared" si="82"/>
        <v>0</v>
      </c>
      <c r="AS254" s="281">
        <f t="shared" si="83"/>
        <v>0</v>
      </c>
      <c r="AT254" s="284">
        <f t="shared" si="84"/>
        <v>0</v>
      </c>
    </row>
    <row r="255" spans="1:46" s="114" customFormat="1" ht="30.9" x14ac:dyDescent="0.8">
      <c r="A255" s="262">
        <f>ROW()</f>
        <v>255</v>
      </c>
      <c r="C255" s="208"/>
      <c r="D255" s="208"/>
      <c r="E255" s="208"/>
      <c r="F255" s="208"/>
      <c r="G255" s="208"/>
      <c r="H255" s="208"/>
      <c r="J255" s="114" t="str">
        <f t="shared" si="103"/>
        <v/>
      </c>
      <c r="K255" s="114" t="str">
        <f>IF(COUNTBLANK(R255)&gt;0,"",CONCATENATE(R255," for ",N236))</f>
        <v/>
      </c>
      <c r="N255" s="123" t="s">
        <v>131</v>
      </c>
      <c r="O255" s="66" t="s">
        <v>402</v>
      </c>
      <c r="P255" s="121"/>
      <c r="Q255" s="66"/>
      <c r="R255" s="121"/>
      <c r="S255" s="133">
        <f>M236</f>
        <v>0</v>
      </c>
      <c r="T255" s="120"/>
      <c r="U255" s="121" t="s">
        <v>292</v>
      </c>
      <c r="V255" s="133">
        <f t="shared" si="96"/>
        <v>0</v>
      </c>
      <c r="W255" s="133">
        <f>VLOOKUP(U255,Sheet1!$B$6:$C$45,2,FALSE)*V255</f>
        <v>0</v>
      </c>
      <c r="X255" s="141"/>
      <c r="Y255" s="122" t="s">
        <v>334</v>
      </c>
      <c r="Z255" s="146">
        <f>VLOOKUP(Takeoffs!Y255,Sheet1!$B$6:$C$124,2,FALSE)</f>
        <v>56.4</v>
      </c>
      <c r="AA255" s="146">
        <f t="shared" si="97"/>
        <v>0</v>
      </c>
      <c r="AB255" s="143">
        <f t="shared" si="98"/>
        <v>0</v>
      </c>
      <c r="AC255" s="133">
        <f t="shared" si="99"/>
        <v>0</v>
      </c>
      <c r="AD255" s="142">
        <v>1</v>
      </c>
      <c r="AE255" s="141"/>
      <c r="AF255" s="121" t="s">
        <v>292</v>
      </c>
      <c r="AG255" s="146">
        <f>VLOOKUP(Takeoffs!AF255,Sheet1!$B$6:$C$124,2,FALSE)</f>
        <v>0</v>
      </c>
      <c r="AH255" s="146">
        <f t="shared" si="100"/>
        <v>0</v>
      </c>
      <c r="AI255" s="143">
        <f t="shared" si="101"/>
        <v>0</v>
      </c>
      <c r="AJ255" s="133">
        <f t="shared" si="102"/>
        <v>0</v>
      </c>
      <c r="AK255" s="142">
        <f t="shared" si="105"/>
        <v>0</v>
      </c>
      <c r="AL255" s="141"/>
      <c r="AO255" s="286"/>
      <c r="AP255" s="284">
        <f t="shared" si="80"/>
        <v>0</v>
      </c>
      <c r="AQ255" s="281">
        <f t="shared" si="81"/>
        <v>0</v>
      </c>
      <c r="AR255" s="284">
        <f t="shared" si="82"/>
        <v>0</v>
      </c>
      <c r="AS255" s="281">
        <f t="shared" si="83"/>
        <v>0</v>
      </c>
      <c r="AT255" s="284">
        <f t="shared" si="84"/>
        <v>0</v>
      </c>
    </row>
    <row r="256" spans="1:46" s="114" customFormat="1" ht="30.9" x14ac:dyDescent="0.8">
      <c r="A256" s="262">
        <f>ROW()</f>
        <v>256</v>
      </c>
      <c r="C256" s="208"/>
      <c r="D256" s="208"/>
      <c r="E256" s="208"/>
      <c r="F256" s="208"/>
      <c r="G256" s="208"/>
      <c r="H256" s="208"/>
      <c r="J256" s="114" t="str">
        <f t="shared" si="103"/>
        <v/>
      </c>
      <c r="K256" s="114" t="str">
        <f>IF(COUNTBLANK(R256)&gt;0,"",CONCATENATE(R256," for ",N236))</f>
        <v/>
      </c>
      <c r="N256" s="123" t="s">
        <v>132</v>
      </c>
      <c r="O256" s="66" t="s">
        <v>408</v>
      </c>
      <c r="P256" s="121"/>
      <c r="Q256" s="66"/>
      <c r="R256" s="121"/>
      <c r="S256" s="133">
        <f>M236</f>
        <v>0</v>
      </c>
      <c r="T256" s="120"/>
      <c r="U256" s="121" t="s">
        <v>362</v>
      </c>
      <c r="V256" s="133">
        <f t="shared" si="96"/>
        <v>0</v>
      </c>
      <c r="W256" s="133">
        <f>VLOOKUP(U256,Sheet1!$B$6:$C$45,2,FALSE)*V256</f>
        <v>0</v>
      </c>
      <c r="X256" s="141"/>
      <c r="Y256" s="121" t="s">
        <v>292</v>
      </c>
      <c r="Z256" s="146">
        <f>VLOOKUP(Takeoffs!Y256,Sheet1!$B$6:$C$124,2,FALSE)</f>
        <v>0</v>
      </c>
      <c r="AA256" s="146">
        <f t="shared" si="97"/>
        <v>0</v>
      </c>
      <c r="AB256" s="143">
        <f t="shared" si="98"/>
        <v>0</v>
      </c>
      <c r="AC256" s="133">
        <f t="shared" si="99"/>
        <v>0</v>
      </c>
      <c r="AD256" s="142">
        <v>1</v>
      </c>
      <c r="AE256" s="141"/>
      <c r="AF256" s="121" t="s">
        <v>292</v>
      </c>
      <c r="AG256" s="146">
        <f>VLOOKUP(Takeoffs!AF256,Sheet1!$B$6:$C$124,2,FALSE)</f>
        <v>0</v>
      </c>
      <c r="AH256" s="146">
        <f t="shared" si="100"/>
        <v>0</v>
      </c>
      <c r="AI256" s="143">
        <f t="shared" si="101"/>
        <v>0</v>
      </c>
      <c r="AJ256" s="133">
        <f t="shared" si="102"/>
        <v>0</v>
      </c>
      <c r="AK256" s="142">
        <f t="shared" si="105"/>
        <v>0</v>
      </c>
      <c r="AL256" s="141"/>
      <c r="AO256" s="286"/>
      <c r="AP256" s="284">
        <f t="shared" si="80"/>
        <v>0</v>
      </c>
      <c r="AQ256" s="281">
        <f t="shared" si="81"/>
        <v>0</v>
      </c>
      <c r="AR256" s="284">
        <f t="shared" si="82"/>
        <v>0</v>
      </c>
      <c r="AS256" s="281">
        <f t="shared" si="83"/>
        <v>0</v>
      </c>
      <c r="AT256" s="284">
        <f t="shared" si="84"/>
        <v>0</v>
      </c>
    </row>
    <row r="257" spans="1:97" s="128" customFormat="1" ht="163.5" customHeight="1" x14ac:dyDescent="0.8">
      <c r="A257" s="262">
        <f>ROW()</f>
        <v>257</v>
      </c>
      <c r="C257" s="212"/>
      <c r="D257" s="212"/>
      <c r="E257" s="212"/>
      <c r="F257" s="212"/>
      <c r="G257" s="212"/>
      <c r="H257" s="212"/>
      <c r="J257" s="128" t="s">
        <v>377</v>
      </c>
      <c r="L257" s="128" t="s">
        <v>378</v>
      </c>
      <c r="N257" s="129"/>
      <c r="O257" s="130" t="s">
        <v>357</v>
      </c>
      <c r="P257" s="171">
        <f>V257+AA257+AH257</f>
        <v>0</v>
      </c>
      <c r="Q257" s="131"/>
      <c r="R257" s="131"/>
      <c r="S257" s="130"/>
      <c r="T257" s="127"/>
      <c r="U257" s="126" t="s">
        <v>351</v>
      </c>
      <c r="V257" s="127">
        <f>W257*80</f>
        <v>0</v>
      </c>
      <c r="W257" s="147">
        <f>SUM(W236:W256)</f>
        <v>0</v>
      </c>
      <c r="X257" s="148"/>
      <c r="Y257" s="127" t="s">
        <v>352</v>
      </c>
      <c r="Z257" s="116"/>
      <c r="AA257" s="116">
        <f>SUM(AA236:AA256)</f>
        <v>0</v>
      </c>
      <c r="AB257" s="149"/>
      <c r="AC257" s="149"/>
      <c r="AD257" s="149"/>
      <c r="AE257" s="149"/>
      <c r="AF257" s="127" t="s">
        <v>356</v>
      </c>
      <c r="AG257" s="116"/>
      <c r="AH257" s="116">
        <f>SUM(AH236:AH256)</f>
        <v>0</v>
      </c>
      <c r="AI257" s="149"/>
      <c r="AJ257" s="149"/>
      <c r="AK257" s="149"/>
      <c r="AL257" s="149"/>
      <c r="AM257" s="150">
        <f>P257</f>
        <v>0</v>
      </c>
      <c r="AO257" s="286"/>
      <c r="AP257" s="284">
        <f t="shared" si="80"/>
        <v>0</v>
      </c>
      <c r="AQ257" s="281">
        <f t="shared" si="81"/>
        <v>0</v>
      </c>
      <c r="AR257" s="284">
        <f t="shared" si="82"/>
        <v>0</v>
      </c>
      <c r="AS257" s="281">
        <f t="shared" si="83"/>
        <v>0</v>
      </c>
      <c r="AT257" s="284">
        <f t="shared" si="84"/>
        <v>0</v>
      </c>
    </row>
    <row r="258" spans="1:97" s="234" customFormat="1" ht="154.30000000000001" x14ac:dyDescent="0.8">
      <c r="A258" s="262">
        <f>ROW()</f>
        <v>258</v>
      </c>
      <c r="B258" s="234" t="s">
        <v>491</v>
      </c>
      <c r="C258" s="217" t="str">
        <f>N236</f>
        <v>timeclock controlled DOL fan - from local power supply</v>
      </c>
      <c r="D258" s="260" t="str">
        <f>IF(B258="Shopping List",IF(ISNUMBER(SEARCH("MSSB",C258)),"MSSB",IF(ISNUMBER(SEARCH("local",C258)),"LOCAL","")))</f>
        <v>LOCAL</v>
      </c>
      <c r="E258" s="238"/>
      <c r="F258" s="217"/>
      <c r="G258" s="139"/>
      <c r="H258" s="245"/>
      <c r="I258" s="270"/>
      <c r="J258" s="241" t="str">
        <f>CONCATENATE(O236," ",L236, " (",M236,") ",N236,".", IF(M236&gt;1," Each "," This "),"includes supply and install of ",O237,O238,O239,O240,O241,O242,O243,O244,O245,O246,O247,O248,O249,O250,O251,O252,O253,O254,O255,O256,J237,J238,J239,J240,J241,J242,J243,J244,J245,J246,J247,J248,J249,J250,J251,J252,J253,J254,J255,J256)</f>
        <v xml:space="preserve">Electrical power supply and controls to Zero (0) timeclock controlled DOL fan - from local power supply. This includes supply and install of power and controls. Power for system includes: cabling to fan and control panel (from Builder's Electrician's isolator) and local isolator. Controls for system includes: timeclock, controls cabling, contactors/relays, run and fault lights, Auto/Off/On switch, controls enclosure, trefolyte labelling and commissioning/testing. Coordination Note: - Builders electrician: Please refer to our exclusions relating to local power supply </v>
      </c>
      <c r="K258" s="246">
        <f>P257</f>
        <v>0</v>
      </c>
      <c r="L258" s="234" t="str">
        <f>CONCATENATE(Q237,Q238,Q239,Q240,Q241,Q242,Q243,Q244,Q245,Q246,Q247,Q248,Q249,Q250,Q251,Q252,Q253,Q254,Q255,Q256,)</f>
        <v xml:space="preserve">local power supply </v>
      </c>
      <c r="M258" s="166" t="s">
        <v>367</v>
      </c>
      <c r="N258" s="160" t="str">
        <f>N236</f>
        <v>timeclock controlled DOL fan - from local power supply</v>
      </c>
      <c r="O258" s="160" t="s">
        <v>365</v>
      </c>
      <c r="P258" s="171" t="e">
        <f>P257/M236</f>
        <v>#DIV/0!</v>
      </c>
      <c r="Q258" s="161"/>
      <c r="R258" s="161"/>
      <c r="S258" s="160"/>
      <c r="T258" s="161"/>
      <c r="U258" s="503" t="s">
        <v>366</v>
      </c>
      <c r="V258" s="503"/>
      <c r="W258" s="162" t="e">
        <f>W257/M236</f>
        <v>#DIV/0!</v>
      </c>
      <c r="X258" s="163"/>
      <c r="Y258" s="501" t="s">
        <v>365</v>
      </c>
      <c r="Z258" s="501"/>
      <c r="AA258" s="164" t="e">
        <f>AA257/M236</f>
        <v>#DIV/0!</v>
      </c>
      <c r="AB258" s="161"/>
      <c r="AC258" s="161"/>
      <c r="AD258" s="161"/>
      <c r="AE258" s="161"/>
      <c r="AF258" s="501" t="s">
        <v>365</v>
      </c>
      <c r="AG258" s="501"/>
      <c r="AH258" s="164" t="e">
        <f>AH257/M236</f>
        <v>#DIV/0!</v>
      </c>
      <c r="AI258" s="161"/>
      <c r="AJ258" s="161"/>
      <c r="AK258" s="161"/>
      <c r="AL258" s="247"/>
      <c r="AM258" s="64">
        <f>K258*1.25</f>
        <v>0</v>
      </c>
      <c r="AN258" s="236">
        <f>K258*$D$9</f>
        <v>0</v>
      </c>
      <c r="AO258" s="286"/>
      <c r="AP258" s="284">
        <f t="shared" si="80"/>
        <v>0</v>
      </c>
      <c r="AQ258" s="281">
        <f t="shared" si="81"/>
        <v>0</v>
      </c>
      <c r="AR258" s="284">
        <f t="shared" si="82"/>
        <v>0</v>
      </c>
      <c r="AS258" s="281">
        <f t="shared" si="83"/>
        <v>0</v>
      </c>
      <c r="AT258" s="284">
        <f t="shared" si="84"/>
        <v>0</v>
      </c>
      <c r="AU258" s="117"/>
      <c r="AV258" s="117"/>
      <c r="AW258" s="117"/>
      <c r="AX258" s="117"/>
      <c r="AY258" s="117"/>
      <c r="AZ258" s="117"/>
      <c r="BA258" s="117"/>
      <c r="BB258" s="117"/>
      <c r="BC258" s="117"/>
      <c r="BD258" s="117"/>
      <c r="BE258" s="117"/>
      <c r="BF258" s="117"/>
      <c r="BG258" s="117"/>
      <c r="BH258" s="117"/>
      <c r="BI258" s="117"/>
      <c r="BJ258" s="117"/>
      <c r="BK258" s="117"/>
      <c r="BL258" s="117"/>
      <c r="BM258" s="117"/>
      <c r="BN258" s="117"/>
      <c r="BO258" s="117"/>
      <c r="BP258" s="117"/>
      <c r="BQ258" s="117"/>
      <c r="BR258" s="117"/>
      <c r="BS258" s="117"/>
      <c r="BT258" s="117"/>
      <c r="BU258" s="117"/>
      <c r="BV258" s="117"/>
      <c r="BW258" s="117"/>
      <c r="BX258" s="117"/>
      <c r="BY258" s="117"/>
      <c r="BZ258" s="117"/>
      <c r="CA258" s="117"/>
      <c r="CB258" s="117"/>
      <c r="CC258" s="117"/>
      <c r="CD258" s="117"/>
      <c r="CE258" s="117"/>
      <c r="CF258" s="117"/>
      <c r="CG258" s="117"/>
      <c r="CH258" s="117"/>
      <c r="CI258" s="117"/>
      <c r="CJ258" s="117"/>
      <c r="CK258" s="117"/>
      <c r="CL258" s="117"/>
      <c r="CM258" s="117"/>
      <c r="CN258" s="117"/>
      <c r="CO258" s="117"/>
      <c r="CP258" s="117"/>
      <c r="CQ258" s="117"/>
      <c r="CR258" s="117"/>
      <c r="CS258" s="117"/>
    </row>
    <row r="259" spans="1:97" s="2" customFormat="1" ht="192.75" customHeight="1" x14ac:dyDescent="0.8">
      <c r="A259" s="262">
        <f>ROW()</f>
        <v>259</v>
      </c>
      <c r="B259" s="116"/>
      <c r="C259" s="211"/>
      <c r="D259" s="211"/>
      <c r="E259" s="211"/>
      <c r="F259" s="211"/>
      <c r="G259" s="211"/>
      <c r="H259" s="211"/>
      <c r="I259" s="116"/>
      <c r="K259" s="2" t="s">
        <v>452</v>
      </c>
      <c r="M259" s="2" t="s">
        <v>107</v>
      </c>
      <c r="N259" s="2" t="s">
        <v>108</v>
      </c>
      <c r="O259" s="97" t="s">
        <v>386</v>
      </c>
      <c r="P259" s="502" t="s">
        <v>375</v>
      </c>
      <c r="Q259" s="502"/>
      <c r="R259" s="101" t="s">
        <v>452</v>
      </c>
      <c r="S259" s="2" t="s">
        <v>0</v>
      </c>
      <c r="T259" s="9"/>
      <c r="U259" s="2" t="s">
        <v>287</v>
      </c>
      <c r="V259" s="2" t="s">
        <v>288</v>
      </c>
      <c r="W259" s="2" t="s">
        <v>291</v>
      </c>
      <c r="X259" s="58"/>
      <c r="Y259" s="2" t="s">
        <v>289</v>
      </c>
      <c r="Z259" s="2" t="s">
        <v>354</v>
      </c>
      <c r="AA259" s="2" t="s">
        <v>355</v>
      </c>
      <c r="AB259" s="2" t="s">
        <v>317</v>
      </c>
      <c r="AC259" s="2" t="s">
        <v>318</v>
      </c>
      <c r="AD259" s="2" t="s">
        <v>316</v>
      </c>
      <c r="AE259" s="58"/>
      <c r="AF259" s="2" t="s">
        <v>293</v>
      </c>
      <c r="AG259" s="2" t="s">
        <v>354</v>
      </c>
      <c r="AH259" s="2" t="s">
        <v>355</v>
      </c>
      <c r="AI259" s="2" t="s">
        <v>296</v>
      </c>
      <c r="AJ259" s="2" t="s">
        <v>294</v>
      </c>
      <c r="AK259" s="2" t="s">
        <v>295</v>
      </c>
      <c r="AL259" s="58"/>
      <c r="AO259" s="288"/>
      <c r="AP259" s="284">
        <f t="shared" si="80"/>
        <v>0</v>
      </c>
      <c r="AQ259" s="281">
        <f t="shared" si="81"/>
        <v>0</v>
      </c>
      <c r="AR259" s="284">
        <f t="shared" si="82"/>
        <v>0</v>
      </c>
      <c r="AS259" s="281">
        <f t="shared" si="83"/>
        <v>0</v>
      </c>
      <c r="AT259" s="284">
        <f t="shared" si="84"/>
        <v>0</v>
      </c>
    </row>
    <row r="260" spans="1:97" s="32" customFormat="1" ht="40.5" customHeight="1" x14ac:dyDescent="0.8">
      <c r="A260" s="262">
        <f>ROW()</f>
        <v>260</v>
      </c>
      <c r="B260" s="114"/>
      <c r="C260" s="208"/>
      <c r="D260" s="208"/>
      <c r="E260" s="208"/>
      <c r="F260" s="208"/>
      <c r="G260" s="208"/>
      <c r="H260" s="208"/>
      <c r="I260" s="114"/>
      <c r="L260" s="16" t="str">
        <f>VLOOKUP(M260,Sheet2!$D$2:$E$1024,2,FALSE)</f>
        <v>Zero</v>
      </c>
      <c r="M260" s="121">
        <f>I282</f>
        <v>0</v>
      </c>
      <c r="N260" s="27" t="s">
        <v>335</v>
      </c>
      <c r="O260" s="12" t="s">
        <v>347</v>
      </c>
      <c r="P260" s="96" t="s">
        <v>379</v>
      </c>
      <c r="Q260" s="96" t="s">
        <v>375</v>
      </c>
      <c r="R260" s="96"/>
      <c r="S260" s="28">
        <f>M260</f>
        <v>0</v>
      </c>
      <c r="T260" s="10"/>
      <c r="U260" s="12" t="s">
        <v>292</v>
      </c>
      <c r="V260" s="28">
        <f>S260</f>
        <v>0</v>
      </c>
      <c r="W260" s="28">
        <f>VLOOKUP(U260,Sheet1!$B$6:$C$45,2,FALSE)*V260</f>
        <v>0</v>
      </c>
      <c r="X260" s="59"/>
      <c r="Y260" s="12" t="s">
        <v>292</v>
      </c>
      <c r="Z260" s="68">
        <f>VLOOKUP(Takeoffs!Y260,Sheet1!$B$6:$C$124,2,FALSE)</f>
        <v>0</v>
      </c>
      <c r="AA260" s="68">
        <f>Z260*AB260</f>
        <v>0</v>
      </c>
      <c r="AB260" s="63">
        <f>AD260*AC260</f>
        <v>0</v>
      </c>
      <c r="AC260" s="28">
        <f>S260</f>
        <v>0</v>
      </c>
      <c r="AD260" s="61">
        <v>1</v>
      </c>
      <c r="AE260" s="59"/>
      <c r="AF260" s="12" t="s">
        <v>292</v>
      </c>
      <c r="AG260" s="68">
        <f>VLOOKUP(Takeoffs!AF260,Sheet1!$B$6:$C$124,2,FALSE)</f>
        <v>0</v>
      </c>
      <c r="AH260" s="68">
        <f>AG260*AI260</f>
        <v>0</v>
      </c>
      <c r="AI260" s="63">
        <f>AK260*AJ260</f>
        <v>0</v>
      </c>
      <c r="AJ260" s="28">
        <f>S260</f>
        <v>0</v>
      </c>
      <c r="AK260" s="61">
        <f>T260</f>
        <v>0</v>
      </c>
      <c r="AL260" s="59"/>
      <c r="AO260" s="286"/>
      <c r="AP260" s="284">
        <f t="shared" si="80"/>
        <v>0</v>
      </c>
      <c r="AQ260" s="281">
        <f t="shared" si="81"/>
        <v>0</v>
      </c>
      <c r="AR260" s="284">
        <f t="shared" si="82"/>
        <v>0</v>
      </c>
      <c r="AS260" s="281">
        <f t="shared" si="83"/>
        <v>0</v>
      </c>
      <c r="AT260" s="284">
        <f t="shared" si="84"/>
        <v>0</v>
      </c>
    </row>
    <row r="261" spans="1:97" s="32" customFormat="1" ht="30.9" x14ac:dyDescent="0.8">
      <c r="A261" s="262">
        <f>ROW()</f>
        <v>261</v>
      </c>
      <c r="B261" s="114"/>
      <c r="C261" s="208"/>
      <c r="D261" s="208"/>
      <c r="E261" s="208"/>
      <c r="F261" s="208"/>
      <c r="G261" s="208"/>
      <c r="H261" s="208"/>
      <c r="I261" s="114"/>
      <c r="J261" s="32" t="str">
        <f>IF(COUNTBLANK(Q261)&gt;0,"",CONCATENATE("Coordination Note: - ",P261,": Please refer to our exclusions relating to ",Q261))</f>
        <v/>
      </c>
      <c r="K261" s="32" t="str">
        <f>IF(COUNTBLANK(R261)&gt;0,"",CONCATENATE(R261," for ",N260))</f>
        <v/>
      </c>
      <c r="M261" s="38"/>
      <c r="N261" s="15" t="s">
        <v>113</v>
      </c>
      <c r="O261" s="66" t="s">
        <v>340</v>
      </c>
      <c r="P261" s="12"/>
      <c r="Q261" s="66"/>
      <c r="R261" s="12"/>
      <c r="S261" s="28">
        <f>M260</f>
        <v>0</v>
      </c>
      <c r="T261" s="11"/>
      <c r="U261" s="12" t="s">
        <v>233</v>
      </c>
      <c r="V261" s="28">
        <f t="shared" ref="V261:V280" si="106">S261</f>
        <v>0</v>
      </c>
      <c r="W261" s="28">
        <f>VLOOKUP(U261,Sheet1!$B$6:$C$45,2,FALSE)*V261</f>
        <v>0</v>
      </c>
      <c r="X261" s="59"/>
      <c r="Y261" s="12" t="s">
        <v>292</v>
      </c>
      <c r="Z261" s="68">
        <f>VLOOKUP(Takeoffs!Y261,Sheet1!$B$6:$C$124,2,FALSE)</f>
        <v>0</v>
      </c>
      <c r="AA261" s="68">
        <f t="shared" ref="AA261:AA280" si="107">Z261*AB261</f>
        <v>0</v>
      </c>
      <c r="AB261" s="63">
        <f t="shared" ref="AB261:AB280" si="108">AD261*AC261</f>
        <v>0</v>
      </c>
      <c r="AC261" s="28">
        <f>S261</f>
        <v>0</v>
      </c>
      <c r="AD261" s="61">
        <v>1</v>
      </c>
      <c r="AE261" s="59"/>
      <c r="AF261" s="12" t="s">
        <v>292</v>
      </c>
      <c r="AG261" s="68">
        <f>VLOOKUP(Takeoffs!AF261,Sheet1!$B$6:$C$124,2,FALSE)</f>
        <v>0</v>
      </c>
      <c r="AH261" s="68">
        <f t="shared" ref="AH261:AH280" si="109">AG261*AI261</f>
        <v>0</v>
      </c>
      <c r="AI261" s="63">
        <f t="shared" ref="AI261:AI280" si="110">AK261*AJ261</f>
        <v>0</v>
      </c>
      <c r="AJ261" s="28">
        <f t="shared" ref="AJ261:AJ280" si="111">S261</f>
        <v>0</v>
      </c>
      <c r="AK261" s="61">
        <f>T261</f>
        <v>0</v>
      </c>
      <c r="AL261" s="59"/>
      <c r="AO261" s="286"/>
      <c r="AP261" s="284">
        <f t="shared" si="80"/>
        <v>0</v>
      </c>
      <c r="AQ261" s="281">
        <f t="shared" si="81"/>
        <v>0</v>
      </c>
      <c r="AR261" s="284">
        <f t="shared" si="82"/>
        <v>0</v>
      </c>
      <c r="AS261" s="281">
        <f t="shared" si="83"/>
        <v>0</v>
      </c>
      <c r="AT261" s="284">
        <f t="shared" si="84"/>
        <v>0</v>
      </c>
    </row>
    <row r="262" spans="1:97" s="32" customFormat="1" ht="30.9" x14ac:dyDescent="0.8">
      <c r="A262" s="262">
        <f>ROW()</f>
        <v>262</v>
      </c>
      <c r="B262" s="114"/>
      <c r="C262" s="208"/>
      <c r="D262" s="208"/>
      <c r="E262" s="208"/>
      <c r="F262" s="208"/>
      <c r="G262" s="208"/>
      <c r="H262" s="208"/>
      <c r="I262" s="114"/>
      <c r="J262" s="32" t="str">
        <f t="shared" ref="J262:J280" si="112">IF(COUNTBLANK(Q262)&gt;0,"",CONCATENATE("Coordination Note: - ",P262,": Please refer to our exclusions relating to ",Q262))</f>
        <v xml:space="preserve">Coordination Note: - Builders electrician: Please refer to our exclusions relating to local power supply </v>
      </c>
      <c r="K262" s="32" t="str">
        <f>IF(COUNTBLANK(R262)&gt;0,"",CONCATENATE(R262," for ",N260))</f>
        <v/>
      </c>
      <c r="M262" s="38"/>
      <c r="N262" s="15" t="s">
        <v>114</v>
      </c>
      <c r="O262" s="66" t="s">
        <v>441</v>
      </c>
      <c r="P262" s="121" t="s">
        <v>539</v>
      </c>
      <c r="Q262" s="66" t="s">
        <v>687</v>
      </c>
      <c r="R262" s="12"/>
      <c r="S262" s="28">
        <f>M260</f>
        <v>0</v>
      </c>
      <c r="T262" s="11"/>
      <c r="U262" s="12" t="s">
        <v>361</v>
      </c>
      <c r="V262" s="28">
        <f t="shared" si="106"/>
        <v>0</v>
      </c>
      <c r="W262" s="28">
        <f>VLOOKUP(U262,Sheet1!$B$6:$C$45,2,FALSE)*V262</f>
        <v>0</v>
      </c>
      <c r="X262" s="59"/>
      <c r="Y262" s="12" t="s">
        <v>292</v>
      </c>
      <c r="Z262" s="68">
        <f>VLOOKUP(Takeoffs!Y262,Sheet1!$B$6:$C$124,2,FALSE)</f>
        <v>0</v>
      </c>
      <c r="AA262" s="68">
        <f t="shared" si="107"/>
        <v>0</v>
      </c>
      <c r="AB262" s="63">
        <f t="shared" si="108"/>
        <v>0</v>
      </c>
      <c r="AC262" s="28">
        <f>S262</f>
        <v>0</v>
      </c>
      <c r="AD262" s="61">
        <v>1</v>
      </c>
      <c r="AE262" s="59"/>
      <c r="AF262" s="13" t="s">
        <v>267</v>
      </c>
      <c r="AG262" s="68">
        <f>VLOOKUP(Takeoffs!AF262,Sheet1!$B$6:$C$124,2,FALSE)</f>
        <v>3.48</v>
      </c>
      <c r="AH262" s="68">
        <f t="shared" si="109"/>
        <v>0</v>
      </c>
      <c r="AI262" s="63">
        <f t="shared" si="110"/>
        <v>0</v>
      </c>
      <c r="AJ262" s="28">
        <f t="shared" si="111"/>
        <v>0</v>
      </c>
      <c r="AK262" s="61">
        <v>5</v>
      </c>
      <c r="AL262" s="59"/>
      <c r="AO262" s="286"/>
      <c r="AP262" s="284">
        <f t="shared" si="80"/>
        <v>0</v>
      </c>
      <c r="AQ262" s="281">
        <f t="shared" si="81"/>
        <v>0</v>
      </c>
      <c r="AR262" s="284">
        <f t="shared" si="82"/>
        <v>0</v>
      </c>
      <c r="AS262" s="281">
        <f t="shared" si="83"/>
        <v>0</v>
      </c>
      <c r="AT262" s="284">
        <f t="shared" si="84"/>
        <v>0</v>
      </c>
    </row>
    <row r="263" spans="1:97" s="32" customFormat="1" ht="30.9" x14ac:dyDescent="0.8">
      <c r="A263" s="262">
        <f>ROW()</f>
        <v>263</v>
      </c>
      <c r="B263" s="114"/>
      <c r="C263" s="208"/>
      <c r="D263" s="208"/>
      <c r="E263" s="208"/>
      <c r="F263" s="208"/>
      <c r="G263" s="208"/>
      <c r="H263" s="208"/>
      <c r="I263" s="114"/>
      <c r="J263" s="32" t="str">
        <f t="shared" si="112"/>
        <v/>
      </c>
      <c r="K263" s="32" t="str">
        <f>IF(COUNTBLANK(R263)&gt;0,"",CONCATENATE(R263," for ",N260))</f>
        <v/>
      </c>
      <c r="M263" s="38"/>
      <c r="N263" s="15" t="s">
        <v>115</v>
      </c>
      <c r="O263" s="66" t="s">
        <v>406</v>
      </c>
      <c r="P263" s="12"/>
      <c r="Q263" s="66"/>
      <c r="R263" s="12"/>
      <c r="S263" s="28">
        <f>M260</f>
        <v>0</v>
      </c>
      <c r="T263" s="11"/>
      <c r="U263" s="12" t="s">
        <v>292</v>
      </c>
      <c r="V263" s="28">
        <f t="shared" si="106"/>
        <v>0</v>
      </c>
      <c r="W263" s="28">
        <f>VLOOKUP(U263,Sheet1!$B$6:$C$45,2,FALSE)*V263</f>
        <v>0</v>
      </c>
      <c r="X263" s="59"/>
      <c r="Y263" s="13" t="s">
        <v>245</v>
      </c>
      <c r="Z263" s="68">
        <f>VLOOKUP(Takeoffs!Y263,Sheet1!$B$6:$C$124,2,FALSE)</f>
        <v>46.463999999999999</v>
      </c>
      <c r="AA263" s="68">
        <f t="shared" si="107"/>
        <v>0</v>
      </c>
      <c r="AB263" s="63">
        <f t="shared" si="108"/>
        <v>0</v>
      </c>
      <c r="AC263" s="28">
        <f t="shared" ref="AC263:AC280" si="113">S263</f>
        <v>0</v>
      </c>
      <c r="AD263" s="61">
        <v>1</v>
      </c>
      <c r="AE263" s="59"/>
      <c r="AF263" s="12" t="s">
        <v>292</v>
      </c>
      <c r="AG263" s="68">
        <f>VLOOKUP(Takeoffs!AF263,Sheet1!$B$6:$C$124,2,FALSE)</f>
        <v>0</v>
      </c>
      <c r="AH263" s="68">
        <f t="shared" si="109"/>
        <v>0</v>
      </c>
      <c r="AI263" s="63">
        <f t="shared" si="110"/>
        <v>0</v>
      </c>
      <c r="AJ263" s="28">
        <f t="shared" si="111"/>
        <v>0</v>
      </c>
      <c r="AK263" s="61">
        <f t="shared" ref="AK263:AK269" si="114">T263</f>
        <v>0</v>
      </c>
      <c r="AL263" s="59"/>
      <c r="AO263" s="286"/>
      <c r="AP263" s="284">
        <f t="shared" si="80"/>
        <v>0</v>
      </c>
      <c r="AQ263" s="281">
        <f t="shared" si="81"/>
        <v>0</v>
      </c>
      <c r="AR263" s="284">
        <f t="shared" si="82"/>
        <v>0</v>
      </c>
      <c r="AS263" s="281">
        <f t="shared" si="83"/>
        <v>0</v>
      </c>
      <c r="AT263" s="284">
        <f t="shared" si="84"/>
        <v>0</v>
      </c>
    </row>
    <row r="264" spans="1:97" s="32" customFormat="1" ht="30.9" x14ac:dyDescent="0.8">
      <c r="A264" s="262">
        <f>ROW()</f>
        <v>264</v>
      </c>
      <c r="B264" s="114"/>
      <c r="C264" s="208"/>
      <c r="D264" s="208"/>
      <c r="E264" s="208"/>
      <c r="F264" s="208"/>
      <c r="G264" s="208"/>
      <c r="H264" s="208"/>
      <c r="I264" s="114"/>
      <c r="J264" s="32" t="str">
        <f t="shared" si="112"/>
        <v/>
      </c>
      <c r="K264" s="32" t="str">
        <f>IF(COUNTBLANK(R264)&gt;0,"",CONCATENATE(R264," for ",N260))</f>
        <v/>
      </c>
      <c r="M264" s="38"/>
      <c r="N264" s="15" t="s">
        <v>116</v>
      </c>
      <c r="O264" s="66"/>
      <c r="P264" s="12"/>
      <c r="Q264" s="66"/>
      <c r="R264" s="12"/>
      <c r="S264" s="28">
        <f>M260</f>
        <v>0</v>
      </c>
      <c r="T264" s="11"/>
      <c r="U264" s="12" t="s">
        <v>292</v>
      </c>
      <c r="V264" s="28">
        <f t="shared" si="106"/>
        <v>0</v>
      </c>
      <c r="W264" s="28">
        <f>VLOOKUP(U264,Sheet1!$B$6:$C$45,2,FALSE)*V264</f>
        <v>0</v>
      </c>
      <c r="X264" s="59"/>
      <c r="Y264" s="12" t="s">
        <v>292</v>
      </c>
      <c r="Z264" s="68">
        <f>VLOOKUP(Takeoffs!Y264,Sheet1!$B$6:$C$124,2,FALSE)</f>
        <v>0</v>
      </c>
      <c r="AA264" s="68">
        <f t="shared" si="107"/>
        <v>0</v>
      </c>
      <c r="AB264" s="63">
        <f t="shared" si="108"/>
        <v>0</v>
      </c>
      <c r="AC264" s="28">
        <f t="shared" si="113"/>
        <v>0</v>
      </c>
      <c r="AD264" s="61">
        <v>1</v>
      </c>
      <c r="AE264" s="59"/>
      <c r="AF264" s="12" t="s">
        <v>292</v>
      </c>
      <c r="AG264" s="68">
        <f>VLOOKUP(Takeoffs!AF264,Sheet1!$B$6:$C$124,2,FALSE)</f>
        <v>0</v>
      </c>
      <c r="AH264" s="68">
        <f t="shared" si="109"/>
        <v>0</v>
      </c>
      <c r="AI264" s="63">
        <f t="shared" si="110"/>
        <v>0</v>
      </c>
      <c r="AJ264" s="28">
        <f t="shared" si="111"/>
        <v>0</v>
      </c>
      <c r="AK264" s="61">
        <f t="shared" si="114"/>
        <v>0</v>
      </c>
      <c r="AL264" s="59"/>
      <c r="AO264" s="286"/>
      <c r="AP264" s="284">
        <f t="shared" si="80"/>
        <v>0</v>
      </c>
      <c r="AQ264" s="281">
        <f t="shared" si="81"/>
        <v>0</v>
      </c>
      <c r="AR264" s="284">
        <f t="shared" si="82"/>
        <v>0</v>
      </c>
      <c r="AS264" s="281">
        <f t="shared" si="83"/>
        <v>0</v>
      </c>
      <c r="AT264" s="284">
        <f t="shared" si="84"/>
        <v>0</v>
      </c>
    </row>
    <row r="265" spans="1:97" s="32" customFormat="1" ht="30.9" x14ac:dyDescent="0.8">
      <c r="A265" s="262">
        <f>ROW()</f>
        <v>265</v>
      </c>
      <c r="B265" s="114"/>
      <c r="C265" s="208"/>
      <c r="D265" s="208"/>
      <c r="E265" s="208"/>
      <c r="F265" s="208"/>
      <c r="G265" s="208"/>
      <c r="H265" s="208"/>
      <c r="I265" s="114"/>
      <c r="J265" s="32" t="str">
        <f t="shared" si="112"/>
        <v/>
      </c>
      <c r="K265" s="32" t="str">
        <f>IF(COUNTBLANK(R265)&gt;0,"",CONCATENATE(R265," for ",N260))</f>
        <v/>
      </c>
      <c r="M265" s="38"/>
      <c r="N265" s="15" t="s">
        <v>117</v>
      </c>
      <c r="O265" s="66"/>
      <c r="P265" s="12"/>
      <c r="Q265" s="66"/>
      <c r="R265" s="12"/>
      <c r="S265" s="28">
        <f>M260</f>
        <v>0</v>
      </c>
      <c r="T265" s="11"/>
      <c r="U265" s="12" t="s">
        <v>292</v>
      </c>
      <c r="V265" s="28">
        <f t="shared" si="106"/>
        <v>0</v>
      </c>
      <c r="W265" s="28">
        <f>VLOOKUP(U265,Sheet1!$B$6:$C$45,2,FALSE)*V265</f>
        <v>0</v>
      </c>
      <c r="X265" s="59"/>
      <c r="Y265" s="12" t="s">
        <v>292</v>
      </c>
      <c r="Z265" s="68">
        <f>VLOOKUP(Takeoffs!Y265,Sheet1!$B$6:$C$124,2,FALSE)</f>
        <v>0</v>
      </c>
      <c r="AA265" s="68">
        <f t="shared" si="107"/>
        <v>0</v>
      </c>
      <c r="AB265" s="63">
        <f t="shared" si="108"/>
        <v>0</v>
      </c>
      <c r="AC265" s="28">
        <f t="shared" si="113"/>
        <v>0</v>
      </c>
      <c r="AD265" s="61">
        <v>1</v>
      </c>
      <c r="AE265" s="59"/>
      <c r="AF265" s="12" t="s">
        <v>292</v>
      </c>
      <c r="AG265" s="68">
        <f>VLOOKUP(Takeoffs!AF265,Sheet1!$B$6:$C$124,2,FALSE)</f>
        <v>0</v>
      </c>
      <c r="AH265" s="68">
        <f t="shared" si="109"/>
        <v>0</v>
      </c>
      <c r="AI265" s="63">
        <f t="shared" si="110"/>
        <v>0</v>
      </c>
      <c r="AJ265" s="28">
        <f t="shared" si="111"/>
        <v>0</v>
      </c>
      <c r="AK265" s="61">
        <f t="shared" si="114"/>
        <v>0</v>
      </c>
      <c r="AL265" s="59"/>
      <c r="AO265" s="286"/>
      <c r="AP265" s="284">
        <f t="shared" si="80"/>
        <v>0</v>
      </c>
      <c r="AQ265" s="281">
        <f t="shared" si="81"/>
        <v>0</v>
      </c>
      <c r="AR265" s="284">
        <f t="shared" si="82"/>
        <v>0</v>
      </c>
      <c r="AS265" s="281">
        <f t="shared" si="83"/>
        <v>0</v>
      </c>
      <c r="AT265" s="284">
        <f t="shared" si="84"/>
        <v>0</v>
      </c>
    </row>
    <row r="266" spans="1:97" s="32" customFormat="1" ht="30.9" x14ac:dyDescent="0.8">
      <c r="A266" s="262">
        <f>ROW()</f>
        <v>266</v>
      </c>
      <c r="B266" s="114"/>
      <c r="C266" s="208"/>
      <c r="D266" s="208"/>
      <c r="E266" s="208"/>
      <c r="F266" s="208"/>
      <c r="G266" s="208"/>
      <c r="H266" s="208"/>
      <c r="I266" s="114"/>
      <c r="J266" s="32" t="str">
        <f t="shared" si="112"/>
        <v/>
      </c>
      <c r="K266" s="32" t="str">
        <f>IF(COUNTBLANK(R266)&gt;0,"",CONCATENATE(R266," for ",N260))</f>
        <v/>
      </c>
      <c r="M266" s="38"/>
      <c r="N266" s="15" t="s">
        <v>118</v>
      </c>
      <c r="O266" s="66"/>
      <c r="P266" s="12"/>
      <c r="Q266" s="66"/>
      <c r="R266" s="12"/>
      <c r="S266" s="28">
        <f>M260</f>
        <v>0</v>
      </c>
      <c r="T266" s="11"/>
      <c r="U266" s="12" t="s">
        <v>292</v>
      </c>
      <c r="V266" s="28">
        <f t="shared" si="106"/>
        <v>0</v>
      </c>
      <c r="W266" s="28">
        <f>VLOOKUP(U266,Sheet1!$B$6:$C$45,2,FALSE)*V266</f>
        <v>0</v>
      </c>
      <c r="X266" s="59"/>
      <c r="Y266" s="12" t="s">
        <v>292</v>
      </c>
      <c r="Z266" s="68">
        <f>VLOOKUP(Takeoffs!Y266,Sheet1!$B$6:$C$124,2,FALSE)</f>
        <v>0</v>
      </c>
      <c r="AA266" s="68">
        <f t="shared" si="107"/>
        <v>0</v>
      </c>
      <c r="AB266" s="63">
        <f t="shared" si="108"/>
        <v>0</v>
      </c>
      <c r="AC266" s="28">
        <f t="shared" si="113"/>
        <v>0</v>
      </c>
      <c r="AD266" s="61">
        <v>1</v>
      </c>
      <c r="AE266" s="59"/>
      <c r="AF266" s="12" t="s">
        <v>292</v>
      </c>
      <c r="AG266" s="68">
        <f>VLOOKUP(Takeoffs!AF266,Sheet1!$B$6:$C$124,2,FALSE)</f>
        <v>0</v>
      </c>
      <c r="AH266" s="68">
        <f t="shared" si="109"/>
        <v>0</v>
      </c>
      <c r="AI266" s="63">
        <f t="shared" si="110"/>
        <v>0</v>
      </c>
      <c r="AJ266" s="28">
        <f t="shared" si="111"/>
        <v>0</v>
      </c>
      <c r="AK266" s="61">
        <f t="shared" si="114"/>
        <v>0</v>
      </c>
      <c r="AL266" s="59"/>
      <c r="AO266" s="286"/>
      <c r="AP266" s="284">
        <f t="shared" si="80"/>
        <v>0</v>
      </c>
      <c r="AQ266" s="281">
        <f t="shared" si="81"/>
        <v>0</v>
      </c>
      <c r="AR266" s="284">
        <f t="shared" si="82"/>
        <v>0</v>
      </c>
      <c r="AS266" s="281">
        <f t="shared" si="83"/>
        <v>0</v>
      </c>
      <c r="AT266" s="284">
        <f t="shared" si="84"/>
        <v>0</v>
      </c>
    </row>
    <row r="267" spans="1:97" s="32" customFormat="1" ht="30.9" x14ac:dyDescent="0.8">
      <c r="A267" s="262">
        <f>ROW()</f>
        <v>267</v>
      </c>
      <c r="B267" s="114"/>
      <c r="C267" s="208"/>
      <c r="D267" s="208"/>
      <c r="E267" s="208"/>
      <c r="F267" s="208"/>
      <c r="G267" s="208"/>
      <c r="H267" s="208"/>
      <c r="I267" s="114"/>
      <c r="J267" s="32" t="str">
        <f t="shared" si="112"/>
        <v/>
      </c>
      <c r="K267" s="32" t="str">
        <f>IF(COUNTBLANK(R267)&gt;0,"",CONCATENATE(R267," for ",N260))</f>
        <v/>
      </c>
      <c r="N267" s="15" t="s">
        <v>119</v>
      </c>
      <c r="O267" s="66"/>
      <c r="P267" s="12"/>
      <c r="Q267" s="66"/>
      <c r="R267" s="12"/>
      <c r="S267" s="28">
        <f>M260</f>
        <v>0</v>
      </c>
      <c r="T267" s="11"/>
      <c r="U267" s="12" t="s">
        <v>292</v>
      </c>
      <c r="V267" s="28">
        <f t="shared" si="106"/>
        <v>0</v>
      </c>
      <c r="W267" s="28">
        <f>VLOOKUP(U267,Sheet1!$B$6:$C$45,2,FALSE)*V267</f>
        <v>0</v>
      </c>
      <c r="X267" s="59"/>
      <c r="Y267" s="12" t="s">
        <v>292</v>
      </c>
      <c r="Z267" s="68">
        <f>VLOOKUP(Takeoffs!Y267,Sheet1!$B$6:$C$124,2,FALSE)</f>
        <v>0</v>
      </c>
      <c r="AA267" s="68">
        <f t="shared" si="107"/>
        <v>0</v>
      </c>
      <c r="AB267" s="63">
        <f t="shared" si="108"/>
        <v>0</v>
      </c>
      <c r="AC267" s="28">
        <f t="shared" si="113"/>
        <v>0</v>
      </c>
      <c r="AD267" s="61">
        <v>1</v>
      </c>
      <c r="AE267" s="59"/>
      <c r="AF267" s="12" t="s">
        <v>292</v>
      </c>
      <c r="AG267" s="68">
        <f>VLOOKUP(Takeoffs!AF267,Sheet1!$B$6:$C$124,2,FALSE)</f>
        <v>0</v>
      </c>
      <c r="AH267" s="68">
        <f t="shared" si="109"/>
        <v>0</v>
      </c>
      <c r="AI267" s="63">
        <f t="shared" si="110"/>
        <v>0</v>
      </c>
      <c r="AJ267" s="28">
        <f t="shared" si="111"/>
        <v>0</v>
      </c>
      <c r="AK267" s="61">
        <f t="shared" si="114"/>
        <v>0</v>
      </c>
      <c r="AL267" s="59"/>
      <c r="AO267" s="286"/>
      <c r="AP267" s="284">
        <f t="shared" si="80"/>
        <v>0</v>
      </c>
      <c r="AQ267" s="281">
        <f t="shared" si="81"/>
        <v>0</v>
      </c>
      <c r="AR267" s="284">
        <f t="shared" si="82"/>
        <v>0</v>
      </c>
      <c r="AS267" s="281">
        <f t="shared" si="83"/>
        <v>0</v>
      </c>
      <c r="AT267" s="284">
        <f t="shared" si="84"/>
        <v>0</v>
      </c>
    </row>
    <row r="268" spans="1:97" s="32" customFormat="1" ht="30.9" x14ac:dyDescent="0.8">
      <c r="A268" s="262">
        <f>ROW()</f>
        <v>268</v>
      </c>
      <c r="B268" s="114"/>
      <c r="C268" s="208"/>
      <c r="D268" s="208"/>
      <c r="E268" s="208"/>
      <c r="F268" s="208"/>
      <c r="G268" s="208"/>
      <c r="H268" s="208"/>
      <c r="I268" s="114"/>
      <c r="J268" s="32" t="str">
        <f t="shared" si="112"/>
        <v/>
      </c>
      <c r="K268" s="32" t="str">
        <f>IF(COUNTBLANK(R268)&gt;0,"",CONCATENATE(R268," for ",N260))</f>
        <v/>
      </c>
      <c r="N268" s="15" t="s">
        <v>120</v>
      </c>
      <c r="O268" s="66" t="s">
        <v>328</v>
      </c>
      <c r="P268" s="12"/>
      <c r="Q268" s="66"/>
      <c r="R268" s="12"/>
      <c r="S268" s="28">
        <f>M260</f>
        <v>0</v>
      </c>
      <c r="T268" s="11"/>
      <c r="U268" s="12" t="s">
        <v>242</v>
      </c>
      <c r="V268" s="28">
        <f t="shared" si="106"/>
        <v>0</v>
      </c>
      <c r="W268" s="28">
        <f>VLOOKUP(U268,Sheet1!$B$6:$C$45,2,FALSE)*V268</f>
        <v>0</v>
      </c>
      <c r="X268" s="59"/>
      <c r="Y268" s="12" t="s">
        <v>292</v>
      </c>
      <c r="Z268" s="68">
        <f>VLOOKUP(Takeoffs!Y268,Sheet1!$B$6:$C$124,2,FALSE)</f>
        <v>0</v>
      </c>
      <c r="AA268" s="68">
        <f t="shared" si="107"/>
        <v>0</v>
      </c>
      <c r="AB268" s="63">
        <f t="shared" si="108"/>
        <v>0</v>
      </c>
      <c r="AC268" s="28">
        <f t="shared" si="113"/>
        <v>0</v>
      </c>
      <c r="AD268" s="61">
        <v>1</v>
      </c>
      <c r="AE268" s="59"/>
      <c r="AF268" s="12" t="s">
        <v>292</v>
      </c>
      <c r="AG268" s="68">
        <f>VLOOKUP(Takeoffs!AF268,Sheet1!$B$6:$C$124,2,FALSE)</f>
        <v>0</v>
      </c>
      <c r="AH268" s="68">
        <f t="shared" si="109"/>
        <v>0</v>
      </c>
      <c r="AI268" s="63">
        <f t="shared" si="110"/>
        <v>0</v>
      </c>
      <c r="AJ268" s="28">
        <f t="shared" si="111"/>
        <v>0</v>
      </c>
      <c r="AK268" s="61">
        <f t="shared" si="114"/>
        <v>0</v>
      </c>
      <c r="AL268" s="59"/>
      <c r="AO268" s="286"/>
      <c r="AP268" s="284">
        <f t="shared" si="80"/>
        <v>0</v>
      </c>
      <c r="AQ268" s="281">
        <f t="shared" si="81"/>
        <v>0</v>
      </c>
      <c r="AR268" s="284">
        <f t="shared" si="82"/>
        <v>0</v>
      </c>
      <c r="AS268" s="281">
        <f t="shared" si="83"/>
        <v>0</v>
      </c>
      <c r="AT268" s="284">
        <f t="shared" si="84"/>
        <v>0</v>
      </c>
    </row>
    <row r="269" spans="1:97" s="32" customFormat="1" ht="30.9" x14ac:dyDescent="0.8">
      <c r="A269" s="262">
        <f>ROW()</f>
        <v>269</v>
      </c>
      <c r="B269" s="114"/>
      <c r="C269" s="208"/>
      <c r="D269" s="208"/>
      <c r="E269" s="208"/>
      <c r="F269" s="208"/>
      <c r="G269" s="208"/>
      <c r="H269" s="208"/>
      <c r="I269" s="114"/>
      <c r="J269" s="32" t="str">
        <f t="shared" si="112"/>
        <v/>
      </c>
      <c r="K269" s="32" t="str">
        <f>IF(COUNTBLANK(R269)&gt;0,"",CONCATENATE(R269," for ",N260))</f>
        <v/>
      </c>
      <c r="N269" s="15" t="s">
        <v>121</v>
      </c>
      <c r="O269" s="66"/>
      <c r="P269" s="12"/>
      <c r="Q269" s="66"/>
      <c r="R269" s="12"/>
      <c r="S269" s="28">
        <f>M260</f>
        <v>0</v>
      </c>
      <c r="T269" s="11"/>
      <c r="U269" s="12" t="s">
        <v>292</v>
      </c>
      <c r="V269" s="28">
        <f t="shared" si="106"/>
        <v>0</v>
      </c>
      <c r="W269" s="28">
        <f>VLOOKUP(U269,Sheet1!$B$6:$C$45,2,FALSE)*V269</f>
        <v>0</v>
      </c>
      <c r="X269" s="59"/>
      <c r="Y269" s="12" t="s">
        <v>292</v>
      </c>
      <c r="Z269" s="68">
        <f>VLOOKUP(Takeoffs!Y269,Sheet1!$B$6:$C$124,2,FALSE)</f>
        <v>0</v>
      </c>
      <c r="AA269" s="68">
        <f t="shared" si="107"/>
        <v>0</v>
      </c>
      <c r="AB269" s="63">
        <f t="shared" si="108"/>
        <v>0</v>
      </c>
      <c r="AC269" s="28">
        <f t="shared" si="113"/>
        <v>0</v>
      </c>
      <c r="AD269" s="61">
        <v>1</v>
      </c>
      <c r="AE269" s="59"/>
      <c r="AF269" s="12" t="s">
        <v>292</v>
      </c>
      <c r="AG269" s="68">
        <f>VLOOKUP(Takeoffs!AF269,Sheet1!$B$6:$C$124,2,FALSE)</f>
        <v>0</v>
      </c>
      <c r="AH269" s="68">
        <f t="shared" si="109"/>
        <v>0</v>
      </c>
      <c r="AI269" s="63">
        <f t="shared" si="110"/>
        <v>0</v>
      </c>
      <c r="AJ269" s="28">
        <f t="shared" si="111"/>
        <v>0</v>
      </c>
      <c r="AK269" s="61">
        <f t="shared" si="114"/>
        <v>0</v>
      </c>
      <c r="AL269" s="59"/>
      <c r="AO269" s="286"/>
      <c r="AP269" s="284">
        <f t="shared" si="80"/>
        <v>0</v>
      </c>
      <c r="AQ269" s="281">
        <f t="shared" si="81"/>
        <v>0</v>
      </c>
      <c r="AR269" s="284">
        <f t="shared" si="82"/>
        <v>0</v>
      </c>
      <c r="AS269" s="281">
        <f t="shared" si="83"/>
        <v>0</v>
      </c>
      <c r="AT269" s="284">
        <f t="shared" si="84"/>
        <v>0</v>
      </c>
    </row>
    <row r="270" spans="1:97" s="32" customFormat="1" ht="30.9" x14ac:dyDescent="0.8">
      <c r="A270" s="262">
        <f>ROW()</f>
        <v>270</v>
      </c>
      <c r="B270" s="114"/>
      <c r="C270" s="208"/>
      <c r="D270" s="208"/>
      <c r="E270" s="208"/>
      <c r="F270" s="208"/>
      <c r="G270" s="208"/>
      <c r="H270" s="208"/>
      <c r="I270" s="114"/>
      <c r="J270" s="32" t="str">
        <f t="shared" si="112"/>
        <v/>
      </c>
      <c r="K270" s="32" t="str">
        <f>IF(COUNTBLANK(R270)&gt;0,"",CONCATENATE(R270," for ",N260))</f>
        <v/>
      </c>
      <c r="N270" s="15" t="s">
        <v>122</v>
      </c>
      <c r="O270" s="66" t="s">
        <v>336</v>
      </c>
      <c r="P270" s="12"/>
      <c r="Q270" s="66"/>
      <c r="R270" s="12"/>
      <c r="S270" s="28">
        <f>M260</f>
        <v>0</v>
      </c>
      <c r="T270" s="11"/>
      <c r="U270" s="12" t="s">
        <v>363</v>
      </c>
      <c r="V270" s="28">
        <f t="shared" si="106"/>
        <v>0</v>
      </c>
      <c r="W270" s="28">
        <f>VLOOKUP(U270,Sheet1!$B$6:$C$45,2,FALSE)*V270</f>
        <v>0</v>
      </c>
      <c r="X270" s="59"/>
      <c r="Y270" s="13" t="s">
        <v>273</v>
      </c>
      <c r="Z270" s="68">
        <f>VLOOKUP(Takeoffs!Y270,Sheet1!$B$6:$C$124,2,FALSE)</f>
        <v>307.2</v>
      </c>
      <c r="AA270" s="68">
        <f t="shared" si="107"/>
        <v>0</v>
      </c>
      <c r="AB270" s="63">
        <f t="shared" si="108"/>
        <v>0</v>
      </c>
      <c r="AC270" s="28">
        <f t="shared" si="113"/>
        <v>0</v>
      </c>
      <c r="AD270" s="61">
        <v>1</v>
      </c>
      <c r="AE270" s="59"/>
      <c r="AF270" s="12" t="s">
        <v>292</v>
      </c>
      <c r="AG270" s="68">
        <f>VLOOKUP(Takeoffs!AF270,Sheet1!$B$6:$C$124,2,FALSE)</f>
        <v>0</v>
      </c>
      <c r="AH270" s="68">
        <f t="shared" si="109"/>
        <v>0</v>
      </c>
      <c r="AI270" s="63">
        <f t="shared" si="110"/>
        <v>0</v>
      </c>
      <c r="AJ270" s="28">
        <f t="shared" si="111"/>
        <v>0</v>
      </c>
      <c r="AK270" s="61">
        <f>T270</f>
        <v>0</v>
      </c>
      <c r="AL270" s="59"/>
      <c r="AO270" s="286"/>
      <c r="AP270" s="284">
        <f t="shared" si="80"/>
        <v>0</v>
      </c>
      <c r="AQ270" s="281">
        <f t="shared" si="81"/>
        <v>0</v>
      </c>
      <c r="AR270" s="284">
        <f t="shared" si="82"/>
        <v>0</v>
      </c>
      <c r="AS270" s="281">
        <f t="shared" si="83"/>
        <v>0</v>
      </c>
      <c r="AT270" s="284">
        <f t="shared" si="84"/>
        <v>0</v>
      </c>
    </row>
    <row r="271" spans="1:97" s="32" customFormat="1" ht="30.9" x14ac:dyDescent="0.8">
      <c r="A271" s="262">
        <f>ROW()</f>
        <v>271</v>
      </c>
      <c r="B271" s="114"/>
      <c r="C271" s="208"/>
      <c r="D271" s="208"/>
      <c r="E271" s="208"/>
      <c r="F271" s="208"/>
      <c r="G271" s="208"/>
      <c r="H271" s="208"/>
      <c r="I271" s="114"/>
      <c r="J271" s="32" t="str">
        <f t="shared" si="112"/>
        <v/>
      </c>
      <c r="K271" s="32" t="str">
        <f>IF(COUNTBLANK(R271)&gt;0,"",CONCATENATE(R271," for ",N260))</f>
        <v/>
      </c>
      <c r="N271" s="15" t="s">
        <v>123</v>
      </c>
      <c r="O271" s="66"/>
      <c r="P271" s="12"/>
      <c r="Q271" s="66"/>
      <c r="R271" s="12"/>
      <c r="S271" s="28">
        <f>M260</f>
        <v>0</v>
      </c>
      <c r="T271" s="11"/>
      <c r="U271" s="12" t="s">
        <v>292</v>
      </c>
      <c r="V271" s="28">
        <f t="shared" si="106"/>
        <v>0</v>
      </c>
      <c r="W271" s="28">
        <f>VLOOKUP(U271,Sheet1!$B$6:$C$45,2,FALSE)*V271</f>
        <v>0</v>
      </c>
      <c r="X271" s="59"/>
      <c r="Y271" s="12" t="s">
        <v>292</v>
      </c>
      <c r="Z271" s="68">
        <f>VLOOKUP(Takeoffs!Y271,Sheet1!$B$6:$C$124,2,FALSE)</f>
        <v>0</v>
      </c>
      <c r="AA271" s="68">
        <f t="shared" si="107"/>
        <v>0</v>
      </c>
      <c r="AB271" s="63">
        <f t="shared" si="108"/>
        <v>0</v>
      </c>
      <c r="AC271" s="28">
        <f t="shared" si="113"/>
        <v>0</v>
      </c>
      <c r="AD271" s="61">
        <v>1</v>
      </c>
      <c r="AE271" s="59"/>
      <c r="AF271" s="12" t="s">
        <v>292</v>
      </c>
      <c r="AG271" s="68">
        <f>VLOOKUP(Takeoffs!AF271,Sheet1!$B$6:$C$124,2,FALSE)</f>
        <v>0</v>
      </c>
      <c r="AH271" s="68">
        <f t="shared" si="109"/>
        <v>0</v>
      </c>
      <c r="AI271" s="63">
        <f t="shared" si="110"/>
        <v>0</v>
      </c>
      <c r="AJ271" s="28">
        <f t="shared" si="111"/>
        <v>0</v>
      </c>
      <c r="AK271" s="61">
        <v>0</v>
      </c>
      <c r="AL271" s="59"/>
      <c r="AO271" s="286"/>
      <c r="AP271" s="284">
        <f t="shared" si="80"/>
        <v>0</v>
      </c>
      <c r="AQ271" s="281">
        <f t="shared" si="81"/>
        <v>0</v>
      </c>
      <c r="AR271" s="284">
        <f t="shared" si="82"/>
        <v>0</v>
      </c>
      <c r="AS271" s="281">
        <f t="shared" si="83"/>
        <v>0</v>
      </c>
      <c r="AT271" s="284">
        <f t="shared" si="84"/>
        <v>0</v>
      </c>
    </row>
    <row r="272" spans="1:97" s="32" customFormat="1" ht="30.9" x14ac:dyDescent="0.8">
      <c r="A272" s="262">
        <f>ROW()</f>
        <v>272</v>
      </c>
      <c r="B272" s="114"/>
      <c r="C272" s="208"/>
      <c r="D272" s="208"/>
      <c r="E272" s="208"/>
      <c r="F272" s="208"/>
      <c r="G272" s="208"/>
      <c r="H272" s="208"/>
      <c r="I272" s="114"/>
      <c r="J272" s="32" t="str">
        <f t="shared" si="112"/>
        <v/>
      </c>
      <c r="K272" s="32" t="str">
        <f>IF(COUNTBLANK(R272)&gt;0,"",CONCATENATE(R272," for ",N260))</f>
        <v/>
      </c>
      <c r="N272" s="15" t="s">
        <v>124</v>
      </c>
      <c r="O272" s="66" t="s">
        <v>140</v>
      </c>
      <c r="P272" s="12"/>
      <c r="Q272" s="66"/>
      <c r="R272" s="12"/>
      <c r="S272" s="28">
        <f>M260</f>
        <v>0</v>
      </c>
      <c r="T272" s="11"/>
      <c r="U272" s="12" t="s">
        <v>292</v>
      </c>
      <c r="V272" s="28">
        <f t="shared" si="106"/>
        <v>0</v>
      </c>
      <c r="W272" s="28">
        <f>VLOOKUP(U272,Sheet1!$B$6:$C$45,2,FALSE)*V272</f>
        <v>0</v>
      </c>
      <c r="X272" s="59"/>
      <c r="Y272" s="12" t="s">
        <v>292</v>
      </c>
      <c r="Z272" s="68">
        <f>VLOOKUP(Takeoffs!Y272,Sheet1!$B$6:$C$124,2,FALSE)</f>
        <v>0</v>
      </c>
      <c r="AA272" s="68">
        <f t="shared" si="107"/>
        <v>0</v>
      </c>
      <c r="AB272" s="63">
        <f t="shared" si="108"/>
        <v>0</v>
      </c>
      <c r="AC272" s="28">
        <f t="shared" si="113"/>
        <v>0</v>
      </c>
      <c r="AD272" s="61">
        <v>1</v>
      </c>
      <c r="AE272" s="59"/>
      <c r="AF272" s="65" t="s">
        <v>269</v>
      </c>
      <c r="AG272" s="68">
        <f>VLOOKUP(Takeoffs!AF272,Sheet1!$B$6:$C$124,2,FALSE)</f>
        <v>1.056</v>
      </c>
      <c r="AH272" s="68">
        <f t="shared" si="109"/>
        <v>0</v>
      </c>
      <c r="AI272" s="63">
        <f t="shared" si="110"/>
        <v>0</v>
      </c>
      <c r="AJ272" s="28">
        <f t="shared" si="111"/>
        <v>0</v>
      </c>
      <c r="AK272" s="61">
        <v>30</v>
      </c>
      <c r="AL272" s="59"/>
      <c r="AO272" s="286"/>
      <c r="AP272" s="284">
        <f t="shared" si="80"/>
        <v>0</v>
      </c>
      <c r="AQ272" s="281">
        <f t="shared" si="81"/>
        <v>0</v>
      </c>
      <c r="AR272" s="284">
        <f t="shared" si="82"/>
        <v>0</v>
      </c>
      <c r="AS272" s="281">
        <f t="shared" si="83"/>
        <v>0</v>
      </c>
      <c r="AT272" s="284">
        <f t="shared" si="84"/>
        <v>0</v>
      </c>
    </row>
    <row r="273" spans="1:97" s="32" customFormat="1" ht="30.9" x14ac:dyDescent="0.8">
      <c r="A273" s="262">
        <f>ROW()</f>
        <v>273</v>
      </c>
      <c r="B273" s="114"/>
      <c r="C273" s="208"/>
      <c r="D273" s="208"/>
      <c r="E273" s="208"/>
      <c r="F273" s="208"/>
      <c r="G273" s="208"/>
      <c r="H273" s="208"/>
      <c r="I273" s="114"/>
      <c r="J273" s="32" t="str">
        <f t="shared" si="112"/>
        <v/>
      </c>
      <c r="K273" s="32" t="str">
        <f>IF(COUNTBLANK(R273)&gt;0,"",CONCATENATE(R273," for ",N260))</f>
        <v/>
      </c>
      <c r="N273" s="15" t="s">
        <v>125</v>
      </c>
      <c r="O273" s="66" t="s">
        <v>312</v>
      </c>
      <c r="P273" s="12"/>
      <c r="Q273" s="66"/>
      <c r="R273" s="12"/>
      <c r="S273" s="28">
        <f>M260</f>
        <v>0</v>
      </c>
      <c r="T273" s="11"/>
      <c r="U273" s="12" t="s">
        <v>232</v>
      </c>
      <c r="V273" s="28">
        <f t="shared" si="106"/>
        <v>0</v>
      </c>
      <c r="W273" s="28">
        <f>VLOOKUP(U273,Sheet1!$B$6:$C$45,2,FALSE)*V273</f>
        <v>0</v>
      </c>
      <c r="X273" s="59"/>
      <c r="Y273" s="13" t="s">
        <v>1345</v>
      </c>
      <c r="Z273" s="68">
        <f>VLOOKUP(Takeoffs!Y273,Sheet1!$B$6:$C$124,2,FALSE)</f>
        <v>109.25999999999999</v>
      </c>
      <c r="AA273" s="68">
        <f t="shared" si="107"/>
        <v>0</v>
      </c>
      <c r="AB273" s="63">
        <f t="shared" si="108"/>
        <v>0</v>
      </c>
      <c r="AC273" s="28">
        <f t="shared" si="113"/>
        <v>0</v>
      </c>
      <c r="AD273" s="61">
        <v>1</v>
      </c>
      <c r="AE273" s="59"/>
      <c r="AF273" s="12" t="s">
        <v>292</v>
      </c>
      <c r="AG273" s="68">
        <f>VLOOKUP(Takeoffs!AF273,Sheet1!$B$6:$C$124,2,FALSE)</f>
        <v>0</v>
      </c>
      <c r="AH273" s="68">
        <f t="shared" si="109"/>
        <v>0</v>
      </c>
      <c r="AI273" s="63">
        <f t="shared" si="110"/>
        <v>0</v>
      </c>
      <c r="AJ273" s="28">
        <f t="shared" si="111"/>
        <v>0</v>
      </c>
      <c r="AK273" s="61">
        <f t="shared" ref="AK273:AK280" si="115">T273</f>
        <v>0</v>
      </c>
      <c r="AL273" s="59"/>
      <c r="AO273" s="286"/>
      <c r="AP273" s="284">
        <f t="shared" si="80"/>
        <v>0</v>
      </c>
      <c r="AQ273" s="281">
        <f t="shared" si="81"/>
        <v>0</v>
      </c>
      <c r="AR273" s="284">
        <f t="shared" si="82"/>
        <v>0</v>
      </c>
      <c r="AS273" s="281">
        <f t="shared" si="83"/>
        <v>0</v>
      </c>
      <c r="AT273" s="284">
        <f t="shared" si="84"/>
        <v>0</v>
      </c>
    </row>
    <row r="274" spans="1:97" s="32" customFormat="1" ht="30.9" x14ac:dyDescent="0.8">
      <c r="A274" s="262">
        <f>ROW()</f>
        <v>274</v>
      </c>
      <c r="B274" s="114"/>
      <c r="C274" s="208"/>
      <c r="D274" s="208"/>
      <c r="E274" s="208"/>
      <c r="F274" s="208"/>
      <c r="G274" s="208"/>
      <c r="H274" s="208"/>
      <c r="I274" s="114"/>
      <c r="J274" s="32" t="str">
        <f t="shared" si="112"/>
        <v/>
      </c>
      <c r="K274" s="32" t="str">
        <f>IF(COUNTBLANK(R274)&gt;0,"",CONCATENATE(R274," for ",N260))</f>
        <v/>
      </c>
      <c r="N274" s="15" t="s">
        <v>126</v>
      </c>
      <c r="O274" s="66"/>
      <c r="P274" s="12"/>
      <c r="Q274" s="66"/>
      <c r="R274" s="12"/>
      <c r="S274" s="28">
        <f>M260</f>
        <v>0</v>
      </c>
      <c r="T274" s="11"/>
      <c r="U274" s="12" t="s">
        <v>292</v>
      </c>
      <c r="V274" s="28">
        <f t="shared" si="106"/>
        <v>0</v>
      </c>
      <c r="W274" s="28">
        <f>VLOOKUP(U274,Sheet1!$B$6:$C$45,2,FALSE)*V274</f>
        <v>0</v>
      </c>
      <c r="X274" s="59"/>
      <c r="Y274" s="12" t="s">
        <v>292</v>
      </c>
      <c r="Z274" s="68">
        <f>VLOOKUP(Takeoffs!Y274,Sheet1!$B$6:$C$124,2,FALSE)</f>
        <v>0</v>
      </c>
      <c r="AA274" s="68">
        <f t="shared" si="107"/>
        <v>0</v>
      </c>
      <c r="AB274" s="63">
        <f t="shared" si="108"/>
        <v>0</v>
      </c>
      <c r="AC274" s="28">
        <f t="shared" si="113"/>
        <v>0</v>
      </c>
      <c r="AD274" s="61">
        <v>1</v>
      </c>
      <c r="AE274" s="59"/>
      <c r="AF274" s="12" t="s">
        <v>292</v>
      </c>
      <c r="AG274" s="68">
        <f>VLOOKUP(Takeoffs!AF274,Sheet1!$B$6:$C$124,2,FALSE)</f>
        <v>0</v>
      </c>
      <c r="AH274" s="68">
        <f t="shared" si="109"/>
        <v>0</v>
      </c>
      <c r="AI274" s="63">
        <f t="shared" si="110"/>
        <v>0</v>
      </c>
      <c r="AJ274" s="28">
        <f t="shared" si="111"/>
        <v>0</v>
      </c>
      <c r="AK274" s="61">
        <f t="shared" si="115"/>
        <v>0</v>
      </c>
      <c r="AL274" s="59"/>
      <c r="AO274" s="286"/>
      <c r="AP274" s="284">
        <f t="shared" si="80"/>
        <v>0</v>
      </c>
      <c r="AQ274" s="281">
        <f t="shared" si="81"/>
        <v>0</v>
      </c>
      <c r="AR274" s="284">
        <f t="shared" si="82"/>
        <v>0</v>
      </c>
      <c r="AS274" s="281">
        <f t="shared" si="83"/>
        <v>0</v>
      </c>
      <c r="AT274" s="284">
        <f t="shared" si="84"/>
        <v>0</v>
      </c>
    </row>
    <row r="275" spans="1:97" s="32" customFormat="1" ht="30.9" x14ac:dyDescent="0.8">
      <c r="A275" s="262">
        <f>ROW()</f>
        <v>275</v>
      </c>
      <c r="B275" s="114"/>
      <c r="C275" s="208"/>
      <c r="D275" s="208"/>
      <c r="E275" s="208"/>
      <c r="F275" s="208"/>
      <c r="G275" s="208"/>
      <c r="H275" s="208"/>
      <c r="I275" s="114"/>
      <c r="J275" s="32" t="str">
        <f t="shared" si="112"/>
        <v/>
      </c>
      <c r="K275" s="32" t="str">
        <f>IF(COUNTBLANK(R275)&gt;0,"",CONCATENATE(R275," for ",N260))</f>
        <v>run and fault lights for temperature controlled fan - from local power supply</v>
      </c>
      <c r="N275" s="15" t="s">
        <v>127</v>
      </c>
      <c r="O275" s="66" t="s">
        <v>337</v>
      </c>
      <c r="P275" s="12"/>
      <c r="Q275" s="66"/>
      <c r="R275" s="12" t="s">
        <v>331</v>
      </c>
      <c r="S275" s="28">
        <f>M260</f>
        <v>0</v>
      </c>
      <c r="T275" s="11"/>
      <c r="U275" s="12" t="s">
        <v>292</v>
      </c>
      <c r="V275" s="28">
        <f t="shared" si="106"/>
        <v>0</v>
      </c>
      <c r="W275" s="28">
        <f>VLOOKUP(U275,Sheet1!$B$6:$C$45,2,FALSE)*V275</f>
        <v>0</v>
      </c>
      <c r="X275" s="59"/>
      <c r="Y275" s="13" t="s">
        <v>280</v>
      </c>
      <c r="Z275" s="68">
        <f>VLOOKUP(Takeoffs!Y275,Sheet1!$B$6:$C$124,2,FALSE)</f>
        <v>19.2</v>
      </c>
      <c r="AA275" s="68">
        <f t="shared" si="107"/>
        <v>0</v>
      </c>
      <c r="AB275" s="63">
        <f t="shared" si="108"/>
        <v>0</v>
      </c>
      <c r="AC275" s="28">
        <f t="shared" si="113"/>
        <v>0</v>
      </c>
      <c r="AD275" s="61">
        <v>2</v>
      </c>
      <c r="AE275" s="59"/>
      <c r="AF275" s="12" t="s">
        <v>292</v>
      </c>
      <c r="AG275" s="68">
        <f>VLOOKUP(Takeoffs!AF275,Sheet1!$B$6:$C$124,2,FALSE)</f>
        <v>0</v>
      </c>
      <c r="AH275" s="68">
        <f t="shared" si="109"/>
        <v>0</v>
      </c>
      <c r="AI275" s="63">
        <f t="shared" si="110"/>
        <v>0</v>
      </c>
      <c r="AJ275" s="28">
        <f t="shared" si="111"/>
        <v>0</v>
      </c>
      <c r="AK275" s="61">
        <f t="shared" si="115"/>
        <v>0</v>
      </c>
      <c r="AL275" s="59"/>
      <c r="AO275" s="286"/>
      <c r="AP275" s="284">
        <f t="shared" si="80"/>
        <v>0</v>
      </c>
      <c r="AQ275" s="281">
        <f t="shared" si="81"/>
        <v>0</v>
      </c>
      <c r="AR275" s="284">
        <f t="shared" si="82"/>
        <v>0</v>
      </c>
      <c r="AS275" s="281">
        <f t="shared" si="83"/>
        <v>0</v>
      </c>
      <c r="AT275" s="284">
        <f t="shared" si="84"/>
        <v>0</v>
      </c>
    </row>
    <row r="276" spans="1:97" s="32" customFormat="1" ht="30.9" x14ac:dyDescent="0.8">
      <c r="A276" s="262">
        <f>ROW()</f>
        <v>276</v>
      </c>
      <c r="B276" s="114"/>
      <c r="C276" s="208"/>
      <c r="D276" s="208"/>
      <c r="E276" s="208"/>
      <c r="F276" s="208"/>
      <c r="G276" s="208"/>
      <c r="H276" s="208"/>
      <c r="I276" s="114"/>
      <c r="J276" s="32" t="str">
        <f t="shared" si="112"/>
        <v/>
      </c>
      <c r="K276" s="32" t="str">
        <f>IF(COUNTBLANK(R276)&gt;0,"",CONCATENATE(R276," for ",N260))</f>
        <v/>
      </c>
      <c r="N276" s="15" t="s">
        <v>128</v>
      </c>
      <c r="O276" s="66"/>
      <c r="P276" s="12"/>
      <c r="Q276" s="66"/>
      <c r="R276" s="12"/>
      <c r="S276" s="28">
        <f>M260</f>
        <v>0</v>
      </c>
      <c r="T276" s="11"/>
      <c r="U276" s="12" t="s">
        <v>292</v>
      </c>
      <c r="V276" s="28">
        <f t="shared" si="106"/>
        <v>0</v>
      </c>
      <c r="W276" s="28">
        <f>VLOOKUP(U276,Sheet1!$B$6:$C$45,2,FALSE)*V276</f>
        <v>0</v>
      </c>
      <c r="X276" s="59"/>
      <c r="Y276" s="12" t="s">
        <v>292</v>
      </c>
      <c r="Z276" s="68">
        <f>VLOOKUP(Takeoffs!Y276,Sheet1!$B$6:$C$124,2,FALSE)</f>
        <v>0</v>
      </c>
      <c r="AA276" s="68">
        <f t="shared" si="107"/>
        <v>0</v>
      </c>
      <c r="AB276" s="63">
        <f t="shared" si="108"/>
        <v>0</v>
      </c>
      <c r="AC276" s="28">
        <f t="shared" si="113"/>
        <v>0</v>
      </c>
      <c r="AD276" s="61">
        <v>1</v>
      </c>
      <c r="AE276" s="59"/>
      <c r="AF276" s="12" t="s">
        <v>292</v>
      </c>
      <c r="AG276" s="68">
        <f>VLOOKUP(Takeoffs!AF276,Sheet1!$B$6:$C$124,2,FALSE)</f>
        <v>0</v>
      </c>
      <c r="AH276" s="68">
        <f t="shared" si="109"/>
        <v>0</v>
      </c>
      <c r="AI276" s="63">
        <f t="shared" si="110"/>
        <v>0</v>
      </c>
      <c r="AJ276" s="28">
        <f t="shared" si="111"/>
        <v>0</v>
      </c>
      <c r="AK276" s="61">
        <f t="shared" si="115"/>
        <v>0</v>
      </c>
      <c r="AL276" s="59"/>
      <c r="AO276" s="286"/>
      <c r="AP276" s="284">
        <f t="shared" ref="AP276:AP339" si="116">IF(AND(I276&gt;0, ISNUMBER(I276)),I276*P276,0)</f>
        <v>0</v>
      </c>
      <c r="AQ276" s="281">
        <f t="shared" ref="AQ276:AQ339" si="117">IF(AND(I276&gt;0, ISNUMBER(I276)),I276*W276*80,0)</f>
        <v>0</v>
      </c>
      <c r="AR276" s="284">
        <f t="shared" ref="AR276:AR339" si="118">IF(AND(I276&gt;0, ISNUMBER(I276)),I276*AA276,0)</f>
        <v>0</v>
      </c>
      <c r="AS276" s="281">
        <f t="shared" ref="AS276:AS339" si="119">IF(AND(I276&gt;0, ISNUMBER(I276)),I276*AH276,0)</f>
        <v>0</v>
      </c>
      <c r="AT276" s="284">
        <f t="shared" ref="AT276:AT339" si="120">IF(AND(I276&gt;0, ISNUMBER(I276)),I276*(AP276-(AQ276+AR276+AS276)),0)</f>
        <v>0</v>
      </c>
    </row>
    <row r="277" spans="1:97" s="32" customFormat="1" ht="30.9" x14ac:dyDescent="0.8">
      <c r="A277" s="262">
        <f>ROW()</f>
        <v>277</v>
      </c>
      <c r="B277" s="114"/>
      <c r="C277" s="208"/>
      <c r="D277" s="208"/>
      <c r="E277" s="208"/>
      <c r="F277" s="208"/>
      <c r="G277" s="208"/>
      <c r="H277" s="208"/>
      <c r="I277" s="114"/>
      <c r="J277" s="32" t="str">
        <f t="shared" si="112"/>
        <v/>
      </c>
      <c r="K277" s="32" t="str">
        <f>IF(COUNTBLANK(R277)&gt;0,"",CONCATENATE(R277," for ",N260))</f>
        <v>Auto/Off/On switch for temperature controlled fan - from local power supply</v>
      </c>
      <c r="N277" s="15" t="s">
        <v>129</v>
      </c>
      <c r="O277" s="66" t="s">
        <v>329</v>
      </c>
      <c r="P277" s="12"/>
      <c r="Q277" s="66"/>
      <c r="R277" s="12" t="s">
        <v>304</v>
      </c>
      <c r="S277" s="28">
        <f>M260</f>
        <v>0</v>
      </c>
      <c r="T277" s="11"/>
      <c r="U277" s="12" t="s">
        <v>292</v>
      </c>
      <c r="V277" s="28">
        <f t="shared" si="106"/>
        <v>0</v>
      </c>
      <c r="W277" s="28">
        <f>VLOOKUP(U277,Sheet1!$B$6:$C$45,2,FALSE)*V277</f>
        <v>0</v>
      </c>
      <c r="X277" s="59"/>
      <c r="Y277" s="13" t="s">
        <v>277</v>
      </c>
      <c r="Z277" s="68">
        <f>VLOOKUP(Takeoffs!Y277,Sheet1!$B$6:$C$124,2,FALSE)</f>
        <v>69.540000000000006</v>
      </c>
      <c r="AA277" s="68">
        <f t="shared" si="107"/>
        <v>0</v>
      </c>
      <c r="AB277" s="63">
        <f t="shared" si="108"/>
        <v>0</v>
      </c>
      <c r="AC277" s="28">
        <f t="shared" si="113"/>
        <v>0</v>
      </c>
      <c r="AD277" s="61">
        <v>1</v>
      </c>
      <c r="AE277" s="59"/>
      <c r="AF277" s="12" t="s">
        <v>292</v>
      </c>
      <c r="AG277" s="68">
        <f>VLOOKUP(Takeoffs!AF277,Sheet1!$B$6:$C$124,2,FALSE)</f>
        <v>0</v>
      </c>
      <c r="AH277" s="68">
        <f t="shared" si="109"/>
        <v>0</v>
      </c>
      <c r="AI277" s="63">
        <f t="shared" si="110"/>
        <v>0</v>
      </c>
      <c r="AJ277" s="28">
        <f t="shared" si="111"/>
        <v>0</v>
      </c>
      <c r="AK277" s="61">
        <f t="shared" si="115"/>
        <v>0</v>
      </c>
      <c r="AL277" s="59"/>
      <c r="AO277" s="286"/>
      <c r="AP277" s="284">
        <f t="shared" si="116"/>
        <v>0</v>
      </c>
      <c r="AQ277" s="281">
        <f t="shared" si="117"/>
        <v>0</v>
      </c>
      <c r="AR277" s="284">
        <f t="shared" si="118"/>
        <v>0</v>
      </c>
      <c r="AS277" s="281">
        <f t="shared" si="119"/>
        <v>0</v>
      </c>
      <c r="AT277" s="284">
        <f t="shared" si="120"/>
        <v>0</v>
      </c>
    </row>
    <row r="278" spans="1:97" s="32" customFormat="1" ht="30.9" x14ac:dyDescent="0.8">
      <c r="A278" s="262">
        <f>ROW()</f>
        <v>278</v>
      </c>
      <c r="B278" s="114"/>
      <c r="C278" s="208"/>
      <c r="D278" s="208"/>
      <c r="E278" s="208"/>
      <c r="F278" s="208"/>
      <c r="G278" s="208"/>
      <c r="H278" s="208"/>
      <c r="I278" s="114"/>
      <c r="J278" s="32" t="str">
        <f t="shared" si="112"/>
        <v/>
      </c>
      <c r="K278" s="32" t="str">
        <f>IF(COUNTBLANK(R278)&gt;0,"",CONCATENATE(R278," for ",N260))</f>
        <v/>
      </c>
      <c r="N278" s="15" t="s">
        <v>130</v>
      </c>
      <c r="O278" s="66" t="s">
        <v>338</v>
      </c>
      <c r="P278" s="12"/>
      <c r="Q278" s="66"/>
      <c r="R278" s="12"/>
      <c r="S278" s="28">
        <f>M260</f>
        <v>0</v>
      </c>
      <c r="T278" s="11"/>
      <c r="U278" s="12" t="s">
        <v>292</v>
      </c>
      <c r="V278" s="28">
        <f t="shared" si="106"/>
        <v>0</v>
      </c>
      <c r="W278" s="28">
        <f>VLOOKUP(U278,Sheet1!$B$6:$C$45,2,FALSE)*V278</f>
        <v>0</v>
      </c>
      <c r="X278" s="59"/>
      <c r="Y278" s="13" t="s">
        <v>333</v>
      </c>
      <c r="Z278" s="68">
        <f>VLOOKUP(Takeoffs!Y278,Sheet1!$B$6:$C$124,2,FALSE)</f>
        <v>60</v>
      </c>
      <c r="AA278" s="68">
        <f t="shared" si="107"/>
        <v>0</v>
      </c>
      <c r="AB278" s="63">
        <f t="shared" si="108"/>
        <v>0</v>
      </c>
      <c r="AC278" s="28">
        <f t="shared" si="113"/>
        <v>0</v>
      </c>
      <c r="AD278" s="61">
        <v>1</v>
      </c>
      <c r="AE278" s="59"/>
      <c r="AF278" s="12" t="s">
        <v>292</v>
      </c>
      <c r="AG278" s="68">
        <f>VLOOKUP(Takeoffs!AF278,Sheet1!$B$6:$C$124,2,FALSE)</f>
        <v>0</v>
      </c>
      <c r="AH278" s="68">
        <f t="shared" si="109"/>
        <v>0</v>
      </c>
      <c r="AI278" s="63">
        <f t="shared" si="110"/>
        <v>0</v>
      </c>
      <c r="AJ278" s="28">
        <f t="shared" si="111"/>
        <v>0</v>
      </c>
      <c r="AK278" s="61">
        <f t="shared" si="115"/>
        <v>0</v>
      </c>
      <c r="AL278" s="59"/>
      <c r="AO278" s="286"/>
      <c r="AP278" s="284">
        <f t="shared" si="116"/>
        <v>0</v>
      </c>
      <c r="AQ278" s="281">
        <f t="shared" si="117"/>
        <v>0</v>
      </c>
      <c r="AR278" s="284">
        <f t="shared" si="118"/>
        <v>0</v>
      </c>
      <c r="AS278" s="281">
        <f t="shared" si="119"/>
        <v>0</v>
      </c>
      <c r="AT278" s="284">
        <f t="shared" si="120"/>
        <v>0</v>
      </c>
    </row>
    <row r="279" spans="1:97" s="32" customFormat="1" ht="30.9" x14ac:dyDescent="0.8">
      <c r="A279" s="262">
        <f>ROW()</f>
        <v>279</v>
      </c>
      <c r="B279" s="114"/>
      <c r="C279" s="208"/>
      <c r="D279" s="208"/>
      <c r="E279" s="208"/>
      <c r="F279" s="208"/>
      <c r="G279" s="208"/>
      <c r="H279" s="208"/>
      <c r="I279" s="114"/>
      <c r="J279" s="32" t="str">
        <f t="shared" si="112"/>
        <v/>
      </c>
      <c r="K279" s="32" t="str">
        <f>IF(COUNTBLANK(R279)&gt;0,"",CONCATENATE(R279," for ",N260))</f>
        <v/>
      </c>
      <c r="N279" s="15" t="s">
        <v>131</v>
      </c>
      <c r="O279" s="66" t="s">
        <v>402</v>
      </c>
      <c r="P279" s="12"/>
      <c r="Q279" s="66"/>
      <c r="R279" s="12"/>
      <c r="S279" s="28">
        <f>M260</f>
        <v>0</v>
      </c>
      <c r="T279" s="11"/>
      <c r="U279" s="12" t="s">
        <v>292</v>
      </c>
      <c r="V279" s="28">
        <f t="shared" si="106"/>
        <v>0</v>
      </c>
      <c r="W279" s="28">
        <f>VLOOKUP(U279,Sheet1!$B$6:$C$45,2,FALSE)*V279</f>
        <v>0</v>
      </c>
      <c r="X279" s="59"/>
      <c r="Y279" s="13" t="s">
        <v>334</v>
      </c>
      <c r="Z279" s="68">
        <f>VLOOKUP(Takeoffs!Y279,Sheet1!$B$6:$C$124,2,FALSE)</f>
        <v>56.4</v>
      </c>
      <c r="AA279" s="68">
        <f t="shared" si="107"/>
        <v>0</v>
      </c>
      <c r="AB279" s="63">
        <f t="shared" si="108"/>
        <v>0</v>
      </c>
      <c r="AC279" s="28">
        <f t="shared" si="113"/>
        <v>0</v>
      </c>
      <c r="AD279" s="61">
        <v>1</v>
      </c>
      <c r="AE279" s="59"/>
      <c r="AF279" s="12" t="s">
        <v>292</v>
      </c>
      <c r="AG279" s="68">
        <f>VLOOKUP(Takeoffs!AF279,Sheet1!$B$6:$C$124,2,FALSE)</f>
        <v>0</v>
      </c>
      <c r="AH279" s="68">
        <f t="shared" si="109"/>
        <v>0</v>
      </c>
      <c r="AI279" s="63">
        <f t="shared" si="110"/>
        <v>0</v>
      </c>
      <c r="AJ279" s="28">
        <f t="shared" si="111"/>
        <v>0</v>
      </c>
      <c r="AK279" s="61">
        <f t="shared" si="115"/>
        <v>0</v>
      </c>
      <c r="AL279" s="59"/>
      <c r="AO279" s="286"/>
      <c r="AP279" s="284">
        <f t="shared" si="116"/>
        <v>0</v>
      </c>
      <c r="AQ279" s="281">
        <f t="shared" si="117"/>
        <v>0</v>
      </c>
      <c r="AR279" s="284">
        <f t="shared" si="118"/>
        <v>0</v>
      </c>
      <c r="AS279" s="281">
        <f t="shared" si="119"/>
        <v>0</v>
      </c>
      <c r="AT279" s="284">
        <f t="shared" si="120"/>
        <v>0</v>
      </c>
    </row>
    <row r="280" spans="1:97" s="32" customFormat="1" ht="30.9" x14ac:dyDescent="0.8">
      <c r="A280" s="262">
        <f>ROW()</f>
        <v>280</v>
      </c>
      <c r="B280" s="114"/>
      <c r="C280" s="208"/>
      <c r="D280" s="208"/>
      <c r="E280" s="208"/>
      <c r="F280" s="208"/>
      <c r="G280" s="208"/>
      <c r="H280" s="208"/>
      <c r="I280" s="114"/>
      <c r="J280" s="32" t="str">
        <f t="shared" si="112"/>
        <v/>
      </c>
      <c r="K280" s="32" t="str">
        <f>IF(COUNTBLANK(R280)&gt;0,"",CONCATENATE(R280," for ",N260))</f>
        <v/>
      </c>
      <c r="N280" s="15" t="s">
        <v>132</v>
      </c>
      <c r="O280" s="66" t="s">
        <v>408</v>
      </c>
      <c r="P280" s="12"/>
      <c r="Q280" s="66"/>
      <c r="R280" s="12"/>
      <c r="S280" s="28">
        <f>M260</f>
        <v>0</v>
      </c>
      <c r="T280" s="11"/>
      <c r="U280" s="12" t="s">
        <v>362</v>
      </c>
      <c r="V280" s="28">
        <f t="shared" si="106"/>
        <v>0</v>
      </c>
      <c r="W280" s="28">
        <f>VLOOKUP(U280,Sheet1!$B$6:$C$45,2,FALSE)*V280</f>
        <v>0</v>
      </c>
      <c r="X280" s="59"/>
      <c r="Y280" s="12" t="s">
        <v>292</v>
      </c>
      <c r="Z280" s="68">
        <f>VLOOKUP(Takeoffs!Y280,Sheet1!$B$6:$C$124,2,FALSE)</f>
        <v>0</v>
      </c>
      <c r="AA280" s="68">
        <f t="shared" si="107"/>
        <v>0</v>
      </c>
      <c r="AB280" s="63">
        <f t="shared" si="108"/>
        <v>0</v>
      </c>
      <c r="AC280" s="28">
        <f t="shared" si="113"/>
        <v>0</v>
      </c>
      <c r="AD280" s="61">
        <v>1</v>
      </c>
      <c r="AE280" s="59"/>
      <c r="AF280" s="12" t="s">
        <v>292</v>
      </c>
      <c r="AG280" s="68">
        <f>VLOOKUP(Takeoffs!AF280,Sheet1!$B$6:$C$124,2,FALSE)</f>
        <v>0</v>
      </c>
      <c r="AH280" s="68">
        <f t="shared" si="109"/>
        <v>0</v>
      </c>
      <c r="AI280" s="63">
        <f t="shared" si="110"/>
        <v>0</v>
      </c>
      <c r="AJ280" s="28">
        <f t="shared" si="111"/>
        <v>0</v>
      </c>
      <c r="AK280" s="61">
        <f t="shared" si="115"/>
        <v>0</v>
      </c>
      <c r="AL280" s="59"/>
      <c r="AO280" s="286"/>
      <c r="AP280" s="284">
        <f t="shared" si="116"/>
        <v>0</v>
      </c>
      <c r="AQ280" s="281">
        <f t="shared" si="117"/>
        <v>0</v>
      </c>
      <c r="AR280" s="284">
        <f t="shared" si="118"/>
        <v>0</v>
      </c>
      <c r="AS280" s="281">
        <f t="shared" si="119"/>
        <v>0</v>
      </c>
      <c r="AT280" s="284">
        <f t="shared" si="120"/>
        <v>0</v>
      </c>
    </row>
    <row r="281" spans="1:97" s="21" customFormat="1" ht="163.5" customHeight="1" x14ac:dyDescent="0.8">
      <c r="A281" s="262">
        <f>ROW()</f>
        <v>281</v>
      </c>
      <c r="B281" s="128"/>
      <c r="C281" s="212"/>
      <c r="D281" s="212"/>
      <c r="E281" s="212"/>
      <c r="F281" s="212"/>
      <c r="G281" s="212"/>
      <c r="H281" s="212"/>
      <c r="I281" s="128"/>
      <c r="J281" s="21" t="s">
        <v>377</v>
      </c>
      <c r="L281" s="21" t="s">
        <v>378</v>
      </c>
      <c r="N281" s="22"/>
      <c r="O281" s="23" t="s">
        <v>357</v>
      </c>
      <c r="P281" s="98">
        <f>V281+AA281+AH281</f>
        <v>0</v>
      </c>
      <c r="Q281" s="24"/>
      <c r="R281" s="24"/>
      <c r="S281" s="23"/>
      <c r="T281" s="20"/>
      <c r="U281" s="19" t="s">
        <v>351</v>
      </c>
      <c r="V281" s="20">
        <f>W281*80</f>
        <v>0</v>
      </c>
      <c r="W281" s="69">
        <f>SUM(W260:W280)</f>
        <v>0</v>
      </c>
      <c r="X281" s="70"/>
      <c r="Y281" s="20" t="s">
        <v>352</v>
      </c>
      <c r="Z281" s="2"/>
      <c r="AA281" s="2">
        <f>SUM(AA260:AA280)</f>
        <v>0</v>
      </c>
      <c r="AB281" s="71"/>
      <c r="AC281" s="71"/>
      <c r="AD281" s="71"/>
      <c r="AE281" s="71"/>
      <c r="AF281" s="20" t="s">
        <v>356</v>
      </c>
      <c r="AG281" s="2"/>
      <c r="AH281" s="2">
        <f>SUM(AH260:AH280)</f>
        <v>0</v>
      </c>
      <c r="AI281" s="71"/>
      <c r="AJ281" s="71"/>
      <c r="AK281" s="71"/>
      <c r="AL281" s="71"/>
      <c r="AM281" s="150">
        <f>P281</f>
        <v>0</v>
      </c>
      <c r="AO281" s="286"/>
      <c r="AP281" s="284">
        <f t="shared" si="116"/>
        <v>0</v>
      </c>
      <c r="AQ281" s="281">
        <f t="shared" si="117"/>
        <v>0</v>
      </c>
      <c r="AR281" s="284">
        <f t="shared" si="118"/>
        <v>0</v>
      </c>
      <c r="AS281" s="281">
        <f t="shared" si="119"/>
        <v>0</v>
      </c>
      <c r="AT281" s="284">
        <f t="shared" si="120"/>
        <v>0</v>
      </c>
    </row>
    <row r="282" spans="1:97" s="234" customFormat="1" ht="154.30000000000001" x14ac:dyDescent="0.8">
      <c r="A282" s="262">
        <f>ROW()</f>
        <v>282</v>
      </c>
      <c r="B282" s="234" t="s">
        <v>491</v>
      </c>
      <c r="C282" s="217" t="str">
        <f>N260</f>
        <v>temperature controlled fan - from local power supply</v>
      </c>
      <c r="D282" s="260" t="str">
        <f>IF(B282="Shopping List",IF(ISNUMBER(SEARCH("MSSB",C282)),"MSSB",IF(ISNUMBER(SEARCH("local",C282)),"LOCAL","")))</f>
        <v>LOCAL</v>
      </c>
      <c r="E282" s="238"/>
      <c r="F282" s="217"/>
      <c r="G282" s="217"/>
      <c r="H282" s="245"/>
      <c r="I282" s="270"/>
      <c r="J282" s="241" t="str">
        <f>CONCATENATE(O260," ",L260, " (",M260,") ",N260,".", IF(M260&gt;1," Each "," This "),"includes supply and install of ",O261,O262,O263,O264,O265,O266,O267,O268,O269,O270,O271,O272,O273,O274,O275,O276,O277,O278,O279,O280,J261,J262,J263,J264,J265,J266,J267,J268,J269,J270,J271,J272,J273,J274,J275,J276,J277,J278,J279,J280)</f>
        <v xml:space="preserve">Electrical power supply and controls to Zero (0) temperature controlled fan - from local power supply. This includes supply and install of power and controls. Power for system includes: cabling to fan and control panel (from Builder's Electrician's isolator) and local isolator. Controls for system includes: high temp thermostat, controls cabling, contactors/relays, run and fault lights, Auto/Off/On switch, controls enclosure, trefolyte labelling and commissioning/testing. Coordination Note: - Builders electrician: Please refer to our exclusions relating to local power supply </v>
      </c>
      <c r="K282" s="246">
        <f>P281</f>
        <v>0</v>
      </c>
      <c r="L282" s="234" t="str">
        <f>CONCATENATE(Q261,Q262,Q263,Q264,Q265,Q266,Q267,Q268,Q269,Q270,Q271,Q272,Q273,Q274,Q275,Q276,Q277,Q278,Q279,Q280,)</f>
        <v xml:space="preserve">local power supply </v>
      </c>
      <c r="M282" s="91" t="s">
        <v>367</v>
      </c>
      <c r="N282" s="83" t="str">
        <f>N260</f>
        <v>temperature controlled fan - from local power supply</v>
      </c>
      <c r="O282" s="83" t="s">
        <v>365</v>
      </c>
      <c r="P282" s="84" t="e">
        <f>P281/M260</f>
        <v>#DIV/0!</v>
      </c>
      <c r="Q282" s="84"/>
      <c r="R282" s="84"/>
      <c r="S282" s="83"/>
      <c r="T282" s="84"/>
      <c r="U282" s="503" t="s">
        <v>366</v>
      </c>
      <c r="V282" s="503"/>
      <c r="W282" s="85" t="e">
        <f>W281/M260</f>
        <v>#DIV/0!</v>
      </c>
      <c r="X282" s="86"/>
      <c r="Y282" s="501" t="s">
        <v>365</v>
      </c>
      <c r="Z282" s="501"/>
      <c r="AA282" s="87" t="e">
        <f>AA281/M260</f>
        <v>#DIV/0!</v>
      </c>
      <c r="AB282" s="84"/>
      <c r="AC282" s="84"/>
      <c r="AD282" s="84"/>
      <c r="AE282" s="84"/>
      <c r="AF282" s="501" t="s">
        <v>365</v>
      </c>
      <c r="AG282" s="501"/>
      <c r="AH282" s="87" t="e">
        <f>AH281/M260</f>
        <v>#DIV/0!</v>
      </c>
      <c r="AI282" s="84"/>
      <c r="AJ282" s="84"/>
      <c r="AK282" s="84"/>
      <c r="AL282" s="247"/>
      <c r="AM282" s="257"/>
      <c r="AN282" s="236">
        <f>K282*$D$9</f>
        <v>0</v>
      </c>
      <c r="AO282" s="286"/>
      <c r="AP282" s="284">
        <f t="shared" si="116"/>
        <v>0</v>
      </c>
      <c r="AQ282" s="281">
        <f t="shared" si="117"/>
        <v>0</v>
      </c>
      <c r="AR282" s="284">
        <f t="shared" si="118"/>
        <v>0</v>
      </c>
      <c r="AS282" s="281">
        <f t="shared" si="119"/>
        <v>0</v>
      </c>
      <c r="AT282" s="284">
        <f t="shared" si="120"/>
        <v>0</v>
      </c>
      <c r="AU282" s="117"/>
      <c r="AV282" s="117"/>
      <c r="AW282" s="117"/>
      <c r="AX282" s="117"/>
      <c r="AY282" s="117"/>
      <c r="AZ282" s="117"/>
      <c r="BA282" s="117"/>
      <c r="BB282" s="117"/>
      <c r="BC282" s="117"/>
      <c r="BD282" s="117"/>
      <c r="BE282" s="117"/>
      <c r="BF282" s="117"/>
      <c r="BG282" s="117"/>
      <c r="BH282" s="117"/>
      <c r="BI282" s="117"/>
      <c r="BJ282" s="117"/>
      <c r="BK282" s="117"/>
      <c r="BL282" s="117"/>
      <c r="BM282" s="117"/>
      <c r="BN282" s="117"/>
      <c r="BO282" s="117"/>
      <c r="BP282" s="117"/>
      <c r="BQ282" s="117"/>
      <c r="BR282" s="117"/>
      <c r="BS282" s="117"/>
      <c r="BT282" s="117"/>
      <c r="BU282" s="117"/>
      <c r="BV282" s="117"/>
      <c r="BW282" s="117"/>
      <c r="BX282" s="117"/>
      <c r="BY282" s="117"/>
      <c r="BZ282" s="117"/>
      <c r="CA282" s="117"/>
      <c r="CB282" s="117"/>
      <c r="CC282" s="117"/>
      <c r="CD282" s="117"/>
      <c r="CE282" s="117"/>
      <c r="CF282" s="117"/>
      <c r="CG282" s="117"/>
      <c r="CH282" s="117"/>
      <c r="CI282" s="117"/>
      <c r="CJ282" s="117"/>
      <c r="CK282" s="117"/>
      <c r="CL282" s="117"/>
      <c r="CM282" s="117"/>
      <c r="CN282" s="117"/>
      <c r="CO282" s="117"/>
      <c r="CP282" s="117"/>
      <c r="CQ282" s="117"/>
      <c r="CR282" s="117"/>
      <c r="CS282" s="117"/>
    </row>
    <row r="283" spans="1:97" s="116" customFormat="1" ht="192.75" customHeight="1" x14ac:dyDescent="0.8">
      <c r="A283" s="262">
        <f>ROW()</f>
        <v>283</v>
      </c>
      <c r="C283" s="211"/>
      <c r="D283" s="211"/>
      <c r="E283" s="211"/>
      <c r="F283" s="211"/>
      <c r="G283" s="211"/>
      <c r="H283" s="211"/>
      <c r="K283" s="116" t="s">
        <v>452</v>
      </c>
      <c r="M283" s="116" t="s">
        <v>107</v>
      </c>
      <c r="N283" s="116" t="s">
        <v>108</v>
      </c>
      <c r="O283" s="170" t="s">
        <v>386</v>
      </c>
      <c r="P283" s="502" t="s">
        <v>375</v>
      </c>
      <c r="Q283" s="502"/>
      <c r="R283" s="101" t="s">
        <v>452</v>
      </c>
      <c r="S283" s="116" t="s">
        <v>0</v>
      </c>
      <c r="T283" s="118"/>
      <c r="U283" s="116" t="s">
        <v>287</v>
      </c>
      <c r="V283" s="116" t="s">
        <v>288</v>
      </c>
      <c r="W283" s="116" t="s">
        <v>291</v>
      </c>
      <c r="X283" s="140"/>
      <c r="Y283" s="116" t="s">
        <v>289</v>
      </c>
      <c r="Z283" s="116" t="s">
        <v>354</v>
      </c>
      <c r="AA283" s="116" t="s">
        <v>355</v>
      </c>
      <c r="AB283" s="116" t="s">
        <v>317</v>
      </c>
      <c r="AC283" s="116" t="s">
        <v>318</v>
      </c>
      <c r="AD283" s="116" t="s">
        <v>316</v>
      </c>
      <c r="AE283" s="140"/>
      <c r="AF283" s="116" t="s">
        <v>293</v>
      </c>
      <c r="AG283" s="116" t="s">
        <v>354</v>
      </c>
      <c r="AH283" s="116" t="s">
        <v>355</v>
      </c>
      <c r="AI283" s="116" t="s">
        <v>296</v>
      </c>
      <c r="AJ283" s="116" t="s">
        <v>294</v>
      </c>
      <c r="AK283" s="116" t="s">
        <v>295</v>
      </c>
      <c r="AL283" s="140"/>
      <c r="AO283" s="288"/>
      <c r="AP283" s="284">
        <f t="shared" si="116"/>
        <v>0</v>
      </c>
      <c r="AQ283" s="281">
        <f t="shared" si="117"/>
        <v>0</v>
      </c>
      <c r="AR283" s="284">
        <f t="shared" si="118"/>
        <v>0</v>
      </c>
      <c r="AS283" s="281">
        <f t="shared" si="119"/>
        <v>0</v>
      </c>
      <c r="AT283" s="284">
        <f t="shared" si="120"/>
        <v>0</v>
      </c>
    </row>
    <row r="284" spans="1:97" s="114" customFormat="1" ht="31.5" customHeight="1" x14ac:dyDescent="0.8">
      <c r="A284" s="262">
        <f>ROW()</f>
        <v>284</v>
      </c>
      <c r="C284" s="208"/>
      <c r="D284" s="208"/>
      <c r="E284" s="208"/>
      <c r="F284" s="208"/>
      <c r="G284" s="208"/>
      <c r="H284" s="208"/>
      <c r="L284" s="124" t="str">
        <f>VLOOKUP(M284,Sheet2!$D$2:$E$1024,2,FALSE)</f>
        <v>Zero</v>
      </c>
      <c r="M284" s="121">
        <f>I306</f>
        <v>0</v>
      </c>
      <c r="N284" s="132" t="s">
        <v>570</v>
      </c>
      <c r="O284" s="121" t="s">
        <v>347</v>
      </c>
      <c r="P284" s="169" t="s">
        <v>379</v>
      </c>
      <c r="Q284" s="169" t="s">
        <v>375</v>
      </c>
      <c r="R284" s="169"/>
      <c r="S284" s="133">
        <f>M284</f>
        <v>0</v>
      </c>
      <c r="T284" s="119"/>
      <c r="U284" s="153" t="s">
        <v>292</v>
      </c>
      <c r="V284" s="133">
        <f>S284</f>
        <v>0</v>
      </c>
      <c r="W284" s="133">
        <f>VLOOKUP(U284,Sheet1!$B$6:$C$45,2,FALSE)*V284</f>
        <v>0</v>
      </c>
      <c r="X284" s="141"/>
      <c r="Y284" s="121" t="s">
        <v>292</v>
      </c>
      <c r="Z284" s="146">
        <f>VLOOKUP(Takeoffs!Y284,Sheet1!$B$6:$C$124,2,FALSE)</f>
        <v>0</v>
      </c>
      <c r="AA284" s="146">
        <f>Z284*AB284</f>
        <v>0</v>
      </c>
      <c r="AB284" s="143">
        <f>AD284*AC284</f>
        <v>0</v>
      </c>
      <c r="AC284" s="133">
        <f>S284</f>
        <v>0</v>
      </c>
      <c r="AD284" s="142">
        <v>1</v>
      </c>
      <c r="AE284" s="141"/>
      <c r="AF284" s="121" t="s">
        <v>292</v>
      </c>
      <c r="AG284" s="146">
        <f>VLOOKUP(Takeoffs!AF284,Sheet1!$B$6:$C$124,2,FALSE)</f>
        <v>0</v>
      </c>
      <c r="AH284" s="146">
        <f>AG284*AI284</f>
        <v>0</v>
      </c>
      <c r="AI284" s="143">
        <f>AK284*AJ284</f>
        <v>0</v>
      </c>
      <c r="AJ284" s="133">
        <f>S284</f>
        <v>0</v>
      </c>
      <c r="AK284" s="142">
        <f>T284</f>
        <v>0</v>
      </c>
      <c r="AL284" s="141"/>
      <c r="AO284" s="286"/>
      <c r="AP284" s="284">
        <f t="shared" si="116"/>
        <v>0</v>
      </c>
      <c r="AQ284" s="281">
        <f t="shared" si="117"/>
        <v>0</v>
      </c>
      <c r="AR284" s="284">
        <f t="shared" si="118"/>
        <v>0</v>
      </c>
      <c r="AS284" s="281">
        <f t="shared" si="119"/>
        <v>0</v>
      </c>
      <c r="AT284" s="284">
        <f t="shared" si="120"/>
        <v>0</v>
      </c>
    </row>
    <row r="285" spans="1:97" s="114" customFormat="1" ht="30.9" x14ac:dyDescent="0.8">
      <c r="A285" s="262">
        <f>ROW()</f>
        <v>285</v>
      </c>
      <c r="C285" s="208"/>
      <c r="D285" s="208"/>
      <c r="E285" s="208"/>
      <c r="F285" s="208"/>
      <c r="G285" s="208"/>
      <c r="H285" s="208"/>
      <c r="J285" s="114" t="str">
        <f>IF(COUNTBLANK(Q285)&gt;0,"",CONCATENATE("Coordination Note: - ",P285,": Please refer to our exclusions relating to ",Q285))</f>
        <v/>
      </c>
      <c r="K285" s="114" t="str">
        <f>IF(COUNTBLANK(R285)&gt;0,"",CONCATENATE(R285," for ",N284))</f>
        <v/>
      </c>
      <c r="M285" s="117"/>
      <c r="N285" s="123" t="s">
        <v>113</v>
      </c>
      <c r="O285" s="66" t="s">
        <v>411</v>
      </c>
      <c r="P285" s="121"/>
      <c r="Q285" s="121"/>
      <c r="R285" s="121"/>
      <c r="S285" s="133">
        <f>M284</f>
        <v>0</v>
      </c>
      <c r="T285" s="120"/>
      <c r="U285" s="121" t="s">
        <v>235</v>
      </c>
      <c r="V285" s="133">
        <f t="shared" ref="V285:V304" si="121">S285</f>
        <v>0</v>
      </c>
      <c r="W285" s="133">
        <f>VLOOKUP(U285,Sheet1!$B$6:$C$45,2,FALSE)*V285</f>
        <v>0</v>
      </c>
      <c r="X285" s="141"/>
      <c r="Y285" s="121" t="s">
        <v>292</v>
      </c>
      <c r="Z285" s="146">
        <f>VLOOKUP(Takeoffs!Y285,Sheet1!$B$6:$C$124,2,FALSE)</f>
        <v>0</v>
      </c>
      <c r="AA285" s="146">
        <f t="shared" ref="AA285:AA304" si="122">Z285*AB285</f>
        <v>0</v>
      </c>
      <c r="AB285" s="143">
        <f t="shared" ref="AB285:AB304" si="123">AD285*AC285</f>
        <v>0</v>
      </c>
      <c r="AC285" s="133">
        <f t="shared" ref="AC285:AC304" si="124">S285</f>
        <v>0</v>
      </c>
      <c r="AD285" s="142">
        <v>1</v>
      </c>
      <c r="AE285" s="141"/>
      <c r="AF285" s="121" t="s">
        <v>292</v>
      </c>
      <c r="AG285" s="146">
        <f>VLOOKUP(Takeoffs!AF285,Sheet1!$B$6:$C$124,2,FALSE)</f>
        <v>0</v>
      </c>
      <c r="AH285" s="146">
        <f t="shared" ref="AH285:AH304" si="125">AG285*AI285</f>
        <v>0</v>
      </c>
      <c r="AI285" s="143">
        <f t="shared" ref="AI285:AI304" si="126">AK285*AJ285</f>
        <v>0</v>
      </c>
      <c r="AJ285" s="133">
        <f t="shared" ref="AJ285:AJ304" si="127">S285</f>
        <v>0</v>
      </c>
      <c r="AK285" s="142"/>
      <c r="AL285" s="141"/>
      <c r="AO285" s="286"/>
      <c r="AP285" s="284">
        <f t="shared" si="116"/>
        <v>0</v>
      </c>
      <c r="AQ285" s="281">
        <f t="shared" si="117"/>
        <v>0</v>
      </c>
      <c r="AR285" s="284">
        <f t="shared" si="118"/>
        <v>0</v>
      </c>
      <c r="AS285" s="281">
        <f t="shared" si="119"/>
        <v>0</v>
      </c>
      <c r="AT285" s="284">
        <f t="shared" si="120"/>
        <v>0</v>
      </c>
    </row>
    <row r="286" spans="1:97" s="114" customFormat="1" ht="30.9" x14ac:dyDescent="0.8">
      <c r="A286" s="262">
        <f>ROW()</f>
        <v>286</v>
      </c>
      <c r="C286" s="208"/>
      <c r="D286" s="208"/>
      <c r="E286" s="208"/>
      <c r="F286" s="208"/>
      <c r="G286" s="208"/>
      <c r="H286" s="208"/>
      <c r="J286" s="114" t="str">
        <f t="shared" ref="J286:J304" si="128">IF(COUNTBLANK(Q286)&gt;0,"",CONCATENATE("Coordination Note: - ",P286,": Please refer to our exclusions relating to ",Q286))</f>
        <v/>
      </c>
      <c r="K286" s="114" t="str">
        <f>IF(COUNTBLANK(R286)&gt;0,"",CONCATENATE(R286," for ",N284))</f>
        <v/>
      </c>
      <c r="M286" s="117"/>
      <c r="N286" s="123" t="s">
        <v>114</v>
      </c>
      <c r="O286" s="66" t="s">
        <v>308</v>
      </c>
      <c r="P286" s="121"/>
      <c r="Q286" s="121"/>
      <c r="R286" s="121"/>
      <c r="S286" s="133">
        <f>M284</f>
        <v>0</v>
      </c>
      <c r="T286" s="120"/>
      <c r="U286" s="121" t="s">
        <v>292</v>
      </c>
      <c r="V286" s="133">
        <f t="shared" si="121"/>
        <v>0</v>
      </c>
      <c r="W286" s="133">
        <f>VLOOKUP(U286,Sheet1!$B$6:$C$45,2,FALSE)*V286</f>
        <v>0</v>
      </c>
      <c r="X286" s="141"/>
      <c r="Y286" s="122" t="s">
        <v>252</v>
      </c>
      <c r="Z286" s="146">
        <f>VLOOKUP(Takeoffs!Y286,Sheet1!$B$6:$C$124,2,FALSE)</f>
        <v>43.440000000000005</v>
      </c>
      <c r="AA286" s="146">
        <f t="shared" si="122"/>
        <v>0</v>
      </c>
      <c r="AB286" s="143">
        <f t="shared" si="123"/>
        <v>0</v>
      </c>
      <c r="AC286" s="133">
        <f t="shared" si="124"/>
        <v>0</v>
      </c>
      <c r="AD286" s="142">
        <v>1</v>
      </c>
      <c r="AE286" s="141"/>
      <c r="AF286" s="121" t="s">
        <v>292</v>
      </c>
      <c r="AG286" s="146">
        <f>VLOOKUP(Takeoffs!AF286,Sheet1!$B$6:$C$124,2,FALSE)</f>
        <v>0</v>
      </c>
      <c r="AH286" s="146">
        <f t="shared" si="125"/>
        <v>0</v>
      </c>
      <c r="AI286" s="143">
        <f t="shared" si="126"/>
        <v>0</v>
      </c>
      <c r="AJ286" s="133">
        <f t="shared" si="127"/>
        <v>0</v>
      </c>
      <c r="AK286" s="142">
        <f>T286</f>
        <v>0</v>
      </c>
      <c r="AL286" s="141"/>
      <c r="AO286" s="286"/>
      <c r="AP286" s="284">
        <f t="shared" si="116"/>
        <v>0</v>
      </c>
      <c r="AQ286" s="281">
        <f t="shared" si="117"/>
        <v>0</v>
      </c>
      <c r="AR286" s="284">
        <f t="shared" si="118"/>
        <v>0</v>
      </c>
      <c r="AS286" s="281">
        <f t="shared" si="119"/>
        <v>0</v>
      </c>
      <c r="AT286" s="284">
        <f t="shared" si="120"/>
        <v>0</v>
      </c>
    </row>
    <row r="287" spans="1:97" s="114" customFormat="1" ht="30.9" x14ac:dyDescent="0.8">
      <c r="A287" s="262">
        <f>ROW()</f>
        <v>287</v>
      </c>
      <c r="C287" s="208"/>
      <c r="D287" s="208"/>
      <c r="E287" s="208"/>
      <c r="F287" s="208"/>
      <c r="G287" s="208"/>
      <c r="H287" s="208"/>
      <c r="J287" s="114" t="str">
        <f t="shared" si="128"/>
        <v/>
      </c>
      <c r="K287" s="114" t="str">
        <f>IF(COUNTBLANK(R287)&gt;0,"",CONCATENATE(R287," for ",N284))</f>
        <v/>
      </c>
      <c r="M287" s="117"/>
      <c r="N287" s="123" t="s">
        <v>115</v>
      </c>
      <c r="O287" s="66" t="s">
        <v>305</v>
      </c>
      <c r="P287" s="121"/>
      <c r="Q287" s="121"/>
      <c r="R287" s="121"/>
      <c r="S287" s="133">
        <f>M284</f>
        <v>0</v>
      </c>
      <c r="T287" s="120"/>
      <c r="U287" s="121" t="s">
        <v>361</v>
      </c>
      <c r="V287" s="133">
        <f t="shared" si="121"/>
        <v>0</v>
      </c>
      <c r="W287" s="133">
        <f>VLOOKUP(U287,Sheet1!$B$6:$C$45,2,FALSE)*V287</f>
        <v>0</v>
      </c>
      <c r="X287" s="141"/>
      <c r="Y287" s="121" t="s">
        <v>292</v>
      </c>
      <c r="Z287" s="146">
        <f>VLOOKUP(Takeoffs!Y287,Sheet1!$B$6:$C$124,2,FALSE)</f>
        <v>0</v>
      </c>
      <c r="AA287" s="146">
        <f t="shared" si="122"/>
        <v>0</v>
      </c>
      <c r="AB287" s="143">
        <f t="shared" si="123"/>
        <v>0</v>
      </c>
      <c r="AC287" s="133">
        <f t="shared" si="124"/>
        <v>0</v>
      </c>
      <c r="AD287" s="142">
        <v>1</v>
      </c>
      <c r="AE287" s="141"/>
      <c r="AF287" s="122" t="s">
        <v>267</v>
      </c>
      <c r="AG287" s="146">
        <f>VLOOKUP(Takeoffs!AF287,Sheet1!$B$6:$C$124,2,FALSE)</f>
        <v>3.48</v>
      </c>
      <c r="AH287" s="146">
        <f t="shared" si="125"/>
        <v>0</v>
      </c>
      <c r="AI287" s="143">
        <f t="shared" si="126"/>
        <v>0</v>
      </c>
      <c r="AJ287" s="133">
        <f t="shared" si="127"/>
        <v>0</v>
      </c>
      <c r="AK287" s="142">
        <v>1.5</v>
      </c>
      <c r="AL287" s="141"/>
      <c r="AO287" s="286"/>
      <c r="AP287" s="284">
        <f t="shared" si="116"/>
        <v>0</v>
      </c>
      <c r="AQ287" s="281">
        <f t="shared" si="117"/>
        <v>0</v>
      </c>
      <c r="AR287" s="284">
        <f t="shared" si="118"/>
        <v>0</v>
      </c>
      <c r="AS287" s="281">
        <f t="shared" si="119"/>
        <v>0</v>
      </c>
      <c r="AT287" s="284">
        <f t="shared" si="120"/>
        <v>0</v>
      </c>
    </row>
    <row r="288" spans="1:97" s="114" customFormat="1" ht="30.9" x14ac:dyDescent="0.8">
      <c r="A288" s="262">
        <f>ROW()</f>
        <v>288</v>
      </c>
      <c r="C288" s="208"/>
      <c r="D288" s="208"/>
      <c r="E288" s="208"/>
      <c r="F288" s="208"/>
      <c r="G288" s="208"/>
      <c r="H288" s="208"/>
      <c r="J288" s="114" t="str">
        <f t="shared" si="128"/>
        <v/>
      </c>
      <c r="K288" s="114" t="str">
        <f>IF(COUNTBLANK(R288)&gt;0,"",CONCATENATE(R288," for ",N284))</f>
        <v/>
      </c>
      <c r="M288" s="117"/>
      <c r="N288" s="123" t="s">
        <v>116</v>
      </c>
      <c r="O288" s="66" t="s">
        <v>391</v>
      </c>
      <c r="P288" s="121"/>
      <c r="Q288" s="121"/>
      <c r="R288" s="121"/>
      <c r="S288" s="133">
        <f>M284</f>
        <v>0</v>
      </c>
      <c r="T288" s="120"/>
      <c r="U288" s="121" t="s">
        <v>292</v>
      </c>
      <c r="V288" s="133">
        <f t="shared" si="121"/>
        <v>0</v>
      </c>
      <c r="W288" s="133">
        <f>VLOOKUP(U288,Sheet1!$B$6:$C$45,2,FALSE)*V288</f>
        <v>0</v>
      </c>
      <c r="X288" s="141"/>
      <c r="Y288" s="135" t="s">
        <v>545</v>
      </c>
      <c r="Z288" s="146">
        <f>VLOOKUP(Takeoffs!Y288,Sheet1!$B$6:$C$124,2,FALSE)</f>
        <v>971.52</v>
      </c>
      <c r="AA288" s="146">
        <f t="shared" si="122"/>
        <v>0</v>
      </c>
      <c r="AB288" s="143">
        <f t="shared" si="123"/>
        <v>0</v>
      </c>
      <c r="AC288" s="133">
        <f t="shared" si="124"/>
        <v>0</v>
      </c>
      <c r="AD288" s="142">
        <v>1</v>
      </c>
      <c r="AE288" s="141"/>
      <c r="AF288" s="121" t="s">
        <v>292</v>
      </c>
      <c r="AG288" s="146">
        <f>VLOOKUP(Takeoffs!AF288,Sheet1!$B$6:$C$124,2,FALSE)</f>
        <v>0</v>
      </c>
      <c r="AH288" s="146">
        <f t="shared" si="125"/>
        <v>0</v>
      </c>
      <c r="AI288" s="143">
        <f t="shared" si="126"/>
        <v>0</v>
      </c>
      <c r="AJ288" s="133">
        <f t="shared" si="127"/>
        <v>0</v>
      </c>
      <c r="AK288" s="142">
        <f>T288</f>
        <v>0</v>
      </c>
      <c r="AL288" s="141"/>
      <c r="AO288" s="286"/>
      <c r="AP288" s="284">
        <f t="shared" si="116"/>
        <v>0</v>
      </c>
      <c r="AQ288" s="281">
        <f t="shared" si="117"/>
        <v>0</v>
      </c>
      <c r="AR288" s="284">
        <f t="shared" si="118"/>
        <v>0</v>
      </c>
      <c r="AS288" s="281">
        <f t="shared" si="119"/>
        <v>0</v>
      </c>
      <c r="AT288" s="284">
        <f t="shared" si="120"/>
        <v>0</v>
      </c>
    </row>
    <row r="289" spans="1:46" s="114" customFormat="1" ht="30.9" x14ac:dyDescent="0.8">
      <c r="A289" s="262">
        <f>ROW()</f>
        <v>289</v>
      </c>
      <c r="C289" s="208"/>
      <c r="D289" s="208"/>
      <c r="E289" s="208"/>
      <c r="F289" s="208"/>
      <c r="G289" s="208"/>
      <c r="H289" s="208"/>
      <c r="J289" s="114" t="str">
        <f t="shared" si="128"/>
        <v/>
      </c>
      <c r="K289" s="114" t="str">
        <f>IF(COUNTBLANK(R289)&gt;0,"",CONCATENATE(R289," for ",N284))</f>
        <v/>
      </c>
      <c r="M289" s="117"/>
      <c r="N289" s="123" t="s">
        <v>117</v>
      </c>
      <c r="O289" s="66" t="s">
        <v>390</v>
      </c>
      <c r="P289" s="121"/>
      <c r="Q289" s="121"/>
      <c r="R289" s="121"/>
      <c r="S289" s="133">
        <f>M284</f>
        <v>0</v>
      </c>
      <c r="T289" s="120"/>
      <c r="U289" s="121" t="s">
        <v>292</v>
      </c>
      <c r="V289" s="133">
        <f t="shared" si="121"/>
        <v>0</v>
      </c>
      <c r="W289" s="133">
        <f>VLOOKUP(U289,Sheet1!$B$6:$C$45,2,FALSE)*V289</f>
        <v>0</v>
      </c>
      <c r="X289" s="141"/>
      <c r="Y289" s="121" t="s">
        <v>292</v>
      </c>
      <c r="Z289" s="146">
        <f>VLOOKUP(Takeoffs!Y289,Sheet1!$B$6:$C$124,2,FALSE)</f>
        <v>0</v>
      </c>
      <c r="AA289" s="146">
        <f t="shared" si="122"/>
        <v>0</v>
      </c>
      <c r="AB289" s="143">
        <f t="shared" si="123"/>
        <v>0</v>
      </c>
      <c r="AC289" s="133">
        <f t="shared" si="124"/>
        <v>0</v>
      </c>
      <c r="AD289" s="142">
        <v>1</v>
      </c>
      <c r="AE289" s="141"/>
      <c r="AF289" s="122" t="s">
        <v>270</v>
      </c>
      <c r="AG289" s="146">
        <f>VLOOKUP(Takeoffs!AF289,Sheet1!$B$6:$C$124,2,FALSE)</f>
        <v>5.7960000000000003</v>
      </c>
      <c r="AH289" s="146">
        <f t="shared" si="125"/>
        <v>0</v>
      </c>
      <c r="AI289" s="143">
        <f t="shared" si="126"/>
        <v>0</v>
      </c>
      <c r="AJ289" s="133">
        <f t="shared" si="127"/>
        <v>0</v>
      </c>
      <c r="AK289" s="142">
        <v>15</v>
      </c>
      <c r="AL289" s="141"/>
      <c r="AO289" s="286"/>
      <c r="AP289" s="284">
        <f t="shared" si="116"/>
        <v>0</v>
      </c>
      <c r="AQ289" s="281">
        <f t="shared" si="117"/>
        <v>0</v>
      </c>
      <c r="AR289" s="284">
        <f t="shared" si="118"/>
        <v>0</v>
      </c>
      <c r="AS289" s="281">
        <f t="shared" si="119"/>
        <v>0</v>
      </c>
      <c r="AT289" s="284">
        <f t="shared" si="120"/>
        <v>0</v>
      </c>
    </row>
    <row r="290" spans="1:46" s="114" customFormat="1" ht="30.9" x14ac:dyDescent="0.8">
      <c r="A290" s="262">
        <f>ROW()</f>
        <v>290</v>
      </c>
      <c r="C290" s="208"/>
      <c r="D290" s="208"/>
      <c r="E290" s="208"/>
      <c r="F290" s="208"/>
      <c r="G290" s="208"/>
      <c r="H290" s="208"/>
      <c r="J290" s="114" t="str">
        <f t="shared" si="128"/>
        <v/>
      </c>
      <c r="K290" s="114" t="str">
        <f>IF(COUNTBLANK(R290)&gt;0,"",CONCATENATE(R290," for ",N284))</f>
        <v/>
      </c>
      <c r="M290" s="117"/>
      <c r="N290" s="123" t="s">
        <v>118</v>
      </c>
      <c r="O290" s="66" t="s">
        <v>309</v>
      </c>
      <c r="P290" s="121"/>
      <c r="Q290" s="121"/>
      <c r="R290" s="121"/>
      <c r="S290" s="133">
        <f>M284</f>
        <v>0</v>
      </c>
      <c r="T290" s="120"/>
      <c r="U290" s="121" t="s">
        <v>292</v>
      </c>
      <c r="V290" s="133">
        <f t="shared" si="121"/>
        <v>0</v>
      </c>
      <c r="W290" s="133">
        <f>VLOOKUP(U290,Sheet1!$B$6:$C$45,2,FALSE)*V290</f>
        <v>0</v>
      </c>
      <c r="X290" s="141"/>
      <c r="Y290" s="122" t="s">
        <v>245</v>
      </c>
      <c r="Z290" s="146">
        <f>VLOOKUP(Takeoffs!Y290,Sheet1!$B$6:$C$124,2,FALSE)</f>
        <v>46.463999999999999</v>
      </c>
      <c r="AA290" s="146">
        <f t="shared" si="122"/>
        <v>0</v>
      </c>
      <c r="AB290" s="143">
        <f t="shared" si="123"/>
        <v>0</v>
      </c>
      <c r="AC290" s="133">
        <f t="shared" si="124"/>
        <v>0</v>
      </c>
      <c r="AD290" s="142">
        <v>1</v>
      </c>
      <c r="AE290" s="141"/>
      <c r="AF290" s="121" t="s">
        <v>292</v>
      </c>
      <c r="AG290" s="146">
        <f>VLOOKUP(Takeoffs!AF290,Sheet1!$B$6:$C$124,2,FALSE)</f>
        <v>0</v>
      </c>
      <c r="AH290" s="146">
        <f t="shared" si="125"/>
        <v>0</v>
      </c>
      <c r="AI290" s="143">
        <f t="shared" si="126"/>
        <v>0</v>
      </c>
      <c r="AJ290" s="133">
        <f t="shared" si="127"/>
        <v>0</v>
      </c>
      <c r="AK290" s="142">
        <f>T290</f>
        <v>0</v>
      </c>
      <c r="AL290" s="141"/>
      <c r="AO290" s="286"/>
      <c r="AP290" s="284">
        <f t="shared" si="116"/>
        <v>0</v>
      </c>
      <c r="AQ290" s="281">
        <f t="shared" si="117"/>
        <v>0</v>
      </c>
      <c r="AR290" s="284">
        <f t="shared" si="118"/>
        <v>0</v>
      </c>
      <c r="AS290" s="281">
        <f t="shared" si="119"/>
        <v>0</v>
      </c>
      <c r="AT290" s="284">
        <f t="shared" si="120"/>
        <v>0</v>
      </c>
    </row>
    <row r="291" spans="1:46" s="114" customFormat="1" ht="30.9" x14ac:dyDescent="0.8">
      <c r="A291" s="262">
        <f>ROW()</f>
        <v>291</v>
      </c>
      <c r="C291" s="208"/>
      <c r="D291" s="208"/>
      <c r="E291" s="208"/>
      <c r="F291" s="208"/>
      <c r="G291" s="208"/>
      <c r="H291" s="208"/>
      <c r="J291" s="114" t="str">
        <f t="shared" si="128"/>
        <v/>
      </c>
      <c r="K291" s="114" t="str">
        <f>IF(COUNTBLANK(R291)&gt;0,"",CONCATENATE(R291," for ",N284))</f>
        <v/>
      </c>
      <c r="N291" s="123" t="s">
        <v>119</v>
      </c>
      <c r="O291" s="66" t="s">
        <v>310</v>
      </c>
      <c r="P291" s="121"/>
      <c r="Q291" s="121"/>
      <c r="R291" s="121"/>
      <c r="S291" s="133">
        <f>M284</f>
        <v>0</v>
      </c>
      <c r="T291" s="120"/>
      <c r="U291" s="121" t="s">
        <v>292</v>
      </c>
      <c r="V291" s="133">
        <f t="shared" si="121"/>
        <v>0</v>
      </c>
      <c r="W291" s="133">
        <f>VLOOKUP(U291,Sheet1!$B$6:$C$45,2,FALSE)*V291</f>
        <v>0</v>
      </c>
      <c r="X291" s="141"/>
      <c r="Y291" s="122" t="s">
        <v>278</v>
      </c>
      <c r="Z291" s="146">
        <f>VLOOKUP(Takeoffs!Y291,Sheet1!$B$6:$C$124,2,FALSE)</f>
        <v>36</v>
      </c>
      <c r="AA291" s="146">
        <f t="shared" si="122"/>
        <v>0</v>
      </c>
      <c r="AB291" s="143">
        <f t="shared" si="123"/>
        <v>0</v>
      </c>
      <c r="AC291" s="133">
        <f t="shared" si="124"/>
        <v>0</v>
      </c>
      <c r="AD291" s="142">
        <v>1</v>
      </c>
      <c r="AE291" s="141"/>
      <c r="AF291" s="121" t="s">
        <v>292</v>
      </c>
      <c r="AG291" s="146">
        <f>VLOOKUP(Takeoffs!AF291,Sheet1!$B$6:$C$124,2,FALSE)</f>
        <v>0</v>
      </c>
      <c r="AH291" s="146">
        <f t="shared" si="125"/>
        <v>0</v>
      </c>
      <c r="AI291" s="143">
        <f t="shared" si="126"/>
        <v>0</v>
      </c>
      <c r="AJ291" s="133">
        <f t="shared" si="127"/>
        <v>0</v>
      </c>
      <c r="AK291" s="142">
        <f>T291</f>
        <v>0</v>
      </c>
      <c r="AL291" s="141"/>
      <c r="AO291" s="286"/>
      <c r="AP291" s="284">
        <f t="shared" si="116"/>
        <v>0</v>
      </c>
      <c r="AQ291" s="281">
        <f t="shared" si="117"/>
        <v>0</v>
      </c>
      <c r="AR291" s="284">
        <f t="shared" si="118"/>
        <v>0</v>
      </c>
      <c r="AS291" s="281">
        <f t="shared" si="119"/>
        <v>0</v>
      </c>
      <c r="AT291" s="284">
        <f t="shared" si="120"/>
        <v>0</v>
      </c>
    </row>
    <row r="292" spans="1:46" s="114" customFormat="1" ht="30.9" x14ac:dyDescent="0.8">
      <c r="A292" s="262">
        <f>ROW()</f>
        <v>292</v>
      </c>
      <c r="C292" s="208"/>
      <c r="D292" s="208"/>
      <c r="E292" s="208"/>
      <c r="F292" s="208"/>
      <c r="G292" s="208"/>
      <c r="H292" s="208"/>
      <c r="J292" s="114" t="str">
        <f t="shared" si="128"/>
        <v/>
      </c>
      <c r="K292" s="114" t="str">
        <f>IF(COUNTBLANK(R292)&gt;0,"",CONCATENATE(R292," for ",N284))</f>
        <v/>
      </c>
      <c r="N292" s="123" t="s">
        <v>120</v>
      </c>
      <c r="O292" s="66" t="s">
        <v>709</v>
      </c>
      <c r="P292" s="121"/>
      <c r="Q292" s="121"/>
      <c r="R292" s="121"/>
      <c r="S292" s="133">
        <f>M284</f>
        <v>0</v>
      </c>
      <c r="T292" s="120"/>
      <c r="U292" s="121" t="s">
        <v>292</v>
      </c>
      <c r="V292" s="133">
        <f t="shared" si="121"/>
        <v>0</v>
      </c>
      <c r="W292" s="133">
        <f>VLOOKUP(U292,Sheet1!$B$6:$C$45,2,FALSE)*V292</f>
        <v>0</v>
      </c>
      <c r="X292" s="141"/>
      <c r="Y292" s="122" t="s">
        <v>274</v>
      </c>
      <c r="Z292" s="146">
        <f>VLOOKUP(Takeoffs!Y292,Sheet1!$B$6:$C$124,2,FALSE)</f>
        <v>360</v>
      </c>
      <c r="AA292" s="146">
        <f t="shared" si="122"/>
        <v>0</v>
      </c>
      <c r="AB292" s="143">
        <f t="shared" si="123"/>
        <v>0</v>
      </c>
      <c r="AC292" s="133">
        <f t="shared" si="124"/>
        <v>0</v>
      </c>
      <c r="AD292" s="142">
        <v>1</v>
      </c>
      <c r="AE292" s="141"/>
      <c r="AF292" s="121" t="s">
        <v>292</v>
      </c>
      <c r="AG292" s="146">
        <f>VLOOKUP(Takeoffs!AF292,Sheet1!$B$6:$C$124,2,FALSE)</f>
        <v>0</v>
      </c>
      <c r="AH292" s="146">
        <f t="shared" si="125"/>
        <v>0</v>
      </c>
      <c r="AI292" s="143">
        <f t="shared" si="126"/>
        <v>0</v>
      </c>
      <c r="AJ292" s="133">
        <f t="shared" si="127"/>
        <v>0</v>
      </c>
      <c r="AK292" s="142">
        <f>T292</f>
        <v>0</v>
      </c>
      <c r="AL292" s="141"/>
      <c r="AO292" s="286"/>
      <c r="AP292" s="284">
        <f t="shared" si="116"/>
        <v>0</v>
      </c>
      <c r="AQ292" s="281">
        <f t="shared" si="117"/>
        <v>0</v>
      </c>
      <c r="AR292" s="284">
        <f t="shared" si="118"/>
        <v>0</v>
      </c>
      <c r="AS292" s="281">
        <f t="shared" si="119"/>
        <v>0</v>
      </c>
      <c r="AT292" s="284">
        <f t="shared" si="120"/>
        <v>0</v>
      </c>
    </row>
    <row r="293" spans="1:46" s="114" customFormat="1" ht="30.9" x14ac:dyDescent="0.8">
      <c r="A293" s="262">
        <f>ROW()</f>
        <v>293</v>
      </c>
      <c r="C293" s="208"/>
      <c r="D293" s="208"/>
      <c r="E293" s="208"/>
      <c r="F293" s="208"/>
      <c r="G293" s="208"/>
      <c r="H293" s="208"/>
      <c r="J293" s="114" t="str">
        <f t="shared" si="128"/>
        <v/>
      </c>
      <c r="K293" s="114" t="str">
        <f>IF(COUNTBLANK(R293)&gt;0,"",CONCATENATE(R293," for ",N284))</f>
        <v/>
      </c>
      <c r="N293" s="123" t="s">
        <v>121</v>
      </c>
      <c r="O293" s="66" t="s">
        <v>307</v>
      </c>
      <c r="P293" s="121"/>
      <c r="Q293" s="121"/>
      <c r="R293" s="121"/>
      <c r="S293" s="133">
        <f>M284</f>
        <v>0</v>
      </c>
      <c r="T293" s="120"/>
      <c r="U293" s="121" t="s">
        <v>364</v>
      </c>
      <c r="V293" s="133">
        <f t="shared" si="121"/>
        <v>0</v>
      </c>
      <c r="W293" s="133">
        <f>VLOOKUP(U293,Sheet1!$B$6:$C$45,2,FALSE)*V293</f>
        <v>0</v>
      </c>
      <c r="X293" s="141"/>
      <c r="Y293" s="121" t="s">
        <v>292</v>
      </c>
      <c r="Z293" s="146">
        <f>VLOOKUP(Takeoffs!Y293,Sheet1!$B$6:$C$124,2,FALSE)</f>
        <v>0</v>
      </c>
      <c r="AA293" s="146">
        <f t="shared" si="122"/>
        <v>0</v>
      </c>
      <c r="AB293" s="143">
        <f t="shared" si="123"/>
        <v>0</v>
      </c>
      <c r="AC293" s="133">
        <f t="shared" si="124"/>
        <v>0</v>
      </c>
      <c r="AD293" s="142">
        <v>1</v>
      </c>
      <c r="AE293" s="141"/>
      <c r="AF293" s="122" t="s">
        <v>270</v>
      </c>
      <c r="AG293" s="146">
        <f>VLOOKUP(Takeoffs!AF293,Sheet1!$B$6:$C$124,2,FALSE)</f>
        <v>5.7960000000000003</v>
      </c>
      <c r="AH293" s="146">
        <f t="shared" si="125"/>
        <v>0</v>
      </c>
      <c r="AI293" s="143">
        <f t="shared" si="126"/>
        <v>0</v>
      </c>
      <c r="AJ293" s="133">
        <f t="shared" si="127"/>
        <v>0</v>
      </c>
      <c r="AK293" s="142">
        <v>20</v>
      </c>
      <c r="AL293" s="141"/>
      <c r="AO293" s="286"/>
      <c r="AP293" s="284">
        <f t="shared" si="116"/>
        <v>0</v>
      </c>
      <c r="AQ293" s="281">
        <f t="shared" si="117"/>
        <v>0</v>
      </c>
      <c r="AR293" s="284">
        <f t="shared" si="118"/>
        <v>0</v>
      </c>
      <c r="AS293" s="281">
        <f t="shared" si="119"/>
        <v>0</v>
      </c>
      <c r="AT293" s="284">
        <f t="shared" si="120"/>
        <v>0</v>
      </c>
    </row>
    <row r="294" spans="1:46" s="114" customFormat="1" ht="30.9" x14ac:dyDescent="0.8">
      <c r="A294" s="262">
        <f>ROW()</f>
        <v>294</v>
      </c>
      <c r="C294" s="208"/>
      <c r="D294" s="208"/>
      <c r="E294" s="208"/>
      <c r="F294" s="208"/>
      <c r="G294" s="208"/>
      <c r="H294" s="208"/>
      <c r="J294" s="114" t="str">
        <f t="shared" si="128"/>
        <v/>
      </c>
      <c r="K294" s="114" t="str">
        <f>IF(COUNTBLANK(R294)&gt;0,"",CONCATENATE(R294," for ",N284))</f>
        <v/>
      </c>
      <c r="N294" s="123" t="s">
        <v>122</v>
      </c>
      <c r="O294" s="66"/>
      <c r="P294" s="121"/>
      <c r="Q294" s="121"/>
      <c r="R294" s="121"/>
      <c r="S294" s="133">
        <f>M284</f>
        <v>0</v>
      </c>
      <c r="T294" s="120"/>
      <c r="U294" s="121" t="s">
        <v>292</v>
      </c>
      <c r="V294" s="133">
        <f t="shared" si="121"/>
        <v>0</v>
      </c>
      <c r="W294" s="133">
        <f>VLOOKUP(U294,Sheet1!$B$6:$C$45,2,FALSE)*V294</f>
        <v>0</v>
      </c>
      <c r="X294" s="141"/>
      <c r="Y294" s="121" t="s">
        <v>292</v>
      </c>
      <c r="Z294" s="146">
        <f>VLOOKUP(Takeoffs!Y294,Sheet1!$B$6:$C$124,2,FALSE)</f>
        <v>0</v>
      </c>
      <c r="AA294" s="146">
        <f t="shared" si="122"/>
        <v>0</v>
      </c>
      <c r="AB294" s="143">
        <f t="shared" si="123"/>
        <v>0</v>
      </c>
      <c r="AC294" s="133">
        <f t="shared" si="124"/>
        <v>0</v>
      </c>
      <c r="AD294" s="142">
        <v>2</v>
      </c>
      <c r="AE294" s="141"/>
      <c r="AF294" s="121" t="s">
        <v>292</v>
      </c>
      <c r="AG294" s="146">
        <f>VLOOKUP(Takeoffs!AF294,Sheet1!$B$6:$C$124,2,FALSE)</f>
        <v>0</v>
      </c>
      <c r="AH294" s="146">
        <f t="shared" si="125"/>
        <v>0</v>
      </c>
      <c r="AI294" s="143">
        <f t="shared" si="126"/>
        <v>0</v>
      </c>
      <c r="AJ294" s="133">
        <f t="shared" si="127"/>
        <v>0</v>
      </c>
      <c r="AK294" s="142">
        <f>T294</f>
        <v>0</v>
      </c>
      <c r="AL294" s="141"/>
      <c r="AO294" s="286"/>
      <c r="AP294" s="284">
        <f t="shared" si="116"/>
        <v>0</v>
      </c>
      <c r="AQ294" s="281">
        <f t="shared" si="117"/>
        <v>0</v>
      </c>
      <c r="AR294" s="284">
        <f t="shared" si="118"/>
        <v>0</v>
      </c>
      <c r="AS294" s="281">
        <f t="shared" si="119"/>
        <v>0</v>
      </c>
      <c r="AT294" s="284">
        <f t="shared" si="120"/>
        <v>0</v>
      </c>
    </row>
    <row r="295" spans="1:46" s="114" customFormat="1" ht="30.9" x14ac:dyDescent="0.8">
      <c r="A295" s="262">
        <f>ROW()</f>
        <v>295</v>
      </c>
      <c r="C295" s="208"/>
      <c r="D295" s="208"/>
      <c r="E295" s="208"/>
      <c r="F295" s="208"/>
      <c r="G295" s="208"/>
      <c r="H295" s="208"/>
      <c r="J295" s="114" t="str">
        <f t="shared" si="128"/>
        <v/>
      </c>
      <c r="K295" s="114" t="str">
        <f>IF(COUNTBLANK(R295)&gt;0,"",CONCATENATE(R295," for ",N284))</f>
        <v/>
      </c>
      <c r="N295" s="123" t="s">
        <v>123</v>
      </c>
      <c r="O295" s="66"/>
      <c r="P295" s="121"/>
      <c r="Q295" s="121"/>
      <c r="R295" s="121"/>
      <c r="S295" s="133">
        <f>M284</f>
        <v>0</v>
      </c>
      <c r="T295" s="120"/>
      <c r="U295" s="121" t="s">
        <v>292</v>
      </c>
      <c r="V295" s="133">
        <f t="shared" si="121"/>
        <v>0</v>
      </c>
      <c r="W295" s="133">
        <f>VLOOKUP(U295,Sheet1!$B$6:$C$45,2,FALSE)*V295</f>
        <v>0</v>
      </c>
      <c r="X295" s="141"/>
      <c r="Y295" s="121" t="s">
        <v>292</v>
      </c>
      <c r="Z295" s="146">
        <f>VLOOKUP(Takeoffs!Y295,Sheet1!$B$6:$C$124,2,FALSE)</f>
        <v>0</v>
      </c>
      <c r="AA295" s="146">
        <f t="shared" si="122"/>
        <v>0</v>
      </c>
      <c r="AB295" s="143">
        <f t="shared" si="123"/>
        <v>0</v>
      </c>
      <c r="AC295" s="133">
        <f t="shared" si="124"/>
        <v>0</v>
      </c>
      <c r="AD295" s="142">
        <v>1</v>
      </c>
      <c r="AE295" s="141"/>
      <c r="AF295" s="121" t="s">
        <v>292</v>
      </c>
      <c r="AG295" s="146">
        <f>VLOOKUP(Takeoffs!AF295,Sheet1!$B$6:$C$124,2,FALSE)</f>
        <v>0</v>
      </c>
      <c r="AH295" s="146">
        <f t="shared" si="125"/>
        <v>0</v>
      </c>
      <c r="AI295" s="143">
        <f t="shared" si="126"/>
        <v>0</v>
      </c>
      <c r="AJ295" s="133">
        <f t="shared" si="127"/>
        <v>0</v>
      </c>
      <c r="AK295" s="142">
        <v>0</v>
      </c>
      <c r="AL295" s="141"/>
      <c r="AO295" s="286"/>
      <c r="AP295" s="284">
        <f t="shared" si="116"/>
        <v>0</v>
      </c>
      <c r="AQ295" s="281">
        <f t="shared" si="117"/>
        <v>0</v>
      </c>
      <c r="AR295" s="284">
        <f t="shared" si="118"/>
        <v>0</v>
      </c>
      <c r="AS295" s="281">
        <f t="shared" si="119"/>
        <v>0</v>
      </c>
      <c r="AT295" s="284">
        <f t="shared" si="120"/>
        <v>0</v>
      </c>
    </row>
    <row r="296" spans="1:46" s="114" customFormat="1" ht="30.9" x14ac:dyDescent="0.8">
      <c r="A296" s="262">
        <f>ROW()</f>
        <v>296</v>
      </c>
      <c r="C296" s="208"/>
      <c r="D296" s="208"/>
      <c r="E296" s="208"/>
      <c r="F296" s="208"/>
      <c r="G296" s="208"/>
      <c r="H296" s="208"/>
      <c r="J296" s="114" t="str">
        <f t="shared" si="128"/>
        <v/>
      </c>
      <c r="K296" s="114" t="str">
        <f>IF(COUNTBLANK(R296)&gt;0,"",CONCATENATE(R296," for ",N284))</f>
        <v/>
      </c>
      <c r="N296" s="123" t="s">
        <v>124</v>
      </c>
      <c r="O296" s="66" t="s">
        <v>140</v>
      </c>
      <c r="P296" s="121"/>
      <c r="Q296" s="121"/>
      <c r="R296" s="121"/>
      <c r="S296" s="133">
        <f>M284</f>
        <v>0</v>
      </c>
      <c r="T296" s="120"/>
      <c r="U296" s="121" t="s">
        <v>364</v>
      </c>
      <c r="V296" s="133">
        <f t="shared" si="121"/>
        <v>0</v>
      </c>
      <c r="W296" s="133">
        <f>VLOOKUP(U296,Sheet1!$B$6:$C$45,2,FALSE)*V296</f>
        <v>0</v>
      </c>
      <c r="X296" s="141"/>
      <c r="Y296" s="121" t="s">
        <v>292</v>
      </c>
      <c r="Z296" s="146">
        <f>VLOOKUP(Takeoffs!Y296,Sheet1!$B$6:$C$124,2,FALSE)</f>
        <v>0</v>
      </c>
      <c r="AA296" s="146">
        <f t="shared" si="122"/>
        <v>0</v>
      </c>
      <c r="AB296" s="143">
        <f t="shared" si="123"/>
        <v>0</v>
      </c>
      <c r="AC296" s="133">
        <f t="shared" si="124"/>
        <v>0</v>
      </c>
      <c r="AD296" s="142">
        <v>1</v>
      </c>
      <c r="AE296" s="141"/>
      <c r="AF296" s="121" t="s">
        <v>292</v>
      </c>
      <c r="AG296" s="146">
        <f>VLOOKUP(Takeoffs!AF296,Sheet1!$B$6:$C$124,2,FALSE)</f>
        <v>0</v>
      </c>
      <c r="AH296" s="146">
        <f t="shared" si="125"/>
        <v>0</v>
      </c>
      <c r="AI296" s="143">
        <f t="shared" si="126"/>
        <v>0</v>
      </c>
      <c r="AJ296" s="133">
        <f t="shared" si="127"/>
        <v>0</v>
      </c>
      <c r="AK296" s="142">
        <f t="shared" ref="AK296:AK304" si="129">T296</f>
        <v>0</v>
      </c>
      <c r="AL296" s="141"/>
      <c r="AO296" s="286"/>
      <c r="AP296" s="284">
        <f t="shared" si="116"/>
        <v>0</v>
      </c>
      <c r="AQ296" s="281">
        <f t="shared" si="117"/>
        <v>0</v>
      </c>
      <c r="AR296" s="284">
        <f t="shared" si="118"/>
        <v>0</v>
      </c>
      <c r="AS296" s="281">
        <f t="shared" si="119"/>
        <v>0</v>
      </c>
      <c r="AT296" s="284">
        <f t="shared" si="120"/>
        <v>0</v>
      </c>
    </row>
    <row r="297" spans="1:46" s="114" customFormat="1" ht="30.9" x14ac:dyDescent="0.8">
      <c r="A297" s="262">
        <f>ROW()</f>
        <v>297</v>
      </c>
      <c r="C297" s="208"/>
      <c r="D297" s="208"/>
      <c r="E297" s="208"/>
      <c r="F297" s="208"/>
      <c r="G297" s="208"/>
      <c r="H297" s="208"/>
      <c r="J297" s="114" t="str">
        <f t="shared" si="128"/>
        <v/>
      </c>
      <c r="K297" s="114" t="str">
        <f>IF(COUNTBLANK(R297)&gt;0,"",CONCATENATE(R297," for ",N284))</f>
        <v/>
      </c>
      <c r="N297" s="123" t="s">
        <v>125</v>
      </c>
      <c r="O297" s="66" t="s">
        <v>312</v>
      </c>
      <c r="P297" s="121"/>
      <c r="Q297" s="121"/>
      <c r="R297" s="121"/>
      <c r="S297" s="133">
        <f>M284</f>
        <v>0</v>
      </c>
      <c r="T297" s="120"/>
      <c r="U297" s="121" t="s">
        <v>232</v>
      </c>
      <c r="V297" s="133">
        <f t="shared" si="121"/>
        <v>0</v>
      </c>
      <c r="W297" s="133">
        <f>VLOOKUP(U297,Sheet1!$B$6:$C$45,2,FALSE)*V297</f>
        <v>0</v>
      </c>
      <c r="X297" s="141"/>
      <c r="Y297" s="122" t="s">
        <v>1345</v>
      </c>
      <c r="Z297" s="146">
        <f>VLOOKUP(Takeoffs!Y297,Sheet1!$B$6:$C$124,2,FALSE)</f>
        <v>109.25999999999999</v>
      </c>
      <c r="AA297" s="146">
        <f t="shared" si="122"/>
        <v>0</v>
      </c>
      <c r="AB297" s="143">
        <f t="shared" si="123"/>
        <v>0</v>
      </c>
      <c r="AC297" s="133">
        <f t="shared" si="124"/>
        <v>0</v>
      </c>
      <c r="AD297" s="142">
        <v>1</v>
      </c>
      <c r="AE297" s="141"/>
      <c r="AF297" s="121" t="s">
        <v>292</v>
      </c>
      <c r="AG297" s="146">
        <f>VLOOKUP(Takeoffs!AF297,Sheet1!$B$6:$C$124,2,FALSE)</f>
        <v>0</v>
      </c>
      <c r="AH297" s="146">
        <f t="shared" si="125"/>
        <v>0</v>
      </c>
      <c r="AI297" s="143">
        <f t="shared" si="126"/>
        <v>0</v>
      </c>
      <c r="AJ297" s="133">
        <f t="shared" si="127"/>
        <v>0</v>
      </c>
      <c r="AK297" s="142">
        <f t="shared" si="129"/>
        <v>0</v>
      </c>
      <c r="AL297" s="141"/>
      <c r="AO297" s="286"/>
      <c r="AP297" s="284">
        <f t="shared" si="116"/>
        <v>0</v>
      </c>
      <c r="AQ297" s="281">
        <f t="shared" si="117"/>
        <v>0</v>
      </c>
      <c r="AR297" s="284">
        <f t="shared" si="118"/>
        <v>0</v>
      </c>
      <c r="AS297" s="281">
        <f t="shared" si="119"/>
        <v>0</v>
      </c>
      <c r="AT297" s="284">
        <f t="shared" si="120"/>
        <v>0</v>
      </c>
    </row>
    <row r="298" spans="1:46" s="114" customFormat="1" ht="30.9" x14ac:dyDescent="0.8">
      <c r="A298" s="262">
        <f>ROW()</f>
        <v>298</v>
      </c>
      <c r="C298" s="208"/>
      <c r="D298" s="208"/>
      <c r="E298" s="208"/>
      <c r="F298" s="208"/>
      <c r="G298" s="208"/>
      <c r="H298" s="208"/>
      <c r="J298" s="114" t="str">
        <f t="shared" si="128"/>
        <v/>
      </c>
      <c r="K298" s="114" t="str">
        <f>IF(COUNTBLANK(R298)&gt;0,"",CONCATENATE(R298," for ",N284))</f>
        <v/>
      </c>
      <c r="N298" s="123" t="s">
        <v>126</v>
      </c>
      <c r="O298" s="66" t="s">
        <v>313</v>
      </c>
      <c r="P298" s="121"/>
      <c r="Q298" s="121"/>
      <c r="R298" s="121"/>
      <c r="S298" s="133">
        <f>M284</f>
        <v>0</v>
      </c>
      <c r="T298" s="120"/>
      <c r="U298" s="121" t="s">
        <v>363</v>
      </c>
      <c r="V298" s="133">
        <f t="shared" si="121"/>
        <v>0</v>
      </c>
      <c r="W298" s="133">
        <f>VLOOKUP(U298,Sheet1!$B$6:$C$45,2,FALSE)*V298</f>
        <v>0</v>
      </c>
      <c r="X298" s="141"/>
      <c r="Y298" s="122" t="s">
        <v>321</v>
      </c>
      <c r="Z298" s="146">
        <f>VLOOKUP(Takeoffs!Y298,Sheet1!$B$6:$C$124,2,FALSE)</f>
        <v>60</v>
      </c>
      <c r="AA298" s="146">
        <f t="shared" si="122"/>
        <v>0</v>
      </c>
      <c r="AB298" s="143">
        <f t="shared" si="123"/>
        <v>0</v>
      </c>
      <c r="AC298" s="133">
        <f t="shared" si="124"/>
        <v>0</v>
      </c>
      <c r="AD298" s="142">
        <v>1</v>
      </c>
      <c r="AE298" s="141"/>
      <c r="AF298" s="121" t="s">
        <v>292</v>
      </c>
      <c r="AG298" s="146">
        <f>VLOOKUP(Takeoffs!AF298,Sheet1!$B$6:$C$124,2,FALSE)</f>
        <v>0</v>
      </c>
      <c r="AH298" s="146">
        <f t="shared" si="125"/>
        <v>0</v>
      </c>
      <c r="AI298" s="143">
        <f t="shared" si="126"/>
        <v>0</v>
      </c>
      <c r="AJ298" s="133">
        <f t="shared" si="127"/>
        <v>0</v>
      </c>
      <c r="AK298" s="142">
        <f t="shared" si="129"/>
        <v>0</v>
      </c>
      <c r="AL298" s="141"/>
      <c r="AO298" s="286"/>
      <c r="AP298" s="284">
        <f t="shared" si="116"/>
        <v>0</v>
      </c>
      <c r="AQ298" s="281">
        <f t="shared" si="117"/>
        <v>0</v>
      </c>
      <c r="AR298" s="284">
        <f t="shared" si="118"/>
        <v>0</v>
      </c>
      <c r="AS298" s="281">
        <f t="shared" si="119"/>
        <v>0</v>
      </c>
      <c r="AT298" s="284">
        <f t="shared" si="120"/>
        <v>0</v>
      </c>
    </row>
    <row r="299" spans="1:46" s="114" customFormat="1" ht="30.9" x14ac:dyDescent="0.8">
      <c r="A299" s="262">
        <f>ROW()</f>
        <v>299</v>
      </c>
      <c r="C299" s="208"/>
      <c r="D299" s="208"/>
      <c r="E299" s="208"/>
      <c r="F299" s="208"/>
      <c r="G299" s="208"/>
      <c r="H299" s="208"/>
      <c r="J299" s="114" t="str">
        <f t="shared" si="128"/>
        <v/>
      </c>
      <c r="K299" s="114" t="str">
        <f>IF(COUNTBLANK(R299)&gt;0,"",CONCATENATE(R299," for ",N284))</f>
        <v>Run and fault lights for carpark fan ( excluding controls)</v>
      </c>
      <c r="N299" s="123" t="s">
        <v>127</v>
      </c>
      <c r="O299" s="66" t="s">
        <v>314</v>
      </c>
      <c r="P299" s="121"/>
      <c r="Q299" s="121"/>
      <c r="R299" s="121" t="s">
        <v>455</v>
      </c>
      <c r="S299" s="133">
        <f>M284</f>
        <v>0</v>
      </c>
      <c r="T299" s="120"/>
      <c r="U299" s="121" t="s">
        <v>292</v>
      </c>
      <c r="V299" s="133">
        <f t="shared" si="121"/>
        <v>0</v>
      </c>
      <c r="W299" s="133">
        <f>VLOOKUP(U299,Sheet1!$B$6:$C$45,2,FALSE)*V299</f>
        <v>0</v>
      </c>
      <c r="X299" s="141"/>
      <c r="Y299" s="122" t="s">
        <v>280</v>
      </c>
      <c r="Z299" s="146">
        <f>VLOOKUP(Takeoffs!Y299,Sheet1!$B$6:$C$124,2,FALSE)</f>
        <v>19.2</v>
      </c>
      <c r="AA299" s="146">
        <f t="shared" si="122"/>
        <v>0</v>
      </c>
      <c r="AB299" s="143">
        <f t="shared" si="123"/>
        <v>0</v>
      </c>
      <c r="AC299" s="133">
        <f t="shared" si="124"/>
        <v>0</v>
      </c>
      <c r="AD299" s="142">
        <v>1</v>
      </c>
      <c r="AE299" s="141"/>
      <c r="AF299" s="121" t="s">
        <v>292</v>
      </c>
      <c r="AG299" s="146">
        <f>VLOOKUP(Takeoffs!AF299,Sheet1!$B$6:$C$124,2,FALSE)</f>
        <v>0</v>
      </c>
      <c r="AH299" s="146">
        <f t="shared" si="125"/>
        <v>0</v>
      </c>
      <c r="AI299" s="143">
        <f t="shared" si="126"/>
        <v>0</v>
      </c>
      <c r="AJ299" s="133">
        <f t="shared" si="127"/>
        <v>0</v>
      </c>
      <c r="AK299" s="142">
        <f t="shared" si="129"/>
        <v>0</v>
      </c>
      <c r="AL299" s="141"/>
      <c r="AO299" s="286"/>
      <c r="AP299" s="284">
        <f t="shared" si="116"/>
        <v>0</v>
      </c>
      <c r="AQ299" s="281">
        <f t="shared" si="117"/>
        <v>0</v>
      </c>
      <c r="AR299" s="284">
        <f t="shared" si="118"/>
        <v>0</v>
      </c>
      <c r="AS299" s="281">
        <f t="shared" si="119"/>
        <v>0</v>
      </c>
      <c r="AT299" s="284">
        <f t="shared" si="120"/>
        <v>0</v>
      </c>
    </row>
    <row r="300" spans="1:46" s="114" customFormat="1" ht="30.9" x14ac:dyDescent="0.8">
      <c r="A300" s="262">
        <f>ROW()</f>
        <v>300</v>
      </c>
      <c r="C300" s="208"/>
      <c r="D300" s="208"/>
      <c r="E300" s="208"/>
      <c r="F300" s="208"/>
      <c r="G300" s="208"/>
      <c r="H300" s="208"/>
      <c r="J300" s="114" t="str">
        <f t="shared" si="128"/>
        <v/>
      </c>
      <c r="K300" s="114" t="str">
        <f>IF(COUNTBLANK(R300)&gt;0,"",CONCATENATE(R300," for ",N284))</f>
        <v/>
      </c>
      <c r="N300" s="123" t="s">
        <v>128</v>
      </c>
      <c r="O300" s="66" t="s">
        <v>315</v>
      </c>
      <c r="P300" s="121"/>
      <c r="Q300" s="121"/>
      <c r="R300" s="121"/>
      <c r="S300" s="133">
        <f>M284</f>
        <v>0</v>
      </c>
      <c r="T300" s="120"/>
      <c r="U300" s="121" t="s">
        <v>292</v>
      </c>
      <c r="V300" s="133">
        <f t="shared" si="121"/>
        <v>0</v>
      </c>
      <c r="W300" s="133">
        <f>VLOOKUP(U300,Sheet1!$B$6:$C$45,2,FALSE)*V300</f>
        <v>0</v>
      </c>
      <c r="X300" s="141"/>
      <c r="Y300" s="122" t="s">
        <v>280</v>
      </c>
      <c r="Z300" s="146">
        <f>VLOOKUP(Takeoffs!Y300,Sheet1!$B$6:$C$124,2,FALSE)</f>
        <v>19.2</v>
      </c>
      <c r="AA300" s="146">
        <f t="shared" si="122"/>
        <v>0</v>
      </c>
      <c r="AB300" s="143">
        <f t="shared" si="123"/>
        <v>0</v>
      </c>
      <c r="AC300" s="133">
        <f t="shared" si="124"/>
        <v>0</v>
      </c>
      <c r="AD300" s="142">
        <v>1</v>
      </c>
      <c r="AE300" s="141"/>
      <c r="AF300" s="121" t="s">
        <v>292</v>
      </c>
      <c r="AG300" s="146">
        <f>VLOOKUP(Takeoffs!AF300,Sheet1!$B$6:$C$124,2,FALSE)</f>
        <v>0</v>
      </c>
      <c r="AH300" s="146">
        <f t="shared" si="125"/>
        <v>0</v>
      </c>
      <c r="AI300" s="143">
        <f t="shared" si="126"/>
        <v>0</v>
      </c>
      <c r="AJ300" s="133">
        <f t="shared" si="127"/>
        <v>0</v>
      </c>
      <c r="AK300" s="142">
        <f t="shared" si="129"/>
        <v>0</v>
      </c>
      <c r="AL300" s="141"/>
      <c r="AO300" s="286"/>
      <c r="AP300" s="284">
        <f t="shared" si="116"/>
        <v>0</v>
      </c>
      <c r="AQ300" s="281">
        <f t="shared" si="117"/>
        <v>0</v>
      </c>
      <c r="AR300" s="284">
        <f t="shared" si="118"/>
        <v>0</v>
      </c>
      <c r="AS300" s="281">
        <f t="shared" si="119"/>
        <v>0</v>
      </c>
      <c r="AT300" s="284">
        <f t="shared" si="120"/>
        <v>0</v>
      </c>
    </row>
    <row r="301" spans="1:46" s="114" customFormat="1" ht="30.9" x14ac:dyDescent="0.8">
      <c r="A301" s="262">
        <f>ROW()</f>
        <v>301</v>
      </c>
      <c r="C301" s="208"/>
      <c r="D301" s="208"/>
      <c r="E301" s="208"/>
      <c r="F301" s="208"/>
      <c r="G301" s="208"/>
      <c r="H301" s="208"/>
      <c r="J301" s="114" t="str">
        <f t="shared" si="128"/>
        <v/>
      </c>
      <c r="K301" s="114" t="str">
        <f>IF(COUNTBLANK(R301)&gt;0,"",CONCATENATE(R301," for ",N284))</f>
        <v>Auto/Off/On switch for carpark fan ( excluding controls)</v>
      </c>
      <c r="N301" s="123" t="s">
        <v>129</v>
      </c>
      <c r="O301" s="66" t="s">
        <v>329</v>
      </c>
      <c r="P301" s="121"/>
      <c r="Q301" s="121"/>
      <c r="R301" s="121" t="s">
        <v>304</v>
      </c>
      <c r="S301" s="133">
        <f>M284</f>
        <v>0</v>
      </c>
      <c r="T301" s="120"/>
      <c r="U301" s="121" t="s">
        <v>292</v>
      </c>
      <c r="V301" s="133">
        <f t="shared" si="121"/>
        <v>0</v>
      </c>
      <c r="W301" s="133">
        <f>VLOOKUP(U301,Sheet1!$B$6:$C$45,2,FALSE)*V301</f>
        <v>0</v>
      </c>
      <c r="X301" s="141"/>
      <c r="Y301" s="122" t="s">
        <v>277</v>
      </c>
      <c r="Z301" s="146">
        <f>VLOOKUP(Takeoffs!Y301,Sheet1!$B$6:$C$124,2,FALSE)</f>
        <v>69.540000000000006</v>
      </c>
      <c r="AA301" s="146">
        <f t="shared" si="122"/>
        <v>0</v>
      </c>
      <c r="AB301" s="143">
        <f t="shared" si="123"/>
        <v>0</v>
      </c>
      <c r="AC301" s="133">
        <f t="shared" si="124"/>
        <v>0</v>
      </c>
      <c r="AD301" s="142">
        <v>1</v>
      </c>
      <c r="AE301" s="141"/>
      <c r="AF301" s="121" t="s">
        <v>292</v>
      </c>
      <c r="AG301" s="146">
        <f>VLOOKUP(Takeoffs!AF301,Sheet1!$B$6:$C$124,2,FALSE)</f>
        <v>0</v>
      </c>
      <c r="AH301" s="146">
        <f t="shared" si="125"/>
        <v>0</v>
      </c>
      <c r="AI301" s="143">
        <f t="shared" si="126"/>
        <v>0</v>
      </c>
      <c r="AJ301" s="133">
        <f t="shared" si="127"/>
        <v>0</v>
      </c>
      <c r="AK301" s="142">
        <f t="shared" si="129"/>
        <v>0</v>
      </c>
      <c r="AL301" s="141"/>
      <c r="AO301" s="286"/>
      <c r="AP301" s="284">
        <f t="shared" si="116"/>
        <v>0</v>
      </c>
      <c r="AQ301" s="281">
        <f t="shared" si="117"/>
        <v>0</v>
      </c>
      <c r="AR301" s="284">
        <f t="shared" si="118"/>
        <v>0</v>
      </c>
      <c r="AS301" s="281">
        <f t="shared" si="119"/>
        <v>0</v>
      </c>
      <c r="AT301" s="284">
        <f t="shared" si="120"/>
        <v>0</v>
      </c>
    </row>
    <row r="302" spans="1:46" s="114" customFormat="1" ht="30.9" x14ac:dyDescent="0.8">
      <c r="A302" s="262">
        <f>ROW()</f>
        <v>302</v>
      </c>
      <c r="C302" s="208"/>
      <c r="D302" s="208"/>
      <c r="E302" s="208"/>
      <c r="F302" s="208"/>
      <c r="G302" s="208"/>
      <c r="H302" s="208"/>
      <c r="J302" s="114" t="str">
        <f t="shared" si="128"/>
        <v/>
      </c>
      <c r="K302" s="114" t="str">
        <f>IF(COUNTBLANK(R302)&gt;0,"",CONCATENATE(R302," for ",N284))</f>
        <v/>
      </c>
      <c r="N302" s="123" t="s">
        <v>130</v>
      </c>
      <c r="O302" s="66"/>
      <c r="P302" s="121"/>
      <c r="Q302" s="121"/>
      <c r="R302" s="121"/>
      <c r="S302" s="133">
        <f>M284</f>
        <v>0</v>
      </c>
      <c r="T302" s="120"/>
      <c r="U302" s="121" t="s">
        <v>292</v>
      </c>
      <c r="V302" s="133">
        <f t="shared" si="121"/>
        <v>0</v>
      </c>
      <c r="W302" s="133">
        <f>VLOOKUP(U302,Sheet1!$B$6:$C$45,2,FALSE)*V302</f>
        <v>0</v>
      </c>
      <c r="X302" s="141"/>
      <c r="Y302" s="121" t="s">
        <v>292</v>
      </c>
      <c r="Z302" s="146">
        <f>VLOOKUP(Takeoffs!Y302,Sheet1!$B$6:$C$124,2,FALSE)</f>
        <v>0</v>
      </c>
      <c r="AA302" s="146">
        <f t="shared" si="122"/>
        <v>0</v>
      </c>
      <c r="AB302" s="143">
        <f t="shared" si="123"/>
        <v>0</v>
      </c>
      <c r="AC302" s="133">
        <f t="shared" si="124"/>
        <v>0</v>
      </c>
      <c r="AD302" s="142">
        <v>1</v>
      </c>
      <c r="AE302" s="141"/>
      <c r="AF302" s="121" t="s">
        <v>292</v>
      </c>
      <c r="AG302" s="146">
        <f>VLOOKUP(Takeoffs!AF302,Sheet1!$B$6:$C$124,2,FALSE)</f>
        <v>0</v>
      </c>
      <c r="AH302" s="146">
        <f t="shared" si="125"/>
        <v>0</v>
      </c>
      <c r="AI302" s="143">
        <f t="shared" si="126"/>
        <v>0</v>
      </c>
      <c r="AJ302" s="133">
        <f t="shared" si="127"/>
        <v>0</v>
      </c>
      <c r="AK302" s="142">
        <f t="shared" si="129"/>
        <v>0</v>
      </c>
      <c r="AL302" s="141"/>
      <c r="AO302" s="286"/>
      <c r="AP302" s="284">
        <f t="shared" si="116"/>
        <v>0</v>
      </c>
      <c r="AQ302" s="281">
        <f t="shared" si="117"/>
        <v>0</v>
      </c>
      <c r="AR302" s="284">
        <f t="shared" si="118"/>
        <v>0</v>
      </c>
      <c r="AS302" s="281">
        <f t="shared" si="119"/>
        <v>0</v>
      </c>
      <c r="AT302" s="284">
        <f t="shared" si="120"/>
        <v>0</v>
      </c>
    </row>
    <row r="303" spans="1:46" s="114" customFormat="1" ht="30.9" x14ac:dyDescent="0.8">
      <c r="A303" s="262">
        <f>ROW()</f>
        <v>303</v>
      </c>
      <c r="C303" s="208"/>
      <c r="D303" s="208"/>
      <c r="E303" s="208"/>
      <c r="F303" s="208"/>
      <c r="G303" s="208"/>
      <c r="H303" s="208"/>
      <c r="J303" s="114" t="str">
        <f t="shared" si="128"/>
        <v>Coordination Note: - Fire trade: Please refer to our exclusions relating to fire cabling from FIP.</v>
      </c>
      <c r="K303" s="114" t="str">
        <f>IF(COUNTBLANK(R303)&gt;0,"",CONCATENATE(R303," for ",N284))</f>
        <v/>
      </c>
      <c r="N303" s="123" t="s">
        <v>131</v>
      </c>
      <c r="O303" s="66" t="s">
        <v>708</v>
      </c>
      <c r="P303" s="121" t="s">
        <v>380</v>
      </c>
      <c r="Q303" s="121" t="s">
        <v>384</v>
      </c>
      <c r="R303" s="121"/>
      <c r="S303" s="133">
        <f>M284</f>
        <v>0</v>
      </c>
      <c r="T303" s="120"/>
      <c r="U303" s="121" t="s">
        <v>292</v>
      </c>
      <c r="V303" s="133">
        <f t="shared" si="121"/>
        <v>0</v>
      </c>
      <c r="W303" s="133">
        <f>VLOOKUP(U303,Sheet1!$B$6:$C$45,2,FALSE)*V303</f>
        <v>0</v>
      </c>
      <c r="X303" s="141"/>
      <c r="Y303" s="122" t="s">
        <v>322</v>
      </c>
      <c r="Z303" s="146">
        <f>VLOOKUP(Takeoffs!Y303,Sheet1!$B$6:$C$124,2,FALSE)</f>
        <v>48</v>
      </c>
      <c r="AA303" s="146">
        <f t="shared" si="122"/>
        <v>0</v>
      </c>
      <c r="AB303" s="143">
        <f t="shared" si="123"/>
        <v>0</v>
      </c>
      <c r="AC303" s="133">
        <f t="shared" si="124"/>
        <v>0</v>
      </c>
      <c r="AD303" s="142">
        <v>1</v>
      </c>
      <c r="AE303" s="141"/>
      <c r="AF303" s="121" t="s">
        <v>292</v>
      </c>
      <c r="AG303" s="146">
        <f>VLOOKUP(Takeoffs!AF303,Sheet1!$B$6:$C$124,2,FALSE)</f>
        <v>0</v>
      </c>
      <c r="AH303" s="146">
        <f t="shared" si="125"/>
        <v>0</v>
      </c>
      <c r="AI303" s="143">
        <f t="shared" si="126"/>
        <v>0</v>
      </c>
      <c r="AJ303" s="133">
        <f t="shared" si="127"/>
        <v>0</v>
      </c>
      <c r="AK303" s="142">
        <f t="shared" si="129"/>
        <v>0</v>
      </c>
      <c r="AL303" s="141"/>
      <c r="AO303" s="286"/>
      <c r="AP303" s="284">
        <f t="shared" si="116"/>
        <v>0</v>
      </c>
      <c r="AQ303" s="281">
        <f t="shared" si="117"/>
        <v>0</v>
      </c>
      <c r="AR303" s="284">
        <f t="shared" si="118"/>
        <v>0</v>
      </c>
      <c r="AS303" s="281">
        <f t="shared" si="119"/>
        <v>0</v>
      </c>
      <c r="AT303" s="284">
        <f t="shared" si="120"/>
        <v>0</v>
      </c>
    </row>
    <row r="304" spans="1:46" s="114" customFormat="1" ht="30.9" x14ac:dyDescent="0.8">
      <c r="A304" s="262">
        <f>ROW()</f>
        <v>304</v>
      </c>
      <c r="C304" s="208"/>
      <c r="D304" s="208"/>
      <c r="E304" s="208"/>
      <c r="F304" s="208"/>
      <c r="G304" s="208"/>
      <c r="H304" s="208"/>
      <c r="J304" s="114" t="str">
        <f t="shared" si="128"/>
        <v/>
      </c>
      <c r="K304" s="114" t="str">
        <f>IF(COUNTBLANK(R304)&gt;0,"",CONCATENATE(R304," for ",N284))</f>
        <v/>
      </c>
      <c r="N304" s="123" t="s">
        <v>132</v>
      </c>
      <c r="O304" s="66" t="s">
        <v>408</v>
      </c>
      <c r="P304" s="121"/>
      <c r="Q304" s="121"/>
      <c r="R304" s="121"/>
      <c r="S304" s="133">
        <f>M284</f>
        <v>0</v>
      </c>
      <c r="T304" s="120"/>
      <c r="U304" s="121" t="s">
        <v>364</v>
      </c>
      <c r="V304" s="133">
        <f t="shared" si="121"/>
        <v>0</v>
      </c>
      <c r="W304" s="133">
        <f>VLOOKUP(U304,Sheet1!$B$6:$C$45,2,FALSE)*V304</f>
        <v>0</v>
      </c>
      <c r="X304" s="141"/>
      <c r="Y304" s="121" t="s">
        <v>292</v>
      </c>
      <c r="Z304" s="146">
        <f>VLOOKUP(Takeoffs!Y304,Sheet1!$B$6:$C$124,2,FALSE)</f>
        <v>0</v>
      </c>
      <c r="AA304" s="146">
        <f t="shared" si="122"/>
        <v>0</v>
      </c>
      <c r="AB304" s="143">
        <f t="shared" si="123"/>
        <v>0</v>
      </c>
      <c r="AC304" s="133">
        <f t="shared" si="124"/>
        <v>0</v>
      </c>
      <c r="AD304" s="142">
        <v>1</v>
      </c>
      <c r="AE304" s="141"/>
      <c r="AF304" s="121" t="s">
        <v>292</v>
      </c>
      <c r="AG304" s="146">
        <f>VLOOKUP(Takeoffs!AF304,Sheet1!$B$6:$C$124,2,FALSE)</f>
        <v>0</v>
      </c>
      <c r="AH304" s="146">
        <f t="shared" si="125"/>
        <v>0</v>
      </c>
      <c r="AI304" s="143">
        <f t="shared" si="126"/>
        <v>0</v>
      </c>
      <c r="AJ304" s="133">
        <f t="shared" si="127"/>
        <v>0</v>
      </c>
      <c r="AK304" s="142">
        <f t="shared" si="129"/>
        <v>0</v>
      </c>
      <c r="AL304" s="141"/>
      <c r="AO304" s="286"/>
      <c r="AP304" s="284">
        <f t="shared" si="116"/>
        <v>0</v>
      </c>
      <c r="AQ304" s="281">
        <f t="shared" si="117"/>
        <v>0</v>
      </c>
      <c r="AR304" s="284">
        <f t="shared" si="118"/>
        <v>0</v>
      </c>
      <c r="AS304" s="281">
        <f t="shared" si="119"/>
        <v>0</v>
      </c>
      <c r="AT304" s="284">
        <f t="shared" si="120"/>
        <v>0</v>
      </c>
    </row>
    <row r="305" spans="1:97" s="128" customFormat="1" ht="31.5" customHeight="1" x14ac:dyDescent="0.8">
      <c r="A305" s="262">
        <f>ROW()</f>
        <v>305</v>
      </c>
      <c r="C305" s="212"/>
      <c r="D305" s="212"/>
      <c r="E305" s="212"/>
      <c r="F305" s="212"/>
      <c r="G305" s="212"/>
      <c r="H305" s="212"/>
      <c r="J305" s="128" t="s">
        <v>377</v>
      </c>
      <c r="L305" s="128" t="s">
        <v>378</v>
      </c>
      <c r="N305" s="129"/>
      <c r="O305" s="130" t="s">
        <v>357</v>
      </c>
      <c r="P305" s="131">
        <f>V305+AA305+AH305</f>
        <v>0</v>
      </c>
      <c r="Q305" s="131"/>
      <c r="R305" s="131"/>
      <c r="S305" s="130"/>
      <c r="T305" s="127"/>
      <c r="U305" s="126" t="s">
        <v>351</v>
      </c>
      <c r="V305" s="127">
        <f>W305*80</f>
        <v>0</v>
      </c>
      <c r="W305" s="147">
        <f>SUM(W284:W304)</f>
        <v>0</v>
      </c>
      <c r="X305" s="148"/>
      <c r="Y305" s="127" t="s">
        <v>352</v>
      </c>
      <c r="Z305" s="116"/>
      <c r="AA305" s="116">
        <f>SUM(AA284:AA304)</f>
        <v>0</v>
      </c>
      <c r="AB305" s="149"/>
      <c r="AC305" s="149"/>
      <c r="AD305" s="149"/>
      <c r="AE305" s="149"/>
      <c r="AF305" s="127" t="s">
        <v>356</v>
      </c>
      <c r="AG305" s="116"/>
      <c r="AH305" s="116">
        <f>SUM(AH284:AH304)</f>
        <v>0</v>
      </c>
      <c r="AI305" s="149"/>
      <c r="AJ305" s="149"/>
      <c r="AK305" s="149"/>
      <c r="AL305" s="149"/>
      <c r="AM305" s="150">
        <f>P305</f>
        <v>0</v>
      </c>
      <c r="AO305" s="286"/>
      <c r="AP305" s="284">
        <f t="shared" si="116"/>
        <v>0</v>
      </c>
      <c r="AQ305" s="281">
        <f t="shared" si="117"/>
        <v>0</v>
      </c>
      <c r="AR305" s="284">
        <f t="shared" si="118"/>
        <v>0</v>
      </c>
      <c r="AS305" s="281">
        <f t="shared" si="119"/>
        <v>0</v>
      </c>
      <c r="AT305" s="284">
        <f t="shared" si="120"/>
        <v>0</v>
      </c>
    </row>
    <row r="306" spans="1:97" s="234" customFormat="1" ht="154.30000000000001" x14ac:dyDescent="0.8">
      <c r="A306" s="262">
        <f>ROW()</f>
        <v>306</v>
      </c>
      <c r="B306" s="234" t="s">
        <v>491</v>
      </c>
      <c r="C306" s="217" t="str">
        <f>N284</f>
        <v>carpark fan ( excluding controls)</v>
      </c>
      <c r="D306" s="260" t="s">
        <v>677</v>
      </c>
      <c r="E306" s="238"/>
      <c r="F306" s="217"/>
      <c r="G306" s="217"/>
      <c r="H306" s="245"/>
      <c r="I306" s="270"/>
      <c r="J306" s="241" t="str">
        <f>CONCATENATE(O284," ",L284, " (",M284,") ",N284,".", IF(M284&gt;1," Each "," This "),"includes supply and install of ",O285,O286,O287,O288,O289,O290,O291,O292,O293,O294,O295,O296,O297,O298,O299,O300,O301,O302,O303,O304,J285,J286,J287,J288,J289,J290,J291,J292,J293,J294,J295,J296,J297,J298,J299,J300,J301,J302,J303,J304)</f>
        <v>Electrical power supply and controls to Zero (0) carpark fan ( excluding controls). This includes supply and install of power and controls. Power for systems includes: CB, cabling to VSD, Danfoss VSD ( with internal program for stair press control), shielded cabling, local isolator, 003 padlock, fan isolator and manual controls AS1668.1  trefolyte label. Controls for systems includes: controls cabling, contactors/relays, air pressure  switch, run light, fault light, Auto/Off/On switch, interface for fire trade connection and commissioning/testing. Coordination Note: - Fire trade: Please refer to our exclusions relating to fire cabling from FIP.</v>
      </c>
      <c r="K306" s="246">
        <f>P305</f>
        <v>0</v>
      </c>
      <c r="L306" s="234" t="str">
        <f>CONCATENATE(Q285,Q286,Q287,Q288,Q289,Q290,Q291,Q292,Q293,Q294,Q295,Q296,Q297,Q298,Q299,Q300,Q301,Q302,Q303,Q304,)</f>
        <v>fire cabling from FIP.</v>
      </c>
      <c r="M306" s="166" t="s">
        <v>367</v>
      </c>
      <c r="N306" s="160" t="str">
        <f>N284</f>
        <v>carpark fan ( excluding controls)</v>
      </c>
      <c r="O306" s="160" t="s">
        <v>365</v>
      </c>
      <c r="P306" s="64" t="e">
        <f>P305/M284</f>
        <v>#DIV/0!</v>
      </c>
      <c r="Q306" s="161"/>
      <c r="R306" s="161"/>
      <c r="S306" s="160"/>
      <c r="T306" s="161"/>
      <c r="U306" s="503" t="s">
        <v>366</v>
      </c>
      <c r="V306" s="503"/>
      <c r="W306" s="162" t="e">
        <f>W305/M284</f>
        <v>#DIV/0!</v>
      </c>
      <c r="X306" s="163"/>
      <c r="Y306" s="501" t="s">
        <v>365</v>
      </c>
      <c r="Z306" s="501"/>
      <c r="AA306" s="164" t="e">
        <f>AA305/M284</f>
        <v>#DIV/0!</v>
      </c>
      <c r="AB306" s="161"/>
      <c r="AC306" s="161"/>
      <c r="AD306" s="161"/>
      <c r="AE306" s="161"/>
      <c r="AF306" s="501" t="s">
        <v>365</v>
      </c>
      <c r="AG306" s="501"/>
      <c r="AH306" s="164" t="e">
        <f>AH305/M284</f>
        <v>#DIV/0!</v>
      </c>
      <c r="AI306" s="161"/>
      <c r="AJ306" s="161"/>
      <c r="AK306" s="161"/>
      <c r="AL306" s="247"/>
      <c r="AM306" s="257"/>
      <c r="AN306" s="236">
        <f>K306*$D$9</f>
        <v>0</v>
      </c>
      <c r="AO306" s="286"/>
      <c r="AP306" s="284">
        <f t="shared" si="116"/>
        <v>0</v>
      </c>
      <c r="AQ306" s="281">
        <f t="shared" si="117"/>
        <v>0</v>
      </c>
      <c r="AR306" s="284">
        <f t="shared" si="118"/>
        <v>0</v>
      </c>
      <c r="AS306" s="281">
        <f t="shared" si="119"/>
        <v>0</v>
      </c>
      <c r="AT306" s="284">
        <f t="shared" si="120"/>
        <v>0</v>
      </c>
      <c r="AU306" s="117"/>
      <c r="AV306" s="117"/>
      <c r="AW306" s="117"/>
      <c r="AX306" s="117"/>
      <c r="AY306" s="117"/>
      <c r="AZ306" s="117"/>
      <c r="BA306" s="117"/>
      <c r="BB306" s="117"/>
      <c r="BC306" s="117"/>
      <c r="BD306" s="117"/>
      <c r="BE306" s="117"/>
      <c r="BF306" s="117"/>
      <c r="BG306" s="117"/>
      <c r="BH306" s="117"/>
      <c r="BI306" s="117"/>
      <c r="BJ306" s="117"/>
      <c r="BK306" s="117"/>
      <c r="BL306" s="117"/>
      <c r="BM306" s="117"/>
      <c r="BN306" s="117"/>
      <c r="BO306" s="117"/>
      <c r="BP306" s="117"/>
      <c r="BQ306" s="117"/>
      <c r="BR306" s="117"/>
      <c r="BS306" s="117"/>
      <c r="BT306" s="117"/>
      <c r="BU306" s="117"/>
      <c r="BV306" s="117"/>
      <c r="BW306" s="117"/>
      <c r="BX306" s="117"/>
      <c r="BY306" s="117"/>
      <c r="BZ306" s="117"/>
      <c r="CA306" s="117"/>
      <c r="CB306" s="117"/>
      <c r="CC306" s="117"/>
      <c r="CD306" s="117"/>
      <c r="CE306" s="117"/>
      <c r="CF306" s="117"/>
      <c r="CG306" s="117"/>
      <c r="CH306" s="117"/>
      <c r="CI306" s="117"/>
      <c r="CJ306" s="117"/>
      <c r="CK306" s="117"/>
      <c r="CL306" s="117"/>
      <c r="CM306" s="117"/>
      <c r="CN306" s="117"/>
      <c r="CO306" s="117"/>
      <c r="CP306" s="117"/>
      <c r="CQ306" s="117"/>
      <c r="CR306" s="117"/>
      <c r="CS306" s="117"/>
    </row>
    <row r="307" spans="1:97" s="2" customFormat="1" ht="192.75" customHeight="1" x14ac:dyDescent="0.8">
      <c r="A307" s="262">
        <f>ROW()</f>
        <v>307</v>
      </c>
      <c r="B307" s="116"/>
      <c r="C307" s="211"/>
      <c r="D307" s="211"/>
      <c r="E307" s="211"/>
      <c r="F307" s="211"/>
      <c r="G307" s="211"/>
      <c r="H307" s="211"/>
      <c r="I307" s="116"/>
      <c r="K307" s="2" t="s">
        <v>452</v>
      </c>
      <c r="M307" s="2" t="s">
        <v>107</v>
      </c>
      <c r="N307" s="2" t="s">
        <v>108</v>
      </c>
      <c r="O307" s="97" t="s">
        <v>386</v>
      </c>
      <c r="P307" s="502" t="s">
        <v>375</v>
      </c>
      <c r="Q307" s="502"/>
      <c r="R307" s="101" t="s">
        <v>452</v>
      </c>
      <c r="S307" s="2" t="s">
        <v>0</v>
      </c>
      <c r="T307" s="9"/>
      <c r="U307" s="2" t="s">
        <v>287</v>
      </c>
      <c r="V307" s="2" t="s">
        <v>288</v>
      </c>
      <c r="W307" s="2" t="s">
        <v>291</v>
      </c>
      <c r="X307" s="58"/>
      <c r="Y307" s="2" t="s">
        <v>289</v>
      </c>
      <c r="Z307" s="2" t="s">
        <v>354</v>
      </c>
      <c r="AA307" s="2" t="s">
        <v>355</v>
      </c>
      <c r="AB307" s="2" t="s">
        <v>317</v>
      </c>
      <c r="AC307" s="2" t="s">
        <v>318</v>
      </c>
      <c r="AD307" s="2" t="s">
        <v>316</v>
      </c>
      <c r="AE307" s="58"/>
      <c r="AF307" s="2" t="s">
        <v>293</v>
      </c>
      <c r="AG307" s="2" t="s">
        <v>354</v>
      </c>
      <c r="AH307" s="2" t="s">
        <v>355</v>
      </c>
      <c r="AI307" s="2" t="s">
        <v>296</v>
      </c>
      <c r="AJ307" s="2" t="s">
        <v>294</v>
      </c>
      <c r="AK307" s="2" t="s">
        <v>295</v>
      </c>
      <c r="AL307" s="58"/>
      <c r="AO307" s="288"/>
      <c r="AP307" s="284">
        <f t="shared" si="116"/>
        <v>0</v>
      </c>
      <c r="AQ307" s="281">
        <f t="shared" si="117"/>
        <v>0</v>
      </c>
      <c r="AR307" s="284">
        <f t="shared" si="118"/>
        <v>0</v>
      </c>
      <c r="AS307" s="281">
        <f t="shared" si="119"/>
        <v>0</v>
      </c>
      <c r="AT307" s="284">
        <f t="shared" si="120"/>
        <v>0</v>
      </c>
    </row>
    <row r="308" spans="1:97" s="32" customFormat="1" ht="59.25" customHeight="1" x14ac:dyDescent="0.8">
      <c r="A308" s="262">
        <f>ROW()</f>
        <v>308</v>
      </c>
      <c r="B308" s="114"/>
      <c r="C308" s="208"/>
      <c r="D308" s="208"/>
      <c r="E308" s="208"/>
      <c r="F308" s="208"/>
      <c r="G308" s="208"/>
      <c r="H308" s="208"/>
      <c r="I308" s="114"/>
      <c r="L308" s="16" t="str">
        <f>VLOOKUP(M308,Sheet2!$D$2:$E$1024,2,FALSE)</f>
        <v>Zero</v>
      </c>
      <c r="M308" s="121">
        <f>I330</f>
        <v>0</v>
      </c>
      <c r="N308" s="27" t="s">
        <v>442</v>
      </c>
      <c r="O308" s="12" t="s">
        <v>347</v>
      </c>
      <c r="P308" s="96" t="s">
        <v>379</v>
      </c>
      <c r="Q308" s="96" t="s">
        <v>375</v>
      </c>
      <c r="R308" s="96"/>
      <c r="S308" s="28">
        <f>M308</f>
        <v>0</v>
      </c>
      <c r="T308" s="10"/>
      <c r="U308" s="12" t="s">
        <v>292</v>
      </c>
      <c r="V308" s="28">
        <f>S308</f>
        <v>0</v>
      </c>
      <c r="W308" s="28">
        <f>VLOOKUP(U308,Sheet1!$B$6:$C$45,2,FALSE)*V308</f>
        <v>0</v>
      </c>
      <c r="X308" s="59"/>
      <c r="Y308" s="12" t="s">
        <v>292</v>
      </c>
      <c r="Z308" s="68">
        <f>VLOOKUP(Takeoffs!Y308,Sheet1!$B$6:$C$124,2,FALSE)</f>
        <v>0</v>
      </c>
      <c r="AA308" s="68">
        <f>Z308*AB308</f>
        <v>0</v>
      </c>
      <c r="AB308" s="63">
        <f>AD308*AC308</f>
        <v>0</v>
      </c>
      <c r="AC308" s="28">
        <f>S308</f>
        <v>0</v>
      </c>
      <c r="AD308" s="61">
        <v>1</v>
      </c>
      <c r="AE308" s="59"/>
      <c r="AF308" s="12" t="s">
        <v>292</v>
      </c>
      <c r="AG308" s="68">
        <f>VLOOKUP(Takeoffs!AF308,Sheet1!$B$6:$C$124,2,FALSE)</f>
        <v>0</v>
      </c>
      <c r="AH308" s="68">
        <f>AG308*AI308</f>
        <v>0</v>
      </c>
      <c r="AI308" s="63">
        <f>AK308*AJ308</f>
        <v>0</v>
      </c>
      <c r="AJ308" s="28">
        <f>S308</f>
        <v>0</v>
      </c>
      <c r="AK308" s="61">
        <f>T308</f>
        <v>0</v>
      </c>
      <c r="AL308" s="59"/>
      <c r="AO308" s="286"/>
      <c r="AP308" s="284">
        <f t="shared" si="116"/>
        <v>0</v>
      </c>
      <c r="AQ308" s="281">
        <f t="shared" si="117"/>
        <v>0</v>
      </c>
      <c r="AR308" s="284">
        <f t="shared" si="118"/>
        <v>0</v>
      </c>
      <c r="AS308" s="281">
        <f t="shared" si="119"/>
        <v>0</v>
      </c>
      <c r="AT308" s="284">
        <f t="shared" si="120"/>
        <v>0</v>
      </c>
    </row>
    <row r="309" spans="1:97" s="32" customFormat="1" ht="30.9" x14ac:dyDescent="0.8">
      <c r="A309" s="262">
        <f>ROW()</f>
        <v>309</v>
      </c>
      <c r="B309" s="114"/>
      <c r="C309" s="208"/>
      <c r="D309" s="208"/>
      <c r="E309" s="208"/>
      <c r="F309" s="208"/>
      <c r="G309" s="208"/>
      <c r="H309" s="208"/>
      <c r="I309" s="114"/>
      <c r="J309" s="32" t="str">
        <f>IF(COUNTBLANK(Q309)&gt;0,"",CONCATENATE("Coordination Note: - ",P309,": Please refer to our exclusions relating to ",Q309))</f>
        <v/>
      </c>
      <c r="K309" s="32" t="str">
        <f>IF(COUNTBLANK(R309)&gt;0,"",CONCATENATE(R309," for ",N308))</f>
        <v/>
      </c>
      <c r="M309" s="38"/>
      <c r="N309" s="15" t="s">
        <v>113</v>
      </c>
      <c r="O309" s="66" t="s">
        <v>340</v>
      </c>
      <c r="P309" s="12"/>
      <c r="Q309" s="66"/>
      <c r="R309" s="12"/>
      <c r="S309" s="28">
        <f>M308</f>
        <v>0</v>
      </c>
      <c r="T309" s="11"/>
      <c r="U309" s="12" t="s">
        <v>233</v>
      </c>
      <c r="V309" s="28">
        <f t="shared" ref="V309:V328" si="130">S309</f>
        <v>0</v>
      </c>
      <c r="W309" s="28">
        <f>VLOOKUP(U309,Sheet1!$B$6:$C$45,2,FALSE)*V309</f>
        <v>0</v>
      </c>
      <c r="X309" s="59"/>
      <c r="Y309" s="12" t="s">
        <v>292</v>
      </c>
      <c r="Z309" s="68">
        <f>VLOOKUP(Takeoffs!Y309,Sheet1!$B$6:$C$124,2,FALSE)</f>
        <v>0</v>
      </c>
      <c r="AA309" s="68">
        <f t="shared" ref="AA309:AA328" si="131">Z309*AB309</f>
        <v>0</v>
      </c>
      <c r="AB309" s="63">
        <f t="shared" ref="AB309:AB328" si="132">AD309*AC309</f>
        <v>0</v>
      </c>
      <c r="AC309" s="28">
        <f>S309</f>
        <v>0</v>
      </c>
      <c r="AD309" s="61">
        <v>1</v>
      </c>
      <c r="AE309" s="59"/>
      <c r="AF309" s="12" t="s">
        <v>292</v>
      </c>
      <c r="AG309" s="68">
        <f>VLOOKUP(Takeoffs!AF309,Sheet1!$B$6:$C$124,2,FALSE)</f>
        <v>0</v>
      </c>
      <c r="AH309" s="68">
        <f t="shared" ref="AH309:AH328" si="133">AG309*AI309</f>
        <v>0</v>
      </c>
      <c r="AI309" s="63">
        <f t="shared" ref="AI309:AI328" si="134">AK309*AJ309</f>
        <v>0</v>
      </c>
      <c r="AJ309" s="28">
        <f t="shared" ref="AJ309:AJ328" si="135">S309</f>
        <v>0</v>
      </c>
      <c r="AK309" s="61">
        <f t="shared" ref="AK309:AK317" si="136">T309</f>
        <v>0</v>
      </c>
      <c r="AL309" s="59"/>
      <c r="AO309" s="286"/>
      <c r="AP309" s="284">
        <f t="shared" si="116"/>
        <v>0</v>
      </c>
      <c r="AQ309" s="281">
        <f t="shared" si="117"/>
        <v>0</v>
      </c>
      <c r="AR309" s="284">
        <f t="shared" si="118"/>
        <v>0</v>
      </c>
      <c r="AS309" s="281">
        <f t="shared" si="119"/>
        <v>0</v>
      </c>
      <c r="AT309" s="284">
        <f t="shared" si="120"/>
        <v>0</v>
      </c>
    </row>
    <row r="310" spans="1:97" s="32" customFormat="1" ht="30.9" x14ac:dyDescent="0.8">
      <c r="A310" s="262">
        <f>ROW()</f>
        <v>310</v>
      </c>
      <c r="B310" s="114"/>
      <c r="C310" s="208"/>
      <c r="D310" s="208"/>
      <c r="E310" s="208"/>
      <c r="F310" s="208"/>
      <c r="G310" s="208"/>
      <c r="H310" s="208"/>
      <c r="I310" s="114"/>
      <c r="J310" s="32" t="str">
        <f t="shared" ref="J310:J328" si="137">IF(COUNTBLANK(Q310)&gt;0,"",CONCATENATE("Coordination Note: - ",P310,": Please refer to our exclusions relating to ",Q310))</f>
        <v>Coordination Note: - Builders Electrician: Please refer to our exclusions relating to substation ventilation  power supply (including isolator)</v>
      </c>
      <c r="K310" s="32" t="str">
        <f>IF(COUNTBLANK(R310)&gt;0,"",CONCATENATE(R310," for ",N308))</f>
        <v/>
      </c>
      <c r="M310" s="38"/>
      <c r="N310" s="15" t="s">
        <v>114</v>
      </c>
      <c r="O310" s="66" t="s">
        <v>441</v>
      </c>
      <c r="P310" s="12" t="s">
        <v>420</v>
      </c>
      <c r="Q310" s="66" t="s">
        <v>443</v>
      </c>
      <c r="R310" s="12"/>
      <c r="S310" s="28">
        <f>M308</f>
        <v>0</v>
      </c>
      <c r="T310" s="11"/>
      <c r="U310" s="12" t="s">
        <v>361</v>
      </c>
      <c r="V310" s="28">
        <f t="shared" si="130"/>
        <v>0</v>
      </c>
      <c r="W310" s="28">
        <f>VLOOKUP(U310,Sheet1!$B$6:$C$45,2,FALSE)*V310</f>
        <v>0</v>
      </c>
      <c r="X310" s="59"/>
      <c r="Y310" s="12" t="s">
        <v>292</v>
      </c>
      <c r="Z310" s="68">
        <f>VLOOKUP(Takeoffs!Y310,Sheet1!$B$6:$C$124,2,FALSE)</f>
        <v>0</v>
      </c>
      <c r="AA310" s="68">
        <f t="shared" si="131"/>
        <v>0</v>
      </c>
      <c r="AB310" s="63">
        <f t="shared" si="132"/>
        <v>0</v>
      </c>
      <c r="AC310" s="28">
        <f>S310</f>
        <v>0</v>
      </c>
      <c r="AD310" s="61">
        <v>1</v>
      </c>
      <c r="AE310" s="59"/>
      <c r="AF310" s="13" t="s">
        <v>267</v>
      </c>
      <c r="AG310" s="68">
        <f>VLOOKUP(Takeoffs!AF310,Sheet1!$B$6:$C$124,2,FALSE)</f>
        <v>3.48</v>
      </c>
      <c r="AH310" s="68">
        <f t="shared" si="133"/>
        <v>0</v>
      </c>
      <c r="AI310" s="63">
        <f t="shared" si="134"/>
        <v>0</v>
      </c>
      <c r="AJ310" s="28">
        <f t="shared" si="135"/>
        <v>0</v>
      </c>
      <c r="AK310" s="61">
        <v>5</v>
      </c>
      <c r="AL310" s="59"/>
      <c r="AO310" s="286"/>
      <c r="AP310" s="284">
        <f t="shared" si="116"/>
        <v>0</v>
      </c>
      <c r="AQ310" s="281">
        <f t="shared" si="117"/>
        <v>0</v>
      </c>
      <c r="AR310" s="284">
        <f t="shared" si="118"/>
        <v>0</v>
      </c>
      <c r="AS310" s="281">
        <f t="shared" si="119"/>
        <v>0</v>
      </c>
      <c r="AT310" s="284">
        <f t="shared" si="120"/>
        <v>0</v>
      </c>
    </row>
    <row r="311" spans="1:97" s="32" customFormat="1" ht="30.9" x14ac:dyDescent="0.8">
      <c r="A311" s="262">
        <f>ROW()</f>
        <v>311</v>
      </c>
      <c r="B311" s="114"/>
      <c r="C311" s="208"/>
      <c r="D311" s="208"/>
      <c r="E311" s="208"/>
      <c r="F311" s="208"/>
      <c r="G311" s="208"/>
      <c r="H311" s="208"/>
      <c r="I311" s="114"/>
      <c r="J311" s="32" t="str">
        <f t="shared" si="137"/>
        <v/>
      </c>
      <c r="K311" s="32" t="str">
        <f>IF(COUNTBLANK(R311)&gt;0,"",CONCATENATE(R311," for ",N308))</f>
        <v/>
      </c>
      <c r="M311" s="38"/>
      <c r="N311" s="15" t="s">
        <v>115</v>
      </c>
      <c r="O311" s="66" t="s">
        <v>406</v>
      </c>
      <c r="P311" s="12"/>
      <c r="Q311" s="66"/>
      <c r="R311" s="12"/>
      <c r="S311" s="28">
        <f>M308</f>
        <v>0</v>
      </c>
      <c r="T311" s="11"/>
      <c r="U311" s="12" t="s">
        <v>292</v>
      </c>
      <c r="V311" s="28">
        <f t="shared" si="130"/>
        <v>0</v>
      </c>
      <c r="W311" s="28">
        <f>VLOOKUP(U311,Sheet1!$B$6:$C$45,2,FALSE)*V311</f>
        <v>0</v>
      </c>
      <c r="X311" s="59"/>
      <c r="Y311" s="13" t="s">
        <v>245</v>
      </c>
      <c r="Z311" s="68">
        <f>VLOOKUP(Takeoffs!Y311,Sheet1!$B$6:$C$124,2,FALSE)</f>
        <v>46.463999999999999</v>
      </c>
      <c r="AA311" s="68">
        <f t="shared" si="131"/>
        <v>0</v>
      </c>
      <c r="AB311" s="63">
        <f t="shared" si="132"/>
        <v>0</v>
      </c>
      <c r="AC311" s="28">
        <f t="shared" ref="AC311:AC328" si="138">S311</f>
        <v>0</v>
      </c>
      <c r="AD311" s="61">
        <v>1</v>
      </c>
      <c r="AE311" s="59"/>
      <c r="AF311" s="12" t="s">
        <v>292</v>
      </c>
      <c r="AG311" s="68">
        <f>VLOOKUP(Takeoffs!AF311,Sheet1!$B$6:$C$124,2,FALSE)</f>
        <v>0</v>
      </c>
      <c r="AH311" s="68">
        <f t="shared" si="133"/>
        <v>0</v>
      </c>
      <c r="AI311" s="63">
        <f t="shared" si="134"/>
        <v>0</v>
      </c>
      <c r="AJ311" s="28">
        <f t="shared" si="135"/>
        <v>0</v>
      </c>
      <c r="AK311" s="61">
        <f t="shared" si="136"/>
        <v>0</v>
      </c>
      <c r="AL311" s="59"/>
      <c r="AO311" s="286"/>
      <c r="AP311" s="284">
        <f t="shared" si="116"/>
        <v>0</v>
      </c>
      <c r="AQ311" s="281">
        <f t="shared" si="117"/>
        <v>0</v>
      </c>
      <c r="AR311" s="284">
        <f t="shared" si="118"/>
        <v>0</v>
      </c>
      <c r="AS311" s="281">
        <f t="shared" si="119"/>
        <v>0</v>
      </c>
      <c r="AT311" s="284">
        <f t="shared" si="120"/>
        <v>0</v>
      </c>
    </row>
    <row r="312" spans="1:97" s="32" customFormat="1" ht="30.9" x14ac:dyDescent="0.8">
      <c r="A312" s="262">
        <f>ROW()</f>
        <v>312</v>
      </c>
      <c r="B312" s="114"/>
      <c r="C312" s="208"/>
      <c r="D312" s="208"/>
      <c r="E312" s="208"/>
      <c r="F312" s="208"/>
      <c r="G312" s="208"/>
      <c r="H312" s="208"/>
      <c r="I312" s="114"/>
      <c r="J312" s="32" t="str">
        <f t="shared" si="137"/>
        <v/>
      </c>
      <c r="K312" s="32" t="str">
        <f>IF(COUNTBLANK(R312)&gt;0,"",CONCATENATE(R312," for ",N308))</f>
        <v/>
      </c>
      <c r="M312" s="38"/>
      <c r="N312" s="15" t="s">
        <v>116</v>
      </c>
      <c r="O312" s="66"/>
      <c r="P312" s="12"/>
      <c r="Q312" s="66"/>
      <c r="R312" s="12"/>
      <c r="S312" s="28">
        <f>M308</f>
        <v>0</v>
      </c>
      <c r="T312" s="11"/>
      <c r="U312" s="12" t="s">
        <v>292</v>
      </c>
      <c r="V312" s="28">
        <f t="shared" si="130"/>
        <v>0</v>
      </c>
      <c r="W312" s="28">
        <f>VLOOKUP(U312,Sheet1!$B$6:$C$45,2,FALSE)*V312</f>
        <v>0</v>
      </c>
      <c r="X312" s="59"/>
      <c r="Y312" s="12" t="s">
        <v>292</v>
      </c>
      <c r="Z312" s="68">
        <f>VLOOKUP(Takeoffs!Y312,Sheet1!$B$6:$C$124,2,FALSE)</f>
        <v>0</v>
      </c>
      <c r="AA312" s="68">
        <f t="shared" si="131"/>
        <v>0</v>
      </c>
      <c r="AB312" s="63">
        <f t="shared" si="132"/>
        <v>0</v>
      </c>
      <c r="AC312" s="28">
        <f t="shared" si="138"/>
        <v>0</v>
      </c>
      <c r="AD312" s="61">
        <v>1</v>
      </c>
      <c r="AE312" s="59"/>
      <c r="AF312" s="12" t="s">
        <v>292</v>
      </c>
      <c r="AG312" s="68">
        <f>VLOOKUP(Takeoffs!AF312,Sheet1!$B$6:$C$124,2,FALSE)</f>
        <v>0</v>
      </c>
      <c r="AH312" s="68">
        <f t="shared" si="133"/>
        <v>0</v>
      </c>
      <c r="AI312" s="63">
        <f t="shared" si="134"/>
        <v>0</v>
      </c>
      <c r="AJ312" s="28">
        <f t="shared" si="135"/>
        <v>0</v>
      </c>
      <c r="AK312" s="61">
        <f t="shared" si="136"/>
        <v>0</v>
      </c>
      <c r="AL312" s="59"/>
      <c r="AO312" s="286"/>
      <c r="AP312" s="284">
        <f t="shared" si="116"/>
        <v>0</v>
      </c>
      <c r="AQ312" s="281">
        <f t="shared" si="117"/>
        <v>0</v>
      </c>
      <c r="AR312" s="284">
        <f t="shared" si="118"/>
        <v>0</v>
      </c>
      <c r="AS312" s="281">
        <f t="shared" si="119"/>
        <v>0</v>
      </c>
      <c r="AT312" s="284">
        <f t="shared" si="120"/>
        <v>0</v>
      </c>
    </row>
    <row r="313" spans="1:97" s="32" customFormat="1" ht="30.9" x14ac:dyDescent="0.8">
      <c r="A313" s="262">
        <f>ROW()</f>
        <v>313</v>
      </c>
      <c r="B313" s="114"/>
      <c r="C313" s="208"/>
      <c r="D313" s="208"/>
      <c r="E313" s="208"/>
      <c r="F313" s="208"/>
      <c r="G313" s="208"/>
      <c r="H313" s="208"/>
      <c r="I313" s="114"/>
      <c r="J313" s="32" t="str">
        <f t="shared" si="137"/>
        <v/>
      </c>
      <c r="K313" s="32" t="str">
        <f>IF(COUNTBLANK(R313)&gt;0,"",CONCATENATE(R313," for ",N308))</f>
        <v/>
      </c>
      <c r="M313" s="38"/>
      <c r="N313" s="15" t="s">
        <v>117</v>
      </c>
      <c r="O313" s="66"/>
      <c r="P313" s="12"/>
      <c r="Q313" s="66"/>
      <c r="R313" s="12"/>
      <c r="S313" s="28">
        <f>M308</f>
        <v>0</v>
      </c>
      <c r="T313" s="11"/>
      <c r="U313" s="12" t="s">
        <v>292</v>
      </c>
      <c r="V313" s="28">
        <f t="shared" si="130"/>
        <v>0</v>
      </c>
      <c r="W313" s="28">
        <f>VLOOKUP(U313,Sheet1!$B$6:$C$45,2,FALSE)*V313</f>
        <v>0</v>
      </c>
      <c r="X313" s="59"/>
      <c r="Y313" s="12" t="s">
        <v>292</v>
      </c>
      <c r="Z313" s="68">
        <f>VLOOKUP(Takeoffs!Y313,Sheet1!$B$6:$C$124,2,FALSE)</f>
        <v>0</v>
      </c>
      <c r="AA313" s="68">
        <f t="shared" si="131"/>
        <v>0</v>
      </c>
      <c r="AB313" s="63">
        <f t="shared" si="132"/>
        <v>0</v>
      </c>
      <c r="AC313" s="28">
        <f t="shared" si="138"/>
        <v>0</v>
      </c>
      <c r="AD313" s="61">
        <v>1</v>
      </c>
      <c r="AE313" s="59"/>
      <c r="AF313" s="12" t="s">
        <v>292</v>
      </c>
      <c r="AG313" s="68">
        <f>VLOOKUP(Takeoffs!AF313,Sheet1!$B$6:$C$124,2,FALSE)</f>
        <v>0</v>
      </c>
      <c r="AH313" s="68">
        <f t="shared" si="133"/>
        <v>0</v>
      </c>
      <c r="AI313" s="63">
        <f t="shared" si="134"/>
        <v>0</v>
      </c>
      <c r="AJ313" s="28">
        <f t="shared" si="135"/>
        <v>0</v>
      </c>
      <c r="AK313" s="61">
        <f t="shared" si="136"/>
        <v>0</v>
      </c>
      <c r="AL313" s="59"/>
      <c r="AO313" s="286"/>
      <c r="AP313" s="284">
        <f t="shared" si="116"/>
        <v>0</v>
      </c>
      <c r="AQ313" s="281">
        <f t="shared" si="117"/>
        <v>0</v>
      </c>
      <c r="AR313" s="284">
        <f t="shared" si="118"/>
        <v>0</v>
      </c>
      <c r="AS313" s="281">
        <f t="shared" si="119"/>
        <v>0</v>
      </c>
      <c r="AT313" s="284">
        <f t="shared" si="120"/>
        <v>0</v>
      </c>
    </row>
    <row r="314" spans="1:97" s="32" customFormat="1" ht="30.9" x14ac:dyDescent="0.8">
      <c r="A314" s="262">
        <f>ROW()</f>
        <v>314</v>
      </c>
      <c r="B314" s="114"/>
      <c r="C314" s="208"/>
      <c r="D314" s="208"/>
      <c r="E314" s="208"/>
      <c r="F314" s="208"/>
      <c r="G314" s="208"/>
      <c r="H314" s="208"/>
      <c r="I314" s="114"/>
      <c r="J314" s="32" t="str">
        <f t="shared" si="137"/>
        <v/>
      </c>
      <c r="K314" s="32" t="str">
        <f>IF(COUNTBLANK(R314)&gt;0,"",CONCATENATE(R314," for ",N308))</f>
        <v/>
      </c>
      <c r="M314" s="38"/>
      <c r="N314" s="15" t="s">
        <v>118</v>
      </c>
      <c r="O314" s="66"/>
      <c r="P314" s="12"/>
      <c r="Q314" s="66"/>
      <c r="R314" s="12"/>
      <c r="S314" s="28">
        <f>M308</f>
        <v>0</v>
      </c>
      <c r="T314" s="11"/>
      <c r="U314" s="12" t="s">
        <v>292</v>
      </c>
      <c r="V314" s="28">
        <f t="shared" si="130"/>
        <v>0</v>
      </c>
      <c r="W314" s="28">
        <f>VLOOKUP(U314,Sheet1!$B$6:$C$45,2,FALSE)*V314</f>
        <v>0</v>
      </c>
      <c r="X314" s="59"/>
      <c r="Y314" s="12" t="s">
        <v>292</v>
      </c>
      <c r="Z314" s="68">
        <f>VLOOKUP(Takeoffs!Y314,Sheet1!$B$6:$C$124,2,FALSE)</f>
        <v>0</v>
      </c>
      <c r="AA314" s="68">
        <f t="shared" si="131"/>
        <v>0</v>
      </c>
      <c r="AB314" s="63">
        <f t="shared" si="132"/>
        <v>0</v>
      </c>
      <c r="AC314" s="28">
        <f t="shared" si="138"/>
        <v>0</v>
      </c>
      <c r="AD314" s="61">
        <v>1</v>
      </c>
      <c r="AE314" s="59"/>
      <c r="AF314" s="12" t="s">
        <v>292</v>
      </c>
      <c r="AG314" s="68">
        <f>VLOOKUP(Takeoffs!AF314,Sheet1!$B$6:$C$124,2,FALSE)</f>
        <v>0</v>
      </c>
      <c r="AH314" s="68">
        <f t="shared" si="133"/>
        <v>0</v>
      </c>
      <c r="AI314" s="63">
        <f t="shared" si="134"/>
        <v>0</v>
      </c>
      <c r="AJ314" s="28">
        <f t="shared" si="135"/>
        <v>0</v>
      </c>
      <c r="AK314" s="61">
        <f t="shared" si="136"/>
        <v>0</v>
      </c>
      <c r="AL314" s="59"/>
      <c r="AO314" s="286"/>
      <c r="AP314" s="284">
        <f t="shared" si="116"/>
        <v>0</v>
      </c>
      <c r="AQ314" s="281">
        <f t="shared" si="117"/>
        <v>0</v>
      </c>
      <c r="AR314" s="284">
        <f t="shared" si="118"/>
        <v>0</v>
      </c>
      <c r="AS314" s="281">
        <f t="shared" si="119"/>
        <v>0</v>
      </c>
      <c r="AT314" s="284">
        <f t="shared" si="120"/>
        <v>0</v>
      </c>
    </row>
    <row r="315" spans="1:97" s="32" customFormat="1" ht="30.9" x14ac:dyDescent="0.8">
      <c r="A315" s="262">
        <f>ROW()</f>
        <v>315</v>
      </c>
      <c r="B315" s="114"/>
      <c r="C315" s="208"/>
      <c r="D315" s="208"/>
      <c r="E315" s="208"/>
      <c r="F315" s="208"/>
      <c r="G315" s="208"/>
      <c r="H315" s="208"/>
      <c r="I315" s="114"/>
      <c r="J315" s="32" t="str">
        <f t="shared" si="137"/>
        <v/>
      </c>
      <c r="K315" s="32" t="str">
        <f>IF(COUNTBLANK(R315)&gt;0,"",CONCATENATE(R315," for ",N308))</f>
        <v/>
      </c>
      <c r="N315" s="15" t="s">
        <v>119</v>
      </c>
      <c r="O315" s="66"/>
      <c r="P315" s="12"/>
      <c r="Q315" s="66"/>
      <c r="R315" s="12"/>
      <c r="S315" s="28">
        <f>M308</f>
        <v>0</v>
      </c>
      <c r="T315" s="11"/>
      <c r="U315" s="12" t="s">
        <v>292</v>
      </c>
      <c r="V315" s="28">
        <f t="shared" si="130"/>
        <v>0</v>
      </c>
      <c r="W315" s="28">
        <f>VLOOKUP(U315,Sheet1!$B$6:$C$45,2,FALSE)*V315</f>
        <v>0</v>
      </c>
      <c r="X315" s="59"/>
      <c r="Y315" s="12" t="s">
        <v>292</v>
      </c>
      <c r="Z315" s="68">
        <f>VLOOKUP(Takeoffs!Y315,Sheet1!$B$6:$C$124,2,FALSE)</f>
        <v>0</v>
      </c>
      <c r="AA315" s="68">
        <f t="shared" si="131"/>
        <v>0</v>
      </c>
      <c r="AB315" s="63">
        <f t="shared" si="132"/>
        <v>0</v>
      </c>
      <c r="AC315" s="28">
        <f t="shared" si="138"/>
        <v>0</v>
      </c>
      <c r="AD315" s="61">
        <v>1</v>
      </c>
      <c r="AE315" s="59"/>
      <c r="AF315" s="12" t="s">
        <v>292</v>
      </c>
      <c r="AG315" s="68">
        <f>VLOOKUP(Takeoffs!AF315,Sheet1!$B$6:$C$124,2,FALSE)</f>
        <v>0</v>
      </c>
      <c r="AH315" s="68">
        <f t="shared" si="133"/>
        <v>0</v>
      </c>
      <c r="AI315" s="63">
        <f t="shared" si="134"/>
        <v>0</v>
      </c>
      <c r="AJ315" s="28">
        <f t="shared" si="135"/>
        <v>0</v>
      </c>
      <c r="AK315" s="61">
        <f t="shared" si="136"/>
        <v>0</v>
      </c>
      <c r="AL315" s="59"/>
      <c r="AO315" s="286"/>
      <c r="AP315" s="284">
        <f t="shared" si="116"/>
        <v>0</v>
      </c>
      <c r="AQ315" s="281">
        <f t="shared" si="117"/>
        <v>0</v>
      </c>
      <c r="AR315" s="284">
        <f t="shared" si="118"/>
        <v>0</v>
      </c>
      <c r="AS315" s="281">
        <f t="shared" si="119"/>
        <v>0</v>
      </c>
      <c r="AT315" s="284">
        <f t="shared" si="120"/>
        <v>0</v>
      </c>
    </row>
    <row r="316" spans="1:97" s="32" customFormat="1" ht="30.9" x14ac:dyDescent="0.8">
      <c r="A316" s="262">
        <f>ROW()</f>
        <v>316</v>
      </c>
      <c r="B316" s="114"/>
      <c r="C316" s="208"/>
      <c r="D316" s="208"/>
      <c r="E316" s="208"/>
      <c r="F316" s="208"/>
      <c r="G316" s="208"/>
      <c r="H316" s="208"/>
      <c r="I316" s="114"/>
      <c r="J316" s="32" t="str">
        <f t="shared" si="137"/>
        <v/>
      </c>
      <c r="K316" s="32" t="str">
        <f>IF(COUNTBLANK(R316)&gt;0,"",CONCATENATE(R316," for ",N308))</f>
        <v/>
      </c>
      <c r="N316" s="15" t="s">
        <v>120</v>
      </c>
      <c r="O316" s="66" t="s">
        <v>328</v>
      </c>
      <c r="P316" s="12"/>
      <c r="Q316" s="66"/>
      <c r="R316" s="12"/>
      <c r="S316" s="28">
        <f>M308</f>
        <v>0</v>
      </c>
      <c r="T316" s="11"/>
      <c r="U316" s="12" t="s">
        <v>242</v>
      </c>
      <c r="V316" s="28">
        <f t="shared" si="130"/>
        <v>0</v>
      </c>
      <c r="W316" s="28">
        <f>VLOOKUP(U316,Sheet1!$B$6:$C$45,2,FALSE)*V316</f>
        <v>0</v>
      </c>
      <c r="X316" s="59"/>
      <c r="Y316" s="12" t="s">
        <v>292</v>
      </c>
      <c r="Z316" s="68">
        <f>VLOOKUP(Takeoffs!Y316,Sheet1!$B$6:$C$124,2,FALSE)</f>
        <v>0</v>
      </c>
      <c r="AA316" s="68">
        <f t="shared" si="131"/>
        <v>0</v>
      </c>
      <c r="AB316" s="63">
        <f t="shared" si="132"/>
        <v>0</v>
      </c>
      <c r="AC316" s="28">
        <f t="shared" si="138"/>
        <v>0</v>
      </c>
      <c r="AD316" s="61">
        <v>1</v>
      </c>
      <c r="AE316" s="59"/>
      <c r="AF316" s="12" t="s">
        <v>292</v>
      </c>
      <c r="AG316" s="68">
        <f>VLOOKUP(Takeoffs!AF316,Sheet1!$B$6:$C$124,2,FALSE)</f>
        <v>0</v>
      </c>
      <c r="AH316" s="68">
        <f t="shared" si="133"/>
        <v>0</v>
      </c>
      <c r="AI316" s="63">
        <f t="shared" si="134"/>
        <v>0</v>
      </c>
      <c r="AJ316" s="28">
        <f t="shared" si="135"/>
        <v>0</v>
      </c>
      <c r="AK316" s="61">
        <f t="shared" si="136"/>
        <v>0</v>
      </c>
      <c r="AL316" s="59"/>
      <c r="AO316" s="286"/>
      <c r="AP316" s="284">
        <f t="shared" si="116"/>
        <v>0</v>
      </c>
      <c r="AQ316" s="281">
        <f t="shared" si="117"/>
        <v>0</v>
      </c>
      <c r="AR316" s="284">
        <f t="shared" si="118"/>
        <v>0</v>
      </c>
      <c r="AS316" s="281">
        <f t="shared" si="119"/>
        <v>0</v>
      </c>
      <c r="AT316" s="284">
        <f t="shared" si="120"/>
        <v>0</v>
      </c>
    </row>
    <row r="317" spans="1:97" s="32" customFormat="1" ht="30.9" x14ac:dyDescent="0.8">
      <c r="A317" s="262">
        <f>ROW()</f>
        <v>317</v>
      </c>
      <c r="B317" s="114"/>
      <c r="C317" s="208"/>
      <c r="D317" s="208"/>
      <c r="E317" s="208"/>
      <c r="F317" s="208"/>
      <c r="G317" s="208"/>
      <c r="H317" s="208"/>
      <c r="I317" s="114"/>
      <c r="J317" s="32" t="str">
        <f t="shared" si="137"/>
        <v/>
      </c>
      <c r="K317" s="32" t="str">
        <f>IF(COUNTBLANK(R317)&gt;0,"",CONCATENATE(R317," for ",N308))</f>
        <v>alarm thermostat  ( separate to control thermostat to avoid false alarms) for substation ventilation system (Including temperature control and alarm) - From local power supply</v>
      </c>
      <c r="N317" s="15" t="s">
        <v>121</v>
      </c>
      <c r="O317" s="66" t="s">
        <v>341</v>
      </c>
      <c r="P317" s="12"/>
      <c r="Q317" s="66"/>
      <c r="R317" s="12" t="s">
        <v>453</v>
      </c>
      <c r="S317" s="28">
        <f>M308</f>
        <v>0</v>
      </c>
      <c r="T317" s="11"/>
      <c r="U317" s="12" t="s">
        <v>292</v>
      </c>
      <c r="V317" s="28">
        <f t="shared" si="130"/>
        <v>0</v>
      </c>
      <c r="W317" s="28">
        <f>VLOOKUP(U317,Sheet1!$B$6:$C$45,2,FALSE)*V317</f>
        <v>0</v>
      </c>
      <c r="X317" s="59"/>
      <c r="Y317" s="12" t="s">
        <v>292</v>
      </c>
      <c r="Z317" s="68">
        <f>VLOOKUP(Takeoffs!Y317,Sheet1!$B$6:$C$124,2,FALSE)</f>
        <v>0</v>
      </c>
      <c r="AA317" s="68">
        <f t="shared" si="131"/>
        <v>0</v>
      </c>
      <c r="AB317" s="63">
        <f t="shared" si="132"/>
        <v>0</v>
      </c>
      <c r="AC317" s="28">
        <f t="shared" si="138"/>
        <v>0</v>
      </c>
      <c r="AD317" s="61">
        <v>1</v>
      </c>
      <c r="AE317" s="59"/>
      <c r="AF317" s="12" t="s">
        <v>292</v>
      </c>
      <c r="AG317" s="68">
        <f>VLOOKUP(Takeoffs!AF317,Sheet1!$B$6:$C$124,2,FALSE)</f>
        <v>0</v>
      </c>
      <c r="AH317" s="68">
        <f t="shared" si="133"/>
        <v>0</v>
      </c>
      <c r="AI317" s="63">
        <f t="shared" si="134"/>
        <v>0</v>
      </c>
      <c r="AJ317" s="28">
        <f t="shared" si="135"/>
        <v>0</v>
      </c>
      <c r="AK317" s="61">
        <f t="shared" si="136"/>
        <v>0</v>
      </c>
      <c r="AL317" s="59"/>
      <c r="AO317" s="286"/>
      <c r="AP317" s="284">
        <f t="shared" si="116"/>
        <v>0</v>
      </c>
      <c r="AQ317" s="281">
        <f t="shared" si="117"/>
        <v>0</v>
      </c>
      <c r="AR317" s="284">
        <f t="shared" si="118"/>
        <v>0</v>
      </c>
      <c r="AS317" s="281">
        <f t="shared" si="119"/>
        <v>0</v>
      </c>
      <c r="AT317" s="284">
        <f t="shared" si="120"/>
        <v>0</v>
      </c>
    </row>
    <row r="318" spans="1:97" s="32" customFormat="1" ht="30.9" x14ac:dyDescent="0.8">
      <c r="A318" s="262">
        <f>ROW()</f>
        <v>318</v>
      </c>
      <c r="B318" s="114"/>
      <c r="C318" s="208"/>
      <c r="D318" s="208"/>
      <c r="E318" s="208"/>
      <c r="F318" s="208"/>
      <c r="G318" s="208"/>
      <c r="H318" s="208"/>
      <c r="I318" s="114"/>
      <c r="J318" s="32" t="str">
        <f t="shared" si="137"/>
        <v/>
      </c>
      <c r="K318" s="32" t="str">
        <f>IF(COUNTBLANK(R318)&gt;0,"",CONCATENATE(R318," for ",N308))</f>
        <v/>
      </c>
      <c r="N318" s="15" t="s">
        <v>122</v>
      </c>
      <c r="O318" s="66" t="s">
        <v>336</v>
      </c>
      <c r="P318" s="12"/>
      <c r="Q318" s="66"/>
      <c r="R318" s="12"/>
      <c r="S318" s="28">
        <f>M308</f>
        <v>0</v>
      </c>
      <c r="T318" s="11"/>
      <c r="U318" s="12" t="s">
        <v>363</v>
      </c>
      <c r="V318" s="28">
        <f t="shared" si="130"/>
        <v>0</v>
      </c>
      <c r="W318" s="28">
        <f>VLOOKUP(U318,Sheet1!$B$6:$C$45,2,FALSE)*V318</f>
        <v>0</v>
      </c>
      <c r="X318" s="59"/>
      <c r="Y318" s="13" t="s">
        <v>273</v>
      </c>
      <c r="Z318" s="68">
        <f>VLOOKUP(Takeoffs!Y318,Sheet1!$B$6:$C$124,2,FALSE)</f>
        <v>307.2</v>
      </c>
      <c r="AA318" s="68">
        <f t="shared" si="131"/>
        <v>0</v>
      </c>
      <c r="AB318" s="63">
        <f t="shared" si="132"/>
        <v>0</v>
      </c>
      <c r="AC318" s="28">
        <f t="shared" si="138"/>
        <v>0</v>
      </c>
      <c r="AD318" s="61">
        <v>1</v>
      </c>
      <c r="AE318" s="59"/>
      <c r="AF318" s="12" t="s">
        <v>292</v>
      </c>
      <c r="AG318" s="68">
        <f>VLOOKUP(Takeoffs!AF318,Sheet1!$B$6:$C$124,2,FALSE)</f>
        <v>0</v>
      </c>
      <c r="AH318" s="68">
        <f t="shared" si="133"/>
        <v>0</v>
      </c>
      <c r="AI318" s="63">
        <f t="shared" si="134"/>
        <v>0</v>
      </c>
      <c r="AJ318" s="28">
        <f t="shared" si="135"/>
        <v>0</v>
      </c>
      <c r="AK318" s="61">
        <f>T318</f>
        <v>0</v>
      </c>
      <c r="AL318" s="59"/>
      <c r="AO318" s="286"/>
      <c r="AP318" s="284">
        <f t="shared" si="116"/>
        <v>0</v>
      </c>
      <c r="AQ318" s="281">
        <f t="shared" si="117"/>
        <v>0</v>
      </c>
      <c r="AR318" s="284">
        <f t="shared" si="118"/>
        <v>0</v>
      </c>
      <c r="AS318" s="281">
        <f t="shared" si="119"/>
        <v>0</v>
      </c>
      <c r="AT318" s="284">
        <f t="shared" si="120"/>
        <v>0</v>
      </c>
    </row>
    <row r="319" spans="1:97" s="32" customFormat="1" ht="30.9" x14ac:dyDescent="0.8">
      <c r="A319" s="262">
        <f>ROW()</f>
        <v>319</v>
      </c>
      <c r="B319" s="114"/>
      <c r="C319" s="208"/>
      <c r="D319" s="208"/>
      <c r="E319" s="208"/>
      <c r="F319" s="208"/>
      <c r="G319" s="208"/>
      <c r="H319" s="208"/>
      <c r="I319" s="114"/>
      <c r="J319" s="32" t="str">
        <f t="shared" si="137"/>
        <v/>
      </c>
      <c r="K319" s="32" t="str">
        <f>IF(COUNTBLANK(R319)&gt;0,"",CONCATENATE(R319," for ",N308))</f>
        <v/>
      </c>
      <c r="N319" s="15" t="s">
        <v>123</v>
      </c>
      <c r="O319" s="66" t="s">
        <v>342</v>
      </c>
      <c r="P319" s="12"/>
      <c r="Q319" s="66"/>
      <c r="R319" s="12"/>
      <c r="S319" s="28">
        <f>M308</f>
        <v>0</v>
      </c>
      <c r="T319" s="11"/>
      <c r="U319" s="12" t="s">
        <v>363</v>
      </c>
      <c r="V319" s="28">
        <f t="shared" si="130"/>
        <v>0</v>
      </c>
      <c r="W319" s="28">
        <f>VLOOKUP(U319,Sheet1!$B$6:$C$45,2,FALSE)*V319</f>
        <v>0</v>
      </c>
      <c r="X319" s="59"/>
      <c r="Y319" s="13" t="s">
        <v>273</v>
      </c>
      <c r="Z319" s="68">
        <f>VLOOKUP(Takeoffs!Y319,Sheet1!$B$6:$C$124,2,FALSE)</f>
        <v>307.2</v>
      </c>
      <c r="AA319" s="68">
        <f t="shared" si="131"/>
        <v>0</v>
      </c>
      <c r="AB319" s="63">
        <f t="shared" si="132"/>
        <v>0</v>
      </c>
      <c r="AC319" s="28">
        <f t="shared" si="138"/>
        <v>0</v>
      </c>
      <c r="AD319" s="61">
        <v>1</v>
      </c>
      <c r="AE319" s="59"/>
      <c r="AF319" s="12" t="s">
        <v>292</v>
      </c>
      <c r="AG319" s="68">
        <f>VLOOKUP(Takeoffs!AF319,Sheet1!$B$6:$C$124,2,FALSE)</f>
        <v>0</v>
      </c>
      <c r="AH319" s="68">
        <f t="shared" si="133"/>
        <v>0</v>
      </c>
      <c r="AI319" s="63">
        <f t="shared" si="134"/>
        <v>0</v>
      </c>
      <c r="AJ319" s="28">
        <f t="shared" si="135"/>
        <v>0</v>
      </c>
      <c r="AK319" s="61">
        <v>0</v>
      </c>
      <c r="AL319" s="59"/>
      <c r="AO319" s="286"/>
      <c r="AP319" s="284">
        <f t="shared" si="116"/>
        <v>0</v>
      </c>
      <c r="AQ319" s="281">
        <f t="shared" si="117"/>
        <v>0</v>
      </c>
      <c r="AR319" s="284">
        <f t="shared" si="118"/>
        <v>0</v>
      </c>
      <c r="AS319" s="281">
        <f t="shared" si="119"/>
        <v>0</v>
      </c>
      <c r="AT319" s="284">
        <f t="shared" si="120"/>
        <v>0</v>
      </c>
    </row>
    <row r="320" spans="1:97" s="32" customFormat="1" ht="30.9" x14ac:dyDescent="0.8">
      <c r="A320" s="262">
        <f>ROW()</f>
        <v>320</v>
      </c>
      <c r="B320" s="114"/>
      <c r="C320" s="208"/>
      <c r="D320" s="208"/>
      <c r="E320" s="208"/>
      <c r="F320" s="208"/>
      <c r="G320" s="208"/>
      <c r="H320" s="208"/>
      <c r="I320" s="114"/>
      <c r="J320" s="32" t="str">
        <f t="shared" si="137"/>
        <v/>
      </c>
      <c r="K320" s="32" t="str">
        <f>IF(COUNTBLANK(R320)&gt;0,"",CONCATENATE(R320," for ",N308))</f>
        <v/>
      </c>
      <c r="N320" s="15" t="s">
        <v>124</v>
      </c>
      <c r="O320" s="66" t="s">
        <v>140</v>
      </c>
      <c r="P320" s="12"/>
      <c r="Q320" s="66"/>
      <c r="R320" s="12"/>
      <c r="S320" s="28">
        <f>M308</f>
        <v>0</v>
      </c>
      <c r="T320" s="11"/>
      <c r="U320" s="12" t="s">
        <v>292</v>
      </c>
      <c r="V320" s="28">
        <f t="shared" si="130"/>
        <v>0</v>
      </c>
      <c r="W320" s="28">
        <f>VLOOKUP(U320,Sheet1!$B$6:$C$45,2,FALSE)*V320</f>
        <v>0</v>
      </c>
      <c r="X320" s="59"/>
      <c r="Y320" s="12" t="s">
        <v>292</v>
      </c>
      <c r="Z320" s="68">
        <f>VLOOKUP(Takeoffs!Y320,Sheet1!$B$6:$C$124,2,FALSE)</f>
        <v>0</v>
      </c>
      <c r="AA320" s="68">
        <f t="shared" si="131"/>
        <v>0</v>
      </c>
      <c r="AB320" s="63">
        <f t="shared" si="132"/>
        <v>0</v>
      </c>
      <c r="AC320" s="28">
        <f t="shared" si="138"/>
        <v>0</v>
      </c>
      <c r="AD320" s="61">
        <v>1</v>
      </c>
      <c r="AE320" s="59"/>
      <c r="AF320" s="13" t="s">
        <v>269</v>
      </c>
      <c r="AG320" s="68">
        <f>VLOOKUP(Takeoffs!AF320,Sheet1!$B$6:$C$124,2,FALSE)</f>
        <v>1.056</v>
      </c>
      <c r="AH320" s="68">
        <f t="shared" si="133"/>
        <v>0</v>
      </c>
      <c r="AI320" s="63">
        <f t="shared" si="134"/>
        <v>0</v>
      </c>
      <c r="AJ320" s="28">
        <f t="shared" si="135"/>
        <v>0</v>
      </c>
      <c r="AK320" s="61">
        <v>30</v>
      </c>
      <c r="AL320" s="59"/>
      <c r="AO320" s="286"/>
      <c r="AP320" s="284">
        <f t="shared" si="116"/>
        <v>0</v>
      </c>
      <c r="AQ320" s="281">
        <f t="shared" si="117"/>
        <v>0</v>
      </c>
      <c r="AR320" s="284">
        <f t="shared" si="118"/>
        <v>0</v>
      </c>
      <c r="AS320" s="281">
        <f t="shared" si="119"/>
        <v>0</v>
      </c>
      <c r="AT320" s="284">
        <f t="shared" si="120"/>
        <v>0</v>
      </c>
    </row>
    <row r="321" spans="1:97" s="32" customFormat="1" ht="30.9" x14ac:dyDescent="0.8">
      <c r="A321" s="262">
        <f>ROW()</f>
        <v>321</v>
      </c>
      <c r="B321" s="114"/>
      <c r="C321" s="208"/>
      <c r="D321" s="208"/>
      <c r="E321" s="208"/>
      <c r="F321" s="208"/>
      <c r="G321" s="208"/>
      <c r="H321" s="208"/>
      <c r="I321" s="114"/>
      <c r="J321" s="32" t="str">
        <f t="shared" si="137"/>
        <v/>
      </c>
      <c r="K321" s="32" t="str">
        <f>IF(COUNTBLANK(R321)&gt;0,"",CONCATENATE(R321," for ",N308))</f>
        <v/>
      </c>
      <c r="N321" s="15" t="s">
        <v>125</v>
      </c>
      <c r="O321" s="66" t="s">
        <v>312</v>
      </c>
      <c r="P321" s="12"/>
      <c r="Q321" s="66"/>
      <c r="R321" s="12"/>
      <c r="S321" s="28">
        <f>M308</f>
        <v>0</v>
      </c>
      <c r="T321" s="11"/>
      <c r="U321" s="12" t="s">
        <v>232</v>
      </c>
      <c r="V321" s="28">
        <f t="shared" si="130"/>
        <v>0</v>
      </c>
      <c r="W321" s="28">
        <f>VLOOKUP(U321,Sheet1!$B$6:$C$45,2,FALSE)*V321</f>
        <v>0</v>
      </c>
      <c r="X321" s="59"/>
      <c r="Y321" s="13" t="s">
        <v>1345</v>
      </c>
      <c r="Z321" s="68">
        <f>VLOOKUP(Takeoffs!Y321,Sheet1!$B$6:$C$124,2,FALSE)</f>
        <v>109.25999999999999</v>
      </c>
      <c r="AA321" s="68">
        <f t="shared" si="131"/>
        <v>0</v>
      </c>
      <c r="AB321" s="63">
        <f t="shared" si="132"/>
        <v>0</v>
      </c>
      <c r="AC321" s="28">
        <f t="shared" si="138"/>
        <v>0</v>
      </c>
      <c r="AD321" s="61">
        <v>3</v>
      </c>
      <c r="AE321" s="59"/>
      <c r="AF321" s="12" t="s">
        <v>292</v>
      </c>
      <c r="AG321" s="68">
        <f>VLOOKUP(Takeoffs!AF321,Sheet1!$B$6:$C$124,2,FALSE)</f>
        <v>0</v>
      </c>
      <c r="AH321" s="68">
        <f t="shared" si="133"/>
        <v>0</v>
      </c>
      <c r="AI321" s="63">
        <f t="shared" si="134"/>
        <v>0</v>
      </c>
      <c r="AJ321" s="28">
        <f t="shared" si="135"/>
        <v>0</v>
      </c>
      <c r="AK321" s="61">
        <f>T321</f>
        <v>0</v>
      </c>
      <c r="AL321" s="59"/>
      <c r="AO321" s="286"/>
      <c r="AP321" s="284">
        <f t="shared" si="116"/>
        <v>0</v>
      </c>
      <c r="AQ321" s="281">
        <f t="shared" si="117"/>
        <v>0</v>
      </c>
      <c r="AR321" s="284">
        <f t="shared" si="118"/>
        <v>0</v>
      </c>
      <c r="AS321" s="281">
        <f t="shared" si="119"/>
        <v>0</v>
      </c>
      <c r="AT321" s="284">
        <f t="shared" si="120"/>
        <v>0</v>
      </c>
    </row>
    <row r="322" spans="1:97" s="32" customFormat="1" ht="30.9" x14ac:dyDescent="0.8">
      <c r="A322" s="262">
        <f>ROW()</f>
        <v>322</v>
      </c>
      <c r="B322" s="114"/>
      <c r="C322" s="208"/>
      <c r="D322" s="208"/>
      <c r="E322" s="208"/>
      <c r="F322" s="208"/>
      <c r="G322" s="208"/>
      <c r="H322" s="208"/>
      <c r="I322" s="114"/>
      <c r="J322" s="32" t="str">
        <f t="shared" si="137"/>
        <v/>
      </c>
      <c r="K322" s="32" t="str">
        <f>IF(COUNTBLANK(R322)&gt;0,"",CONCATENATE(R322," for ",N308))</f>
        <v/>
      </c>
      <c r="N322" s="15" t="s">
        <v>126</v>
      </c>
      <c r="O322" s="66" t="s">
        <v>330</v>
      </c>
      <c r="P322" s="12"/>
      <c r="Q322" s="66"/>
      <c r="R322" s="12"/>
      <c r="S322" s="28">
        <f>M308</f>
        <v>0</v>
      </c>
      <c r="T322" s="11"/>
      <c r="U322" s="12" t="s">
        <v>292</v>
      </c>
      <c r="V322" s="28">
        <f t="shared" si="130"/>
        <v>0</v>
      </c>
      <c r="W322" s="28">
        <f>VLOOKUP(U322,Sheet1!$B$6:$C$45,2,FALSE)*V322</f>
        <v>0</v>
      </c>
      <c r="X322" s="59"/>
      <c r="Y322" s="13" t="s">
        <v>321</v>
      </c>
      <c r="Z322" s="68">
        <f>VLOOKUP(Takeoffs!Y322,Sheet1!$B$6:$C$124,2,FALSE)</f>
        <v>60</v>
      </c>
      <c r="AA322" s="68">
        <f t="shared" si="131"/>
        <v>0</v>
      </c>
      <c r="AB322" s="63">
        <f t="shared" si="132"/>
        <v>0</v>
      </c>
      <c r="AC322" s="28">
        <f t="shared" si="138"/>
        <v>0</v>
      </c>
      <c r="AD322" s="61">
        <v>1</v>
      </c>
      <c r="AE322" s="59"/>
      <c r="AF322" s="12" t="s">
        <v>292</v>
      </c>
      <c r="AG322" s="68">
        <f>VLOOKUP(Takeoffs!AF322,Sheet1!$B$6:$C$124,2,FALSE)</f>
        <v>0</v>
      </c>
      <c r="AH322" s="68">
        <f t="shared" si="133"/>
        <v>0</v>
      </c>
      <c r="AI322" s="63">
        <f t="shared" si="134"/>
        <v>0</v>
      </c>
      <c r="AJ322" s="28">
        <f t="shared" si="135"/>
        <v>0</v>
      </c>
      <c r="AK322" s="61">
        <f>T322</f>
        <v>0</v>
      </c>
      <c r="AL322" s="59"/>
      <c r="AO322" s="286"/>
      <c r="AP322" s="284">
        <f t="shared" si="116"/>
        <v>0</v>
      </c>
      <c r="AQ322" s="281">
        <f t="shared" si="117"/>
        <v>0</v>
      </c>
      <c r="AR322" s="284">
        <f t="shared" si="118"/>
        <v>0</v>
      </c>
      <c r="AS322" s="281">
        <f t="shared" si="119"/>
        <v>0</v>
      </c>
      <c r="AT322" s="284">
        <f t="shared" si="120"/>
        <v>0</v>
      </c>
    </row>
    <row r="323" spans="1:97" s="32" customFormat="1" ht="30.9" x14ac:dyDescent="0.8">
      <c r="A323" s="262">
        <f>ROW()</f>
        <v>323</v>
      </c>
      <c r="B323" s="114"/>
      <c r="C323" s="208"/>
      <c r="D323" s="208"/>
      <c r="E323" s="208"/>
      <c r="F323" s="208"/>
      <c r="G323" s="208"/>
      <c r="H323" s="208"/>
      <c r="I323" s="114"/>
      <c r="J323" s="32" t="str">
        <f t="shared" si="137"/>
        <v/>
      </c>
      <c r="K323" s="32" t="str">
        <f>IF(COUNTBLANK(R323)&gt;0,"",CONCATENATE(R323," for ",N308))</f>
        <v>run and fault lights for substation ventilation system (Including temperature control and alarm) - From local power supply</v>
      </c>
      <c r="N323" s="15" t="s">
        <v>127</v>
      </c>
      <c r="O323" s="66" t="s">
        <v>337</v>
      </c>
      <c r="P323" s="12"/>
      <c r="Q323" s="66"/>
      <c r="R323" s="12" t="s">
        <v>331</v>
      </c>
      <c r="S323" s="28">
        <f>M308</f>
        <v>0</v>
      </c>
      <c r="T323" s="11"/>
      <c r="U323" s="12" t="s">
        <v>292</v>
      </c>
      <c r="V323" s="28">
        <f t="shared" si="130"/>
        <v>0</v>
      </c>
      <c r="W323" s="28">
        <f>VLOOKUP(U323,Sheet1!$B$6:$C$45,2,FALSE)*V323</f>
        <v>0</v>
      </c>
      <c r="X323" s="59"/>
      <c r="Y323" s="13" t="s">
        <v>280</v>
      </c>
      <c r="Z323" s="68">
        <f>VLOOKUP(Takeoffs!Y323,Sheet1!$B$6:$C$124,2,FALSE)</f>
        <v>19.2</v>
      </c>
      <c r="AA323" s="68">
        <f t="shared" si="131"/>
        <v>0</v>
      </c>
      <c r="AB323" s="63">
        <f t="shared" si="132"/>
        <v>0</v>
      </c>
      <c r="AC323" s="28">
        <f t="shared" si="138"/>
        <v>0</v>
      </c>
      <c r="AD323" s="61">
        <v>2</v>
      </c>
      <c r="AE323" s="59"/>
      <c r="AF323" s="12" t="s">
        <v>292</v>
      </c>
      <c r="AG323" s="68">
        <f>VLOOKUP(Takeoffs!AF323,Sheet1!$B$6:$C$124,2,FALSE)</f>
        <v>0</v>
      </c>
      <c r="AH323" s="68">
        <f t="shared" si="133"/>
        <v>0</v>
      </c>
      <c r="AI323" s="63">
        <f t="shared" si="134"/>
        <v>0</v>
      </c>
      <c r="AJ323" s="28">
        <f t="shared" si="135"/>
        <v>0</v>
      </c>
      <c r="AK323" s="61">
        <f>T323</f>
        <v>0</v>
      </c>
      <c r="AL323" s="59"/>
      <c r="AO323" s="286"/>
      <c r="AP323" s="284">
        <f t="shared" si="116"/>
        <v>0</v>
      </c>
      <c r="AQ323" s="281">
        <f t="shared" si="117"/>
        <v>0</v>
      </c>
      <c r="AR323" s="284">
        <f t="shared" si="118"/>
        <v>0</v>
      </c>
      <c r="AS323" s="281">
        <f t="shared" si="119"/>
        <v>0</v>
      </c>
      <c r="AT323" s="284">
        <f t="shared" si="120"/>
        <v>0</v>
      </c>
    </row>
    <row r="324" spans="1:97" s="32" customFormat="1" ht="30.9" x14ac:dyDescent="0.8">
      <c r="A324" s="262">
        <f>ROW()</f>
        <v>324</v>
      </c>
      <c r="B324" s="114"/>
      <c r="C324" s="208"/>
      <c r="D324" s="208"/>
      <c r="E324" s="208"/>
      <c r="F324" s="208"/>
      <c r="G324" s="208"/>
      <c r="H324" s="208"/>
      <c r="I324" s="114"/>
      <c r="J324" s="32" t="str">
        <f t="shared" si="137"/>
        <v/>
      </c>
      <c r="K324" s="32" t="str">
        <f>IF(COUNTBLANK(R324)&gt;0,"",CONCATENATE(R324," for ",N308))</f>
        <v/>
      </c>
      <c r="N324" s="15" t="s">
        <v>128</v>
      </c>
      <c r="O324" s="66" t="s">
        <v>343</v>
      </c>
      <c r="P324" s="12"/>
      <c r="Q324" s="66"/>
      <c r="R324" s="12"/>
      <c r="S324" s="28">
        <f>M308</f>
        <v>0</v>
      </c>
      <c r="T324" s="11"/>
      <c r="U324" s="12" t="s">
        <v>363</v>
      </c>
      <c r="V324" s="28">
        <f t="shared" si="130"/>
        <v>0</v>
      </c>
      <c r="W324" s="28">
        <f>3*M308</f>
        <v>0</v>
      </c>
      <c r="X324" s="59"/>
      <c r="Y324" s="13" t="s">
        <v>332</v>
      </c>
      <c r="Z324" s="68">
        <f>VLOOKUP(Takeoffs!Y324,Sheet1!$B$6:$C$124,2,FALSE)</f>
        <v>127.19999999999999</v>
      </c>
      <c r="AA324" s="68">
        <f t="shared" si="131"/>
        <v>0</v>
      </c>
      <c r="AB324" s="63">
        <f t="shared" si="132"/>
        <v>0</v>
      </c>
      <c r="AC324" s="28">
        <f t="shared" si="138"/>
        <v>0</v>
      </c>
      <c r="AD324" s="61">
        <v>1</v>
      </c>
      <c r="AE324" s="59"/>
      <c r="AF324" s="13" t="s">
        <v>267</v>
      </c>
      <c r="AG324" s="68">
        <f>VLOOKUP(Takeoffs!AF324,Sheet1!$B$6:$C$124,2,FALSE)</f>
        <v>3.48</v>
      </c>
      <c r="AH324" s="68">
        <f t="shared" si="133"/>
        <v>0</v>
      </c>
      <c r="AI324" s="63">
        <f t="shared" si="134"/>
        <v>0</v>
      </c>
      <c r="AJ324" s="28">
        <f t="shared" si="135"/>
        <v>0</v>
      </c>
      <c r="AK324" s="61">
        <v>20</v>
      </c>
      <c r="AL324" s="59"/>
      <c r="AO324" s="286"/>
      <c r="AP324" s="284">
        <f t="shared" si="116"/>
        <v>0</v>
      </c>
      <c r="AQ324" s="281">
        <f t="shared" si="117"/>
        <v>0</v>
      </c>
      <c r="AR324" s="284">
        <f t="shared" si="118"/>
        <v>0</v>
      </c>
      <c r="AS324" s="281">
        <f t="shared" si="119"/>
        <v>0</v>
      </c>
      <c r="AT324" s="284">
        <f t="shared" si="120"/>
        <v>0</v>
      </c>
    </row>
    <row r="325" spans="1:97" s="32" customFormat="1" ht="30.9" x14ac:dyDescent="0.8">
      <c r="A325" s="262">
        <f>ROW()</f>
        <v>325</v>
      </c>
      <c r="B325" s="114"/>
      <c r="C325" s="208"/>
      <c r="D325" s="208"/>
      <c r="E325" s="208"/>
      <c r="F325" s="208"/>
      <c r="G325" s="208"/>
      <c r="H325" s="208"/>
      <c r="I325" s="114"/>
      <c r="J325" s="32" t="str">
        <f t="shared" si="137"/>
        <v/>
      </c>
      <c r="K325" s="32" t="str">
        <f>IF(COUNTBLANK(R325)&gt;0,"",CONCATENATE(R325," for ",N308))</f>
        <v>Auto/Off/On switch for substation ventilation system (Including temperature control and alarm) - From local power supply</v>
      </c>
      <c r="N325" s="15" t="s">
        <v>129</v>
      </c>
      <c r="O325" s="66" t="s">
        <v>329</v>
      </c>
      <c r="P325" s="12"/>
      <c r="Q325" s="66"/>
      <c r="R325" s="12" t="s">
        <v>304</v>
      </c>
      <c r="S325" s="28">
        <f>M308</f>
        <v>0</v>
      </c>
      <c r="T325" s="11"/>
      <c r="U325" s="12" t="s">
        <v>292</v>
      </c>
      <c r="V325" s="28">
        <f t="shared" si="130"/>
        <v>0</v>
      </c>
      <c r="W325" s="28">
        <f>VLOOKUP(U325,Sheet1!$B$6:$C$45,2,FALSE)*V325</f>
        <v>0</v>
      </c>
      <c r="X325" s="59"/>
      <c r="Y325" s="13" t="s">
        <v>277</v>
      </c>
      <c r="Z325" s="68">
        <f>VLOOKUP(Takeoffs!Y325,Sheet1!$B$6:$C$124,2,FALSE)</f>
        <v>69.540000000000006</v>
      </c>
      <c r="AA325" s="68">
        <f t="shared" si="131"/>
        <v>0</v>
      </c>
      <c r="AB325" s="63">
        <f t="shared" si="132"/>
        <v>0</v>
      </c>
      <c r="AC325" s="28">
        <f t="shared" si="138"/>
        <v>0</v>
      </c>
      <c r="AD325" s="61">
        <v>1</v>
      </c>
      <c r="AE325" s="59"/>
      <c r="AF325" s="12" t="s">
        <v>292</v>
      </c>
      <c r="AG325" s="68">
        <f>VLOOKUP(Takeoffs!AF325,Sheet1!$B$6:$C$124,2,FALSE)</f>
        <v>0</v>
      </c>
      <c r="AH325" s="68">
        <f t="shared" si="133"/>
        <v>0</v>
      </c>
      <c r="AI325" s="63">
        <f t="shared" si="134"/>
        <v>0</v>
      </c>
      <c r="AJ325" s="28">
        <f t="shared" si="135"/>
        <v>0</v>
      </c>
      <c r="AK325" s="61">
        <f>T325</f>
        <v>0</v>
      </c>
      <c r="AL325" s="59"/>
      <c r="AO325" s="286"/>
      <c r="AP325" s="284">
        <f t="shared" si="116"/>
        <v>0</v>
      </c>
      <c r="AQ325" s="281">
        <f t="shared" si="117"/>
        <v>0</v>
      </c>
      <c r="AR325" s="284">
        <f t="shared" si="118"/>
        <v>0</v>
      </c>
      <c r="AS325" s="281">
        <f t="shared" si="119"/>
        <v>0</v>
      </c>
      <c r="AT325" s="284">
        <f t="shared" si="120"/>
        <v>0</v>
      </c>
    </row>
    <row r="326" spans="1:97" s="32" customFormat="1" ht="30.9" x14ac:dyDescent="0.8">
      <c r="A326" s="262">
        <f>ROW()</f>
        <v>326</v>
      </c>
      <c r="B326" s="114"/>
      <c r="C326" s="208"/>
      <c r="D326" s="208"/>
      <c r="E326" s="208"/>
      <c r="F326" s="208"/>
      <c r="G326" s="208"/>
      <c r="H326" s="208"/>
      <c r="I326" s="114"/>
      <c r="J326" s="32" t="str">
        <f t="shared" si="137"/>
        <v/>
      </c>
      <c r="K326" s="32" t="str">
        <f>IF(COUNTBLANK(R326)&gt;0,"",CONCATENATE(R326," for ",N308))</f>
        <v/>
      </c>
      <c r="N326" s="15" t="s">
        <v>130</v>
      </c>
      <c r="O326" s="66" t="s">
        <v>338</v>
      </c>
      <c r="P326" s="12"/>
      <c r="Q326" s="66"/>
      <c r="R326" s="12"/>
      <c r="S326" s="28">
        <f>M308</f>
        <v>0</v>
      </c>
      <c r="T326" s="11"/>
      <c r="U326" s="12" t="s">
        <v>292</v>
      </c>
      <c r="V326" s="28">
        <f t="shared" si="130"/>
        <v>0</v>
      </c>
      <c r="W326" s="28">
        <f>VLOOKUP(U326,Sheet1!$B$6:$C$45,2,FALSE)*V326</f>
        <v>0</v>
      </c>
      <c r="X326" s="59"/>
      <c r="Y326" s="13" t="s">
        <v>333</v>
      </c>
      <c r="Z326" s="68">
        <f>VLOOKUP(Takeoffs!Y326,Sheet1!$B$6:$C$124,2,FALSE)</f>
        <v>60</v>
      </c>
      <c r="AA326" s="68">
        <f t="shared" si="131"/>
        <v>0</v>
      </c>
      <c r="AB326" s="63">
        <f t="shared" si="132"/>
        <v>0</v>
      </c>
      <c r="AC326" s="28">
        <f t="shared" si="138"/>
        <v>0</v>
      </c>
      <c r="AD326" s="61">
        <v>1</v>
      </c>
      <c r="AE326" s="59"/>
      <c r="AF326" s="12" t="s">
        <v>292</v>
      </c>
      <c r="AG326" s="68">
        <f>VLOOKUP(Takeoffs!AF326,Sheet1!$B$6:$C$124,2,FALSE)</f>
        <v>0</v>
      </c>
      <c r="AH326" s="68">
        <f t="shared" si="133"/>
        <v>0</v>
      </c>
      <c r="AI326" s="63">
        <f t="shared" si="134"/>
        <v>0</v>
      </c>
      <c r="AJ326" s="28">
        <f t="shared" si="135"/>
        <v>0</v>
      </c>
      <c r="AK326" s="61">
        <f>T326</f>
        <v>0</v>
      </c>
      <c r="AL326" s="59"/>
      <c r="AO326" s="286"/>
      <c r="AP326" s="284">
        <f t="shared" si="116"/>
        <v>0</v>
      </c>
      <c r="AQ326" s="281">
        <f t="shared" si="117"/>
        <v>0</v>
      </c>
      <c r="AR326" s="284">
        <f t="shared" si="118"/>
        <v>0</v>
      </c>
      <c r="AS326" s="281">
        <f t="shared" si="119"/>
        <v>0</v>
      </c>
      <c r="AT326" s="284">
        <f t="shared" si="120"/>
        <v>0</v>
      </c>
    </row>
    <row r="327" spans="1:97" s="32" customFormat="1" ht="30.9" x14ac:dyDescent="0.8">
      <c r="A327" s="262">
        <f>ROW()</f>
        <v>327</v>
      </c>
      <c r="B327" s="114"/>
      <c r="C327" s="208"/>
      <c r="D327" s="208"/>
      <c r="E327" s="208"/>
      <c r="F327" s="208"/>
      <c r="G327" s="208"/>
      <c r="H327" s="208"/>
      <c r="I327" s="114"/>
      <c r="J327" s="32" t="str">
        <f t="shared" si="137"/>
        <v/>
      </c>
      <c r="K327" s="32" t="str">
        <f>IF(COUNTBLANK(R327)&gt;0,"",CONCATENATE(R327," for ",N308))</f>
        <v/>
      </c>
      <c r="N327" s="15" t="s">
        <v>131</v>
      </c>
      <c r="O327" s="66" t="s">
        <v>339</v>
      </c>
      <c r="P327" s="12"/>
      <c r="Q327" s="66"/>
      <c r="R327" s="12"/>
      <c r="S327" s="28">
        <f>M308</f>
        <v>0</v>
      </c>
      <c r="T327" s="11"/>
      <c r="U327" s="12" t="s">
        <v>292</v>
      </c>
      <c r="V327" s="28">
        <f t="shared" si="130"/>
        <v>0</v>
      </c>
      <c r="W327" s="28">
        <f>VLOOKUP(U327,Sheet1!$B$6:$C$45,2,FALSE)*V327</f>
        <v>0</v>
      </c>
      <c r="X327" s="59"/>
      <c r="Y327" s="13" t="s">
        <v>334</v>
      </c>
      <c r="Z327" s="68">
        <f>VLOOKUP(Takeoffs!Y327,Sheet1!$B$6:$C$124,2,FALSE)</f>
        <v>56.4</v>
      </c>
      <c r="AA327" s="68">
        <f t="shared" si="131"/>
        <v>0</v>
      </c>
      <c r="AB327" s="63">
        <f t="shared" si="132"/>
        <v>0</v>
      </c>
      <c r="AC327" s="28">
        <f t="shared" si="138"/>
        <v>0</v>
      </c>
      <c r="AD327" s="61">
        <v>1</v>
      </c>
      <c r="AE327" s="59"/>
      <c r="AF327" s="12" t="s">
        <v>292</v>
      </c>
      <c r="AG327" s="68">
        <f>VLOOKUP(Takeoffs!AF327,Sheet1!$B$6:$C$124,2,FALSE)</f>
        <v>0</v>
      </c>
      <c r="AH327" s="68">
        <f t="shared" si="133"/>
        <v>0</v>
      </c>
      <c r="AI327" s="63">
        <f t="shared" si="134"/>
        <v>0</v>
      </c>
      <c r="AJ327" s="28">
        <f t="shared" si="135"/>
        <v>0</v>
      </c>
      <c r="AK327" s="61">
        <f>T327</f>
        <v>0</v>
      </c>
      <c r="AL327" s="59"/>
      <c r="AO327" s="286"/>
      <c r="AP327" s="284">
        <f t="shared" si="116"/>
        <v>0</v>
      </c>
      <c r="AQ327" s="281">
        <f t="shared" si="117"/>
        <v>0</v>
      </c>
      <c r="AR327" s="284">
        <f t="shared" si="118"/>
        <v>0</v>
      </c>
      <c r="AS327" s="281">
        <f t="shared" si="119"/>
        <v>0</v>
      </c>
      <c r="AT327" s="284">
        <f t="shared" si="120"/>
        <v>0</v>
      </c>
    </row>
    <row r="328" spans="1:97" s="32" customFormat="1" ht="30.9" x14ac:dyDescent="0.8">
      <c r="A328" s="262">
        <f>ROW()</f>
        <v>328</v>
      </c>
      <c r="B328" s="114"/>
      <c r="C328" s="208"/>
      <c r="D328" s="208"/>
      <c r="E328" s="208"/>
      <c r="F328" s="208"/>
      <c r="G328" s="208"/>
      <c r="H328" s="208"/>
      <c r="I328" s="114"/>
      <c r="J328" s="32" t="str">
        <f t="shared" si="137"/>
        <v/>
      </c>
      <c r="K328" s="32" t="str">
        <f>IF(COUNTBLANK(R328)&gt;0,"",CONCATENATE(R328," for ",N308))</f>
        <v/>
      </c>
      <c r="N328" s="15" t="s">
        <v>132</v>
      </c>
      <c r="O328" s="66" t="s">
        <v>408</v>
      </c>
      <c r="P328" s="12"/>
      <c r="Q328" s="66"/>
      <c r="R328" s="12"/>
      <c r="S328" s="28">
        <f>M308</f>
        <v>0</v>
      </c>
      <c r="T328" s="11"/>
      <c r="U328" s="12" t="s">
        <v>362</v>
      </c>
      <c r="V328" s="28">
        <f t="shared" si="130"/>
        <v>0</v>
      </c>
      <c r="W328" s="28">
        <f>VLOOKUP(U328,Sheet1!$B$6:$C$45,2,FALSE)*V328</f>
        <v>0</v>
      </c>
      <c r="X328" s="59"/>
      <c r="Y328" s="12" t="s">
        <v>292</v>
      </c>
      <c r="Z328" s="68">
        <f>VLOOKUP(Takeoffs!Y328,Sheet1!$B$6:$C$124,2,FALSE)</f>
        <v>0</v>
      </c>
      <c r="AA328" s="68">
        <f t="shared" si="131"/>
        <v>0</v>
      </c>
      <c r="AB328" s="63">
        <f t="shared" si="132"/>
        <v>0</v>
      </c>
      <c r="AC328" s="28">
        <f t="shared" si="138"/>
        <v>0</v>
      </c>
      <c r="AD328" s="61">
        <v>1</v>
      </c>
      <c r="AE328" s="59"/>
      <c r="AF328" s="12" t="s">
        <v>292</v>
      </c>
      <c r="AG328" s="68">
        <f>VLOOKUP(Takeoffs!AF328,Sheet1!$B$6:$C$124,2,FALSE)</f>
        <v>0</v>
      </c>
      <c r="AH328" s="68">
        <f t="shared" si="133"/>
        <v>0</v>
      </c>
      <c r="AI328" s="63">
        <f t="shared" si="134"/>
        <v>0</v>
      </c>
      <c r="AJ328" s="28">
        <f t="shared" si="135"/>
        <v>0</v>
      </c>
      <c r="AK328" s="61">
        <f>T328</f>
        <v>0</v>
      </c>
      <c r="AL328" s="59"/>
      <c r="AO328" s="286"/>
      <c r="AP328" s="284">
        <f t="shared" si="116"/>
        <v>0</v>
      </c>
      <c r="AQ328" s="281">
        <f t="shared" si="117"/>
        <v>0</v>
      </c>
      <c r="AR328" s="284">
        <f t="shared" si="118"/>
        <v>0</v>
      </c>
      <c r="AS328" s="281">
        <f t="shared" si="119"/>
        <v>0</v>
      </c>
      <c r="AT328" s="284">
        <f t="shared" si="120"/>
        <v>0</v>
      </c>
    </row>
    <row r="329" spans="1:97" s="21" customFormat="1" ht="31.5" customHeight="1" x14ac:dyDescent="0.8">
      <c r="A329" s="262">
        <f>ROW()</f>
        <v>329</v>
      </c>
      <c r="B329" s="128"/>
      <c r="C329" s="212"/>
      <c r="D329" s="212"/>
      <c r="E329" s="212"/>
      <c r="F329" s="212"/>
      <c r="G329" s="212"/>
      <c r="H329" s="212"/>
      <c r="I329" s="128"/>
      <c r="J329" s="21" t="s">
        <v>377</v>
      </c>
      <c r="L329" s="21" t="s">
        <v>378</v>
      </c>
      <c r="N329" s="22"/>
      <c r="O329" s="23" t="s">
        <v>357</v>
      </c>
      <c r="P329" s="98">
        <f>V329+AA329+AH329</f>
        <v>0</v>
      </c>
      <c r="Q329" s="65"/>
      <c r="R329" s="65"/>
      <c r="S329" s="23"/>
      <c r="T329" s="20"/>
      <c r="U329" s="19" t="s">
        <v>351</v>
      </c>
      <c r="V329" s="20">
        <f>W329*80</f>
        <v>0</v>
      </c>
      <c r="W329" s="69">
        <f>SUM(W308:W328)</f>
        <v>0</v>
      </c>
      <c r="X329" s="70"/>
      <c r="Y329" s="20" t="s">
        <v>352</v>
      </c>
      <c r="Z329" s="2"/>
      <c r="AA329" s="2">
        <f>SUM(AA308:AA328)</f>
        <v>0</v>
      </c>
      <c r="AB329" s="71"/>
      <c r="AC329" s="71"/>
      <c r="AD329" s="71"/>
      <c r="AE329" s="71"/>
      <c r="AF329" s="20" t="s">
        <v>356</v>
      </c>
      <c r="AG329" s="2"/>
      <c r="AH329" s="2">
        <f>SUM(AH308:AH328)</f>
        <v>0</v>
      </c>
      <c r="AI329" s="71"/>
      <c r="AJ329" s="71"/>
      <c r="AK329" s="71"/>
      <c r="AL329" s="71"/>
      <c r="AM329" s="150">
        <f>P329</f>
        <v>0</v>
      </c>
      <c r="AO329" s="286"/>
      <c r="AP329" s="284">
        <f t="shared" si="116"/>
        <v>0</v>
      </c>
      <c r="AQ329" s="281">
        <f t="shared" si="117"/>
        <v>0</v>
      </c>
      <c r="AR329" s="284">
        <f t="shared" si="118"/>
        <v>0</v>
      </c>
      <c r="AS329" s="281">
        <f t="shared" si="119"/>
        <v>0</v>
      </c>
      <c r="AT329" s="284">
        <f t="shared" si="120"/>
        <v>0</v>
      </c>
    </row>
    <row r="330" spans="1:97" s="234" customFormat="1" ht="216" x14ac:dyDescent="0.8">
      <c r="A330" s="262">
        <f>ROW()</f>
        <v>330</v>
      </c>
      <c r="B330" s="234" t="s">
        <v>491</v>
      </c>
      <c r="C330" s="217" t="str">
        <f>N308</f>
        <v>substation ventilation system (Including temperature control and alarm) - From local power supply</v>
      </c>
      <c r="D330" s="260" t="str">
        <f>IF(B330="Shopping List",IF(ISNUMBER(SEARCH("MSSB",C330)),"MSSB",IF(ISNUMBER(SEARCH("local",C330)),"LOCAL","")))</f>
        <v>LOCAL</v>
      </c>
      <c r="E330" s="238"/>
      <c r="F330" s="217"/>
      <c r="G330" s="217"/>
      <c r="H330" s="245"/>
      <c r="I330" s="270"/>
      <c r="J330" s="241" t="str">
        <f>CONCATENATE(O308," ",L308, " (",M308,") ",N308,".", IF(M308&gt;1," Each "," This "),"includes supply and install of ",O309,O310,O311,O312,O313,O314,O315,O316,O317,O318,O319,O320,O321,O322,O323,O324,O325,O326,O327,O328,J309,J310,J311,J312,J313,J314,J315,J316,J317,J318,J319,J320,J321,J322,J323,J324,J325,J326,J327,J328)</f>
        <v>Electrical power supply and controls to Zero (0) substation ventilation system (Including temperature control and alarm) - From local power supply. This includes supply and install of power and controls. Power for system includes: cabling to fan and control panel (from Builder's Electrician's isolator) and local isolator. Controls for system includes: alarm thermostat, high temp thermostat, low temp thermostat, controls cabling, contactors/relays, air flow switch, run and fault lights, strobe-alarm, Auto/Off/On switch, controls enclosure, controls transformer and commissioning/testing. Coordination Note: - Builders Electrician: Please refer to our exclusions relating to substation ventilation  power supply (including isolator)</v>
      </c>
      <c r="K330" s="246">
        <f>P329</f>
        <v>0</v>
      </c>
      <c r="L330" s="234" t="str">
        <f>CONCATENATE(Q309,Q310,Q311,Q312,Q313,Q314,Q315,Q316,Q317,Q318,Q319,Q320,Q321,Q322,Q323,Q324,Q325,Q326,Q327,Q328,)</f>
        <v>substation ventilation  power supply (including isolator)</v>
      </c>
      <c r="M330" s="91" t="s">
        <v>367</v>
      </c>
      <c r="N330" s="83" t="str">
        <f>N308</f>
        <v>substation ventilation system (Including temperature control and alarm) - From local power supply</v>
      </c>
      <c r="O330" s="83" t="s">
        <v>365</v>
      </c>
      <c r="P330" s="84" t="e">
        <f>P329/M308</f>
        <v>#DIV/0!</v>
      </c>
      <c r="Q330" s="84"/>
      <c r="R330" s="84"/>
      <c r="S330" s="83"/>
      <c r="T330" s="84"/>
      <c r="U330" s="503" t="s">
        <v>366</v>
      </c>
      <c r="V330" s="503"/>
      <c r="W330" s="85" t="e">
        <f>W329/M308</f>
        <v>#DIV/0!</v>
      </c>
      <c r="X330" s="86"/>
      <c r="Y330" s="501" t="s">
        <v>365</v>
      </c>
      <c r="Z330" s="501"/>
      <c r="AA330" s="87" t="e">
        <f>AA329/M308</f>
        <v>#DIV/0!</v>
      </c>
      <c r="AB330" s="84"/>
      <c r="AC330" s="84"/>
      <c r="AD330" s="84"/>
      <c r="AE330" s="84"/>
      <c r="AF330" s="501" t="s">
        <v>365</v>
      </c>
      <c r="AG330" s="501"/>
      <c r="AH330" s="87" t="e">
        <f>AH329/M308</f>
        <v>#DIV/0!</v>
      </c>
      <c r="AI330" s="84"/>
      <c r="AJ330" s="84"/>
      <c r="AK330" s="84"/>
      <c r="AL330" s="247"/>
      <c r="AM330" s="257"/>
      <c r="AN330" s="236">
        <f>K330*$D$9</f>
        <v>0</v>
      </c>
      <c r="AO330" s="286"/>
      <c r="AP330" s="284">
        <f t="shared" si="116"/>
        <v>0</v>
      </c>
      <c r="AQ330" s="281">
        <f t="shared" si="117"/>
        <v>0</v>
      </c>
      <c r="AR330" s="284">
        <f t="shared" si="118"/>
        <v>0</v>
      </c>
      <c r="AS330" s="281">
        <f t="shared" si="119"/>
        <v>0</v>
      </c>
      <c r="AT330" s="284">
        <f t="shared" si="120"/>
        <v>0</v>
      </c>
      <c r="AU330" s="117"/>
      <c r="AV330" s="117"/>
      <c r="AW330" s="117"/>
      <c r="AX330" s="117"/>
      <c r="AY330" s="117"/>
      <c r="AZ330" s="117"/>
      <c r="BA330" s="117"/>
      <c r="BB330" s="117"/>
      <c r="BC330" s="117"/>
      <c r="BD330" s="117"/>
      <c r="BE330" s="117"/>
      <c r="BF330" s="117"/>
      <c r="BG330" s="117"/>
      <c r="BH330" s="117"/>
      <c r="BI330" s="117"/>
      <c r="BJ330" s="117"/>
      <c r="BK330" s="117"/>
      <c r="BL330" s="117"/>
      <c r="BM330" s="117"/>
      <c r="BN330" s="117"/>
      <c r="BO330" s="117"/>
      <c r="BP330" s="117"/>
      <c r="BQ330" s="117"/>
      <c r="BR330" s="117"/>
      <c r="BS330" s="117"/>
      <c r="BT330" s="117"/>
      <c r="BU330" s="117"/>
      <c r="BV330" s="117"/>
      <c r="BW330" s="117"/>
      <c r="BX330" s="117"/>
      <c r="BY330" s="117"/>
      <c r="BZ330" s="117"/>
      <c r="CA330" s="117"/>
      <c r="CB330" s="117"/>
      <c r="CC330" s="117"/>
      <c r="CD330" s="117"/>
      <c r="CE330" s="117"/>
      <c r="CF330" s="117"/>
      <c r="CG330" s="117"/>
      <c r="CH330" s="117"/>
      <c r="CI330" s="117"/>
      <c r="CJ330" s="117"/>
      <c r="CK330" s="117"/>
      <c r="CL330" s="117"/>
      <c r="CM330" s="117"/>
      <c r="CN330" s="117"/>
      <c r="CO330" s="117"/>
      <c r="CP330" s="117"/>
      <c r="CQ330" s="117"/>
      <c r="CR330" s="117"/>
      <c r="CS330" s="117"/>
    </row>
    <row r="331" spans="1:97" s="116" customFormat="1" ht="192.75" customHeight="1" x14ac:dyDescent="0.8">
      <c r="A331" s="262">
        <f>ROW()</f>
        <v>331</v>
      </c>
      <c r="C331" s="211"/>
      <c r="D331" s="211"/>
      <c r="E331" s="211"/>
      <c r="F331" s="211"/>
      <c r="G331" s="211"/>
      <c r="H331" s="211"/>
      <c r="K331" s="116" t="s">
        <v>452</v>
      </c>
      <c r="M331" s="116" t="s">
        <v>107</v>
      </c>
      <c r="N331" s="116" t="s">
        <v>108</v>
      </c>
      <c r="O331" s="170" t="s">
        <v>386</v>
      </c>
      <c r="P331" s="502" t="s">
        <v>375</v>
      </c>
      <c r="Q331" s="502"/>
      <c r="R331" s="101" t="s">
        <v>452</v>
      </c>
      <c r="S331" s="116" t="s">
        <v>0</v>
      </c>
      <c r="T331" s="118"/>
      <c r="U331" s="116" t="s">
        <v>287</v>
      </c>
      <c r="V331" s="116" t="s">
        <v>288</v>
      </c>
      <c r="W331" s="116" t="s">
        <v>291</v>
      </c>
      <c r="X331" s="140"/>
      <c r="Y331" s="116" t="s">
        <v>289</v>
      </c>
      <c r="Z331" s="116" t="s">
        <v>354</v>
      </c>
      <c r="AA331" s="116" t="s">
        <v>355</v>
      </c>
      <c r="AB331" s="116" t="s">
        <v>317</v>
      </c>
      <c r="AC331" s="116" t="s">
        <v>318</v>
      </c>
      <c r="AD331" s="116" t="s">
        <v>316</v>
      </c>
      <c r="AE331" s="140"/>
      <c r="AF331" s="116" t="s">
        <v>293</v>
      </c>
      <c r="AG331" s="116" t="s">
        <v>354</v>
      </c>
      <c r="AH331" s="116" t="s">
        <v>355</v>
      </c>
      <c r="AI331" s="116" t="s">
        <v>296</v>
      </c>
      <c r="AJ331" s="116" t="s">
        <v>294</v>
      </c>
      <c r="AK331" s="116" t="s">
        <v>295</v>
      </c>
      <c r="AL331" s="140"/>
      <c r="AO331" s="288"/>
      <c r="AP331" s="284">
        <f t="shared" si="116"/>
        <v>0</v>
      </c>
      <c r="AQ331" s="281">
        <f t="shared" si="117"/>
        <v>0</v>
      </c>
      <c r="AR331" s="284">
        <f t="shared" si="118"/>
        <v>0</v>
      </c>
      <c r="AS331" s="281">
        <f t="shared" si="119"/>
        <v>0</v>
      </c>
      <c r="AT331" s="284">
        <f t="shared" si="120"/>
        <v>0</v>
      </c>
    </row>
    <row r="332" spans="1:97" s="114" customFormat="1" ht="40.5" customHeight="1" x14ac:dyDescent="0.8">
      <c r="A332" s="262">
        <f>ROW()</f>
        <v>332</v>
      </c>
      <c r="C332" s="208"/>
      <c r="D332" s="208"/>
      <c r="E332" s="208"/>
      <c r="F332" s="208"/>
      <c r="G332" s="208"/>
      <c r="H332" s="208"/>
      <c r="L332" s="124" t="str">
        <f>VLOOKUP(M332,Sheet2!$D$2:$E$1024,2,FALSE)</f>
        <v>Zero</v>
      </c>
      <c r="M332" s="121">
        <f>I354</f>
        <v>0</v>
      </c>
      <c r="N332" s="132" t="s">
        <v>661</v>
      </c>
      <c r="O332" s="121" t="s">
        <v>347</v>
      </c>
      <c r="P332" s="169" t="s">
        <v>379</v>
      </c>
      <c r="Q332" s="169" t="s">
        <v>375</v>
      </c>
      <c r="R332" s="169"/>
      <c r="S332" s="133">
        <f>M332</f>
        <v>0</v>
      </c>
      <c r="T332" s="119"/>
      <c r="U332" s="121" t="s">
        <v>292</v>
      </c>
      <c r="V332" s="133">
        <f>S332</f>
        <v>0</v>
      </c>
      <c r="W332" s="133">
        <f>VLOOKUP(U332,Sheet1!$B$6:$C$45,2,FALSE)*V332</f>
        <v>0</v>
      </c>
      <c r="X332" s="141"/>
      <c r="Y332" s="121" t="s">
        <v>292</v>
      </c>
      <c r="Z332" s="146">
        <f>VLOOKUP(Takeoffs!Y332,Sheet1!$B$6:$C$124,2,FALSE)</f>
        <v>0</v>
      </c>
      <c r="AA332" s="146">
        <f>Z332*AB332</f>
        <v>0</v>
      </c>
      <c r="AB332" s="143">
        <f>AD332*AC332</f>
        <v>0</v>
      </c>
      <c r="AC332" s="133">
        <f>S332</f>
        <v>0</v>
      </c>
      <c r="AD332" s="142">
        <v>1</v>
      </c>
      <c r="AE332" s="141"/>
      <c r="AF332" s="121" t="s">
        <v>292</v>
      </c>
      <c r="AG332" s="146">
        <f>VLOOKUP(Takeoffs!AF332,Sheet1!$B$6:$C$124,2,FALSE)</f>
        <v>0</v>
      </c>
      <c r="AH332" s="146">
        <f>AG332*AI332</f>
        <v>0</v>
      </c>
      <c r="AI332" s="143">
        <f>AK332*AJ332</f>
        <v>0</v>
      </c>
      <c r="AJ332" s="133">
        <f>S332</f>
        <v>0</v>
      </c>
      <c r="AK332" s="142">
        <f>T332</f>
        <v>0</v>
      </c>
      <c r="AL332" s="141"/>
      <c r="AO332" s="286"/>
      <c r="AP332" s="284">
        <f t="shared" si="116"/>
        <v>0</v>
      </c>
      <c r="AQ332" s="281">
        <f t="shared" si="117"/>
        <v>0</v>
      </c>
      <c r="AR332" s="284">
        <f t="shared" si="118"/>
        <v>0</v>
      </c>
      <c r="AS332" s="281">
        <f t="shared" si="119"/>
        <v>0</v>
      </c>
      <c r="AT332" s="284">
        <f t="shared" si="120"/>
        <v>0</v>
      </c>
    </row>
    <row r="333" spans="1:97" s="114" customFormat="1" ht="30.9" x14ac:dyDescent="0.8">
      <c r="A333" s="262">
        <f>ROW()</f>
        <v>333</v>
      </c>
      <c r="C333" s="208"/>
      <c r="D333" s="208"/>
      <c r="E333" s="208"/>
      <c r="F333" s="208"/>
      <c r="G333" s="208"/>
      <c r="H333" s="208"/>
      <c r="J333" s="114" t="str">
        <f>IF(COUNTBLANK(Q333)&gt;0,"",CONCATENATE("Coordination Note: - ",P333,": Please refer to our exclusions relating to ",Q333))</f>
        <v/>
      </c>
      <c r="K333" s="114" t="str">
        <f>IF(COUNTBLANK(R333)&gt;0,"",CONCATENATE(R333," for ",N332))</f>
        <v/>
      </c>
      <c r="M333" s="117"/>
      <c r="N333" s="123" t="s">
        <v>113</v>
      </c>
      <c r="O333" s="66" t="s">
        <v>340</v>
      </c>
      <c r="P333" s="121"/>
      <c r="Q333" s="66"/>
      <c r="R333" s="121"/>
      <c r="S333" s="133">
        <f>M332</f>
        <v>0</v>
      </c>
      <c r="T333" s="120"/>
      <c r="U333" s="121" t="s">
        <v>233</v>
      </c>
      <c r="V333" s="133">
        <f t="shared" ref="V333:V352" si="139">S333</f>
        <v>0</v>
      </c>
      <c r="W333" s="133">
        <f>VLOOKUP(U333,Sheet1!$B$6:$C$45,2,FALSE)*V333</f>
        <v>0</v>
      </c>
      <c r="X333" s="141"/>
      <c r="Y333" s="121" t="s">
        <v>292</v>
      </c>
      <c r="Z333" s="146">
        <f>VLOOKUP(Takeoffs!Y333,Sheet1!$B$6:$C$124,2,FALSE)</f>
        <v>0</v>
      </c>
      <c r="AA333" s="146">
        <f t="shared" ref="AA333:AA352" si="140">Z333*AB333</f>
        <v>0</v>
      </c>
      <c r="AB333" s="143">
        <f t="shared" ref="AB333:AB352" si="141">AD333*AC333</f>
        <v>0</v>
      </c>
      <c r="AC333" s="133">
        <f t="shared" ref="AC333:AC352" si="142">S333</f>
        <v>0</v>
      </c>
      <c r="AD333" s="142">
        <v>1</v>
      </c>
      <c r="AE333" s="141"/>
      <c r="AF333" s="121" t="s">
        <v>292</v>
      </c>
      <c r="AG333" s="146">
        <f>VLOOKUP(Takeoffs!AF333,Sheet1!$B$6:$C$124,2,FALSE)</f>
        <v>0</v>
      </c>
      <c r="AH333" s="146">
        <f t="shared" ref="AH333:AH352" si="143">AG333*AI333</f>
        <v>0</v>
      </c>
      <c r="AI333" s="143">
        <f t="shared" ref="AI333:AI352" si="144">AK333*AJ333</f>
        <v>0</v>
      </c>
      <c r="AJ333" s="133">
        <f t="shared" ref="AJ333:AJ352" si="145">S333</f>
        <v>0</v>
      </c>
      <c r="AK333" s="142">
        <f>T333</f>
        <v>0</v>
      </c>
      <c r="AL333" s="141"/>
      <c r="AO333" s="286"/>
      <c r="AP333" s="284">
        <f t="shared" si="116"/>
        <v>0</v>
      </c>
      <c r="AQ333" s="281">
        <f t="shared" si="117"/>
        <v>0</v>
      </c>
      <c r="AR333" s="284">
        <f t="shared" si="118"/>
        <v>0</v>
      </c>
      <c r="AS333" s="281">
        <f t="shared" si="119"/>
        <v>0</v>
      </c>
      <c r="AT333" s="284">
        <f t="shared" si="120"/>
        <v>0</v>
      </c>
    </row>
    <row r="334" spans="1:97" s="114" customFormat="1" ht="30.9" x14ac:dyDescent="0.8">
      <c r="A334" s="262">
        <f>ROW()</f>
        <v>334</v>
      </c>
      <c r="C334" s="208"/>
      <c r="D334" s="208"/>
      <c r="E334" s="208"/>
      <c r="F334" s="208"/>
      <c r="G334" s="208"/>
      <c r="H334" s="208"/>
      <c r="J334" s="114" t="str">
        <f t="shared" ref="J334:J352" si="146">IF(COUNTBLANK(Q334)&gt;0,"",CONCATENATE("Coordination Note: - ",P334,": Please refer to our exclusions relating to ",Q334))</f>
        <v/>
      </c>
      <c r="K334" s="114" t="str">
        <f>IF(COUNTBLANK(R334)&gt;0,"",CONCATENATE(R334," for ",N332))</f>
        <v/>
      </c>
      <c r="M334" s="117"/>
      <c r="N334" s="123" t="s">
        <v>114</v>
      </c>
      <c r="O334" s="66" t="s">
        <v>590</v>
      </c>
      <c r="P334" s="121"/>
      <c r="Q334" s="66"/>
      <c r="R334" s="121"/>
      <c r="S334" s="133">
        <f>M332</f>
        <v>0</v>
      </c>
      <c r="T334" s="120"/>
      <c r="U334" s="117" t="s">
        <v>478</v>
      </c>
      <c r="V334" s="133">
        <f t="shared" si="139"/>
        <v>0</v>
      </c>
      <c r="W334" s="133">
        <f>VLOOKUP(U334,Sheet1!$B$6:$C$45,2,FALSE)*V334</f>
        <v>0</v>
      </c>
      <c r="X334" s="141"/>
      <c r="Y334" s="52" t="s">
        <v>253</v>
      </c>
      <c r="Z334" s="146">
        <f>VLOOKUP(Takeoffs!Y334,Sheet1!$B$6:$C$124,2,FALSE)</f>
        <v>10.139999999999999</v>
      </c>
      <c r="AA334" s="146">
        <f t="shared" si="140"/>
        <v>0</v>
      </c>
      <c r="AB334" s="143">
        <f t="shared" si="141"/>
        <v>0</v>
      </c>
      <c r="AC334" s="133">
        <f t="shared" si="142"/>
        <v>0</v>
      </c>
      <c r="AD334" s="142">
        <v>1</v>
      </c>
      <c r="AE334" s="141"/>
      <c r="AF334" s="122" t="s">
        <v>268</v>
      </c>
      <c r="AG334" s="146">
        <f>VLOOKUP(Takeoffs!AF334,Sheet1!$B$6:$C$124,2,FALSE)</f>
        <v>1.02</v>
      </c>
      <c r="AH334" s="146">
        <f t="shared" si="143"/>
        <v>0</v>
      </c>
      <c r="AI334" s="143">
        <f t="shared" si="144"/>
        <v>0</v>
      </c>
      <c r="AJ334" s="133">
        <f t="shared" si="145"/>
        <v>0</v>
      </c>
      <c r="AK334" s="142">
        <v>5</v>
      </c>
      <c r="AL334" s="141"/>
      <c r="AO334" s="286"/>
      <c r="AP334" s="284">
        <f t="shared" si="116"/>
        <v>0</v>
      </c>
      <c r="AQ334" s="281">
        <f t="shared" si="117"/>
        <v>0</v>
      </c>
      <c r="AR334" s="284">
        <f t="shared" si="118"/>
        <v>0</v>
      </c>
      <c r="AS334" s="281">
        <f t="shared" si="119"/>
        <v>0</v>
      </c>
      <c r="AT334" s="284">
        <f t="shared" si="120"/>
        <v>0</v>
      </c>
    </row>
    <row r="335" spans="1:97" s="114" customFormat="1" ht="30.9" x14ac:dyDescent="0.8">
      <c r="A335" s="262">
        <f>ROW()</f>
        <v>335</v>
      </c>
      <c r="C335" s="208"/>
      <c r="D335" s="208"/>
      <c r="E335" s="208"/>
      <c r="F335" s="208"/>
      <c r="G335" s="208"/>
      <c r="H335" s="208"/>
      <c r="J335" s="114" t="str">
        <f t="shared" si="146"/>
        <v/>
      </c>
      <c r="K335" s="114" t="str">
        <f>IF(COUNTBLANK(R335)&gt;0,"",CONCATENATE(R335," for ",N332))</f>
        <v/>
      </c>
      <c r="M335" s="117"/>
      <c r="N335" s="123" t="s">
        <v>115</v>
      </c>
      <c r="O335" s="66" t="s">
        <v>406</v>
      </c>
      <c r="P335" s="121"/>
      <c r="Q335" s="66"/>
      <c r="R335" s="121"/>
      <c r="S335" s="133">
        <f>M332</f>
        <v>0</v>
      </c>
      <c r="T335" s="120"/>
      <c r="U335" s="121" t="s">
        <v>292</v>
      </c>
      <c r="V335" s="133">
        <f t="shared" si="139"/>
        <v>0</v>
      </c>
      <c r="W335" s="133">
        <f>VLOOKUP(U335,Sheet1!$B$6:$C$45,2,FALSE)*V335</f>
        <v>0</v>
      </c>
      <c r="X335" s="141"/>
      <c r="Y335" s="122" t="s">
        <v>247</v>
      </c>
      <c r="Z335" s="146">
        <f>VLOOKUP(Takeoffs!Y335,Sheet1!$B$6:$C$124,2,FALSE)</f>
        <v>23.76</v>
      </c>
      <c r="AA335" s="146">
        <f t="shared" si="140"/>
        <v>0</v>
      </c>
      <c r="AB335" s="143">
        <f t="shared" si="141"/>
        <v>0</v>
      </c>
      <c r="AC335" s="133">
        <f t="shared" si="142"/>
        <v>0</v>
      </c>
      <c r="AD335" s="142">
        <v>1</v>
      </c>
      <c r="AE335" s="141"/>
      <c r="AF335" s="121" t="s">
        <v>292</v>
      </c>
      <c r="AG335" s="146">
        <f>VLOOKUP(Takeoffs!AF335,Sheet1!$B$6:$C$124,2,FALSE)</f>
        <v>0</v>
      </c>
      <c r="AH335" s="146">
        <f t="shared" si="143"/>
        <v>0</v>
      </c>
      <c r="AI335" s="143">
        <f t="shared" si="144"/>
        <v>0</v>
      </c>
      <c r="AJ335" s="133">
        <f t="shared" si="145"/>
        <v>0</v>
      </c>
      <c r="AK335" s="142">
        <f t="shared" ref="AK335:AK341" si="147">T335</f>
        <v>0</v>
      </c>
      <c r="AL335" s="141"/>
      <c r="AO335" s="286"/>
      <c r="AP335" s="284">
        <f t="shared" si="116"/>
        <v>0</v>
      </c>
      <c r="AQ335" s="281">
        <f t="shared" si="117"/>
        <v>0</v>
      </c>
      <c r="AR335" s="284">
        <f t="shared" si="118"/>
        <v>0</v>
      </c>
      <c r="AS335" s="281">
        <f t="shared" si="119"/>
        <v>0</v>
      </c>
      <c r="AT335" s="284">
        <f t="shared" si="120"/>
        <v>0</v>
      </c>
    </row>
    <row r="336" spans="1:97" s="114" customFormat="1" ht="30.9" x14ac:dyDescent="0.8">
      <c r="A336" s="262">
        <f>ROW()</f>
        <v>336</v>
      </c>
      <c r="C336" s="208"/>
      <c r="D336" s="208"/>
      <c r="E336" s="208"/>
      <c r="F336" s="208"/>
      <c r="G336" s="208"/>
      <c r="H336" s="208"/>
      <c r="J336" s="114" t="str">
        <f t="shared" si="146"/>
        <v/>
      </c>
      <c r="K336" s="114" t="str">
        <f>IF(COUNTBLANK(R336)&gt;0,"",CONCATENATE(R336," for ",N332))</f>
        <v/>
      </c>
      <c r="M336" s="117"/>
      <c r="N336" s="123" t="s">
        <v>116</v>
      </c>
      <c r="O336" s="66"/>
      <c r="P336" s="121"/>
      <c r="Q336" s="66"/>
      <c r="R336" s="121"/>
      <c r="S336" s="133">
        <f>M332</f>
        <v>0</v>
      </c>
      <c r="T336" s="120"/>
      <c r="U336" s="121" t="s">
        <v>292</v>
      </c>
      <c r="V336" s="133">
        <f t="shared" si="139"/>
        <v>0</v>
      </c>
      <c r="W336" s="133">
        <f>VLOOKUP(U336,Sheet1!$B$6:$C$45,2,FALSE)*V336</f>
        <v>0</v>
      </c>
      <c r="X336" s="141"/>
      <c r="Y336" s="121" t="s">
        <v>292</v>
      </c>
      <c r="Z336" s="146">
        <f>VLOOKUP(Takeoffs!Y336,Sheet1!$B$6:$C$124,2,FALSE)</f>
        <v>0</v>
      </c>
      <c r="AA336" s="146">
        <f t="shared" si="140"/>
        <v>0</v>
      </c>
      <c r="AB336" s="143">
        <f t="shared" si="141"/>
        <v>0</v>
      </c>
      <c r="AC336" s="133">
        <f t="shared" si="142"/>
        <v>0</v>
      </c>
      <c r="AD336" s="142">
        <v>1</v>
      </c>
      <c r="AE336" s="141"/>
      <c r="AF336" s="121" t="s">
        <v>292</v>
      </c>
      <c r="AG336" s="146">
        <f>VLOOKUP(Takeoffs!AF336,Sheet1!$B$6:$C$124,2,FALSE)</f>
        <v>0</v>
      </c>
      <c r="AH336" s="146">
        <f t="shared" si="143"/>
        <v>0</v>
      </c>
      <c r="AI336" s="143">
        <f t="shared" si="144"/>
        <v>0</v>
      </c>
      <c r="AJ336" s="133">
        <f t="shared" si="145"/>
        <v>0</v>
      </c>
      <c r="AK336" s="142">
        <f t="shared" si="147"/>
        <v>0</v>
      </c>
      <c r="AL336" s="141"/>
      <c r="AO336" s="286"/>
      <c r="AP336" s="284">
        <f t="shared" si="116"/>
        <v>0</v>
      </c>
      <c r="AQ336" s="281">
        <f t="shared" si="117"/>
        <v>0</v>
      </c>
      <c r="AR336" s="284">
        <f t="shared" si="118"/>
        <v>0</v>
      </c>
      <c r="AS336" s="281">
        <f t="shared" si="119"/>
        <v>0</v>
      </c>
      <c r="AT336" s="284">
        <f t="shared" si="120"/>
        <v>0</v>
      </c>
    </row>
    <row r="337" spans="1:46" s="114" customFormat="1" ht="30.9" x14ac:dyDescent="0.8">
      <c r="A337" s="262">
        <f>ROW()</f>
        <v>337</v>
      </c>
      <c r="C337" s="208"/>
      <c r="D337" s="208"/>
      <c r="E337" s="208"/>
      <c r="F337" s="208"/>
      <c r="G337" s="208"/>
      <c r="H337" s="208"/>
      <c r="J337" s="114" t="str">
        <f t="shared" si="146"/>
        <v/>
      </c>
      <c r="K337" s="114" t="str">
        <f>IF(COUNTBLANK(R337)&gt;0,"",CONCATENATE(R337," for ",N332))</f>
        <v/>
      </c>
      <c r="M337" s="117"/>
      <c r="N337" s="123" t="s">
        <v>117</v>
      </c>
      <c r="O337" s="66"/>
      <c r="P337" s="121"/>
      <c r="Q337" s="66"/>
      <c r="R337" s="121"/>
      <c r="S337" s="133">
        <f>M332</f>
        <v>0</v>
      </c>
      <c r="T337" s="120"/>
      <c r="U337" s="121" t="s">
        <v>292</v>
      </c>
      <c r="V337" s="133">
        <f t="shared" si="139"/>
        <v>0</v>
      </c>
      <c r="W337" s="133">
        <f>VLOOKUP(U337,Sheet1!$B$6:$C$45,2,FALSE)*V337</f>
        <v>0</v>
      </c>
      <c r="X337" s="141"/>
      <c r="Y337" s="121" t="s">
        <v>292</v>
      </c>
      <c r="Z337" s="146">
        <f>VLOOKUP(Takeoffs!Y337,Sheet1!$B$6:$C$124,2,FALSE)</f>
        <v>0</v>
      </c>
      <c r="AA337" s="146">
        <f t="shared" si="140"/>
        <v>0</v>
      </c>
      <c r="AB337" s="143">
        <f t="shared" si="141"/>
        <v>0</v>
      </c>
      <c r="AC337" s="133">
        <f t="shared" si="142"/>
        <v>0</v>
      </c>
      <c r="AD337" s="142">
        <v>1</v>
      </c>
      <c r="AE337" s="141"/>
      <c r="AF337" s="121" t="s">
        <v>292</v>
      </c>
      <c r="AG337" s="146">
        <f>VLOOKUP(Takeoffs!AF337,Sheet1!$B$6:$C$124,2,FALSE)</f>
        <v>0</v>
      </c>
      <c r="AH337" s="146">
        <f t="shared" si="143"/>
        <v>0</v>
      </c>
      <c r="AI337" s="143">
        <f t="shared" si="144"/>
        <v>0</v>
      </c>
      <c r="AJ337" s="133">
        <f t="shared" si="145"/>
        <v>0</v>
      </c>
      <c r="AK337" s="142">
        <f t="shared" si="147"/>
        <v>0</v>
      </c>
      <c r="AL337" s="141"/>
      <c r="AO337" s="286"/>
      <c r="AP337" s="284">
        <f t="shared" si="116"/>
        <v>0</v>
      </c>
      <c r="AQ337" s="281">
        <f t="shared" si="117"/>
        <v>0</v>
      </c>
      <c r="AR337" s="284">
        <f t="shared" si="118"/>
        <v>0</v>
      </c>
      <c r="AS337" s="281">
        <f t="shared" si="119"/>
        <v>0</v>
      </c>
      <c r="AT337" s="284">
        <f t="shared" si="120"/>
        <v>0</v>
      </c>
    </row>
    <row r="338" spans="1:46" s="114" customFormat="1" ht="30.9" x14ac:dyDescent="0.8">
      <c r="A338" s="262">
        <f>ROW()</f>
        <v>338</v>
      </c>
      <c r="C338" s="208"/>
      <c r="D338" s="208"/>
      <c r="E338" s="208"/>
      <c r="F338" s="208"/>
      <c r="G338" s="208"/>
      <c r="H338" s="208"/>
      <c r="J338" s="114" t="str">
        <f t="shared" si="146"/>
        <v/>
      </c>
      <c r="K338" s="114" t="str">
        <f>IF(COUNTBLANK(R338)&gt;0,"",CONCATENATE(R338," for ",N332))</f>
        <v/>
      </c>
      <c r="M338" s="117"/>
      <c r="N338" s="123" t="s">
        <v>118</v>
      </c>
      <c r="O338" s="66"/>
      <c r="P338" s="121"/>
      <c r="Q338" s="66"/>
      <c r="R338" s="121"/>
      <c r="S338" s="133">
        <f>M332</f>
        <v>0</v>
      </c>
      <c r="T338" s="120"/>
      <c r="U338" s="121" t="s">
        <v>292</v>
      </c>
      <c r="V338" s="133">
        <f t="shared" si="139"/>
        <v>0</v>
      </c>
      <c r="W338" s="133">
        <f>VLOOKUP(U338,Sheet1!$B$6:$C$45,2,FALSE)*V338</f>
        <v>0</v>
      </c>
      <c r="X338" s="141"/>
      <c r="Y338" s="121" t="s">
        <v>292</v>
      </c>
      <c r="Z338" s="146">
        <f>VLOOKUP(Takeoffs!Y338,Sheet1!$B$6:$C$124,2,FALSE)</f>
        <v>0</v>
      </c>
      <c r="AA338" s="146">
        <f t="shared" si="140"/>
        <v>0</v>
      </c>
      <c r="AB338" s="143">
        <f t="shared" si="141"/>
        <v>0</v>
      </c>
      <c r="AC338" s="133">
        <f t="shared" si="142"/>
        <v>0</v>
      </c>
      <c r="AD338" s="142">
        <v>1</v>
      </c>
      <c r="AE338" s="141"/>
      <c r="AF338" s="121" t="s">
        <v>292</v>
      </c>
      <c r="AG338" s="146">
        <f>VLOOKUP(Takeoffs!AF338,Sheet1!$B$6:$C$124,2,FALSE)</f>
        <v>0</v>
      </c>
      <c r="AH338" s="146">
        <f t="shared" si="143"/>
        <v>0</v>
      </c>
      <c r="AI338" s="143">
        <f t="shared" si="144"/>
        <v>0</v>
      </c>
      <c r="AJ338" s="133">
        <f t="shared" si="145"/>
        <v>0</v>
      </c>
      <c r="AK338" s="142">
        <f t="shared" si="147"/>
        <v>0</v>
      </c>
      <c r="AL338" s="141"/>
      <c r="AO338" s="286"/>
      <c r="AP338" s="284">
        <f t="shared" si="116"/>
        <v>0</v>
      </c>
      <c r="AQ338" s="281">
        <f t="shared" si="117"/>
        <v>0</v>
      </c>
      <c r="AR338" s="284">
        <f t="shared" si="118"/>
        <v>0</v>
      </c>
      <c r="AS338" s="281">
        <f t="shared" si="119"/>
        <v>0</v>
      </c>
      <c r="AT338" s="284">
        <f t="shared" si="120"/>
        <v>0</v>
      </c>
    </row>
    <row r="339" spans="1:46" s="114" customFormat="1" ht="30.9" x14ac:dyDescent="0.8">
      <c r="A339" s="262">
        <f>ROW()</f>
        <v>339</v>
      </c>
      <c r="C339" s="208"/>
      <c r="D339" s="208"/>
      <c r="E339" s="208"/>
      <c r="F339" s="208"/>
      <c r="G339" s="208"/>
      <c r="H339" s="208"/>
      <c r="J339" s="114" t="str">
        <f t="shared" si="146"/>
        <v/>
      </c>
      <c r="K339" s="114" t="str">
        <f>IF(COUNTBLANK(R339)&gt;0,"",CONCATENATE(R339," for ",N332))</f>
        <v/>
      </c>
      <c r="N339" s="123" t="s">
        <v>119</v>
      </c>
      <c r="O339" s="66"/>
      <c r="P339" s="121"/>
      <c r="Q339" s="66"/>
      <c r="R339" s="121"/>
      <c r="S339" s="133">
        <f>M332</f>
        <v>0</v>
      </c>
      <c r="T339" s="120"/>
      <c r="U339" s="121" t="s">
        <v>292</v>
      </c>
      <c r="V339" s="133">
        <f t="shared" si="139"/>
        <v>0</v>
      </c>
      <c r="W339" s="133">
        <f>VLOOKUP(U339,Sheet1!$B$6:$C$45,2,FALSE)*V339</f>
        <v>0</v>
      </c>
      <c r="X339" s="141"/>
      <c r="Y339" s="121" t="s">
        <v>292</v>
      </c>
      <c r="Z339" s="146">
        <f>VLOOKUP(Takeoffs!Y339,Sheet1!$B$6:$C$124,2,FALSE)</f>
        <v>0</v>
      </c>
      <c r="AA339" s="146">
        <f t="shared" si="140"/>
        <v>0</v>
      </c>
      <c r="AB339" s="143">
        <f t="shared" si="141"/>
        <v>0</v>
      </c>
      <c r="AC339" s="133">
        <f t="shared" si="142"/>
        <v>0</v>
      </c>
      <c r="AD339" s="142">
        <v>1</v>
      </c>
      <c r="AE339" s="141"/>
      <c r="AF339" s="121" t="s">
        <v>292</v>
      </c>
      <c r="AG339" s="146">
        <f>VLOOKUP(Takeoffs!AF339,Sheet1!$B$6:$C$124,2,FALSE)</f>
        <v>0</v>
      </c>
      <c r="AH339" s="146">
        <f t="shared" si="143"/>
        <v>0</v>
      </c>
      <c r="AI339" s="143">
        <f t="shared" si="144"/>
        <v>0</v>
      </c>
      <c r="AJ339" s="133">
        <f t="shared" si="145"/>
        <v>0</v>
      </c>
      <c r="AK339" s="142">
        <f t="shared" si="147"/>
        <v>0</v>
      </c>
      <c r="AL339" s="141"/>
      <c r="AO339" s="286"/>
      <c r="AP339" s="284">
        <f t="shared" si="116"/>
        <v>0</v>
      </c>
      <c r="AQ339" s="281">
        <f t="shared" si="117"/>
        <v>0</v>
      </c>
      <c r="AR339" s="284">
        <f t="shared" si="118"/>
        <v>0</v>
      </c>
      <c r="AS339" s="281">
        <f t="shared" si="119"/>
        <v>0</v>
      </c>
      <c r="AT339" s="284">
        <f t="shared" si="120"/>
        <v>0</v>
      </c>
    </row>
    <row r="340" spans="1:46" s="114" customFormat="1" ht="30.9" x14ac:dyDescent="0.8">
      <c r="A340" s="262">
        <f>ROW()</f>
        <v>340</v>
      </c>
      <c r="C340" s="208"/>
      <c r="D340" s="208"/>
      <c r="E340" s="208"/>
      <c r="F340" s="208"/>
      <c r="G340" s="208"/>
      <c r="H340" s="208"/>
      <c r="J340" s="114" t="str">
        <f t="shared" si="146"/>
        <v/>
      </c>
      <c r="K340" s="114" t="str">
        <f>IF(COUNTBLANK(R340)&gt;0,"",CONCATENATE(R340," for ",N332))</f>
        <v/>
      </c>
      <c r="N340" s="123" t="s">
        <v>120</v>
      </c>
      <c r="O340" s="66" t="s">
        <v>328</v>
      </c>
      <c r="P340" s="121"/>
      <c r="Q340" s="66"/>
      <c r="R340" s="121"/>
      <c r="S340" s="133">
        <f>M332</f>
        <v>0</v>
      </c>
      <c r="T340" s="120"/>
      <c r="U340" s="121" t="s">
        <v>242</v>
      </c>
      <c r="V340" s="133">
        <f t="shared" si="139"/>
        <v>0</v>
      </c>
      <c r="W340" s="133">
        <f>VLOOKUP(U340,Sheet1!$B$6:$C$45,2,FALSE)*V340</f>
        <v>0</v>
      </c>
      <c r="X340" s="141"/>
      <c r="Y340" s="121" t="s">
        <v>292</v>
      </c>
      <c r="Z340" s="146">
        <f>VLOOKUP(Takeoffs!Y340,Sheet1!$B$6:$C$124,2,FALSE)</f>
        <v>0</v>
      </c>
      <c r="AA340" s="146">
        <f t="shared" si="140"/>
        <v>0</v>
      </c>
      <c r="AB340" s="143">
        <f t="shared" si="141"/>
        <v>0</v>
      </c>
      <c r="AC340" s="133">
        <f t="shared" si="142"/>
        <v>0</v>
      </c>
      <c r="AD340" s="142">
        <v>1</v>
      </c>
      <c r="AE340" s="141"/>
      <c r="AF340" s="121" t="s">
        <v>292</v>
      </c>
      <c r="AG340" s="146">
        <f>VLOOKUP(Takeoffs!AF340,Sheet1!$B$6:$C$124,2,FALSE)</f>
        <v>0</v>
      </c>
      <c r="AH340" s="146">
        <f t="shared" si="143"/>
        <v>0</v>
      </c>
      <c r="AI340" s="143">
        <f t="shared" si="144"/>
        <v>0</v>
      </c>
      <c r="AJ340" s="133">
        <f t="shared" si="145"/>
        <v>0</v>
      </c>
      <c r="AK340" s="142">
        <f t="shared" si="147"/>
        <v>0</v>
      </c>
      <c r="AL340" s="141"/>
      <c r="AO340" s="286"/>
      <c r="AP340" s="284">
        <f t="shared" ref="AP340:AP403" si="148">IF(AND(I340&gt;0, ISNUMBER(I340)),I340*P340,0)</f>
        <v>0</v>
      </c>
      <c r="AQ340" s="281">
        <f t="shared" ref="AQ340:AQ403" si="149">IF(AND(I340&gt;0, ISNUMBER(I340)),I340*W340*80,0)</f>
        <v>0</v>
      </c>
      <c r="AR340" s="284">
        <f t="shared" ref="AR340:AR403" si="150">IF(AND(I340&gt;0, ISNUMBER(I340)),I340*AA340,0)</f>
        <v>0</v>
      </c>
      <c r="AS340" s="281">
        <f t="shared" ref="AS340:AS403" si="151">IF(AND(I340&gt;0, ISNUMBER(I340)),I340*AH340,0)</f>
        <v>0</v>
      </c>
      <c r="AT340" s="284">
        <f t="shared" ref="AT340:AT403" si="152">IF(AND(I340&gt;0, ISNUMBER(I340)),I340*(AP340-(AQ340+AR340+AS340)),0)</f>
        <v>0</v>
      </c>
    </row>
    <row r="341" spans="1:46" s="114" customFormat="1" ht="30.9" x14ac:dyDescent="0.8">
      <c r="A341" s="262">
        <f>ROW()</f>
        <v>341</v>
      </c>
      <c r="C341" s="208"/>
      <c r="D341" s="208"/>
      <c r="E341" s="208"/>
      <c r="F341" s="208"/>
      <c r="G341" s="208"/>
      <c r="H341" s="208"/>
      <c r="J341" s="114" t="str">
        <f t="shared" si="146"/>
        <v/>
      </c>
      <c r="K341" s="114" t="str">
        <f>IF(COUNTBLANK(R341)&gt;0,"",CONCATENATE(R341," for ",N332))</f>
        <v/>
      </c>
      <c r="N341" s="123" t="s">
        <v>121</v>
      </c>
      <c r="O341" s="66"/>
      <c r="P341" s="121"/>
      <c r="Q341" s="66"/>
      <c r="R341" s="121"/>
      <c r="S341" s="133">
        <f>M332</f>
        <v>0</v>
      </c>
      <c r="T341" s="120"/>
      <c r="U341" s="121" t="s">
        <v>292</v>
      </c>
      <c r="V341" s="133">
        <f t="shared" si="139"/>
        <v>0</v>
      </c>
      <c r="W341" s="133">
        <f>VLOOKUP(U341,Sheet1!$B$6:$C$45,2,FALSE)*V341</f>
        <v>0</v>
      </c>
      <c r="X341" s="141"/>
      <c r="Y341" s="121" t="s">
        <v>292</v>
      </c>
      <c r="Z341" s="146">
        <f>VLOOKUP(Takeoffs!Y341,Sheet1!$B$6:$C$124,2,FALSE)</f>
        <v>0</v>
      </c>
      <c r="AA341" s="146">
        <f t="shared" si="140"/>
        <v>0</v>
      </c>
      <c r="AB341" s="143">
        <f t="shared" si="141"/>
        <v>0</v>
      </c>
      <c r="AC341" s="133">
        <f t="shared" si="142"/>
        <v>0</v>
      </c>
      <c r="AD341" s="142">
        <v>1</v>
      </c>
      <c r="AE341" s="141"/>
      <c r="AF341" s="121" t="s">
        <v>292</v>
      </c>
      <c r="AG341" s="146">
        <f>VLOOKUP(Takeoffs!AF341,Sheet1!$B$6:$C$124,2,FALSE)</f>
        <v>0</v>
      </c>
      <c r="AH341" s="146">
        <f t="shared" si="143"/>
        <v>0</v>
      </c>
      <c r="AI341" s="143">
        <f t="shared" si="144"/>
        <v>0</v>
      </c>
      <c r="AJ341" s="133">
        <f t="shared" si="145"/>
        <v>0</v>
      </c>
      <c r="AK341" s="142">
        <f t="shared" si="147"/>
        <v>0</v>
      </c>
      <c r="AL341" s="141"/>
      <c r="AO341" s="286"/>
      <c r="AP341" s="284">
        <f t="shared" si="148"/>
        <v>0</v>
      </c>
      <c r="AQ341" s="281">
        <f t="shared" si="149"/>
        <v>0</v>
      </c>
      <c r="AR341" s="284">
        <f t="shared" si="150"/>
        <v>0</v>
      </c>
      <c r="AS341" s="281">
        <f t="shared" si="151"/>
        <v>0</v>
      </c>
      <c r="AT341" s="284">
        <f t="shared" si="152"/>
        <v>0</v>
      </c>
    </row>
    <row r="342" spans="1:46" s="114" customFormat="1" ht="30.9" x14ac:dyDescent="0.8">
      <c r="A342" s="262">
        <f>ROW()</f>
        <v>342</v>
      </c>
      <c r="C342" s="208"/>
      <c r="D342" s="208"/>
      <c r="E342" s="208"/>
      <c r="F342" s="208"/>
      <c r="G342" s="208"/>
      <c r="H342" s="208"/>
      <c r="J342" s="114" t="str">
        <f t="shared" si="146"/>
        <v/>
      </c>
      <c r="K342" s="114" t="str">
        <f>IF(COUNTBLANK(R342)&gt;0,"",CONCATENATE(R342," for ",N332))</f>
        <v/>
      </c>
      <c r="N342" s="123" t="s">
        <v>122</v>
      </c>
      <c r="O342" s="66"/>
      <c r="P342" s="121"/>
      <c r="Q342" s="66"/>
      <c r="R342" s="121"/>
      <c r="S342" s="133">
        <f>M332</f>
        <v>0</v>
      </c>
      <c r="T342" s="120"/>
      <c r="U342" s="121" t="s">
        <v>292</v>
      </c>
      <c r="V342" s="133">
        <f t="shared" si="139"/>
        <v>0</v>
      </c>
      <c r="W342" s="133">
        <f>VLOOKUP(U342,Sheet1!$B$6:$C$45,2,FALSE)*V342</f>
        <v>0</v>
      </c>
      <c r="X342" s="141"/>
      <c r="Y342" s="121" t="s">
        <v>292</v>
      </c>
      <c r="Z342" s="146">
        <f>VLOOKUP(Takeoffs!Y342,Sheet1!$B$6:$C$124,2,FALSE)</f>
        <v>0</v>
      </c>
      <c r="AA342" s="146">
        <f t="shared" si="140"/>
        <v>0</v>
      </c>
      <c r="AB342" s="143">
        <f t="shared" si="141"/>
        <v>0</v>
      </c>
      <c r="AC342" s="133">
        <f t="shared" si="142"/>
        <v>0</v>
      </c>
      <c r="AD342" s="142">
        <v>1</v>
      </c>
      <c r="AE342" s="141"/>
      <c r="AF342" s="121" t="s">
        <v>292</v>
      </c>
      <c r="AG342" s="146">
        <f>VLOOKUP(Takeoffs!AF342,Sheet1!$B$6:$C$124,2,FALSE)</f>
        <v>0</v>
      </c>
      <c r="AH342" s="146">
        <f t="shared" si="143"/>
        <v>0</v>
      </c>
      <c r="AI342" s="143">
        <f t="shared" si="144"/>
        <v>0</v>
      </c>
      <c r="AJ342" s="133">
        <f t="shared" si="145"/>
        <v>0</v>
      </c>
      <c r="AK342" s="142">
        <f>T342</f>
        <v>0</v>
      </c>
      <c r="AL342" s="141"/>
      <c r="AO342" s="286"/>
      <c r="AP342" s="284">
        <f t="shared" si="148"/>
        <v>0</v>
      </c>
      <c r="AQ342" s="281">
        <f t="shared" si="149"/>
        <v>0</v>
      </c>
      <c r="AR342" s="284">
        <f t="shared" si="150"/>
        <v>0</v>
      </c>
      <c r="AS342" s="281">
        <f t="shared" si="151"/>
        <v>0</v>
      </c>
      <c r="AT342" s="284">
        <f t="shared" si="152"/>
        <v>0</v>
      </c>
    </row>
    <row r="343" spans="1:46" s="114" customFormat="1" ht="30.9" x14ac:dyDescent="0.8">
      <c r="A343" s="262">
        <f>ROW()</f>
        <v>343</v>
      </c>
      <c r="C343" s="208"/>
      <c r="D343" s="208"/>
      <c r="E343" s="208"/>
      <c r="F343" s="208"/>
      <c r="G343" s="208"/>
      <c r="H343" s="208"/>
      <c r="J343" s="114" t="str">
        <f t="shared" si="146"/>
        <v/>
      </c>
      <c r="K343" s="114" t="str">
        <f>IF(COUNTBLANK(R343)&gt;0,"",CONCATENATE(R343," for ",N332))</f>
        <v/>
      </c>
      <c r="N343" s="123" t="s">
        <v>123</v>
      </c>
      <c r="O343" s="66"/>
      <c r="P343" s="121"/>
      <c r="Q343" s="66"/>
      <c r="R343" s="121"/>
      <c r="S343" s="133">
        <f>M332</f>
        <v>0</v>
      </c>
      <c r="T343" s="120"/>
      <c r="U343" s="121" t="s">
        <v>292</v>
      </c>
      <c r="V343" s="133">
        <f t="shared" si="139"/>
        <v>0</v>
      </c>
      <c r="W343" s="133">
        <f>VLOOKUP(U343,Sheet1!$B$6:$C$45,2,FALSE)*V343</f>
        <v>0</v>
      </c>
      <c r="X343" s="141"/>
      <c r="Y343" s="121" t="s">
        <v>292</v>
      </c>
      <c r="Z343" s="146">
        <f>VLOOKUP(Takeoffs!Y343,Sheet1!$B$6:$C$124,2,FALSE)</f>
        <v>0</v>
      </c>
      <c r="AA343" s="146">
        <f t="shared" si="140"/>
        <v>0</v>
      </c>
      <c r="AB343" s="143">
        <f t="shared" si="141"/>
        <v>0</v>
      </c>
      <c r="AC343" s="133">
        <f t="shared" si="142"/>
        <v>0</v>
      </c>
      <c r="AD343" s="142">
        <v>1</v>
      </c>
      <c r="AE343" s="141"/>
      <c r="AF343" s="121" t="s">
        <v>292</v>
      </c>
      <c r="AG343" s="146">
        <f>VLOOKUP(Takeoffs!AF343,Sheet1!$B$6:$C$124,2,FALSE)</f>
        <v>0</v>
      </c>
      <c r="AH343" s="146">
        <f t="shared" si="143"/>
        <v>0</v>
      </c>
      <c r="AI343" s="143">
        <f t="shared" si="144"/>
        <v>0</v>
      </c>
      <c r="AJ343" s="133">
        <f t="shared" si="145"/>
        <v>0</v>
      </c>
      <c r="AK343" s="142">
        <v>0</v>
      </c>
      <c r="AL343" s="141"/>
      <c r="AO343" s="286"/>
      <c r="AP343" s="284">
        <f t="shared" si="148"/>
        <v>0</v>
      </c>
      <c r="AQ343" s="281">
        <f t="shared" si="149"/>
        <v>0</v>
      </c>
      <c r="AR343" s="284">
        <f t="shared" si="150"/>
        <v>0</v>
      </c>
      <c r="AS343" s="281">
        <f t="shared" si="151"/>
        <v>0</v>
      </c>
      <c r="AT343" s="284">
        <f t="shared" si="152"/>
        <v>0</v>
      </c>
    </row>
    <row r="344" spans="1:46" s="114" customFormat="1" ht="30.9" x14ac:dyDescent="0.8">
      <c r="A344" s="262">
        <f>ROW()</f>
        <v>344</v>
      </c>
      <c r="C344" s="208"/>
      <c r="D344" s="208"/>
      <c r="E344" s="208"/>
      <c r="F344" s="208"/>
      <c r="G344" s="208"/>
      <c r="H344" s="208"/>
      <c r="J344" s="114" t="str">
        <f t="shared" si="146"/>
        <v/>
      </c>
      <c r="K344" s="114" t="str">
        <f>IF(COUNTBLANK(R344)&gt;0,"",CONCATENATE(R344," for ",N332))</f>
        <v/>
      </c>
      <c r="N344" s="123" t="s">
        <v>124</v>
      </c>
      <c r="O344" s="66" t="s">
        <v>140</v>
      </c>
      <c r="P344" s="121"/>
      <c r="Q344" s="66"/>
      <c r="R344" s="121"/>
      <c r="S344" s="133">
        <f>M332</f>
        <v>0</v>
      </c>
      <c r="T344" s="120"/>
      <c r="U344" s="121" t="s">
        <v>292</v>
      </c>
      <c r="V344" s="133">
        <f t="shared" si="139"/>
        <v>0</v>
      </c>
      <c r="W344" s="133">
        <f>VLOOKUP(U344,Sheet1!$B$6:$C$45,2,FALSE)*V344</f>
        <v>0</v>
      </c>
      <c r="X344" s="141"/>
      <c r="Y344" s="121" t="s">
        <v>292</v>
      </c>
      <c r="Z344" s="146">
        <f>VLOOKUP(Takeoffs!Y344,Sheet1!$B$6:$C$124,2,FALSE)</f>
        <v>0</v>
      </c>
      <c r="AA344" s="146">
        <f t="shared" si="140"/>
        <v>0</v>
      </c>
      <c r="AB344" s="143">
        <f t="shared" si="141"/>
        <v>0</v>
      </c>
      <c r="AC344" s="133">
        <f t="shared" si="142"/>
        <v>0</v>
      </c>
      <c r="AD344" s="142">
        <v>1</v>
      </c>
      <c r="AE344" s="141"/>
      <c r="AF344" s="152" t="s">
        <v>418</v>
      </c>
      <c r="AG344" s="146">
        <f>VLOOKUP(Takeoffs!AF344,Sheet1!$B$6:$C$124,2,FALSE)</f>
        <v>0.33600000000000002</v>
      </c>
      <c r="AH344" s="146">
        <f t="shared" si="143"/>
        <v>0</v>
      </c>
      <c r="AI344" s="143">
        <f t="shared" si="144"/>
        <v>0</v>
      </c>
      <c r="AJ344" s="133">
        <f t="shared" si="145"/>
        <v>0</v>
      </c>
      <c r="AK344" s="142">
        <v>1</v>
      </c>
      <c r="AL344" s="141"/>
      <c r="AO344" s="286"/>
      <c r="AP344" s="284">
        <f t="shared" si="148"/>
        <v>0</v>
      </c>
      <c r="AQ344" s="281">
        <f t="shared" si="149"/>
        <v>0</v>
      </c>
      <c r="AR344" s="284">
        <f t="shared" si="150"/>
        <v>0</v>
      </c>
      <c r="AS344" s="281">
        <f t="shared" si="151"/>
        <v>0</v>
      </c>
      <c r="AT344" s="284">
        <f t="shared" si="152"/>
        <v>0</v>
      </c>
    </row>
    <row r="345" spans="1:46" s="114" customFormat="1" ht="30.9" x14ac:dyDescent="0.8">
      <c r="A345" s="262">
        <f>ROW()</f>
        <v>345</v>
      </c>
      <c r="C345" s="208"/>
      <c r="D345" s="208"/>
      <c r="E345" s="208"/>
      <c r="F345" s="208"/>
      <c r="G345" s="208"/>
      <c r="H345" s="208"/>
      <c r="J345" s="114" t="str">
        <f t="shared" si="146"/>
        <v/>
      </c>
      <c r="K345" s="114" t="str">
        <f>IF(COUNTBLANK(R345)&gt;0,"",CONCATENATE(R345," for ",N332))</f>
        <v/>
      </c>
      <c r="N345" s="123" t="s">
        <v>125</v>
      </c>
      <c r="O345" s="66" t="s">
        <v>312</v>
      </c>
      <c r="P345" s="121"/>
      <c r="Q345" s="66"/>
      <c r="R345" s="121"/>
      <c r="S345" s="133">
        <f>M332</f>
        <v>0</v>
      </c>
      <c r="T345" s="120"/>
      <c r="U345" s="121" t="s">
        <v>232</v>
      </c>
      <c r="V345" s="133">
        <f t="shared" si="139"/>
        <v>0</v>
      </c>
      <c r="W345" s="133">
        <f>VLOOKUP(U345,Sheet1!$B$6:$C$45,2,FALSE)*V345</f>
        <v>0</v>
      </c>
      <c r="X345" s="141"/>
      <c r="Y345" s="122" t="s">
        <v>1345</v>
      </c>
      <c r="Z345" s="146">
        <f>VLOOKUP(Takeoffs!Y345,Sheet1!$B$6:$C$124,2,FALSE)</f>
        <v>109.25999999999999</v>
      </c>
      <c r="AA345" s="146">
        <f t="shared" si="140"/>
        <v>0</v>
      </c>
      <c r="AB345" s="143">
        <f t="shared" si="141"/>
        <v>0</v>
      </c>
      <c r="AC345" s="133">
        <f t="shared" si="142"/>
        <v>0</v>
      </c>
      <c r="AD345" s="142">
        <v>1</v>
      </c>
      <c r="AE345" s="141"/>
      <c r="AF345" s="121" t="s">
        <v>292</v>
      </c>
      <c r="AG345" s="146">
        <f>VLOOKUP(Takeoffs!AF345,Sheet1!$B$6:$C$124,2,FALSE)</f>
        <v>0</v>
      </c>
      <c r="AH345" s="146">
        <f t="shared" si="143"/>
        <v>0</v>
      </c>
      <c r="AI345" s="143">
        <f t="shared" si="144"/>
        <v>0</v>
      </c>
      <c r="AJ345" s="133">
        <f t="shared" si="145"/>
        <v>0</v>
      </c>
      <c r="AK345" s="142">
        <f t="shared" ref="AK345:AK352" si="153">T345</f>
        <v>0</v>
      </c>
      <c r="AL345" s="141"/>
      <c r="AO345" s="286"/>
      <c r="AP345" s="284">
        <f t="shared" si="148"/>
        <v>0</v>
      </c>
      <c r="AQ345" s="281">
        <f t="shared" si="149"/>
        <v>0</v>
      </c>
      <c r="AR345" s="284">
        <f t="shared" si="150"/>
        <v>0</v>
      </c>
      <c r="AS345" s="281">
        <f t="shared" si="151"/>
        <v>0</v>
      </c>
      <c r="AT345" s="284">
        <f t="shared" si="152"/>
        <v>0</v>
      </c>
    </row>
    <row r="346" spans="1:46" s="114" customFormat="1" ht="30.9" x14ac:dyDescent="0.8">
      <c r="A346" s="262">
        <f>ROW()</f>
        <v>346</v>
      </c>
      <c r="C346" s="208"/>
      <c r="D346" s="208"/>
      <c r="E346" s="208"/>
      <c r="F346" s="208"/>
      <c r="G346" s="208"/>
      <c r="H346" s="208"/>
      <c r="J346" s="114" t="str">
        <f t="shared" si="146"/>
        <v/>
      </c>
      <c r="K346" s="114" t="str">
        <f>IF(COUNTBLANK(R346)&gt;0,"",CONCATENATE(R346," for ",N332))</f>
        <v/>
      </c>
      <c r="N346" s="123" t="s">
        <v>126</v>
      </c>
      <c r="O346" s="66" t="s">
        <v>662</v>
      </c>
      <c r="P346" s="121"/>
      <c r="Q346" s="66"/>
      <c r="R346" s="121"/>
      <c r="S346" s="133">
        <f>M332</f>
        <v>0</v>
      </c>
      <c r="T346" s="120"/>
      <c r="U346" s="121" t="s">
        <v>292</v>
      </c>
      <c r="V346" s="133">
        <f t="shared" si="139"/>
        <v>0</v>
      </c>
      <c r="W346" s="133">
        <f>VLOOKUP(U346,Sheet1!$B$6:$C$45,2,FALSE)*V346</f>
        <v>0</v>
      </c>
      <c r="X346" s="141"/>
      <c r="Y346" s="152" t="s">
        <v>273</v>
      </c>
      <c r="Z346" s="146">
        <f>VLOOKUP(Takeoffs!Y346,Sheet1!$B$6:$C$124,2,FALSE)</f>
        <v>307.2</v>
      </c>
      <c r="AA346" s="146">
        <f t="shared" si="140"/>
        <v>0</v>
      </c>
      <c r="AB346" s="143">
        <f t="shared" si="141"/>
        <v>0</v>
      </c>
      <c r="AC346" s="133">
        <f t="shared" si="142"/>
        <v>0</v>
      </c>
      <c r="AD346" s="142">
        <v>1</v>
      </c>
      <c r="AE346" s="141"/>
      <c r="AF346" s="121" t="s">
        <v>292</v>
      </c>
      <c r="AG346" s="146">
        <f>VLOOKUP(Takeoffs!AF346,Sheet1!$B$6:$C$124,2,FALSE)</f>
        <v>0</v>
      </c>
      <c r="AH346" s="146">
        <f t="shared" si="143"/>
        <v>0</v>
      </c>
      <c r="AI346" s="143">
        <f t="shared" si="144"/>
        <v>0</v>
      </c>
      <c r="AJ346" s="133">
        <f t="shared" si="145"/>
        <v>0</v>
      </c>
      <c r="AK346" s="142">
        <f t="shared" si="153"/>
        <v>0</v>
      </c>
      <c r="AL346" s="141"/>
      <c r="AO346" s="286"/>
      <c r="AP346" s="284">
        <f t="shared" si="148"/>
        <v>0</v>
      </c>
      <c r="AQ346" s="281">
        <f t="shared" si="149"/>
        <v>0</v>
      </c>
      <c r="AR346" s="284">
        <f t="shared" si="150"/>
        <v>0</v>
      </c>
      <c r="AS346" s="281">
        <f t="shared" si="151"/>
        <v>0</v>
      </c>
      <c r="AT346" s="284">
        <f t="shared" si="152"/>
        <v>0</v>
      </c>
    </row>
    <row r="347" spans="1:46" s="114" customFormat="1" ht="30.9" x14ac:dyDescent="0.8">
      <c r="A347" s="262">
        <f>ROW()</f>
        <v>347</v>
      </c>
      <c r="C347" s="208"/>
      <c r="D347" s="208"/>
      <c r="E347" s="208"/>
      <c r="F347" s="208"/>
      <c r="G347" s="208"/>
      <c r="H347" s="208"/>
      <c r="J347" s="114" t="str">
        <f t="shared" si="146"/>
        <v/>
      </c>
      <c r="K347" s="114" t="str">
        <f>IF(COUNTBLANK(R347)&gt;0,"",CONCATENATE(R347," for ",N332))</f>
        <v>run and fault lights for DOL fan with interlock with mechanical thermostat - from MSSB power supply</v>
      </c>
      <c r="N347" s="123" t="s">
        <v>127</v>
      </c>
      <c r="O347" s="66" t="s">
        <v>337</v>
      </c>
      <c r="P347" s="121"/>
      <c r="Q347" s="66"/>
      <c r="R347" s="121" t="s">
        <v>331</v>
      </c>
      <c r="S347" s="133">
        <f>M332</f>
        <v>0</v>
      </c>
      <c r="T347" s="120"/>
      <c r="U347" s="121" t="s">
        <v>292</v>
      </c>
      <c r="V347" s="133">
        <f t="shared" si="139"/>
        <v>0</v>
      </c>
      <c r="W347" s="133">
        <f>VLOOKUP(U347,Sheet1!$B$6:$C$45,2,FALSE)*V347</f>
        <v>0</v>
      </c>
      <c r="X347" s="141"/>
      <c r="Y347" s="122" t="s">
        <v>280</v>
      </c>
      <c r="Z347" s="146">
        <f>VLOOKUP(Takeoffs!Y347,Sheet1!$B$6:$C$124,2,FALSE)</f>
        <v>19.2</v>
      </c>
      <c r="AA347" s="146">
        <f t="shared" si="140"/>
        <v>0</v>
      </c>
      <c r="AB347" s="143">
        <f t="shared" si="141"/>
        <v>0</v>
      </c>
      <c r="AC347" s="133">
        <f t="shared" si="142"/>
        <v>0</v>
      </c>
      <c r="AD347" s="142">
        <v>2</v>
      </c>
      <c r="AE347" s="141"/>
      <c r="AF347" s="121" t="s">
        <v>292</v>
      </c>
      <c r="AG347" s="146">
        <f>VLOOKUP(Takeoffs!AF347,Sheet1!$B$6:$C$124,2,FALSE)</f>
        <v>0</v>
      </c>
      <c r="AH347" s="146">
        <f t="shared" si="143"/>
        <v>0</v>
      </c>
      <c r="AI347" s="143">
        <f t="shared" si="144"/>
        <v>0</v>
      </c>
      <c r="AJ347" s="133">
        <f t="shared" si="145"/>
        <v>0</v>
      </c>
      <c r="AK347" s="142">
        <f t="shared" si="153"/>
        <v>0</v>
      </c>
      <c r="AL347" s="141"/>
      <c r="AO347" s="286"/>
      <c r="AP347" s="284">
        <f t="shared" si="148"/>
        <v>0</v>
      </c>
      <c r="AQ347" s="281">
        <f t="shared" si="149"/>
        <v>0</v>
      </c>
      <c r="AR347" s="284">
        <f t="shared" si="150"/>
        <v>0</v>
      </c>
      <c r="AS347" s="281">
        <f t="shared" si="151"/>
        <v>0</v>
      </c>
      <c r="AT347" s="284">
        <f t="shared" si="152"/>
        <v>0</v>
      </c>
    </row>
    <row r="348" spans="1:46" s="114" customFormat="1" ht="30.9" x14ac:dyDescent="0.8">
      <c r="A348" s="262">
        <f>ROW()</f>
        <v>348</v>
      </c>
      <c r="C348" s="208"/>
      <c r="D348" s="208"/>
      <c r="E348" s="208"/>
      <c r="F348" s="208"/>
      <c r="G348" s="208"/>
      <c r="H348" s="208"/>
      <c r="J348" s="114" t="str">
        <f t="shared" si="146"/>
        <v/>
      </c>
      <c r="K348" s="114" t="str">
        <f>IF(COUNTBLANK(R348)&gt;0,"",CONCATENATE(R348," for ",N332))</f>
        <v/>
      </c>
      <c r="N348" s="123" t="s">
        <v>128</v>
      </c>
      <c r="O348" s="66"/>
      <c r="P348" s="121"/>
      <c r="Q348" s="66"/>
      <c r="R348" s="121"/>
      <c r="S348" s="133">
        <f>M332</f>
        <v>0</v>
      </c>
      <c r="T348" s="120"/>
      <c r="U348" s="121" t="s">
        <v>292</v>
      </c>
      <c r="V348" s="133">
        <f t="shared" si="139"/>
        <v>0</v>
      </c>
      <c r="W348" s="133">
        <f>VLOOKUP(U348,Sheet1!$B$6:$C$45,2,FALSE)*V348</f>
        <v>0</v>
      </c>
      <c r="X348" s="141"/>
      <c r="Y348" s="121" t="s">
        <v>292</v>
      </c>
      <c r="Z348" s="146">
        <f>VLOOKUP(Takeoffs!Y348,Sheet1!$B$6:$C$124,2,FALSE)</f>
        <v>0</v>
      </c>
      <c r="AA348" s="146">
        <f t="shared" si="140"/>
        <v>0</v>
      </c>
      <c r="AB348" s="143">
        <f t="shared" si="141"/>
        <v>0</v>
      </c>
      <c r="AC348" s="133">
        <f t="shared" si="142"/>
        <v>0</v>
      </c>
      <c r="AD348" s="142">
        <v>1</v>
      </c>
      <c r="AE348" s="141"/>
      <c r="AF348" s="121" t="s">
        <v>292</v>
      </c>
      <c r="AG348" s="146">
        <f>VLOOKUP(Takeoffs!AF348,Sheet1!$B$6:$C$124,2,FALSE)</f>
        <v>0</v>
      </c>
      <c r="AH348" s="146">
        <f t="shared" si="143"/>
        <v>0</v>
      </c>
      <c r="AI348" s="143">
        <f t="shared" si="144"/>
        <v>0</v>
      </c>
      <c r="AJ348" s="133">
        <f t="shared" si="145"/>
        <v>0</v>
      </c>
      <c r="AK348" s="142">
        <f t="shared" si="153"/>
        <v>0</v>
      </c>
      <c r="AL348" s="141"/>
      <c r="AO348" s="286"/>
      <c r="AP348" s="284">
        <f t="shared" si="148"/>
        <v>0</v>
      </c>
      <c r="AQ348" s="281">
        <f t="shared" si="149"/>
        <v>0</v>
      </c>
      <c r="AR348" s="284">
        <f t="shared" si="150"/>
        <v>0</v>
      </c>
      <c r="AS348" s="281">
        <f t="shared" si="151"/>
        <v>0</v>
      </c>
      <c r="AT348" s="284">
        <f t="shared" si="152"/>
        <v>0</v>
      </c>
    </row>
    <row r="349" spans="1:46" s="114" customFormat="1" ht="30.9" x14ac:dyDescent="0.8">
      <c r="A349" s="262">
        <f>ROW()</f>
        <v>349</v>
      </c>
      <c r="C349" s="208"/>
      <c r="D349" s="208"/>
      <c r="E349" s="208"/>
      <c r="F349" s="208"/>
      <c r="G349" s="208"/>
      <c r="H349" s="208"/>
      <c r="J349" s="114" t="str">
        <f t="shared" si="146"/>
        <v/>
      </c>
      <c r="K349" s="114" t="str">
        <f>IF(COUNTBLANK(R349)&gt;0,"",CONCATENATE(R349," for ",N332))</f>
        <v>Auto/Off/On switch for DOL fan with interlock with mechanical thermostat - from MSSB power supply</v>
      </c>
      <c r="N349" s="123" t="s">
        <v>129</v>
      </c>
      <c r="O349" s="66" t="s">
        <v>329</v>
      </c>
      <c r="P349" s="121"/>
      <c r="Q349" s="66"/>
      <c r="R349" s="121" t="s">
        <v>304</v>
      </c>
      <c r="S349" s="133">
        <f>M332</f>
        <v>0</v>
      </c>
      <c r="T349" s="120"/>
      <c r="U349" s="121" t="s">
        <v>292</v>
      </c>
      <c r="V349" s="133">
        <f t="shared" si="139"/>
        <v>0</v>
      </c>
      <c r="W349" s="133">
        <f>VLOOKUP(U349,Sheet1!$B$6:$C$45,2,FALSE)*V349</f>
        <v>0</v>
      </c>
      <c r="X349" s="141"/>
      <c r="Y349" s="122" t="s">
        <v>277</v>
      </c>
      <c r="Z349" s="146">
        <f>VLOOKUP(Takeoffs!Y349,Sheet1!$B$6:$C$124,2,FALSE)</f>
        <v>69.540000000000006</v>
      </c>
      <c r="AA349" s="146">
        <f t="shared" si="140"/>
        <v>0</v>
      </c>
      <c r="AB349" s="143">
        <f t="shared" si="141"/>
        <v>0</v>
      </c>
      <c r="AC349" s="133">
        <f t="shared" si="142"/>
        <v>0</v>
      </c>
      <c r="AD349" s="142">
        <v>1</v>
      </c>
      <c r="AE349" s="141"/>
      <c r="AF349" s="121" t="s">
        <v>292</v>
      </c>
      <c r="AG349" s="146">
        <f>VLOOKUP(Takeoffs!AF349,Sheet1!$B$6:$C$124,2,FALSE)</f>
        <v>0</v>
      </c>
      <c r="AH349" s="146">
        <f t="shared" si="143"/>
        <v>0</v>
      </c>
      <c r="AI349" s="143">
        <f t="shared" si="144"/>
        <v>0</v>
      </c>
      <c r="AJ349" s="133">
        <f t="shared" si="145"/>
        <v>0</v>
      </c>
      <c r="AK349" s="142">
        <f t="shared" si="153"/>
        <v>0</v>
      </c>
      <c r="AL349" s="141"/>
      <c r="AO349" s="286"/>
      <c r="AP349" s="284">
        <f t="shared" si="148"/>
        <v>0</v>
      </c>
      <c r="AQ349" s="281">
        <f t="shared" si="149"/>
        <v>0</v>
      </c>
      <c r="AR349" s="284">
        <f t="shared" si="150"/>
        <v>0</v>
      </c>
      <c r="AS349" s="281">
        <f t="shared" si="151"/>
        <v>0</v>
      </c>
      <c r="AT349" s="284">
        <f t="shared" si="152"/>
        <v>0</v>
      </c>
    </row>
    <row r="350" spans="1:46" s="114" customFormat="1" ht="30.9" x14ac:dyDescent="0.8">
      <c r="A350" s="262">
        <f>ROW()</f>
        <v>350</v>
      </c>
      <c r="C350" s="208"/>
      <c r="D350" s="208"/>
      <c r="E350" s="208"/>
      <c r="F350" s="208"/>
      <c r="G350" s="208"/>
      <c r="H350" s="208"/>
      <c r="J350" s="114" t="str">
        <f t="shared" si="146"/>
        <v/>
      </c>
      <c r="K350" s="114" t="str">
        <f>IF(COUNTBLANK(R350)&gt;0,"",CONCATENATE(R350," for ",N332))</f>
        <v/>
      </c>
      <c r="N350" s="123" t="s">
        <v>130</v>
      </c>
      <c r="O350" s="66"/>
      <c r="P350" s="121"/>
      <c r="Q350" s="66"/>
      <c r="R350" s="121"/>
      <c r="S350" s="133">
        <f>M332</f>
        <v>0</v>
      </c>
      <c r="T350" s="120"/>
      <c r="U350" s="121" t="s">
        <v>292</v>
      </c>
      <c r="V350" s="133">
        <f t="shared" si="139"/>
        <v>0</v>
      </c>
      <c r="W350" s="133">
        <f>VLOOKUP(U350,Sheet1!$B$6:$C$45,2,FALSE)*V350</f>
        <v>0</v>
      </c>
      <c r="X350" s="141"/>
      <c r="Y350" s="121" t="s">
        <v>292</v>
      </c>
      <c r="Z350" s="146">
        <f>VLOOKUP(Takeoffs!Y350,Sheet1!$B$6:$C$124,2,FALSE)</f>
        <v>0</v>
      </c>
      <c r="AA350" s="146">
        <f t="shared" si="140"/>
        <v>0</v>
      </c>
      <c r="AB350" s="143">
        <f t="shared" si="141"/>
        <v>0</v>
      </c>
      <c r="AC350" s="133">
        <f t="shared" si="142"/>
        <v>0</v>
      </c>
      <c r="AD350" s="142">
        <v>1</v>
      </c>
      <c r="AE350" s="141"/>
      <c r="AF350" s="121" t="s">
        <v>292</v>
      </c>
      <c r="AG350" s="146">
        <f>VLOOKUP(Takeoffs!AF350,Sheet1!$B$6:$C$124,2,FALSE)</f>
        <v>0</v>
      </c>
      <c r="AH350" s="146">
        <f t="shared" si="143"/>
        <v>0</v>
      </c>
      <c r="AI350" s="143">
        <f t="shared" si="144"/>
        <v>0</v>
      </c>
      <c r="AJ350" s="133">
        <f t="shared" si="145"/>
        <v>0</v>
      </c>
      <c r="AK350" s="142">
        <f t="shared" si="153"/>
        <v>0</v>
      </c>
      <c r="AL350" s="141"/>
      <c r="AO350" s="286"/>
      <c r="AP350" s="284">
        <f t="shared" si="148"/>
        <v>0</v>
      </c>
      <c r="AQ350" s="281">
        <f t="shared" si="149"/>
        <v>0</v>
      </c>
      <c r="AR350" s="284">
        <f t="shared" si="150"/>
        <v>0</v>
      </c>
      <c r="AS350" s="281">
        <f t="shared" si="151"/>
        <v>0</v>
      </c>
      <c r="AT350" s="284">
        <f t="shared" si="152"/>
        <v>0</v>
      </c>
    </row>
    <row r="351" spans="1:46" s="114" customFormat="1" ht="30.9" x14ac:dyDescent="0.8">
      <c r="A351" s="262">
        <f>ROW()</f>
        <v>351</v>
      </c>
      <c r="C351" s="208"/>
      <c r="D351" s="208"/>
      <c r="E351" s="208"/>
      <c r="F351" s="208"/>
      <c r="G351" s="208"/>
      <c r="H351" s="208"/>
      <c r="J351" s="114" t="str">
        <f t="shared" si="146"/>
        <v/>
      </c>
      <c r="K351" s="114" t="str">
        <f>IF(COUNTBLANK(R351)&gt;0,"",CONCATENATE(R351," for ",N332))</f>
        <v/>
      </c>
      <c r="N351" s="123" t="s">
        <v>131</v>
      </c>
      <c r="O351" s="66" t="s">
        <v>407</v>
      </c>
      <c r="P351" s="121"/>
      <c r="Q351" s="66"/>
      <c r="R351" s="121"/>
      <c r="S351" s="133">
        <f>M332</f>
        <v>0</v>
      </c>
      <c r="T351" s="120"/>
      <c r="U351" s="121" t="s">
        <v>292</v>
      </c>
      <c r="V351" s="133">
        <f t="shared" si="139"/>
        <v>0</v>
      </c>
      <c r="W351" s="133">
        <f>VLOOKUP(U351,Sheet1!$B$6:$C$45,2,FALSE)*V351</f>
        <v>0</v>
      </c>
      <c r="X351" s="141"/>
      <c r="Y351" s="121" t="s">
        <v>274</v>
      </c>
      <c r="Z351" s="146">
        <f>VLOOKUP(Takeoffs!Y351,Sheet1!$B$6:$C$124,2,FALSE)</f>
        <v>360</v>
      </c>
      <c r="AA351" s="146">
        <f t="shared" si="140"/>
        <v>0</v>
      </c>
      <c r="AB351" s="143">
        <f t="shared" si="141"/>
        <v>0</v>
      </c>
      <c r="AC351" s="133">
        <f t="shared" si="142"/>
        <v>0</v>
      </c>
      <c r="AD351" s="142">
        <v>1</v>
      </c>
      <c r="AE351" s="141"/>
      <c r="AF351" s="121" t="s">
        <v>292</v>
      </c>
      <c r="AG351" s="146">
        <f>VLOOKUP(Takeoffs!AF351,Sheet1!$B$6:$C$124,2,FALSE)</f>
        <v>0</v>
      </c>
      <c r="AH351" s="146">
        <f t="shared" si="143"/>
        <v>0</v>
      </c>
      <c r="AI351" s="143">
        <f t="shared" si="144"/>
        <v>0</v>
      </c>
      <c r="AJ351" s="133">
        <f t="shared" si="145"/>
        <v>0</v>
      </c>
      <c r="AK351" s="142">
        <f t="shared" si="153"/>
        <v>0</v>
      </c>
      <c r="AL351" s="141"/>
      <c r="AO351" s="286"/>
      <c r="AP351" s="284">
        <f t="shared" si="148"/>
        <v>0</v>
      </c>
      <c r="AQ351" s="281">
        <f t="shared" si="149"/>
        <v>0</v>
      </c>
      <c r="AR351" s="284">
        <f t="shared" si="150"/>
        <v>0</v>
      </c>
      <c r="AS351" s="281">
        <f t="shared" si="151"/>
        <v>0</v>
      </c>
      <c r="AT351" s="284">
        <f t="shared" si="152"/>
        <v>0</v>
      </c>
    </row>
    <row r="352" spans="1:46" s="114" customFormat="1" ht="30.9" x14ac:dyDescent="0.8">
      <c r="A352" s="262">
        <f>ROW()</f>
        <v>352</v>
      </c>
      <c r="C352" s="208"/>
      <c r="D352" s="208"/>
      <c r="E352" s="208"/>
      <c r="F352" s="208"/>
      <c r="G352" s="208"/>
      <c r="H352" s="208"/>
      <c r="J352" s="114" t="str">
        <f t="shared" si="146"/>
        <v/>
      </c>
      <c r="K352" s="114" t="str">
        <f>IF(COUNTBLANK(R352)&gt;0,"",CONCATENATE(R352," for ",N332))</f>
        <v/>
      </c>
      <c r="N352" s="123" t="s">
        <v>132</v>
      </c>
      <c r="O352" s="66" t="s">
        <v>408</v>
      </c>
      <c r="P352" s="121"/>
      <c r="Q352" s="66"/>
      <c r="R352" s="121"/>
      <c r="S352" s="133">
        <f>M332</f>
        <v>0</v>
      </c>
      <c r="T352" s="120"/>
      <c r="U352" s="121" t="s">
        <v>362</v>
      </c>
      <c r="V352" s="133">
        <f t="shared" si="139"/>
        <v>0</v>
      </c>
      <c r="W352" s="133">
        <f>VLOOKUP(U352,Sheet1!$B$6:$C$45,2,FALSE)*V352</f>
        <v>0</v>
      </c>
      <c r="X352" s="141"/>
      <c r="Y352" s="121" t="s">
        <v>292</v>
      </c>
      <c r="Z352" s="146">
        <f>VLOOKUP(Takeoffs!Y352,Sheet1!$B$6:$C$124,2,FALSE)</f>
        <v>0</v>
      </c>
      <c r="AA352" s="146">
        <f t="shared" si="140"/>
        <v>0</v>
      </c>
      <c r="AB352" s="143">
        <f t="shared" si="141"/>
        <v>0</v>
      </c>
      <c r="AC352" s="133">
        <f t="shared" si="142"/>
        <v>0</v>
      </c>
      <c r="AD352" s="142">
        <v>1</v>
      </c>
      <c r="AE352" s="141"/>
      <c r="AF352" s="121" t="s">
        <v>292</v>
      </c>
      <c r="AG352" s="146">
        <f>VLOOKUP(Takeoffs!AF352,Sheet1!$B$6:$C$124,2,FALSE)</f>
        <v>0</v>
      </c>
      <c r="AH352" s="146">
        <f t="shared" si="143"/>
        <v>0</v>
      </c>
      <c r="AI352" s="143">
        <f t="shared" si="144"/>
        <v>0</v>
      </c>
      <c r="AJ352" s="133">
        <f t="shared" si="145"/>
        <v>0</v>
      </c>
      <c r="AK352" s="142">
        <f t="shared" si="153"/>
        <v>0</v>
      </c>
      <c r="AL352" s="141"/>
      <c r="AO352" s="286"/>
      <c r="AP352" s="284">
        <f t="shared" si="148"/>
        <v>0</v>
      </c>
      <c r="AQ352" s="281">
        <f t="shared" si="149"/>
        <v>0</v>
      </c>
      <c r="AR352" s="284">
        <f t="shared" si="150"/>
        <v>0</v>
      </c>
      <c r="AS352" s="281">
        <f t="shared" si="151"/>
        <v>0</v>
      </c>
      <c r="AT352" s="284">
        <f t="shared" si="152"/>
        <v>0</v>
      </c>
    </row>
    <row r="353" spans="1:97" s="128" customFormat="1" ht="31.5" customHeight="1" x14ac:dyDescent="0.8">
      <c r="A353" s="262">
        <f>ROW()</f>
        <v>353</v>
      </c>
      <c r="C353" s="212"/>
      <c r="D353" s="212"/>
      <c r="E353" s="212"/>
      <c r="F353" s="212"/>
      <c r="G353" s="212"/>
      <c r="H353" s="212"/>
      <c r="J353" s="128" t="s">
        <v>377</v>
      </c>
      <c r="L353" s="128" t="s">
        <v>378</v>
      </c>
      <c r="N353" s="129"/>
      <c r="O353" s="130" t="s">
        <v>357</v>
      </c>
      <c r="P353" s="131">
        <f>V353+AA353+AH353</f>
        <v>0</v>
      </c>
      <c r="Q353" s="131"/>
      <c r="R353" s="131"/>
      <c r="S353" s="130"/>
      <c r="T353" s="127"/>
      <c r="U353" s="126" t="s">
        <v>351</v>
      </c>
      <c r="V353" s="127">
        <f>W353*80</f>
        <v>0</v>
      </c>
      <c r="W353" s="147">
        <f>SUM(W332:W352)</f>
        <v>0</v>
      </c>
      <c r="X353" s="148"/>
      <c r="Y353" s="127" t="s">
        <v>352</v>
      </c>
      <c r="Z353" s="116"/>
      <c r="AA353" s="116">
        <f>SUM(AA332:AA352)</f>
        <v>0</v>
      </c>
      <c r="AB353" s="149"/>
      <c r="AC353" s="149"/>
      <c r="AD353" s="149"/>
      <c r="AE353" s="149"/>
      <c r="AF353" s="127" t="s">
        <v>356</v>
      </c>
      <c r="AG353" s="116"/>
      <c r="AH353" s="116">
        <f>SUM(AH332:AH352)</f>
        <v>0</v>
      </c>
      <c r="AI353" s="149"/>
      <c r="AJ353" s="149"/>
      <c r="AK353" s="149"/>
      <c r="AL353" s="149"/>
      <c r="AM353" s="150">
        <f>P353</f>
        <v>0</v>
      </c>
      <c r="AO353" s="286"/>
      <c r="AP353" s="284">
        <f t="shared" si="148"/>
        <v>0</v>
      </c>
      <c r="AQ353" s="281">
        <f t="shared" si="149"/>
        <v>0</v>
      </c>
      <c r="AR353" s="284">
        <f t="shared" si="150"/>
        <v>0</v>
      </c>
      <c r="AS353" s="281">
        <f t="shared" si="151"/>
        <v>0</v>
      </c>
      <c r="AT353" s="284">
        <f t="shared" si="152"/>
        <v>0</v>
      </c>
    </row>
    <row r="354" spans="1:97" s="234" customFormat="1" ht="185.15" x14ac:dyDescent="0.8">
      <c r="A354" s="262">
        <f>ROW()</f>
        <v>354</v>
      </c>
      <c r="B354" s="234" t="s">
        <v>491</v>
      </c>
      <c r="C354" s="217" t="str">
        <f>N332</f>
        <v>DOL fan with interlock with mechanical thermostat - from MSSB power supply</v>
      </c>
      <c r="D354" s="260" t="str">
        <f>IF(B354="Shopping List",IF(ISNUMBER(SEARCH("MSSB",C354)),"MSSB",IF(ISNUMBER(SEARCH("local",C354)),"LOCAL","")))</f>
        <v>MSSB</v>
      </c>
      <c r="E354" s="238"/>
      <c r="F354" s="217"/>
      <c r="G354" s="217"/>
      <c r="H354" s="245"/>
      <c r="I354" s="270"/>
      <c r="J354" s="241" t="str">
        <f>CONCATENATE(O332," ",L332, " (",M332,") ",N332,".", IF(M332&gt;1," Each "," This "),"includes supply and install of ",O333,O334,O335,O336,O337,O338,O339,O340,O341,O342,O343,O344,O345,O346,O347,O348,O349,O350,O351,O352,J333,J334,J335,J336,J337,J338,J339,J340,J341,J342,J343,J344,J345,J346,J347,J348,J349,J350,J351,J352)</f>
        <v xml:space="preserve">Electrical power supply and controls to Zero (0) DOL fan with interlock with mechanical thermostat - from MSSB power supply. This includes supply and install of power and controls. Power for system includes: CB and cabling to fan from MSSB, and local isolator. Controls for system includes: controls cabling, contactors/relays, interlock with mechanical thermostat, run and fault lights, Auto/Off/On switch, trefolyte labelling, and commissioning/testing. </v>
      </c>
      <c r="K354" s="246">
        <f>P353</f>
        <v>0</v>
      </c>
      <c r="L354" s="235" t="str">
        <f>CONCATENATE(Q333,Q334,Q335,Q336,Q337,Q338,Q339,Q340,Q341,Q342,Q343,Q344,Q345,Q346,Q347,Q348,Q349,Q350,Q351,Q352,)</f>
        <v/>
      </c>
      <c r="M354" s="166" t="s">
        <v>367</v>
      </c>
      <c r="N354" s="160" t="str">
        <f>N332</f>
        <v>DOL fan with interlock with mechanical thermostat - from MSSB power supply</v>
      </c>
      <c r="O354" s="160" t="s">
        <v>365</v>
      </c>
      <c r="P354" s="82" t="e">
        <f>P353/M332</f>
        <v>#DIV/0!</v>
      </c>
      <c r="Q354" s="161"/>
      <c r="R354" s="161"/>
      <c r="S354" s="160"/>
      <c r="T354" s="161"/>
      <c r="U354" s="503" t="s">
        <v>366</v>
      </c>
      <c r="V354" s="503"/>
      <c r="W354" s="162" t="e">
        <f>W353/M332</f>
        <v>#DIV/0!</v>
      </c>
      <c r="X354" s="163"/>
      <c r="Y354" s="501" t="s">
        <v>365</v>
      </c>
      <c r="Z354" s="501"/>
      <c r="AA354" s="164" t="e">
        <f>AA353/M332</f>
        <v>#DIV/0!</v>
      </c>
      <c r="AB354" s="161"/>
      <c r="AC354" s="161"/>
      <c r="AD354" s="161"/>
      <c r="AE354" s="161"/>
      <c r="AF354" s="501" t="s">
        <v>365</v>
      </c>
      <c r="AG354" s="501"/>
      <c r="AH354" s="164" t="e">
        <f>AH353/M332</f>
        <v>#DIV/0!</v>
      </c>
      <c r="AI354" s="161"/>
      <c r="AJ354" s="161"/>
      <c r="AK354" s="161"/>
      <c r="AL354" s="247"/>
      <c r="AM354" s="257"/>
      <c r="AN354" s="230">
        <f>K354*1.25</f>
        <v>0</v>
      </c>
      <c r="AO354" s="286"/>
      <c r="AP354" s="284">
        <f t="shared" si="148"/>
        <v>0</v>
      </c>
      <c r="AQ354" s="281">
        <f t="shared" si="149"/>
        <v>0</v>
      </c>
      <c r="AR354" s="284">
        <f t="shared" si="150"/>
        <v>0</v>
      </c>
      <c r="AS354" s="281">
        <f t="shared" si="151"/>
        <v>0</v>
      </c>
      <c r="AT354" s="284">
        <f t="shared" si="152"/>
        <v>0</v>
      </c>
      <c r="AU354" s="117"/>
      <c r="AV354" s="117"/>
      <c r="AW354" s="117"/>
      <c r="AX354" s="117"/>
      <c r="AY354" s="117"/>
      <c r="AZ354" s="117"/>
      <c r="BA354" s="117"/>
      <c r="BB354" s="117"/>
      <c r="BC354" s="117"/>
      <c r="BD354" s="117"/>
      <c r="BE354" s="117"/>
      <c r="BF354" s="117"/>
      <c r="BG354" s="117"/>
      <c r="BH354" s="117"/>
      <c r="BI354" s="117"/>
      <c r="BJ354" s="117"/>
      <c r="BK354" s="117"/>
      <c r="BL354" s="117"/>
      <c r="BM354" s="117"/>
      <c r="BN354" s="117"/>
      <c r="BO354" s="117"/>
      <c r="BP354" s="117"/>
      <c r="BQ354" s="117"/>
      <c r="BR354" s="117"/>
      <c r="BS354" s="117"/>
      <c r="BT354" s="117"/>
      <c r="BU354" s="117"/>
      <c r="BV354" s="117"/>
      <c r="BW354" s="117"/>
      <c r="BX354" s="117"/>
      <c r="BY354" s="117"/>
      <c r="BZ354" s="117"/>
      <c r="CA354" s="117"/>
      <c r="CB354" s="117"/>
      <c r="CC354" s="117"/>
      <c r="CD354" s="117"/>
      <c r="CE354" s="117"/>
      <c r="CF354" s="117"/>
      <c r="CG354" s="117"/>
      <c r="CH354" s="117"/>
      <c r="CI354" s="117"/>
      <c r="CJ354" s="117"/>
      <c r="CK354" s="117"/>
      <c r="CL354" s="117"/>
      <c r="CM354" s="117"/>
      <c r="CN354" s="117"/>
      <c r="CO354" s="117"/>
      <c r="CP354" s="117"/>
      <c r="CQ354" s="117"/>
      <c r="CR354" s="117"/>
      <c r="CS354" s="117"/>
    </row>
    <row r="355" spans="1:97" s="116" customFormat="1" ht="192.75" customHeight="1" x14ac:dyDescent="0.8">
      <c r="A355" s="262">
        <f>ROW()</f>
        <v>355</v>
      </c>
      <c r="C355" s="211"/>
      <c r="D355" s="211"/>
      <c r="E355" s="211"/>
      <c r="F355" s="211"/>
      <c r="G355" s="211"/>
      <c r="H355" s="211"/>
      <c r="K355" s="116" t="s">
        <v>452</v>
      </c>
      <c r="M355" s="116" t="s">
        <v>107</v>
      </c>
      <c r="N355" s="116" t="s">
        <v>108</v>
      </c>
      <c r="O355" s="170" t="s">
        <v>386</v>
      </c>
      <c r="P355" s="502" t="s">
        <v>375</v>
      </c>
      <c r="Q355" s="502"/>
      <c r="R355" s="101" t="s">
        <v>452</v>
      </c>
      <c r="S355" s="116" t="s">
        <v>0</v>
      </c>
      <c r="T355" s="118"/>
      <c r="U355" s="116" t="s">
        <v>287</v>
      </c>
      <c r="V355" s="116" t="s">
        <v>288</v>
      </c>
      <c r="W355" s="116" t="s">
        <v>291</v>
      </c>
      <c r="X355" s="140"/>
      <c r="Y355" s="116" t="s">
        <v>289</v>
      </c>
      <c r="Z355" s="116" t="s">
        <v>354</v>
      </c>
      <c r="AA355" s="116" t="s">
        <v>355</v>
      </c>
      <c r="AB355" s="116" t="s">
        <v>317</v>
      </c>
      <c r="AC355" s="116" t="s">
        <v>318</v>
      </c>
      <c r="AD355" s="116" t="s">
        <v>316</v>
      </c>
      <c r="AE355" s="140"/>
      <c r="AF355" s="116" t="s">
        <v>293</v>
      </c>
      <c r="AG355" s="116" t="s">
        <v>354</v>
      </c>
      <c r="AH355" s="116" t="s">
        <v>355</v>
      </c>
      <c r="AI355" s="116" t="s">
        <v>296</v>
      </c>
      <c r="AJ355" s="116" t="s">
        <v>294</v>
      </c>
      <c r="AK355" s="116" t="s">
        <v>295</v>
      </c>
      <c r="AL355" s="140"/>
      <c r="AO355" s="288"/>
      <c r="AP355" s="284">
        <f t="shared" si="148"/>
        <v>0</v>
      </c>
      <c r="AQ355" s="281">
        <f t="shared" si="149"/>
        <v>0</v>
      </c>
      <c r="AR355" s="284">
        <f t="shared" si="150"/>
        <v>0</v>
      </c>
      <c r="AS355" s="281">
        <f t="shared" si="151"/>
        <v>0</v>
      </c>
      <c r="AT355" s="284">
        <f t="shared" si="152"/>
        <v>0</v>
      </c>
    </row>
    <row r="356" spans="1:97" s="114" customFormat="1" ht="40.5" customHeight="1" x14ac:dyDescent="0.8">
      <c r="A356" s="262">
        <f>ROW()</f>
        <v>356</v>
      </c>
      <c r="C356" s="208"/>
      <c r="D356" s="208"/>
      <c r="E356" s="208"/>
      <c r="F356" s="208"/>
      <c r="G356" s="208"/>
      <c r="H356" s="208"/>
      <c r="L356" s="124" t="str">
        <f>VLOOKUP(M356,Sheet2!$D$2:$E$1024,2,FALSE)</f>
        <v>Zero</v>
      </c>
      <c r="M356" s="121">
        <f>I378</f>
        <v>0</v>
      </c>
      <c r="N356" s="132" t="s">
        <v>663</v>
      </c>
      <c r="O356" s="121" t="s">
        <v>347</v>
      </c>
      <c r="P356" s="169" t="s">
        <v>379</v>
      </c>
      <c r="Q356" s="169" t="s">
        <v>375</v>
      </c>
      <c r="R356" s="169"/>
      <c r="S356" s="133">
        <f>M356</f>
        <v>0</v>
      </c>
      <c r="T356" s="119"/>
      <c r="U356" s="121" t="s">
        <v>292</v>
      </c>
      <c r="V356" s="133">
        <f>S356</f>
        <v>0</v>
      </c>
      <c r="W356" s="133">
        <f>VLOOKUP(U356,Sheet1!$B$6:$C$45,2,FALSE)*V356</f>
        <v>0</v>
      </c>
      <c r="X356" s="141"/>
      <c r="Y356" s="121" t="s">
        <v>292</v>
      </c>
      <c r="Z356" s="146">
        <f>VLOOKUP(Takeoffs!Y356,Sheet1!$B$6:$C$124,2,FALSE)</f>
        <v>0</v>
      </c>
      <c r="AA356" s="146">
        <f>Z356*AB356</f>
        <v>0</v>
      </c>
      <c r="AB356" s="143">
        <f>AD356*AC356</f>
        <v>0</v>
      </c>
      <c r="AC356" s="133">
        <f>S356</f>
        <v>0</v>
      </c>
      <c r="AD356" s="142">
        <v>1</v>
      </c>
      <c r="AE356" s="141"/>
      <c r="AF356" s="121" t="s">
        <v>292</v>
      </c>
      <c r="AG356" s="146">
        <f>VLOOKUP(Takeoffs!AF356,Sheet1!$B$6:$C$124,2,FALSE)</f>
        <v>0</v>
      </c>
      <c r="AH356" s="146">
        <f>AG356*AI356</f>
        <v>0</v>
      </c>
      <c r="AI356" s="143">
        <f>AK356*AJ356</f>
        <v>0</v>
      </c>
      <c r="AJ356" s="133">
        <f>S356</f>
        <v>0</v>
      </c>
      <c r="AK356" s="142">
        <f>T356</f>
        <v>0</v>
      </c>
      <c r="AL356" s="141"/>
      <c r="AO356" s="286"/>
      <c r="AP356" s="284">
        <f t="shared" si="148"/>
        <v>0</v>
      </c>
      <c r="AQ356" s="281">
        <f t="shared" si="149"/>
        <v>0</v>
      </c>
      <c r="AR356" s="284">
        <f t="shared" si="150"/>
        <v>0</v>
      </c>
      <c r="AS356" s="281">
        <f t="shared" si="151"/>
        <v>0</v>
      </c>
      <c r="AT356" s="284">
        <f t="shared" si="152"/>
        <v>0</v>
      </c>
    </row>
    <row r="357" spans="1:97" s="114" customFormat="1" ht="30.9" x14ac:dyDescent="0.8">
      <c r="A357" s="262">
        <f>ROW()</f>
        <v>357</v>
      </c>
      <c r="C357" s="208"/>
      <c r="D357" s="208"/>
      <c r="E357" s="208"/>
      <c r="F357" s="208"/>
      <c r="G357" s="208"/>
      <c r="H357" s="208"/>
      <c r="J357" s="114" t="str">
        <f>IF(COUNTBLANK(Q357)&gt;0,"",CONCATENATE("Coordination Note: - ",P357,": Please refer to our exclusions relating to ",Q357))</f>
        <v/>
      </c>
      <c r="K357" s="114" t="str">
        <f>IF(COUNTBLANK(R357)&gt;0,"",CONCATENATE(R357," for ",N356))</f>
        <v/>
      </c>
      <c r="M357" s="117"/>
      <c r="N357" s="123" t="s">
        <v>113</v>
      </c>
      <c r="O357" s="66" t="s">
        <v>340</v>
      </c>
      <c r="P357" s="121"/>
      <c r="Q357" s="66"/>
      <c r="R357" s="121"/>
      <c r="S357" s="133">
        <f>M356</f>
        <v>0</v>
      </c>
      <c r="T357" s="120"/>
      <c r="U357" s="121" t="s">
        <v>233</v>
      </c>
      <c r="V357" s="133">
        <f t="shared" ref="V357:V376" si="154">S357</f>
        <v>0</v>
      </c>
      <c r="W357" s="133">
        <f>VLOOKUP(U357,Sheet1!$B$6:$C$45,2,FALSE)*V357</f>
        <v>0</v>
      </c>
      <c r="X357" s="141"/>
      <c r="Y357" s="121" t="s">
        <v>292</v>
      </c>
      <c r="Z357" s="146">
        <f>VLOOKUP(Takeoffs!Y357,Sheet1!$B$6:$C$124,2,FALSE)</f>
        <v>0</v>
      </c>
      <c r="AA357" s="146">
        <f t="shared" ref="AA357:AA376" si="155">Z357*AB357</f>
        <v>0</v>
      </c>
      <c r="AB357" s="143">
        <f t="shared" ref="AB357:AB376" si="156">AD357*AC357</f>
        <v>0</v>
      </c>
      <c r="AC357" s="133">
        <f t="shared" ref="AC357:AC376" si="157">S357</f>
        <v>0</v>
      </c>
      <c r="AD357" s="142">
        <v>1</v>
      </c>
      <c r="AE357" s="141"/>
      <c r="AF357" s="121" t="s">
        <v>292</v>
      </c>
      <c r="AG357" s="146">
        <f>VLOOKUP(Takeoffs!AF357,Sheet1!$B$6:$C$124,2,FALSE)</f>
        <v>0</v>
      </c>
      <c r="AH357" s="146">
        <f t="shared" ref="AH357:AH376" si="158">AG357*AI357</f>
        <v>0</v>
      </c>
      <c r="AI357" s="143">
        <f t="shared" ref="AI357:AI376" si="159">AK357*AJ357</f>
        <v>0</v>
      </c>
      <c r="AJ357" s="133">
        <f t="shared" ref="AJ357:AJ376" si="160">S357</f>
        <v>0</v>
      </c>
      <c r="AK357" s="142">
        <f>T357</f>
        <v>0</v>
      </c>
      <c r="AL357" s="141"/>
      <c r="AO357" s="286"/>
      <c r="AP357" s="284">
        <f t="shared" si="148"/>
        <v>0</v>
      </c>
      <c r="AQ357" s="281">
        <f t="shared" si="149"/>
        <v>0</v>
      </c>
      <c r="AR357" s="284">
        <f t="shared" si="150"/>
        <v>0</v>
      </c>
      <c r="AS357" s="281">
        <f t="shared" si="151"/>
        <v>0</v>
      </c>
      <c r="AT357" s="284">
        <f t="shared" si="152"/>
        <v>0</v>
      </c>
    </row>
    <row r="358" spans="1:97" s="114" customFormat="1" ht="30.9" x14ac:dyDescent="0.8">
      <c r="A358" s="262">
        <f>ROW()</f>
        <v>358</v>
      </c>
      <c r="C358" s="208"/>
      <c r="D358" s="208"/>
      <c r="E358" s="208"/>
      <c r="F358" s="208"/>
      <c r="G358" s="208"/>
      <c r="H358" s="208"/>
      <c r="J358" s="114" t="str">
        <f t="shared" ref="J358:J376" si="161">IF(COUNTBLANK(Q358)&gt;0,"",CONCATENATE("Coordination Note: - ",P358,": Please refer to our exclusions relating to ",Q358))</f>
        <v/>
      </c>
      <c r="K358" s="114" t="str">
        <f>IF(COUNTBLANK(R358)&gt;0,"",CONCATENATE(R358," for ",N356))</f>
        <v/>
      </c>
      <c r="M358" s="117"/>
      <c r="N358" s="123" t="s">
        <v>114</v>
      </c>
      <c r="O358" s="66" t="s">
        <v>590</v>
      </c>
      <c r="P358" s="121"/>
      <c r="Q358" s="66"/>
      <c r="R358" s="121"/>
      <c r="S358" s="133">
        <f>M356</f>
        <v>0</v>
      </c>
      <c r="T358" s="120"/>
      <c r="U358" s="117" t="s">
        <v>478</v>
      </c>
      <c r="V358" s="133">
        <f t="shared" si="154"/>
        <v>0</v>
      </c>
      <c r="W358" s="133">
        <f>VLOOKUP(U358,Sheet1!$B$6:$C$45,2,FALSE)*V358</f>
        <v>0</v>
      </c>
      <c r="X358" s="141"/>
      <c r="Y358" s="52" t="s">
        <v>253</v>
      </c>
      <c r="Z358" s="146">
        <f>VLOOKUP(Takeoffs!Y358,Sheet1!$B$6:$C$124,2,FALSE)</f>
        <v>10.139999999999999</v>
      </c>
      <c r="AA358" s="146">
        <f t="shared" si="155"/>
        <v>0</v>
      </c>
      <c r="AB358" s="143">
        <f t="shared" si="156"/>
        <v>0</v>
      </c>
      <c r="AC358" s="133">
        <f t="shared" si="157"/>
        <v>0</v>
      </c>
      <c r="AD358" s="142">
        <v>1</v>
      </c>
      <c r="AE358" s="141"/>
      <c r="AF358" s="122" t="s">
        <v>268</v>
      </c>
      <c r="AG358" s="146">
        <f>VLOOKUP(Takeoffs!AF358,Sheet1!$B$6:$C$124,2,FALSE)</f>
        <v>1.02</v>
      </c>
      <c r="AH358" s="146">
        <f t="shared" si="158"/>
        <v>0</v>
      </c>
      <c r="AI358" s="143">
        <f t="shared" si="159"/>
        <v>0</v>
      </c>
      <c r="AJ358" s="133">
        <f t="shared" si="160"/>
        <v>0</v>
      </c>
      <c r="AK358" s="142">
        <v>5</v>
      </c>
      <c r="AL358" s="141"/>
      <c r="AO358" s="286"/>
      <c r="AP358" s="284">
        <f t="shared" si="148"/>
        <v>0</v>
      </c>
      <c r="AQ358" s="281">
        <f t="shared" si="149"/>
        <v>0</v>
      </c>
      <c r="AR358" s="284">
        <f t="shared" si="150"/>
        <v>0</v>
      </c>
      <c r="AS358" s="281">
        <f t="shared" si="151"/>
        <v>0</v>
      </c>
      <c r="AT358" s="284">
        <f t="shared" si="152"/>
        <v>0</v>
      </c>
    </row>
    <row r="359" spans="1:97" s="114" customFormat="1" ht="30.9" x14ac:dyDescent="0.8">
      <c r="A359" s="262">
        <f>ROW()</f>
        <v>359</v>
      </c>
      <c r="C359" s="208"/>
      <c r="D359" s="208"/>
      <c r="E359" s="208"/>
      <c r="F359" s="208"/>
      <c r="G359" s="208"/>
      <c r="H359" s="208"/>
      <c r="J359" s="114" t="str">
        <f t="shared" si="161"/>
        <v/>
      </c>
      <c r="K359" s="114" t="str">
        <f>IF(COUNTBLANK(R359)&gt;0,"",CONCATENATE(R359," for ",N356))</f>
        <v/>
      </c>
      <c r="M359" s="117"/>
      <c r="N359" s="123" t="s">
        <v>115</v>
      </c>
      <c r="O359" s="66" t="s">
        <v>406</v>
      </c>
      <c r="P359" s="121"/>
      <c r="Q359" s="66"/>
      <c r="R359" s="121"/>
      <c r="S359" s="133">
        <f>M356</f>
        <v>0</v>
      </c>
      <c r="T359" s="120"/>
      <c r="U359" s="121" t="s">
        <v>292</v>
      </c>
      <c r="V359" s="133">
        <f t="shared" si="154"/>
        <v>0</v>
      </c>
      <c r="W359" s="133">
        <f>VLOOKUP(U359,Sheet1!$B$6:$C$45,2,FALSE)*V359</f>
        <v>0</v>
      </c>
      <c r="X359" s="141"/>
      <c r="Y359" s="122" t="s">
        <v>247</v>
      </c>
      <c r="Z359" s="146">
        <f>VLOOKUP(Takeoffs!Y359,Sheet1!$B$6:$C$124,2,FALSE)</f>
        <v>23.76</v>
      </c>
      <c r="AA359" s="146">
        <f t="shared" si="155"/>
        <v>0</v>
      </c>
      <c r="AB359" s="143">
        <f t="shared" si="156"/>
        <v>0</v>
      </c>
      <c r="AC359" s="133">
        <f t="shared" si="157"/>
        <v>0</v>
      </c>
      <c r="AD359" s="142">
        <v>1</v>
      </c>
      <c r="AE359" s="141"/>
      <c r="AF359" s="121" t="s">
        <v>292</v>
      </c>
      <c r="AG359" s="146">
        <f>VLOOKUP(Takeoffs!AF359,Sheet1!$B$6:$C$124,2,FALSE)</f>
        <v>0</v>
      </c>
      <c r="AH359" s="146">
        <f t="shared" si="158"/>
        <v>0</v>
      </c>
      <c r="AI359" s="143">
        <f t="shared" si="159"/>
        <v>0</v>
      </c>
      <c r="AJ359" s="133">
        <f t="shared" si="160"/>
        <v>0</v>
      </c>
      <c r="AK359" s="142">
        <f t="shared" ref="AK359:AK365" si="162">T359</f>
        <v>0</v>
      </c>
      <c r="AL359" s="141"/>
      <c r="AO359" s="286"/>
      <c r="AP359" s="284">
        <f t="shared" si="148"/>
        <v>0</v>
      </c>
      <c r="AQ359" s="281">
        <f t="shared" si="149"/>
        <v>0</v>
      </c>
      <c r="AR359" s="284">
        <f t="shared" si="150"/>
        <v>0</v>
      </c>
      <c r="AS359" s="281">
        <f t="shared" si="151"/>
        <v>0</v>
      </c>
      <c r="AT359" s="284">
        <f t="shared" si="152"/>
        <v>0</v>
      </c>
    </row>
    <row r="360" spans="1:97" s="114" customFormat="1" ht="30.9" x14ac:dyDescent="0.8">
      <c r="A360" s="262">
        <f>ROW()</f>
        <v>360</v>
      </c>
      <c r="C360" s="208"/>
      <c r="D360" s="208"/>
      <c r="E360" s="208"/>
      <c r="F360" s="208"/>
      <c r="G360" s="208"/>
      <c r="H360" s="208"/>
      <c r="J360" s="114" t="str">
        <f t="shared" si="161"/>
        <v/>
      </c>
      <c r="K360" s="114" t="str">
        <f>IF(COUNTBLANK(R360)&gt;0,"",CONCATENATE(R360," for ",N356))</f>
        <v/>
      </c>
      <c r="M360" s="117"/>
      <c r="N360" s="123" t="s">
        <v>116</v>
      </c>
      <c r="O360" s="66"/>
      <c r="P360" s="121"/>
      <c r="Q360" s="66"/>
      <c r="R360" s="121"/>
      <c r="S360" s="133">
        <f>M356</f>
        <v>0</v>
      </c>
      <c r="T360" s="120"/>
      <c r="U360" s="121" t="s">
        <v>292</v>
      </c>
      <c r="V360" s="133">
        <f t="shared" si="154"/>
        <v>0</v>
      </c>
      <c r="W360" s="133">
        <f>VLOOKUP(U360,Sheet1!$B$6:$C$45,2,FALSE)*V360</f>
        <v>0</v>
      </c>
      <c r="X360" s="141"/>
      <c r="Y360" s="121" t="s">
        <v>292</v>
      </c>
      <c r="Z360" s="146">
        <f>VLOOKUP(Takeoffs!Y360,Sheet1!$B$6:$C$124,2,FALSE)</f>
        <v>0</v>
      </c>
      <c r="AA360" s="146">
        <f t="shared" si="155"/>
        <v>0</v>
      </c>
      <c r="AB360" s="143">
        <f t="shared" si="156"/>
        <v>0</v>
      </c>
      <c r="AC360" s="133">
        <f t="shared" si="157"/>
        <v>0</v>
      </c>
      <c r="AD360" s="142">
        <v>1</v>
      </c>
      <c r="AE360" s="141"/>
      <c r="AF360" s="121" t="s">
        <v>292</v>
      </c>
      <c r="AG360" s="146">
        <f>VLOOKUP(Takeoffs!AF360,Sheet1!$B$6:$C$124,2,FALSE)</f>
        <v>0</v>
      </c>
      <c r="AH360" s="146">
        <f t="shared" si="158"/>
        <v>0</v>
      </c>
      <c r="AI360" s="143">
        <f t="shared" si="159"/>
        <v>0</v>
      </c>
      <c r="AJ360" s="133">
        <f t="shared" si="160"/>
        <v>0</v>
      </c>
      <c r="AK360" s="142">
        <f t="shared" si="162"/>
        <v>0</v>
      </c>
      <c r="AL360" s="141"/>
      <c r="AO360" s="286"/>
      <c r="AP360" s="284">
        <f t="shared" si="148"/>
        <v>0</v>
      </c>
      <c r="AQ360" s="281">
        <f t="shared" si="149"/>
        <v>0</v>
      </c>
      <c r="AR360" s="284">
        <f t="shared" si="150"/>
        <v>0</v>
      </c>
      <c r="AS360" s="281">
        <f t="shared" si="151"/>
        <v>0</v>
      </c>
      <c r="AT360" s="284">
        <f t="shared" si="152"/>
        <v>0</v>
      </c>
    </row>
    <row r="361" spans="1:97" s="114" customFormat="1" ht="30.9" x14ac:dyDescent="0.8">
      <c r="A361" s="262">
        <f>ROW()</f>
        <v>361</v>
      </c>
      <c r="C361" s="208"/>
      <c r="D361" s="208"/>
      <c r="E361" s="208"/>
      <c r="F361" s="208"/>
      <c r="G361" s="208"/>
      <c r="H361" s="208"/>
      <c r="J361" s="114" t="str">
        <f t="shared" si="161"/>
        <v/>
      </c>
      <c r="K361" s="114" t="str">
        <f>IF(COUNTBLANK(R361)&gt;0,"",CONCATENATE(R361," for ",N356))</f>
        <v/>
      </c>
      <c r="M361" s="117"/>
      <c r="N361" s="123" t="s">
        <v>117</v>
      </c>
      <c r="O361" s="66"/>
      <c r="P361" s="121"/>
      <c r="Q361" s="66"/>
      <c r="R361" s="121"/>
      <c r="S361" s="133">
        <f>M356</f>
        <v>0</v>
      </c>
      <c r="T361" s="120"/>
      <c r="U361" s="121" t="s">
        <v>292</v>
      </c>
      <c r="V361" s="133">
        <f t="shared" si="154"/>
        <v>0</v>
      </c>
      <c r="W361" s="133">
        <f>VLOOKUP(U361,Sheet1!$B$6:$C$45,2,FALSE)*V361</f>
        <v>0</v>
      </c>
      <c r="X361" s="141"/>
      <c r="Y361" s="121" t="s">
        <v>292</v>
      </c>
      <c r="Z361" s="146">
        <f>VLOOKUP(Takeoffs!Y361,Sheet1!$B$6:$C$124,2,FALSE)</f>
        <v>0</v>
      </c>
      <c r="AA361" s="146">
        <f t="shared" si="155"/>
        <v>0</v>
      </c>
      <c r="AB361" s="143">
        <f t="shared" si="156"/>
        <v>0</v>
      </c>
      <c r="AC361" s="133">
        <f t="shared" si="157"/>
        <v>0</v>
      </c>
      <c r="AD361" s="142">
        <v>1</v>
      </c>
      <c r="AE361" s="141"/>
      <c r="AF361" s="121" t="s">
        <v>292</v>
      </c>
      <c r="AG361" s="146">
        <f>VLOOKUP(Takeoffs!AF361,Sheet1!$B$6:$C$124,2,FALSE)</f>
        <v>0</v>
      </c>
      <c r="AH361" s="146">
        <f t="shared" si="158"/>
        <v>0</v>
      </c>
      <c r="AI361" s="143">
        <f t="shared" si="159"/>
        <v>0</v>
      </c>
      <c r="AJ361" s="133">
        <f t="shared" si="160"/>
        <v>0</v>
      </c>
      <c r="AK361" s="142">
        <f t="shared" si="162"/>
        <v>0</v>
      </c>
      <c r="AL361" s="141"/>
      <c r="AO361" s="286"/>
      <c r="AP361" s="284">
        <f t="shared" si="148"/>
        <v>0</v>
      </c>
      <c r="AQ361" s="281">
        <f t="shared" si="149"/>
        <v>0</v>
      </c>
      <c r="AR361" s="284">
        <f t="shared" si="150"/>
        <v>0</v>
      </c>
      <c r="AS361" s="281">
        <f t="shared" si="151"/>
        <v>0</v>
      </c>
      <c r="AT361" s="284">
        <f t="shared" si="152"/>
        <v>0</v>
      </c>
    </row>
    <row r="362" spans="1:97" s="114" customFormat="1" ht="30.9" x14ac:dyDescent="0.8">
      <c r="A362" s="262">
        <f>ROW()</f>
        <v>362</v>
      </c>
      <c r="C362" s="208"/>
      <c r="D362" s="208"/>
      <c r="E362" s="208"/>
      <c r="F362" s="208"/>
      <c r="G362" s="208"/>
      <c r="H362" s="208"/>
      <c r="J362" s="114" t="str">
        <f t="shared" si="161"/>
        <v/>
      </c>
      <c r="K362" s="114" t="str">
        <f>IF(COUNTBLANK(R362)&gt;0,"",CONCATENATE(R362," for ",N356))</f>
        <v/>
      </c>
      <c r="M362" s="117"/>
      <c r="N362" s="123" t="s">
        <v>118</v>
      </c>
      <c r="O362" s="66"/>
      <c r="P362" s="121"/>
      <c r="Q362" s="66"/>
      <c r="R362" s="121"/>
      <c r="S362" s="133">
        <f>M356</f>
        <v>0</v>
      </c>
      <c r="T362" s="120"/>
      <c r="U362" s="121" t="s">
        <v>292</v>
      </c>
      <c r="V362" s="133">
        <f t="shared" si="154"/>
        <v>0</v>
      </c>
      <c r="W362" s="133">
        <f>VLOOKUP(U362,Sheet1!$B$6:$C$45,2,FALSE)*V362</f>
        <v>0</v>
      </c>
      <c r="X362" s="141"/>
      <c r="Y362" s="121" t="s">
        <v>292</v>
      </c>
      <c r="Z362" s="146">
        <f>VLOOKUP(Takeoffs!Y362,Sheet1!$B$6:$C$124,2,FALSE)</f>
        <v>0</v>
      </c>
      <c r="AA362" s="146">
        <f t="shared" si="155"/>
        <v>0</v>
      </c>
      <c r="AB362" s="143">
        <f t="shared" si="156"/>
        <v>0</v>
      </c>
      <c r="AC362" s="133">
        <f t="shared" si="157"/>
        <v>0</v>
      </c>
      <c r="AD362" s="142">
        <v>1</v>
      </c>
      <c r="AE362" s="141"/>
      <c r="AF362" s="121" t="s">
        <v>292</v>
      </c>
      <c r="AG362" s="146">
        <f>VLOOKUP(Takeoffs!AF362,Sheet1!$B$6:$C$124,2,FALSE)</f>
        <v>0</v>
      </c>
      <c r="AH362" s="146">
        <f t="shared" si="158"/>
        <v>0</v>
      </c>
      <c r="AI362" s="143">
        <f t="shared" si="159"/>
        <v>0</v>
      </c>
      <c r="AJ362" s="133">
        <f t="shared" si="160"/>
        <v>0</v>
      </c>
      <c r="AK362" s="142">
        <f t="shared" si="162"/>
        <v>0</v>
      </c>
      <c r="AL362" s="141"/>
      <c r="AO362" s="286"/>
      <c r="AP362" s="284">
        <f t="shared" si="148"/>
        <v>0</v>
      </c>
      <c r="AQ362" s="281">
        <f t="shared" si="149"/>
        <v>0</v>
      </c>
      <c r="AR362" s="284">
        <f t="shared" si="150"/>
        <v>0</v>
      </c>
      <c r="AS362" s="281">
        <f t="shared" si="151"/>
        <v>0</v>
      </c>
      <c r="AT362" s="284">
        <f t="shared" si="152"/>
        <v>0</v>
      </c>
    </row>
    <row r="363" spans="1:97" s="114" customFormat="1" ht="30.9" x14ac:dyDescent="0.8">
      <c r="A363" s="262">
        <f>ROW()</f>
        <v>363</v>
      </c>
      <c r="C363" s="208"/>
      <c r="D363" s="208"/>
      <c r="E363" s="208"/>
      <c r="F363" s="208"/>
      <c r="G363" s="208"/>
      <c r="H363" s="208"/>
      <c r="J363" s="114" t="str">
        <f t="shared" si="161"/>
        <v/>
      </c>
      <c r="K363" s="114" t="str">
        <f>IF(COUNTBLANK(R363)&gt;0,"",CONCATENATE(R363," for ",N356))</f>
        <v/>
      </c>
      <c r="N363" s="123" t="s">
        <v>119</v>
      </c>
      <c r="O363" s="66"/>
      <c r="P363" s="121"/>
      <c r="Q363" s="66"/>
      <c r="R363" s="121"/>
      <c r="S363" s="133">
        <f>M356</f>
        <v>0</v>
      </c>
      <c r="T363" s="120"/>
      <c r="U363" s="121" t="s">
        <v>292</v>
      </c>
      <c r="V363" s="133">
        <f t="shared" si="154"/>
        <v>0</v>
      </c>
      <c r="W363" s="133">
        <f>VLOOKUP(U363,Sheet1!$B$6:$C$45,2,FALSE)*V363</f>
        <v>0</v>
      </c>
      <c r="X363" s="141"/>
      <c r="Y363" s="121" t="s">
        <v>292</v>
      </c>
      <c r="Z363" s="146">
        <f>VLOOKUP(Takeoffs!Y363,Sheet1!$B$6:$C$124,2,FALSE)</f>
        <v>0</v>
      </c>
      <c r="AA363" s="146">
        <f t="shared" si="155"/>
        <v>0</v>
      </c>
      <c r="AB363" s="143">
        <f t="shared" si="156"/>
        <v>0</v>
      </c>
      <c r="AC363" s="133">
        <f t="shared" si="157"/>
        <v>0</v>
      </c>
      <c r="AD363" s="142">
        <v>1</v>
      </c>
      <c r="AE363" s="141"/>
      <c r="AF363" s="121" t="s">
        <v>292</v>
      </c>
      <c r="AG363" s="146">
        <f>VLOOKUP(Takeoffs!AF363,Sheet1!$B$6:$C$124,2,FALSE)</f>
        <v>0</v>
      </c>
      <c r="AH363" s="146">
        <f t="shared" si="158"/>
        <v>0</v>
      </c>
      <c r="AI363" s="143">
        <f t="shared" si="159"/>
        <v>0</v>
      </c>
      <c r="AJ363" s="133">
        <f t="shared" si="160"/>
        <v>0</v>
      </c>
      <c r="AK363" s="142">
        <f t="shared" si="162"/>
        <v>0</v>
      </c>
      <c r="AL363" s="141"/>
      <c r="AO363" s="286"/>
      <c r="AP363" s="284">
        <f t="shared" si="148"/>
        <v>0</v>
      </c>
      <c r="AQ363" s="281">
        <f t="shared" si="149"/>
        <v>0</v>
      </c>
      <c r="AR363" s="284">
        <f t="shared" si="150"/>
        <v>0</v>
      </c>
      <c r="AS363" s="281">
        <f t="shared" si="151"/>
        <v>0</v>
      </c>
      <c r="AT363" s="284">
        <f t="shared" si="152"/>
        <v>0</v>
      </c>
    </row>
    <row r="364" spans="1:97" s="114" customFormat="1" ht="30.9" x14ac:dyDescent="0.8">
      <c r="A364" s="262">
        <f>ROW()</f>
        <v>364</v>
      </c>
      <c r="C364" s="208"/>
      <c r="D364" s="208"/>
      <c r="E364" s="208"/>
      <c r="F364" s="208"/>
      <c r="G364" s="208"/>
      <c r="H364" s="208"/>
      <c r="J364" s="114" t="str">
        <f t="shared" si="161"/>
        <v/>
      </c>
      <c r="K364" s="114" t="str">
        <f>IF(COUNTBLANK(R364)&gt;0,"",CONCATENATE(R364," for ",N356))</f>
        <v/>
      </c>
      <c r="N364" s="123" t="s">
        <v>120</v>
      </c>
      <c r="O364" s="66" t="s">
        <v>328</v>
      </c>
      <c r="P364" s="121"/>
      <c r="Q364" s="66"/>
      <c r="R364" s="121"/>
      <c r="S364" s="133">
        <f>M356</f>
        <v>0</v>
      </c>
      <c r="T364" s="120"/>
      <c r="U364" s="121" t="s">
        <v>242</v>
      </c>
      <c r="V364" s="133">
        <f t="shared" si="154"/>
        <v>0</v>
      </c>
      <c r="W364" s="133">
        <f>VLOOKUP(U364,Sheet1!$B$6:$C$45,2,FALSE)*V364</f>
        <v>0</v>
      </c>
      <c r="X364" s="141"/>
      <c r="Y364" s="121" t="s">
        <v>292</v>
      </c>
      <c r="Z364" s="146">
        <f>VLOOKUP(Takeoffs!Y364,Sheet1!$B$6:$C$124,2,FALSE)</f>
        <v>0</v>
      </c>
      <c r="AA364" s="146">
        <f t="shared" si="155"/>
        <v>0</v>
      </c>
      <c r="AB364" s="143">
        <f t="shared" si="156"/>
        <v>0</v>
      </c>
      <c r="AC364" s="133">
        <f t="shared" si="157"/>
        <v>0</v>
      </c>
      <c r="AD364" s="142">
        <v>1</v>
      </c>
      <c r="AE364" s="141"/>
      <c r="AF364" s="121" t="s">
        <v>292</v>
      </c>
      <c r="AG364" s="146">
        <f>VLOOKUP(Takeoffs!AF364,Sheet1!$B$6:$C$124,2,FALSE)</f>
        <v>0</v>
      </c>
      <c r="AH364" s="146">
        <f t="shared" si="158"/>
        <v>0</v>
      </c>
      <c r="AI364" s="143">
        <f t="shared" si="159"/>
        <v>0</v>
      </c>
      <c r="AJ364" s="133">
        <f t="shared" si="160"/>
        <v>0</v>
      </c>
      <c r="AK364" s="142">
        <f t="shared" si="162"/>
        <v>0</v>
      </c>
      <c r="AL364" s="141"/>
      <c r="AO364" s="286"/>
      <c r="AP364" s="284">
        <f t="shared" si="148"/>
        <v>0</v>
      </c>
      <c r="AQ364" s="281">
        <f t="shared" si="149"/>
        <v>0</v>
      </c>
      <c r="AR364" s="284">
        <f t="shared" si="150"/>
        <v>0</v>
      </c>
      <c r="AS364" s="281">
        <f t="shared" si="151"/>
        <v>0</v>
      </c>
      <c r="AT364" s="284">
        <f t="shared" si="152"/>
        <v>0</v>
      </c>
    </row>
    <row r="365" spans="1:97" s="114" customFormat="1" ht="30.9" x14ac:dyDescent="0.8">
      <c r="A365" s="262">
        <f>ROW()</f>
        <v>365</v>
      </c>
      <c r="C365" s="208"/>
      <c r="D365" s="208"/>
      <c r="E365" s="208"/>
      <c r="F365" s="208"/>
      <c r="G365" s="208"/>
      <c r="H365" s="208"/>
      <c r="J365" s="114" t="str">
        <f t="shared" si="161"/>
        <v/>
      </c>
      <c r="K365" s="114" t="str">
        <f>IF(COUNTBLANK(R365)&gt;0,"",CONCATENATE(R365," for ",N356))</f>
        <v/>
      </c>
      <c r="N365" s="123" t="s">
        <v>121</v>
      </c>
      <c r="O365" s="66"/>
      <c r="P365" s="121"/>
      <c r="Q365" s="66"/>
      <c r="R365" s="121"/>
      <c r="S365" s="133">
        <f>M356</f>
        <v>0</v>
      </c>
      <c r="T365" s="120"/>
      <c r="U365" s="121" t="s">
        <v>292</v>
      </c>
      <c r="V365" s="133">
        <f t="shared" si="154"/>
        <v>0</v>
      </c>
      <c r="W365" s="133">
        <f>VLOOKUP(U365,Sheet1!$B$6:$C$45,2,FALSE)*V365</f>
        <v>0</v>
      </c>
      <c r="X365" s="141"/>
      <c r="Y365" s="121" t="s">
        <v>292</v>
      </c>
      <c r="Z365" s="146">
        <f>VLOOKUP(Takeoffs!Y365,Sheet1!$B$6:$C$124,2,FALSE)</f>
        <v>0</v>
      </c>
      <c r="AA365" s="146">
        <f t="shared" si="155"/>
        <v>0</v>
      </c>
      <c r="AB365" s="143">
        <f t="shared" si="156"/>
        <v>0</v>
      </c>
      <c r="AC365" s="133">
        <f t="shared" si="157"/>
        <v>0</v>
      </c>
      <c r="AD365" s="142">
        <v>1</v>
      </c>
      <c r="AE365" s="141"/>
      <c r="AF365" s="121" t="s">
        <v>292</v>
      </c>
      <c r="AG365" s="146">
        <f>VLOOKUP(Takeoffs!AF365,Sheet1!$B$6:$C$124,2,FALSE)</f>
        <v>0</v>
      </c>
      <c r="AH365" s="146">
        <f t="shared" si="158"/>
        <v>0</v>
      </c>
      <c r="AI365" s="143">
        <f t="shared" si="159"/>
        <v>0</v>
      </c>
      <c r="AJ365" s="133">
        <f t="shared" si="160"/>
        <v>0</v>
      </c>
      <c r="AK365" s="142">
        <f t="shared" si="162"/>
        <v>0</v>
      </c>
      <c r="AL365" s="141"/>
      <c r="AO365" s="286"/>
      <c r="AP365" s="284">
        <f t="shared" si="148"/>
        <v>0</v>
      </c>
      <c r="AQ365" s="281">
        <f t="shared" si="149"/>
        <v>0</v>
      </c>
      <c r="AR365" s="284">
        <f t="shared" si="150"/>
        <v>0</v>
      </c>
      <c r="AS365" s="281">
        <f t="shared" si="151"/>
        <v>0</v>
      </c>
      <c r="AT365" s="284">
        <f t="shared" si="152"/>
        <v>0</v>
      </c>
    </row>
    <row r="366" spans="1:97" s="114" customFormat="1" ht="30.9" x14ac:dyDescent="0.8">
      <c r="A366" s="262">
        <f>ROW()</f>
        <v>366</v>
      </c>
      <c r="C366" s="208"/>
      <c r="D366" s="208"/>
      <c r="E366" s="208"/>
      <c r="F366" s="208"/>
      <c r="G366" s="208"/>
      <c r="H366" s="208"/>
      <c r="J366" s="114" t="str">
        <f t="shared" si="161"/>
        <v/>
      </c>
      <c r="K366" s="114" t="str">
        <f>IF(COUNTBLANK(R366)&gt;0,"",CONCATENATE(R366," for ",N356))</f>
        <v/>
      </c>
      <c r="N366" s="123" t="s">
        <v>122</v>
      </c>
      <c r="O366" s="66"/>
      <c r="P366" s="121"/>
      <c r="Q366" s="66"/>
      <c r="R366" s="121"/>
      <c r="S366" s="133">
        <f>M356</f>
        <v>0</v>
      </c>
      <c r="T366" s="120"/>
      <c r="U366" s="121" t="s">
        <v>292</v>
      </c>
      <c r="V366" s="133">
        <f t="shared" si="154"/>
        <v>0</v>
      </c>
      <c r="W366" s="133">
        <f>VLOOKUP(U366,Sheet1!$B$6:$C$45,2,FALSE)*V366</f>
        <v>0</v>
      </c>
      <c r="X366" s="141"/>
      <c r="Y366" s="121" t="s">
        <v>292</v>
      </c>
      <c r="Z366" s="146">
        <f>VLOOKUP(Takeoffs!Y366,Sheet1!$B$6:$C$124,2,FALSE)</f>
        <v>0</v>
      </c>
      <c r="AA366" s="146">
        <f t="shared" si="155"/>
        <v>0</v>
      </c>
      <c r="AB366" s="143">
        <f t="shared" si="156"/>
        <v>0</v>
      </c>
      <c r="AC366" s="133">
        <f t="shared" si="157"/>
        <v>0</v>
      </c>
      <c r="AD366" s="142">
        <v>1</v>
      </c>
      <c r="AE366" s="141"/>
      <c r="AF366" s="121" t="s">
        <v>292</v>
      </c>
      <c r="AG366" s="146">
        <f>VLOOKUP(Takeoffs!AF366,Sheet1!$B$6:$C$124,2,FALSE)</f>
        <v>0</v>
      </c>
      <c r="AH366" s="146">
        <f t="shared" si="158"/>
        <v>0</v>
      </c>
      <c r="AI366" s="143">
        <f t="shared" si="159"/>
        <v>0</v>
      </c>
      <c r="AJ366" s="133">
        <f t="shared" si="160"/>
        <v>0</v>
      </c>
      <c r="AK366" s="142">
        <f>T366</f>
        <v>0</v>
      </c>
      <c r="AL366" s="141"/>
      <c r="AO366" s="286"/>
      <c r="AP366" s="284">
        <f t="shared" si="148"/>
        <v>0</v>
      </c>
      <c r="AQ366" s="281">
        <f t="shared" si="149"/>
        <v>0</v>
      </c>
      <c r="AR366" s="284">
        <f t="shared" si="150"/>
        <v>0</v>
      </c>
      <c r="AS366" s="281">
        <f t="shared" si="151"/>
        <v>0</v>
      </c>
      <c r="AT366" s="284">
        <f t="shared" si="152"/>
        <v>0</v>
      </c>
    </row>
    <row r="367" spans="1:97" s="114" customFormat="1" ht="30.9" x14ac:dyDescent="0.8">
      <c r="A367" s="262">
        <f>ROW()</f>
        <v>367</v>
      </c>
      <c r="C367" s="208"/>
      <c r="D367" s="208"/>
      <c r="E367" s="208"/>
      <c r="F367" s="208"/>
      <c r="G367" s="208"/>
      <c r="H367" s="208"/>
      <c r="J367" s="114" t="str">
        <f t="shared" si="161"/>
        <v>Coordination Note: -  Proprietary system supplier: Please refer to our exclusions relating to  Proprietary controller</v>
      </c>
      <c r="K367" s="114" t="str">
        <f>IF(COUNTBLANK(R367)&gt;0,"",CONCATENATE(R367," for ",N356))</f>
        <v/>
      </c>
      <c r="N367" s="123" t="s">
        <v>123</v>
      </c>
      <c r="O367" s="66" t="s">
        <v>664</v>
      </c>
      <c r="P367" s="121" t="s">
        <v>666</v>
      </c>
      <c r="Q367" s="66" t="s">
        <v>665</v>
      </c>
      <c r="R367" s="121"/>
      <c r="S367" s="133">
        <f>M356</f>
        <v>0</v>
      </c>
      <c r="T367" s="120"/>
      <c r="U367" s="121" t="s">
        <v>292</v>
      </c>
      <c r="V367" s="133">
        <f t="shared" si="154"/>
        <v>0</v>
      </c>
      <c r="W367" s="133">
        <f>VLOOKUP(U367,Sheet1!$B$6:$C$45,2,FALSE)*V367</f>
        <v>0</v>
      </c>
      <c r="X367" s="141"/>
      <c r="Y367" s="121" t="s">
        <v>292</v>
      </c>
      <c r="Z367" s="146">
        <f>VLOOKUP(Takeoffs!Y367,Sheet1!$B$6:$C$124,2,FALSE)</f>
        <v>0</v>
      </c>
      <c r="AA367" s="146">
        <f t="shared" si="155"/>
        <v>0</v>
      </c>
      <c r="AB367" s="143">
        <f t="shared" si="156"/>
        <v>0</v>
      </c>
      <c r="AC367" s="133">
        <f t="shared" si="157"/>
        <v>0</v>
      </c>
      <c r="AD367" s="142">
        <v>1</v>
      </c>
      <c r="AE367" s="141"/>
      <c r="AF367" s="121" t="s">
        <v>292</v>
      </c>
      <c r="AG367" s="146">
        <f>VLOOKUP(Takeoffs!AF367,Sheet1!$B$6:$C$124,2,FALSE)</f>
        <v>0</v>
      </c>
      <c r="AH367" s="146">
        <f t="shared" si="158"/>
        <v>0</v>
      </c>
      <c r="AI367" s="143">
        <f t="shared" si="159"/>
        <v>0</v>
      </c>
      <c r="AJ367" s="133">
        <f t="shared" si="160"/>
        <v>0</v>
      </c>
      <c r="AK367" s="142">
        <v>0</v>
      </c>
      <c r="AL367" s="141"/>
      <c r="AO367" s="286"/>
      <c r="AP367" s="284">
        <f t="shared" si="148"/>
        <v>0</v>
      </c>
      <c r="AQ367" s="281">
        <f t="shared" si="149"/>
        <v>0</v>
      </c>
      <c r="AR367" s="284">
        <f t="shared" si="150"/>
        <v>0</v>
      </c>
      <c r="AS367" s="281">
        <f t="shared" si="151"/>
        <v>0</v>
      </c>
      <c r="AT367" s="284">
        <f t="shared" si="152"/>
        <v>0</v>
      </c>
    </row>
    <row r="368" spans="1:97" s="114" customFormat="1" ht="30.9" x14ac:dyDescent="0.8">
      <c r="A368" s="262">
        <f>ROW()</f>
        <v>368</v>
      </c>
      <c r="C368" s="208"/>
      <c r="D368" s="208"/>
      <c r="E368" s="208"/>
      <c r="F368" s="208"/>
      <c r="G368" s="208"/>
      <c r="H368" s="208"/>
      <c r="J368" s="114" t="str">
        <f t="shared" si="161"/>
        <v/>
      </c>
      <c r="K368" s="114" t="str">
        <f>IF(COUNTBLANK(R368)&gt;0,"",CONCATENATE(R368," for ",N356))</f>
        <v/>
      </c>
      <c r="N368" s="123" t="s">
        <v>124</v>
      </c>
      <c r="O368" s="66" t="s">
        <v>140</v>
      </c>
      <c r="P368" s="121"/>
      <c r="Q368" s="66"/>
      <c r="R368" s="121"/>
      <c r="S368" s="133">
        <f>M356</f>
        <v>0</v>
      </c>
      <c r="T368" s="120"/>
      <c r="U368" s="121" t="s">
        <v>292</v>
      </c>
      <c r="V368" s="133">
        <f t="shared" si="154"/>
        <v>0</v>
      </c>
      <c r="W368" s="133">
        <f>VLOOKUP(U368,Sheet1!$B$6:$C$45,2,FALSE)*V368</f>
        <v>0</v>
      </c>
      <c r="X368" s="141"/>
      <c r="Y368" s="121" t="s">
        <v>292</v>
      </c>
      <c r="Z368" s="146">
        <f>VLOOKUP(Takeoffs!Y368,Sheet1!$B$6:$C$124,2,FALSE)</f>
        <v>0</v>
      </c>
      <c r="AA368" s="146">
        <f t="shared" si="155"/>
        <v>0</v>
      </c>
      <c r="AB368" s="143">
        <f t="shared" si="156"/>
        <v>0</v>
      </c>
      <c r="AC368" s="133">
        <f t="shared" si="157"/>
        <v>0</v>
      </c>
      <c r="AD368" s="142">
        <v>1</v>
      </c>
      <c r="AE368" s="141"/>
      <c r="AF368" s="152" t="s">
        <v>418</v>
      </c>
      <c r="AG368" s="146">
        <f>VLOOKUP(Takeoffs!AF368,Sheet1!$B$6:$C$124,2,FALSE)</f>
        <v>0.33600000000000002</v>
      </c>
      <c r="AH368" s="146">
        <f t="shared" si="158"/>
        <v>0</v>
      </c>
      <c r="AI368" s="143">
        <f t="shared" si="159"/>
        <v>0</v>
      </c>
      <c r="AJ368" s="133">
        <f t="shared" si="160"/>
        <v>0</v>
      </c>
      <c r="AK368" s="142">
        <v>1</v>
      </c>
      <c r="AL368" s="141"/>
      <c r="AO368" s="286"/>
      <c r="AP368" s="284">
        <f t="shared" si="148"/>
        <v>0</v>
      </c>
      <c r="AQ368" s="281">
        <f t="shared" si="149"/>
        <v>0</v>
      </c>
      <c r="AR368" s="284">
        <f t="shared" si="150"/>
        <v>0</v>
      </c>
      <c r="AS368" s="281">
        <f t="shared" si="151"/>
        <v>0</v>
      </c>
      <c r="AT368" s="284">
        <f t="shared" si="152"/>
        <v>0</v>
      </c>
    </row>
    <row r="369" spans="1:97" s="114" customFormat="1" ht="30.9" x14ac:dyDescent="0.8">
      <c r="A369" s="262">
        <f>ROW()</f>
        <v>369</v>
      </c>
      <c r="C369" s="208"/>
      <c r="D369" s="208"/>
      <c r="E369" s="208"/>
      <c r="F369" s="208"/>
      <c r="G369" s="208"/>
      <c r="H369" s="208"/>
      <c r="J369" s="114" t="str">
        <f t="shared" si="161"/>
        <v/>
      </c>
      <c r="K369" s="114" t="str">
        <f>IF(COUNTBLANK(R369)&gt;0,"",CONCATENATE(R369," for ",N356))</f>
        <v/>
      </c>
      <c r="N369" s="123" t="s">
        <v>125</v>
      </c>
      <c r="O369" s="66" t="s">
        <v>312</v>
      </c>
      <c r="P369" s="121"/>
      <c r="Q369" s="66"/>
      <c r="R369" s="121"/>
      <c r="S369" s="133">
        <f>M356</f>
        <v>0</v>
      </c>
      <c r="T369" s="120"/>
      <c r="U369" s="121" t="s">
        <v>232</v>
      </c>
      <c r="V369" s="133">
        <f t="shared" si="154"/>
        <v>0</v>
      </c>
      <c r="W369" s="133">
        <f>VLOOKUP(U369,Sheet1!$B$6:$C$45,2,FALSE)*V369</f>
        <v>0</v>
      </c>
      <c r="X369" s="141"/>
      <c r="Y369" s="122" t="s">
        <v>1345</v>
      </c>
      <c r="Z369" s="146">
        <f>VLOOKUP(Takeoffs!Y369,Sheet1!$B$6:$C$124,2,FALSE)</f>
        <v>109.25999999999999</v>
      </c>
      <c r="AA369" s="146">
        <f t="shared" si="155"/>
        <v>0</v>
      </c>
      <c r="AB369" s="143">
        <f t="shared" si="156"/>
        <v>0</v>
      </c>
      <c r="AC369" s="133">
        <f t="shared" si="157"/>
        <v>0</v>
      </c>
      <c r="AD369" s="142">
        <v>1</v>
      </c>
      <c r="AE369" s="141"/>
      <c r="AF369" s="121" t="s">
        <v>292</v>
      </c>
      <c r="AG369" s="146">
        <f>VLOOKUP(Takeoffs!AF369,Sheet1!$B$6:$C$124,2,FALSE)</f>
        <v>0</v>
      </c>
      <c r="AH369" s="146">
        <f t="shared" si="158"/>
        <v>0</v>
      </c>
      <c r="AI369" s="143">
        <f t="shared" si="159"/>
        <v>0</v>
      </c>
      <c r="AJ369" s="133">
        <f t="shared" si="160"/>
        <v>0</v>
      </c>
      <c r="AK369" s="142">
        <f t="shared" ref="AK369:AK376" si="163">T369</f>
        <v>0</v>
      </c>
      <c r="AL369" s="141"/>
      <c r="AO369" s="286"/>
      <c r="AP369" s="284">
        <f t="shared" si="148"/>
        <v>0</v>
      </c>
      <c r="AQ369" s="281">
        <f t="shared" si="149"/>
        <v>0</v>
      </c>
      <c r="AR369" s="284">
        <f t="shared" si="150"/>
        <v>0</v>
      </c>
      <c r="AS369" s="281">
        <f t="shared" si="151"/>
        <v>0</v>
      </c>
      <c r="AT369" s="284">
        <f t="shared" si="152"/>
        <v>0</v>
      </c>
    </row>
    <row r="370" spans="1:97" s="114" customFormat="1" ht="30.9" x14ac:dyDescent="0.8">
      <c r="A370" s="262">
        <f>ROW()</f>
        <v>370</v>
      </c>
      <c r="C370" s="208"/>
      <c r="D370" s="208"/>
      <c r="E370" s="208"/>
      <c r="F370" s="208"/>
      <c r="G370" s="208"/>
      <c r="H370" s="208"/>
      <c r="J370" s="114" t="str">
        <f t="shared" si="161"/>
        <v/>
      </c>
      <c r="K370" s="114" t="str">
        <f>IF(COUNTBLANK(R370)&gt;0,"",CONCATENATE(R370," for ",N356))</f>
        <v/>
      </c>
      <c r="N370" s="123" t="s">
        <v>126</v>
      </c>
      <c r="O370" s="66" t="s">
        <v>541</v>
      </c>
      <c r="P370" s="121"/>
      <c r="Q370" s="66"/>
      <c r="R370" s="121"/>
      <c r="S370" s="133">
        <f>M356</f>
        <v>0</v>
      </c>
      <c r="T370" s="120"/>
      <c r="U370" s="121" t="s">
        <v>292</v>
      </c>
      <c r="V370" s="133">
        <f t="shared" si="154"/>
        <v>0</v>
      </c>
      <c r="W370" s="133">
        <f>VLOOKUP(U370,Sheet1!$B$6:$C$45,2,FALSE)*V370</f>
        <v>0</v>
      </c>
      <c r="X370" s="141"/>
      <c r="Y370" s="122" t="s">
        <v>326</v>
      </c>
      <c r="Z370" s="146">
        <f>VLOOKUP(Takeoffs!Y370,Sheet1!$B$6:$C$124,2,FALSE)</f>
        <v>29.04</v>
      </c>
      <c r="AA370" s="146">
        <f t="shared" si="155"/>
        <v>0</v>
      </c>
      <c r="AB370" s="143">
        <f t="shared" si="156"/>
        <v>0</v>
      </c>
      <c r="AC370" s="133">
        <f t="shared" si="157"/>
        <v>0</v>
      </c>
      <c r="AD370" s="142">
        <v>1</v>
      </c>
      <c r="AE370" s="141"/>
      <c r="AF370" s="121" t="s">
        <v>292</v>
      </c>
      <c r="AG370" s="146">
        <f>VLOOKUP(Takeoffs!AF370,Sheet1!$B$6:$C$124,2,FALSE)</f>
        <v>0</v>
      </c>
      <c r="AH370" s="146">
        <f t="shared" si="158"/>
        <v>0</v>
      </c>
      <c r="AI370" s="143">
        <f t="shared" si="159"/>
        <v>0</v>
      </c>
      <c r="AJ370" s="133">
        <f t="shared" si="160"/>
        <v>0</v>
      </c>
      <c r="AK370" s="142">
        <f t="shared" si="163"/>
        <v>0</v>
      </c>
      <c r="AL370" s="141"/>
      <c r="AO370" s="286"/>
      <c r="AP370" s="284">
        <f t="shared" si="148"/>
        <v>0</v>
      </c>
      <c r="AQ370" s="281">
        <f t="shared" si="149"/>
        <v>0</v>
      </c>
      <c r="AR370" s="284">
        <f t="shared" si="150"/>
        <v>0</v>
      </c>
      <c r="AS370" s="281">
        <f t="shared" si="151"/>
        <v>0</v>
      </c>
      <c r="AT370" s="284">
        <f t="shared" si="152"/>
        <v>0</v>
      </c>
    </row>
    <row r="371" spans="1:97" s="114" customFormat="1" ht="30.9" x14ac:dyDescent="0.8">
      <c r="A371" s="262">
        <f>ROW()</f>
        <v>371</v>
      </c>
      <c r="C371" s="208"/>
      <c r="D371" s="208"/>
      <c r="E371" s="208"/>
      <c r="F371" s="208"/>
      <c r="G371" s="208"/>
      <c r="H371" s="208"/>
      <c r="J371" s="114" t="str">
        <f t="shared" si="161"/>
        <v/>
      </c>
      <c r="K371" s="114" t="str">
        <f>IF(COUNTBLANK(R371)&gt;0,"",CONCATENATE(R371," for ",N356))</f>
        <v>run and fault lights for Proprietary DOL fan with interlock with Proprietary controller- from MSSB power supply</v>
      </c>
      <c r="N371" s="123" t="s">
        <v>127</v>
      </c>
      <c r="O371" s="66" t="s">
        <v>337</v>
      </c>
      <c r="P371" s="121"/>
      <c r="Q371" s="66"/>
      <c r="R371" s="121" t="s">
        <v>331</v>
      </c>
      <c r="S371" s="133">
        <f>M356</f>
        <v>0</v>
      </c>
      <c r="T371" s="120"/>
      <c r="U371" s="121" t="s">
        <v>292</v>
      </c>
      <c r="V371" s="133">
        <f t="shared" si="154"/>
        <v>0</v>
      </c>
      <c r="W371" s="133">
        <f>VLOOKUP(U371,Sheet1!$B$6:$C$45,2,FALSE)*V371</f>
        <v>0</v>
      </c>
      <c r="X371" s="141"/>
      <c r="Y371" s="122" t="s">
        <v>280</v>
      </c>
      <c r="Z371" s="146">
        <f>VLOOKUP(Takeoffs!Y371,Sheet1!$B$6:$C$124,2,FALSE)</f>
        <v>19.2</v>
      </c>
      <c r="AA371" s="146">
        <f t="shared" si="155"/>
        <v>0</v>
      </c>
      <c r="AB371" s="143">
        <f t="shared" si="156"/>
        <v>0</v>
      </c>
      <c r="AC371" s="133">
        <f t="shared" si="157"/>
        <v>0</v>
      </c>
      <c r="AD371" s="142">
        <v>2</v>
      </c>
      <c r="AE371" s="141"/>
      <c r="AF371" s="121" t="s">
        <v>292</v>
      </c>
      <c r="AG371" s="146">
        <f>VLOOKUP(Takeoffs!AF371,Sheet1!$B$6:$C$124,2,FALSE)</f>
        <v>0</v>
      </c>
      <c r="AH371" s="146">
        <f t="shared" si="158"/>
        <v>0</v>
      </c>
      <c r="AI371" s="143">
        <f t="shared" si="159"/>
        <v>0</v>
      </c>
      <c r="AJ371" s="133">
        <f t="shared" si="160"/>
        <v>0</v>
      </c>
      <c r="AK371" s="142">
        <f t="shared" si="163"/>
        <v>0</v>
      </c>
      <c r="AL371" s="141"/>
      <c r="AO371" s="286"/>
      <c r="AP371" s="284">
        <f t="shared" si="148"/>
        <v>0</v>
      </c>
      <c r="AQ371" s="281">
        <f t="shared" si="149"/>
        <v>0</v>
      </c>
      <c r="AR371" s="284">
        <f t="shared" si="150"/>
        <v>0</v>
      </c>
      <c r="AS371" s="281">
        <f t="shared" si="151"/>
        <v>0</v>
      </c>
      <c r="AT371" s="284">
        <f t="shared" si="152"/>
        <v>0</v>
      </c>
    </row>
    <row r="372" spans="1:97" s="114" customFormat="1" ht="30.9" x14ac:dyDescent="0.8">
      <c r="A372" s="262">
        <f>ROW()</f>
        <v>372</v>
      </c>
      <c r="C372" s="208"/>
      <c r="D372" s="208"/>
      <c r="E372" s="208"/>
      <c r="F372" s="208"/>
      <c r="G372" s="208"/>
      <c r="H372" s="208"/>
      <c r="J372" s="114" t="str">
        <f t="shared" si="161"/>
        <v/>
      </c>
      <c r="K372" s="114" t="str">
        <f>IF(COUNTBLANK(R372)&gt;0,"",CONCATENATE(R372," for ",N356))</f>
        <v/>
      </c>
      <c r="N372" s="123" t="s">
        <v>128</v>
      </c>
      <c r="O372" s="66"/>
      <c r="P372" s="121"/>
      <c r="Q372" s="66"/>
      <c r="R372" s="121"/>
      <c r="S372" s="133">
        <f>M356</f>
        <v>0</v>
      </c>
      <c r="T372" s="120"/>
      <c r="U372" s="121" t="s">
        <v>292</v>
      </c>
      <c r="V372" s="133">
        <f t="shared" si="154"/>
        <v>0</v>
      </c>
      <c r="W372" s="133">
        <f>VLOOKUP(U372,Sheet1!$B$6:$C$45,2,FALSE)*V372</f>
        <v>0</v>
      </c>
      <c r="X372" s="141"/>
      <c r="Y372" s="121" t="s">
        <v>292</v>
      </c>
      <c r="Z372" s="146">
        <f>VLOOKUP(Takeoffs!Y372,Sheet1!$B$6:$C$124,2,FALSE)</f>
        <v>0</v>
      </c>
      <c r="AA372" s="146">
        <f t="shared" si="155"/>
        <v>0</v>
      </c>
      <c r="AB372" s="143">
        <f t="shared" si="156"/>
        <v>0</v>
      </c>
      <c r="AC372" s="133">
        <f t="shared" si="157"/>
        <v>0</v>
      </c>
      <c r="AD372" s="142">
        <v>1</v>
      </c>
      <c r="AE372" s="141"/>
      <c r="AF372" s="121" t="s">
        <v>292</v>
      </c>
      <c r="AG372" s="146">
        <f>VLOOKUP(Takeoffs!AF372,Sheet1!$B$6:$C$124,2,FALSE)</f>
        <v>0</v>
      </c>
      <c r="AH372" s="146">
        <f t="shared" si="158"/>
        <v>0</v>
      </c>
      <c r="AI372" s="143">
        <f t="shared" si="159"/>
        <v>0</v>
      </c>
      <c r="AJ372" s="133">
        <f t="shared" si="160"/>
        <v>0</v>
      </c>
      <c r="AK372" s="142">
        <f t="shared" si="163"/>
        <v>0</v>
      </c>
      <c r="AL372" s="141"/>
      <c r="AO372" s="286"/>
      <c r="AP372" s="284">
        <f t="shared" si="148"/>
        <v>0</v>
      </c>
      <c r="AQ372" s="281">
        <f t="shared" si="149"/>
        <v>0</v>
      </c>
      <c r="AR372" s="284">
        <f t="shared" si="150"/>
        <v>0</v>
      </c>
      <c r="AS372" s="281">
        <f t="shared" si="151"/>
        <v>0</v>
      </c>
      <c r="AT372" s="284">
        <f t="shared" si="152"/>
        <v>0</v>
      </c>
    </row>
    <row r="373" spans="1:97" s="114" customFormat="1" ht="30.9" x14ac:dyDescent="0.8">
      <c r="A373" s="262">
        <f>ROW()</f>
        <v>373</v>
      </c>
      <c r="C373" s="208"/>
      <c r="D373" s="208"/>
      <c r="E373" s="208"/>
      <c r="F373" s="208"/>
      <c r="G373" s="208"/>
      <c r="H373" s="208"/>
      <c r="J373" s="114" t="str">
        <f t="shared" si="161"/>
        <v/>
      </c>
      <c r="K373" s="114" t="str">
        <f>IF(COUNTBLANK(R373)&gt;0,"",CONCATENATE(R373," for ",N356))</f>
        <v>Auto/Off/On switch for Proprietary DOL fan with interlock with Proprietary controller- from MSSB power supply</v>
      </c>
      <c r="N373" s="123" t="s">
        <v>129</v>
      </c>
      <c r="O373" s="66" t="s">
        <v>329</v>
      </c>
      <c r="P373" s="121"/>
      <c r="Q373" s="66"/>
      <c r="R373" s="121" t="s">
        <v>304</v>
      </c>
      <c r="S373" s="133">
        <f>M356</f>
        <v>0</v>
      </c>
      <c r="T373" s="120"/>
      <c r="U373" s="121" t="s">
        <v>292</v>
      </c>
      <c r="V373" s="133">
        <f t="shared" si="154"/>
        <v>0</v>
      </c>
      <c r="W373" s="133">
        <f>VLOOKUP(U373,Sheet1!$B$6:$C$45,2,FALSE)*V373</f>
        <v>0</v>
      </c>
      <c r="X373" s="141"/>
      <c r="Y373" s="122" t="s">
        <v>277</v>
      </c>
      <c r="Z373" s="146">
        <f>VLOOKUP(Takeoffs!Y373,Sheet1!$B$6:$C$124,2,FALSE)</f>
        <v>69.540000000000006</v>
      </c>
      <c r="AA373" s="146">
        <f t="shared" si="155"/>
        <v>0</v>
      </c>
      <c r="AB373" s="143">
        <f t="shared" si="156"/>
        <v>0</v>
      </c>
      <c r="AC373" s="133">
        <f t="shared" si="157"/>
        <v>0</v>
      </c>
      <c r="AD373" s="142">
        <v>1</v>
      </c>
      <c r="AE373" s="141"/>
      <c r="AF373" s="121" t="s">
        <v>292</v>
      </c>
      <c r="AG373" s="146">
        <f>VLOOKUP(Takeoffs!AF373,Sheet1!$B$6:$C$124,2,FALSE)</f>
        <v>0</v>
      </c>
      <c r="AH373" s="146">
        <f t="shared" si="158"/>
        <v>0</v>
      </c>
      <c r="AI373" s="143">
        <f t="shared" si="159"/>
        <v>0</v>
      </c>
      <c r="AJ373" s="133">
        <f t="shared" si="160"/>
        <v>0</v>
      </c>
      <c r="AK373" s="142">
        <f t="shared" si="163"/>
        <v>0</v>
      </c>
      <c r="AL373" s="141"/>
      <c r="AO373" s="286"/>
      <c r="AP373" s="284">
        <f t="shared" si="148"/>
        <v>0</v>
      </c>
      <c r="AQ373" s="281">
        <f t="shared" si="149"/>
        <v>0</v>
      </c>
      <c r="AR373" s="284">
        <f t="shared" si="150"/>
        <v>0</v>
      </c>
      <c r="AS373" s="281">
        <f t="shared" si="151"/>
        <v>0</v>
      </c>
      <c r="AT373" s="284">
        <f t="shared" si="152"/>
        <v>0</v>
      </c>
    </row>
    <row r="374" spans="1:97" s="114" customFormat="1" ht="30.9" x14ac:dyDescent="0.8">
      <c r="A374" s="262">
        <f>ROW()</f>
        <v>374</v>
      </c>
      <c r="C374" s="208"/>
      <c r="D374" s="208"/>
      <c r="E374" s="208"/>
      <c r="F374" s="208"/>
      <c r="G374" s="208"/>
      <c r="H374" s="208"/>
      <c r="J374" s="114" t="str">
        <f t="shared" si="161"/>
        <v/>
      </c>
      <c r="K374" s="114" t="str">
        <f>IF(COUNTBLANK(R374)&gt;0,"",CONCATENATE(R374," for ",N356))</f>
        <v/>
      </c>
      <c r="N374" s="123" t="s">
        <v>130</v>
      </c>
      <c r="O374" s="66"/>
      <c r="P374" s="121"/>
      <c r="Q374" s="66"/>
      <c r="R374" s="121"/>
      <c r="S374" s="133">
        <f>M356</f>
        <v>0</v>
      </c>
      <c r="T374" s="120"/>
      <c r="U374" s="121" t="s">
        <v>292</v>
      </c>
      <c r="V374" s="133">
        <f t="shared" si="154"/>
        <v>0</v>
      </c>
      <c r="W374" s="133">
        <f>VLOOKUP(U374,Sheet1!$B$6:$C$45,2,FALSE)*V374</f>
        <v>0</v>
      </c>
      <c r="X374" s="141"/>
      <c r="Y374" s="121" t="s">
        <v>292</v>
      </c>
      <c r="Z374" s="146">
        <f>VLOOKUP(Takeoffs!Y374,Sheet1!$B$6:$C$124,2,FALSE)</f>
        <v>0</v>
      </c>
      <c r="AA374" s="146">
        <f t="shared" si="155"/>
        <v>0</v>
      </c>
      <c r="AB374" s="143">
        <f t="shared" si="156"/>
        <v>0</v>
      </c>
      <c r="AC374" s="133">
        <f t="shared" si="157"/>
        <v>0</v>
      </c>
      <c r="AD374" s="142">
        <v>1</v>
      </c>
      <c r="AE374" s="141"/>
      <c r="AF374" s="121" t="s">
        <v>292</v>
      </c>
      <c r="AG374" s="146">
        <f>VLOOKUP(Takeoffs!AF374,Sheet1!$B$6:$C$124,2,FALSE)</f>
        <v>0</v>
      </c>
      <c r="AH374" s="146">
        <f t="shared" si="158"/>
        <v>0</v>
      </c>
      <c r="AI374" s="143">
        <f t="shared" si="159"/>
        <v>0</v>
      </c>
      <c r="AJ374" s="133">
        <f t="shared" si="160"/>
        <v>0</v>
      </c>
      <c r="AK374" s="142">
        <f t="shared" si="163"/>
        <v>0</v>
      </c>
      <c r="AL374" s="141"/>
      <c r="AO374" s="286"/>
      <c r="AP374" s="284">
        <f t="shared" si="148"/>
        <v>0</v>
      </c>
      <c r="AQ374" s="281">
        <f t="shared" si="149"/>
        <v>0</v>
      </c>
      <c r="AR374" s="284">
        <f t="shared" si="150"/>
        <v>0</v>
      </c>
      <c r="AS374" s="281">
        <f t="shared" si="151"/>
        <v>0</v>
      </c>
      <c r="AT374" s="284">
        <f t="shared" si="152"/>
        <v>0</v>
      </c>
    </row>
    <row r="375" spans="1:97" s="114" customFormat="1" ht="30.9" x14ac:dyDescent="0.8">
      <c r="A375" s="262">
        <f>ROW()</f>
        <v>375</v>
      </c>
      <c r="C375" s="208"/>
      <c r="D375" s="208"/>
      <c r="E375" s="208"/>
      <c r="F375" s="208"/>
      <c r="G375" s="208"/>
      <c r="H375" s="208"/>
      <c r="J375" s="114" t="str">
        <f t="shared" si="161"/>
        <v/>
      </c>
      <c r="K375" s="114" t="str">
        <f>IF(COUNTBLANK(R375)&gt;0,"",CONCATENATE(R375," for ",N356))</f>
        <v/>
      </c>
      <c r="N375" s="123" t="s">
        <v>131</v>
      </c>
      <c r="O375" s="66" t="s">
        <v>407</v>
      </c>
      <c r="P375" s="121"/>
      <c r="Q375" s="66"/>
      <c r="R375" s="121"/>
      <c r="S375" s="133">
        <f>M356</f>
        <v>0</v>
      </c>
      <c r="T375" s="120"/>
      <c r="U375" s="121" t="s">
        <v>292</v>
      </c>
      <c r="V375" s="133">
        <f t="shared" si="154"/>
        <v>0</v>
      </c>
      <c r="W375" s="133">
        <f>VLOOKUP(U375,Sheet1!$B$6:$C$45,2,FALSE)*V375</f>
        <v>0</v>
      </c>
      <c r="X375" s="141"/>
      <c r="Y375" s="121" t="s">
        <v>274</v>
      </c>
      <c r="Z375" s="146">
        <f>VLOOKUP(Takeoffs!Y375,Sheet1!$B$6:$C$124,2,FALSE)</f>
        <v>360</v>
      </c>
      <c r="AA375" s="146">
        <f t="shared" si="155"/>
        <v>0</v>
      </c>
      <c r="AB375" s="143">
        <f t="shared" si="156"/>
        <v>0</v>
      </c>
      <c r="AC375" s="133">
        <f t="shared" si="157"/>
        <v>0</v>
      </c>
      <c r="AD375" s="142">
        <v>1</v>
      </c>
      <c r="AE375" s="141"/>
      <c r="AF375" s="121" t="s">
        <v>292</v>
      </c>
      <c r="AG375" s="146">
        <f>VLOOKUP(Takeoffs!AF375,Sheet1!$B$6:$C$124,2,FALSE)</f>
        <v>0</v>
      </c>
      <c r="AH375" s="146">
        <f t="shared" si="158"/>
        <v>0</v>
      </c>
      <c r="AI375" s="143">
        <f t="shared" si="159"/>
        <v>0</v>
      </c>
      <c r="AJ375" s="133">
        <f t="shared" si="160"/>
        <v>0</v>
      </c>
      <c r="AK375" s="142">
        <f t="shared" si="163"/>
        <v>0</v>
      </c>
      <c r="AL375" s="141"/>
      <c r="AO375" s="286"/>
      <c r="AP375" s="284">
        <f t="shared" si="148"/>
        <v>0</v>
      </c>
      <c r="AQ375" s="281">
        <f t="shared" si="149"/>
        <v>0</v>
      </c>
      <c r="AR375" s="284">
        <f t="shared" si="150"/>
        <v>0</v>
      </c>
      <c r="AS375" s="281">
        <f t="shared" si="151"/>
        <v>0</v>
      </c>
      <c r="AT375" s="284">
        <f t="shared" si="152"/>
        <v>0</v>
      </c>
    </row>
    <row r="376" spans="1:97" s="114" customFormat="1" ht="30.9" x14ac:dyDescent="0.8">
      <c r="A376" s="262">
        <f>ROW()</f>
        <v>376</v>
      </c>
      <c r="C376" s="208"/>
      <c r="D376" s="208"/>
      <c r="E376" s="208"/>
      <c r="F376" s="208"/>
      <c r="G376" s="208"/>
      <c r="H376" s="208"/>
      <c r="J376" s="114" t="str">
        <f t="shared" si="161"/>
        <v/>
      </c>
      <c r="K376" s="114" t="str">
        <f>IF(COUNTBLANK(R376)&gt;0,"",CONCATENATE(R376," for ",N356))</f>
        <v/>
      </c>
      <c r="N376" s="123" t="s">
        <v>132</v>
      </c>
      <c r="O376" s="66" t="s">
        <v>408</v>
      </c>
      <c r="P376" s="121"/>
      <c r="Q376" s="66"/>
      <c r="R376" s="121"/>
      <c r="S376" s="133">
        <f>M356</f>
        <v>0</v>
      </c>
      <c r="T376" s="120"/>
      <c r="U376" s="121" t="s">
        <v>362</v>
      </c>
      <c r="V376" s="133">
        <f t="shared" si="154"/>
        <v>0</v>
      </c>
      <c r="W376" s="133">
        <f>VLOOKUP(U376,Sheet1!$B$6:$C$45,2,FALSE)*V376</f>
        <v>0</v>
      </c>
      <c r="X376" s="141"/>
      <c r="Y376" s="121" t="s">
        <v>292</v>
      </c>
      <c r="Z376" s="146">
        <f>VLOOKUP(Takeoffs!Y376,Sheet1!$B$6:$C$124,2,FALSE)</f>
        <v>0</v>
      </c>
      <c r="AA376" s="146">
        <f t="shared" si="155"/>
        <v>0</v>
      </c>
      <c r="AB376" s="143">
        <f t="shared" si="156"/>
        <v>0</v>
      </c>
      <c r="AC376" s="133">
        <f t="shared" si="157"/>
        <v>0</v>
      </c>
      <c r="AD376" s="142">
        <v>1</v>
      </c>
      <c r="AE376" s="141"/>
      <c r="AF376" s="121" t="s">
        <v>292</v>
      </c>
      <c r="AG376" s="146">
        <f>VLOOKUP(Takeoffs!AF376,Sheet1!$B$6:$C$124,2,FALSE)</f>
        <v>0</v>
      </c>
      <c r="AH376" s="146">
        <f t="shared" si="158"/>
        <v>0</v>
      </c>
      <c r="AI376" s="143">
        <f t="shared" si="159"/>
        <v>0</v>
      </c>
      <c r="AJ376" s="133">
        <f t="shared" si="160"/>
        <v>0</v>
      </c>
      <c r="AK376" s="142">
        <f t="shared" si="163"/>
        <v>0</v>
      </c>
      <c r="AL376" s="141"/>
      <c r="AO376" s="286"/>
      <c r="AP376" s="284">
        <f t="shared" si="148"/>
        <v>0</v>
      </c>
      <c r="AQ376" s="281">
        <f t="shared" si="149"/>
        <v>0</v>
      </c>
      <c r="AR376" s="284">
        <f t="shared" si="150"/>
        <v>0</v>
      </c>
      <c r="AS376" s="281">
        <f t="shared" si="151"/>
        <v>0</v>
      </c>
      <c r="AT376" s="284">
        <f t="shared" si="152"/>
        <v>0</v>
      </c>
    </row>
    <row r="377" spans="1:97" s="128" customFormat="1" ht="31.5" customHeight="1" x14ac:dyDescent="0.8">
      <c r="A377" s="262">
        <f>ROW()</f>
        <v>377</v>
      </c>
      <c r="C377" s="212"/>
      <c r="D377" s="212"/>
      <c r="E377" s="212"/>
      <c r="F377" s="212"/>
      <c r="G377" s="212"/>
      <c r="H377" s="212"/>
      <c r="J377" s="128" t="s">
        <v>377</v>
      </c>
      <c r="L377" s="128" t="s">
        <v>378</v>
      </c>
      <c r="N377" s="129"/>
      <c r="O377" s="130" t="s">
        <v>357</v>
      </c>
      <c r="P377" s="131">
        <f>V377+AA377+AH377</f>
        <v>0</v>
      </c>
      <c r="Q377" s="131"/>
      <c r="R377" s="131"/>
      <c r="S377" s="130"/>
      <c r="T377" s="127"/>
      <c r="U377" s="126" t="s">
        <v>351</v>
      </c>
      <c r="V377" s="127">
        <f>W377*80</f>
        <v>0</v>
      </c>
      <c r="W377" s="147">
        <f>SUM(W356:W376)</f>
        <v>0</v>
      </c>
      <c r="X377" s="148"/>
      <c r="Y377" s="127" t="s">
        <v>352</v>
      </c>
      <c r="Z377" s="116"/>
      <c r="AA377" s="116">
        <f>SUM(AA356:AA376)</f>
        <v>0</v>
      </c>
      <c r="AB377" s="149"/>
      <c r="AC377" s="149"/>
      <c r="AD377" s="149"/>
      <c r="AE377" s="149"/>
      <c r="AF377" s="127" t="s">
        <v>356</v>
      </c>
      <c r="AG377" s="116"/>
      <c r="AH377" s="116">
        <f>SUM(AH356:AH376)</f>
        <v>0</v>
      </c>
      <c r="AI377" s="149"/>
      <c r="AJ377" s="149"/>
      <c r="AK377" s="149"/>
      <c r="AL377" s="149"/>
      <c r="AM377" s="150">
        <f>P377</f>
        <v>0</v>
      </c>
      <c r="AO377" s="286"/>
      <c r="AP377" s="284">
        <f t="shared" si="148"/>
        <v>0</v>
      </c>
      <c r="AQ377" s="281">
        <f t="shared" si="149"/>
        <v>0</v>
      </c>
      <c r="AR377" s="284">
        <f t="shared" si="150"/>
        <v>0</v>
      </c>
      <c r="AS377" s="281">
        <f t="shared" si="151"/>
        <v>0</v>
      </c>
      <c r="AT377" s="284">
        <f t="shared" si="152"/>
        <v>0</v>
      </c>
    </row>
    <row r="378" spans="1:97" s="234" customFormat="1" ht="185.15" x14ac:dyDescent="0.8">
      <c r="A378" s="262">
        <f>ROW()</f>
        <v>378</v>
      </c>
      <c r="B378" s="234" t="s">
        <v>491</v>
      </c>
      <c r="C378" s="217" t="str">
        <f>N356</f>
        <v>Proprietary DOL fan with interlock with Proprietary controller- from MSSB power supply</v>
      </c>
      <c r="D378" s="260" t="str">
        <f>IF(B378="Shopping List",IF(ISNUMBER(SEARCH("MSSB",C378)),"MSSB",IF(ISNUMBER(SEARCH("local",C378)),"LOCAL","")))</f>
        <v>MSSB</v>
      </c>
      <c r="E378" s="238"/>
      <c r="F378" s="217"/>
      <c r="G378" s="217"/>
      <c r="H378" s="245"/>
      <c r="I378" s="270"/>
      <c r="J378" s="241" t="str">
        <f>CONCATENATE(O356," ",L356, " (",M356,") ",N356,".", IF(M356&gt;1," Each "," This "),"includes supply and install of ",O357,O358,O359,O360,O361,O362,O363,O364,O365,O366,O367,O368,O369,O370,O371,O372,O373,O374,O375,O376,J357,J358,J359,J360,J361,J362,J363,J364,J365,J366,J367,J368,J369,J370,J371,J372,J373,J374,J375,J376)</f>
        <v>Electrical power supply and controls to Zero (0) Proprietary DOL fan with interlock with Proprietary controller- from MSSB power supply. This includes supply and install of power and controls. Power for system includes: CB and cabling to fan from MSSB, and local isolator. Controls for system includes: installation only of Proprietary controllercontrols cabling, contactors/relays, interlock with associated system, run and fault lights, Auto/Off/On switch, trefolyte labelling, and commissioning/testing. Coordination Note: -  Proprietary system supplier: Please refer to our exclusions relating to  Proprietary controller</v>
      </c>
      <c r="K378" s="246">
        <f>P377</f>
        <v>0</v>
      </c>
      <c r="L378" s="235" t="str">
        <f>CONCATENATE(Q357,Q358,Q359,Q360,Q361,Q362,Q363,Q364,Q365,Q366,Q367,Q368,Q369,Q370,Q371,Q372,Q373,Q374,Q375,Q376,)</f>
        <v xml:space="preserve"> Proprietary controller</v>
      </c>
      <c r="M378" s="166" t="s">
        <v>367</v>
      </c>
      <c r="N378" s="160" t="str">
        <f>N356</f>
        <v>Proprietary DOL fan with interlock with Proprietary controller- from MSSB power supply</v>
      </c>
      <c r="O378" s="160" t="s">
        <v>365</v>
      </c>
      <c r="P378" s="82" t="e">
        <f>P377/M356</f>
        <v>#DIV/0!</v>
      </c>
      <c r="Q378" s="161"/>
      <c r="R378" s="161"/>
      <c r="S378" s="160"/>
      <c r="T378" s="161"/>
      <c r="U378" s="503" t="s">
        <v>366</v>
      </c>
      <c r="V378" s="503"/>
      <c r="W378" s="162" t="e">
        <f>W377/M356</f>
        <v>#DIV/0!</v>
      </c>
      <c r="X378" s="163"/>
      <c r="Y378" s="501" t="s">
        <v>365</v>
      </c>
      <c r="Z378" s="501"/>
      <c r="AA378" s="164" t="e">
        <f>AA377/M356</f>
        <v>#DIV/0!</v>
      </c>
      <c r="AB378" s="161"/>
      <c r="AC378" s="161"/>
      <c r="AD378" s="161"/>
      <c r="AE378" s="161"/>
      <c r="AF378" s="501" t="s">
        <v>365</v>
      </c>
      <c r="AG378" s="501"/>
      <c r="AH378" s="164" t="e">
        <f>AH377/M356</f>
        <v>#DIV/0!</v>
      </c>
      <c r="AI378" s="161"/>
      <c r="AJ378" s="161"/>
      <c r="AK378" s="161"/>
      <c r="AL378" s="247"/>
      <c r="AM378" s="257"/>
      <c r="AN378" s="230">
        <f>K378*1.25</f>
        <v>0</v>
      </c>
      <c r="AO378" s="286"/>
      <c r="AP378" s="284">
        <f t="shared" si="148"/>
        <v>0</v>
      </c>
      <c r="AQ378" s="281">
        <f t="shared" si="149"/>
        <v>0</v>
      </c>
      <c r="AR378" s="284">
        <f t="shared" si="150"/>
        <v>0</v>
      </c>
      <c r="AS378" s="281">
        <f t="shared" si="151"/>
        <v>0</v>
      </c>
      <c r="AT378" s="284">
        <f t="shared" si="152"/>
        <v>0</v>
      </c>
      <c r="AU378" s="117"/>
      <c r="AV378" s="117"/>
      <c r="AW378" s="117"/>
      <c r="AX378" s="117"/>
      <c r="AY378" s="117"/>
      <c r="AZ378" s="117"/>
      <c r="BA378" s="117"/>
      <c r="BB378" s="117"/>
      <c r="BC378" s="117"/>
      <c r="BD378" s="117"/>
      <c r="BE378" s="117"/>
      <c r="BF378" s="117"/>
      <c r="BG378" s="117"/>
      <c r="BH378" s="117"/>
      <c r="BI378" s="117"/>
      <c r="BJ378" s="117"/>
      <c r="BK378" s="117"/>
      <c r="BL378" s="117"/>
      <c r="BM378" s="117"/>
      <c r="BN378" s="117"/>
      <c r="BO378" s="117"/>
      <c r="BP378" s="117"/>
      <c r="BQ378" s="117"/>
      <c r="BR378" s="117"/>
      <c r="BS378" s="117"/>
      <c r="BT378" s="117"/>
      <c r="BU378" s="117"/>
      <c r="BV378" s="117"/>
      <c r="BW378" s="117"/>
      <c r="BX378" s="117"/>
      <c r="BY378" s="117"/>
      <c r="BZ378" s="117"/>
      <c r="CA378" s="117"/>
      <c r="CB378" s="117"/>
      <c r="CC378" s="117"/>
      <c r="CD378" s="117"/>
      <c r="CE378" s="117"/>
      <c r="CF378" s="117"/>
      <c r="CG378" s="117"/>
      <c r="CH378" s="117"/>
      <c r="CI378" s="117"/>
      <c r="CJ378" s="117"/>
      <c r="CK378" s="117"/>
      <c r="CL378" s="117"/>
      <c r="CM378" s="117"/>
      <c r="CN378" s="117"/>
      <c r="CO378" s="117"/>
      <c r="CP378" s="117"/>
      <c r="CQ378" s="117"/>
      <c r="CR378" s="117"/>
      <c r="CS378" s="117"/>
    </row>
    <row r="379" spans="1:97" s="116" customFormat="1" ht="192.75" customHeight="1" x14ac:dyDescent="0.8">
      <c r="A379" s="262">
        <f>ROW()</f>
        <v>379</v>
      </c>
      <c r="C379" s="211"/>
      <c r="D379" s="211"/>
      <c r="E379" s="211"/>
      <c r="F379" s="211"/>
      <c r="G379" s="211"/>
      <c r="H379" s="211"/>
      <c r="K379" s="116" t="s">
        <v>452</v>
      </c>
      <c r="M379" s="116" t="s">
        <v>107</v>
      </c>
      <c r="N379" s="116" t="s">
        <v>108</v>
      </c>
      <c r="O379" s="170" t="s">
        <v>386</v>
      </c>
      <c r="P379" s="502" t="s">
        <v>375</v>
      </c>
      <c r="Q379" s="502"/>
      <c r="R379" s="101" t="s">
        <v>452</v>
      </c>
      <c r="S379" s="116" t="s">
        <v>0</v>
      </c>
      <c r="T379" s="118"/>
      <c r="U379" s="116" t="s">
        <v>287</v>
      </c>
      <c r="V379" s="116" t="s">
        <v>288</v>
      </c>
      <c r="W379" s="116" t="s">
        <v>291</v>
      </c>
      <c r="X379" s="140"/>
      <c r="Y379" s="116" t="s">
        <v>289</v>
      </c>
      <c r="Z379" s="116" t="s">
        <v>354</v>
      </c>
      <c r="AA379" s="116" t="s">
        <v>355</v>
      </c>
      <c r="AB379" s="116" t="s">
        <v>317</v>
      </c>
      <c r="AC379" s="116" t="s">
        <v>318</v>
      </c>
      <c r="AD379" s="116" t="s">
        <v>316</v>
      </c>
      <c r="AE379" s="140"/>
      <c r="AF379" s="116" t="s">
        <v>293</v>
      </c>
      <c r="AG379" s="116" t="s">
        <v>354</v>
      </c>
      <c r="AH379" s="116" t="s">
        <v>355</v>
      </c>
      <c r="AI379" s="116" t="s">
        <v>296</v>
      </c>
      <c r="AJ379" s="116" t="s">
        <v>294</v>
      </c>
      <c r="AK379" s="116" t="s">
        <v>295</v>
      </c>
      <c r="AL379" s="140"/>
      <c r="AO379" s="288"/>
      <c r="AP379" s="284">
        <f t="shared" si="148"/>
        <v>0</v>
      </c>
      <c r="AQ379" s="281">
        <f t="shared" si="149"/>
        <v>0</v>
      </c>
      <c r="AR379" s="284">
        <f t="shared" si="150"/>
        <v>0</v>
      </c>
      <c r="AS379" s="281">
        <f t="shared" si="151"/>
        <v>0</v>
      </c>
      <c r="AT379" s="284">
        <f t="shared" si="152"/>
        <v>0</v>
      </c>
    </row>
    <row r="380" spans="1:97" s="114" customFormat="1" ht="40.5" customHeight="1" x14ac:dyDescent="0.8">
      <c r="A380" s="262">
        <f>ROW()</f>
        <v>380</v>
      </c>
      <c r="C380" s="208"/>
      <c r="D380" s="208"/>
      <c r="E380" s="208"/>
      <c r="F380" s="208"/>
      <c r="G380" s="208"/>
      <c r="H380" s="208"/>
      <c r="L380" s="124" t="str">
        <f>VLOOKUP(M380,Sheet2!$D$2:$E$1024,2,FALSE)</f>
        <v>Zero</v>
      </c>
      <c r="M380" s="121">
        <f>I402</f>
        <v>0</v>
      </c>
      <c r="N380" s="132" t="s">
        <v>684</v>
      </c>
      <c r="O380" s="121" t="s">
        <v>347</v>
      </c>
      <c r="P380" s="169" t="s">
        <v>379</v>
      </c>
      <c r="Q380" s="169" t="s">
        <v>375</v>
      </c>
      <c r="R380" s="169"/>
      <c r="S380" s="133">
        <f>M380</f>
        <v>0</v>
      </c>
      <c r="T380" s="119"/>
      <c r="U380" s="121" t="s">
        <v>292</v>
      </c>
      <c r="V380" s="133">
        <f>S380</f>
        <v>0</v>
      </c>
      <c r="W380" s="133">
        <f>VLOOKUP(U380,Sheet1!$B$6:$C$45,2,FALSE)*V380</f>
        <v>0</v>
      </c>
      <c r="X380" s="141"/>
      <c r="Y380" s="121" t="s">
        <v>292</v>
      </c>
      <c r="Z380" s="146">
        <f>VLOOKUP(Takeoffs!Y380,Sheet1!$B$6:$C$124,2,FALSE)</f>
        <v>0</v>
      </c>
      <c r="AA380" s="146">
        <f>Z380*AB380</f>
        <v>0</v>
      </c>
      <c r="AB380" s="143">
        <f>AD380*AC380</f>
        <v>0</v>
      </c>
      <c r="AC380" s="133">
        <f>S380</f>
        <v>0</v>
      </c>
      <c r="AD380" s="142">
        <v>1</v>
      </c>
      <c r="AE380" s="141"/>
      <c r="AF380" s="121" t="s">
        <v>292</v>
      </c>
      <c r="AG380" s="146">
        <f>VLOOKUP(Takeoffs!AF380,Sheet1!$B$6:$C$124,2,FALSE)</f>
        <v>0</v>
      </c>
      <c r="AH380" s="146">
        <f>AG380*AI380</f>
        <v>0</v>
      </c>
      <c r="AI380" s="143">
        <f>AK380*AJ380</f>
        <v>0</v>
      </c>
      <c r="AJ380" s="133">
        <f>S380</f>
        <v>0</v>
      </c>
      <c r="AK380" s="142">
        <f>T380</f>
        <v>0</v>
      </c>
      <c r="AL380" s="141"/>
      <c r="AO380" s="286"/>
      <c r="AP380" s="284">
        <f t="shared" si="148"/>
        <v>0</v>
      </c>
      <c r="AQ380" s="281">
        <f t="shared" si="149"/>
        <v>0</v>
      </c>
      <c r="AR380" s="284">
        <f t="shared" si="150"/>
        <v>0</v>
      </c>
      <c r="AS380" s="281">
        <f t="shared" si="151"/>
        <v>0</v>
      </c>
      <c r="AT380" s="284">
        <f t="shared" si="152"/>
        <v>0</v>
      </c>
    </row>
    <row r="381" spans="1:97" s="114" customFormat="1" ht="30.9" x14ac:dyDescent="0.8">
      <c r="A381" s="262">
        <f>ROW()</f>
        <v>381</v>
      </c>
      <c r="C381" s="208"/>
      <c r="D381" s="208"/>
      <c r="E381" s="208"/>
      <c r="F381" s="208"/>
      <c r="G381" s="208"/>
      <c r="H381" s="208"/>
      <c r="J381" s="114" t="str">
        <f>IF(COUNTBLANK(Q381)&gt;0,"",CONCATENATE("Coordination Note: - ",P381,": Please refer to our exclusions relating to ",Q381))</f>
        <v/>
      </c>
      <c r="K381" s="114" t="str">
        <f>IF(COUNTBLANK(R381)&gt;0,"",CONCATENATE(R381," for ",N380))</f>
        <v/>
      </c>
      <c r="M381" s="117"/>
      <c r="N381" s="123" t="s">
        <v>113</v>
      </c>
      <c r="O381" s="66" t="s">
        <v>340</v>
      </c>
      <c r="P381" s="121"/>
      <c r="Q381" s="66"/>
      <c r="R381" s="121"/>
      <c r="S381" s="133">
        <f>M380</f>
        <v>0</v>
      </c>
      <c r="T381" s="120"/>
      <c r="U381" s="121" t="s">
        <v>233</v>
      </c>
      <c r="V381" s="133">
        <f t="shared" ref="V381:V400" si="164">S381</f>
        <v>0</v>
      </c>
      <c r="W381" s="133">
        <f>VLOOKUP(U381,Sheet1!$B$6:$C$45,2,FALSE)*V381</f>
        <v>0</v>
      </c>
      <c r="X381" s="141"/>
      <c r="Y381" s="121" t="s">
        <v>292</v>
      </c>
      <c r="Z381" s="146">
        <f>VLOOKUP(Takeoffs!Y381,Sheet1!$B$6:$C$124,2,FALSE)</f>
        <v>0</v>
      </c>
      <c r="AA381" s="146">
        <f t="shared" ref="AA381:AA400" si="165">Z381*AB381</f>
        <v>0</v>
      </c>
      <c r="AB381" s="143">
        <f t="shared" ref="AB381:AB400" si="166">AD381*AC381</f>
        <v>0</v>
      </c>
      <c r="AC381" s="133">
        <f t="shared" ref="AC381:AC400" si="167">S381</f>
        <v>0</v>
      </c>
      <c r="AD381" s="142">
        <v>1</v>
      </c>
      <c r="AE381" s="141"/>
      <c r="AF381" s="121" t="s">
        <v>292</v>
      </c>
      <c r="AG381" s="146">
        <f>VLOOKUP(Takeoffs!AF381,Sheet1!$B$6:$C$124,2,FALSE)</f>
        <v>0</v>
      </c>
      <c r="AH381" s="146">
        <f t="shared" ref="AH381:AH400" si="168">AG381*AI381</f>
        <v>0</v>
      </c>
      <c r="AI381" s="143">
        <f t="shared" ref="AI381:AI400" si="169">AK381*AJ381</f>
        <v>0</v>
      </c>
      <c r="AJ381" s="133">
        <f t="shared" ref="AJ381:AJ400" si="170">S381</f>
        <v>0</v>
      </c>
      <c r="AK381" s="142">
        <f>T381</f>
        <v>0</v>
      </c>
      <c r="AL381" s="141"/>
      <c r="AO381" s="286"/>
      <c r="AP381" s="284">
        <f t="shared" si="148"/>
        <v>0</v>
      </c>
      <c r="AQ381" s="281">
        <f t="shared" si="149"/>
        <v>0</v>
      </c>
      <c r="AR381" s="284">
        <f t="shared" si="150"/>
        <v>0</v>
      </c>
      <c r="AS381" s="281">
        <f t="shared" si="151"/>
        <v>0</v>
      </c>
      <c r="AT381" s="284">
        <f t="shared" si="152"/>
        <v>0</v>
      </c>
    </row>
    <row r="382" spans="1:97" s="114" customFormat="1" ht="30.9" x14ac:dyDescent="0.8">
      <c r="A382" s="262">
        <f>ROW()</f>
        <v>382</v>
      </c>
      <c r="C382" s="208"/>
      <c r="D382" s="208"/>
      <c r="E382" s="208"/>
      <c r="F382" s="208"/>
      <c r="G382" s="208"/>
      <c r="H382" s="208"/>
      <c r="J382" s="114" t="str">
        <f t="shared" ref="J382:J400" si="171">IF(COUNTBLANK(Q382)&gt;0,"",CONCATENATE("Coordination Note: - ",P382,": Please refer to our exclusions relating to ",Q382))</f>
        <v/>
      </c>
      <c r="K382" s="114" t="str">
        <f>IF(COUNTBLANK(R382)&gt;0,"",CONCATENATE(R382," for ",N380))</f>
        <v/>
      </c>
      <c r="M382" s="117"/>
      <c r="N382" s="123" t="s">
        <v>114</v>
      </c>
      <c r="O382" s="66" t="s">
        <v>590</v>
      </c>
      <c r="P382" s="121"/>
      <c r="Q382" s="66"/>
      <c r="R382" s="121"/>
      <c r="S382" s="133">
        <f>M380</f>
        <v>0</v>
      </c>
      <c r="T382" s="120"/>
      <c r="U382" s="117" t="s">
        <v>478</v>
      </c>
      <c r="V382" s="133">
        <f t="shared" si="164"/>
        <v>0</v>
      </c>
      <c r="W382" s="133">
        <f>VLOOKUP(U382,Sheet1!$B$6:$C$45,2,FALSE)*V382</f>
        <v>0</v>
      </c>
      <c r="X382" s="141"/>
      <c r="Y382" s="52" t="s">
        <v>253</v>
      </c>
      <c r="Z382" s="146">
        <f>VLOOKUP(Takeoffs!Y382,Sheet1!$B$6:$C$124,2,FALSE)</f>
        <v>10.139999999999999</v>
      </c>
      <c r="AA382" s="146">
        <f t="shared" si="165"/>
        <v>0</v>
      </c>
      <c r="AB382" s="143">
        <f t="shared" si="166"/>
        <v>0</v>
      </c>
      <c r="AC382" s="133">
        <f t="shared" si="167"/>
        <v>0</v>
      </c>
      <c r="AD382" s="142">
        <v>1</v>
      </c>
      <c r="AE382" s="141"/>
      <c r="AF382" s="122" t="s">
        <v>268</v>
      </c>
      <c r="AG382" s="146">
        <f>VLOOKUP(Takeoffs!AF382,Sheet1!$B$6:$C$124,2,FALSE)</f>
        <v>1.02</v>
      </c>
      <c r="AH382" s="146">
        <f t="shared" si="168"/>
        <v>0</v>
      </c>
      <c r="AI382" s="143">
        <f t="shared" si="169"/>
        <v>0</v>
      </c>
      <c r="AJ382" s="133">
        <f t="shared" si="170"/>
        <v>0</v>
      </c>
      <c r="AK382" s="142">
        <v>5</v>
      </c>
      <c r="AL382" s="141"/>
      <c r="AO382" s="286"/>
      <c r="AP382" s="284">
        <f t="shared" si="148"/>
        <v>0</v>
      </c>
      <c r="AQ382" s="281">
        <f t="shared" si="149"/>
        <v>0</v>
      </c>
      <c r="AR382" s="284">
        <f t="shared" si="150"/>
        <v>0</v>
      </c>
      <c r="AS382" s="281">
        <f t="shared" si="151"/>
        <v>0</v>
      </c>
      <c r="AT382" s="284">
        <f t="shared" si="152"/>
        <v>0</v>
      </c>
    </row>
    <row r="383" spans="1:97" s="114" customFormat="1" ht="30.9" x14ac:dyDescent="0.8">
      <c r="A383" s="262">
        <f>ROW()</f>
        <v>383</v>
      </c>
      <c r="C383" s="208"/>
      <c r="D383" s="208"/>
      <c r="E383" s="208"/>
      <c r="F383" s="208"/>
      <c r="G383" s="208"/>
      <c r="H383" s="208"/>
      <c r="J383" s="114" t="str">
        <f t="shared" si="171"/>
        <v/>
      </c>
      <c r="K383" s="114" t="str">
        <f>IF(COUNTBLANK(R383)&gt;0,"",CONCATENATE(R383," for ",N380))</f>
        <v/>
      </c>
      <c r="M383" s="117"/>
      <c r="N383" s="123" t="s">
        <v>115</v>
      </c>
      <c r="O383" s="66" t="s">
        <v>406</v>
      </c>
      <c r="P383" s="121"/>
      <c r="Q383" s="66"/>
      <c r="R383" s="121"/>
      <c r="S383" s="133">
        <f>M380</f>
        <v>0</v>
      </c>
      <c r="T383" s="120"/>
      <c r="U383" s="121" t="s">
        <v>292</v>
      </c>
      <c r="V383" s="133">
        <f t="shared" si="164"/>
        <v>0</v>
      </c>
      <c r="W383" s="133">
        <f>VLOOKUP(U383,Sheet1!$B$6:$C$45,2,FALSE)*V383</f>
        <v>0</v>
      </c>
      <c r="X383" s="141"/>
      <c r="Y383" s="122" t="s">
        <v>247</v>
      </c>
      <c r="Z383" s="146">
        <f>VLOOKUP(Takeoffs!Y383,Sheet1!$B$6:$C$124,2,FALSE)</f>
        <v>23.76</v>
      </c>
      <c r="AA383" s="146">
        <f t="shared" si="165"/>
        <v>0</v>
      </c>
      <c r="AB383" s="143">
        <f t="shared" si="166"/>
        <v>0</v>
      </c>
      <c r="AC383" s="133">
        <f t="shared" si="167"/>
        <v>0</v>
      </c>
      <c r="AD383" s="142">
        <v>1</v>
      </c>
      <c r="AE383" s="141"/>
      <c r="AF383" s="121" t="s">
        <v>292</v>
      </c>
      <c r="AG383" s="146">
        <f>VLOOKUP(Takeoffs!AF383,Sheet1!$B$6:$C$124,2,FALSE)</f>
        <v>0</v>
      </c>
      <c r="AH383" s="146">
        <f t="shared" si="168"/>
        <v>0</v>
      </c>
      <c r="AI383" s="143">
        <f t="shared" si="169"/>
        <v>0</v>
      </c>
      <c r="AJ383" s="133">
        <f t="shared" si="170"/>
        <v>0</v>
      </c>
      <c r="AK383" s="142">
        <f t="shared" ref="AK383:AK389" si="172">T383</f>
        <v>0</v>
      </c>
      <c r="AL383" s="141"/>
      <c r="AO383" s="286"/>
      <c r="AP383" s="284">
        <f t="shared" si="148"/>
        <v>0</v>
      </c>
      <c r="AQ383" s="281">
        <f t="shared" si="149"/>
        <v>0</v>
      </c>
      <c r="AR383" s="284">
        <f t="shared" si="150"/>
        <v>0</v>
      </c>
      <c r="AS383" s="281">
        <f t="shared" si="151"/>
        <v>0</v>
      </c>
      <c r="AT383" s="284">
        <f t="shared" si="152"/>
        <v>0</v>
      </c>
    </row>
    <row r="384" spans="1:97" s="114" customFormat="1" ht="30.9" x14ac:dyDescent="0.8">
      <c r="A384" s="262">
        <f>ROW()</f>
        <v>384</v>
      </c>
      <c r="C384" s="208"/>
      <c r="D384" s="208"/>
      <c r="E384" s="208"/>
      <c r="F384" s="208"/>
      <c r="G384" s="208"/>
      <c r="H384" s="208"/>
      <c r="J384" s="114" t="str">
        <f t="shared" si="171"/>
        <v/>
      </c>
      <c r="K384" s="114" t="str">
        <f>IF(COUNTBLANK(R384)&gt;0,"",CONCATENATE(R384," for ",N380))</f>
        <v/>
      </c>
      <c r="M384" s="117"/>
      <c r="N384" s="123" t="s">
        <v>116</v>
      </c>
      <c r="O384" s="66"/>
      <c r="P384" s="121"/>
      <c r="Q384" s="66"/>
      <c r="R384" s="121"/>
      <c r="S384" s="133">
        <f>M380</f>
        <v>0</v>
      </c>
      <c r="T384" s="120"/>
      <c r="U384" s="121" t="s">
        <v>292</v>
      </c>
      <c r="V384" s="133">
        <f t="shared" si="164"/>
        <v>0</v>
      </c>
      <c r="W384" s="133">
        <f>VLOOKUP(U384,Sheet1!$B$6:$C$45,2,FALSE)*V384</f>
        <v>0</v>
      </c>
      <c r="X384" s="141"/>
      <c r="Y384" s="121" t="s">
        <v>292</v>
      </c>
      <c r="Z384" s="146">
        <f>VLOOKUP(Takeoffs!Y384,Sheet1!$B$6:$C$124,2,FALSE)</f>
        <v>0</v>
      </c>
      <c r="AA384" s="146">
        <f t="shared" si="165"/>
        <v>0</v>
      </c>
      <c r="AB384" s="143">
        <f t="shared" si="166"/>
        <v>0</v>
      </c>
      <c r="AC384" s="133">
        <f t="shared" si="167"/>
        <v>0</v>
      </c>
      <c r="AD384" s="142">
        <v>1</v>
      </c>
      <c r="AE384" s="141"/>
      <c r="AF384" s="121" t="s">
        <v>292</v>
      </c>
      <c r="AG384" s="146">
        <f>VLOOKUP(Takeoffs!AF384,Sheet1!$B$6:$C$124,2,FALSE)</f>
        <v>0</v>
      </c>
      <c r="AH384" s="146">
        <f t="shared" si="168"/>
        <v>0</v>
      </c>
      <c r="AI384" s="143">
        <f t="shared" si="169"/>
        <v>0</v>
      </c>
      <c r="AJ384" s="133">
        <f t="shared" si="170"/>
        <v>0</v>
      </c>
      <c r="AK384" s="142">
        <f t="shared" si="172"/>
        <v>0</v>
      </c>
      <c r="AL384" s="141"/>
      <c r="AO384" s="286"/>
      <c r="AP384" s="284">
        <f t="shared" si="148"/>
        <v>0</v>
      </c>
      <c r="AQ384" s="281">
        <f t="shared" si="149"/>
        <v>0</v>
      </c>
      <c r="AR384" s="284">
        <f t="shared" si="150"/>
        <v>0</v>
      </c>
      <c r="AS384" s="281">
        <f t="shared" si="151"/>
        <v>0</v>
      </c>
      <c r="AT384" s="284">
        <f t="shared" si="152"/>
        <v>0</v>
      </c>
    </row>
    <row r="385" spans="1:46" s="114" customFormat="1" ht="30.9" x14ac:dyDescent="0.8">
      <c r="A385" s="262">
        <f>ROW()</f>
        <v>385</v>
      </c>
      <c r="C385" s="208"/>
      <c r="D385" s="208"/>
      <c r="E385" s="208"/>
      <c r="F385" s="208"/>
      <c r="G385" s="208"/>
      <c r="H385" s="208"/>
      <c r="J385" s="114" t="str">
        <f t="shared" si="171"/>
        <v/>
      </c>
      <c r="K385" s="114" t="str">
        <f>IF(COUNTBLANK(R385)&gt;0,"",CONCATENATE(R385," for ",N380))</f>
        <v/>
      </c>
      <c r="M385" s="117"/>
      <c r="N385" s="123" t="s">
        <v>117</v>
      </c>
      <c r="O385" s="66"/>
      <c r="P385" s="121"/>
      <c r="Q385" s="66"/>
      <c r="R385" s="121"/>
      <c r="S385" s="133">
        <f>M380</f>
        <v>0</v>
      </c>
      <c r="T385" s="120"/>
      <c r="U385" s="121" t="s">
        <v>292</v>
      </c>
      <c r="V385" s="133">
        <f t="shared" si="164"/>
        <v>0</v>
      </c>
      <c r="W385" s="133">
        <f>VLOOKUP(U385,Sheet1!$B$6:$C$45,2,FALSE)*V385</f>
        <v>0</v>
      </c>
      <c r="X385" s="141"/>
      <c r="Y385" s="121" t="s">
        <v>292</v>
      </c>
      <c r="Z385" s="146">
        <f>VLOOKUP(Takeoffs!Y385,Sheet1!$B$6:$C$124,2,FALSE)</f>
        <v>0</v>
      </c>
      <c r="AA385" s="146">
        <f t="shared" si="165"/>
        <v>0</v>
      </c>
      <c r="AB385" s="143">
        <f t="shared" si="166"/>
        <v>0</v>
      </c>
      <c r="AC385" s="133">
        <f t="shared" si="167"/>
        <v>0</v>
      </c>
      <c r="AD385" s="142">
        <v>1</v>
      </c>
      <c r="AE385" s="141"/>
      <c r="AF385" s="121" t="s">
        <v>292</v>
      </c>
      <c r="AG385" s="146">
        <f>VLOOKUP(Takeoffs!AF385,Sheet1!$B$6:$C$124,2,FALSE)</f>
        <v>0</v>
      </c>
      <c r="AH385" s="146">
        <f t="shared" si="168"/>
        <v>0</v>
      </c>
      <c r="AI385" s="143">
        <f t="shared" si="169"/>
        <v>0</v>
      </c>
      <c r="AJ385" s="133">
        <f t="shared" si="170"/>
        <v>0</v>
      </c>
      <c r="AK385" s="142">
        <f t="shared" si="172"/>
        <v>0</v>
      </c>
      <c r="AL385" s="141"/>
      <c r="AO385" s="286"/>
      <c r="AP385" s="284">
        <f t="shared" si="148"/>
        <v>0</v>
      </c>
      <c r="AQ385" s="281">
        <f t="shared" si="149"/>
        <v>0</v>
      </c>
      <c r="AR385" s="284">
        <f t="shared" si="150"/>
        <v>0</v>
      </c>
      <c r="AS385" s="281">
        <f t="shared" si="151"/>
        <v>0</v>
      </c>
      <c r="AT385" s="284">
        <f t="shared" si="152"/>
        <v>0</v>
      </c>
    </row>
    <row r="386" spans="1:46" s="114" customFormat="1" ht="30.9" x14ac:dyDescent="0.8">
      <c r="A386" s="262">
        <f>ROW()</f>
        <v>386</v>
      </c>
      <c r="C386" s="208"/>
      <c r="D386" s="208"/>
      <c r="E386" s="208"/>
      <c r="F386" s="208"/>
      <c r="G386" s="208"/>
      <c r="H386" s="208"/>
      <c r="J386" s="114" t="str">
        <f t="shared" si="171"/>
        <v/>
      </c>
      <c r="K386" s="114" t="str">
        <f>IF(COUNTBLANK(R386)&gt;0,"",CONCATENATE(R386," for ",N380))</f>
        <v/>
      </c>
      <c r="M386" s="117"/>
      <c r="N386" s="123" t="s">
        <v>118</v>
      </c>
      <c r="O386" s="66"/>
      <c r="P386" s="121"/>
      <c r="Q386" s="66"/>
      <c r="R386" s="121"/>
      <c r="S386" s="133">
        <f>M380</f>
        <v>0</v>
      </c>
      <c r="T386" s="120"/>
      <c r="U386" s="121" t="s">
        <v>292</v>
      </c>
      <c r="V386" s="133">
        <f t="shared" si="164"/>
        <v>0</v>
      </c>
      <c r="W386" s="133">
        <f>VLOOKUP(U386,Sheet1!$B$6:$C$45,2,FALSE)*V386</f>
        <v>0</v>
      </c>
      <c r="X386" s="141"/>
      <c r="Y386" s="121" t="s">
        <v>292</v>
      </c>
      <c r="Z386" s="146">
        <f>VLOOKUP(Takeoffs!Y386,Sheet1!$B$6:$C$124,2,FALSE)</f>
        <v>0</v>
      </c>
      <c r="AA386" s="146">
        <f t="shared" si="165"/>
        <v>0</v>
      </c>
      <c r="AB386" s="143">
        <f t="shared" si="166"/>
        <v>0</v>
      </c>
      <c r="AC386" s="133">
        <f t="shared" si="167"/>
        <v>0</v>
      </c>
      <c r="AD386" s="142">
        <v>1</v>
      </c>
      <c r="AE386" s="141"/>
      <c r="AF386" s="121" t="s">
        <v>292</v>
      </c>
      <c r="AG386" s="146">
        <f>VLOOKUP(Takeoffs!AF386,Sheet1!$B$6:$C$124,2,FALSE)</f>
        <v>0</v>
      </c>
      <c r="AH386" s="146">
        <f t="shared" si="168"/>
        <v>0</v>
      </c>
      <c r="AI386" s="143">
        <f t="shared" si="169"/>
        <v>0</v>
      </c>
      <c r="AJ386" s="133">
        <f t="shared" si="170"/>
        <v>0</v>
      </c>
      <c r="AK386" s="142">
        <f t="shared" si="172"/>
        <v>0</v>
      </c>
      <c r="AL386" s="141"/>
      <c r="AO386" s="286"/>
      <c r="AP386" s="284">
        <f t="shared" si="148"/>
        <v>0</v>
      </c>
      <c r="AQ386" s="281">
        <f t="shared" si="149"/>
        <v>0</v>
      </c>
      <c r="AR386" s="284">
        <f t="shared" si="150"/>
        <v>0</v>
      </c>
      <c r="AS386" s="281">
        <f t="shared" si="151"/>
        <v>0</v>
      </c>
      <c r="AT386" s="284">
        <f t="shared" si="152"/>
        <v>0</v>
      </c>
    </row>
    <row r="387" spans="1:46" s="114" customFormat="1" ht="30.9" x14ac:dyDescent="0.8">
      <c r="A387" s="262">
        <f>ROW()</f>
        <v>387</v>
      </c>
      <c r="C387" s="208"/>
      <c r="D387" s="208"/>
      <c r="E387" s="208"/>
      <c r="F387" s="208"/>
      <c r="G387" s="208"/>
      <c r="H387" s="208"/>
      <c r="J387" s="114" t="str">
        <f t="shared" si="171"/>
        <v/>
      </c>
      <c r="K387" s="114" t="str">
        <f>IF(COUNTBLANK(R387)&gt;0,"",CONCATENATE(R387," for ",N380))</f>
        <v/>
      </c>
      <c r="N387" s="123" t="s">
        <v>119</v>
      </c>
      <c r="O387" s="66"/>
      <c r="P387" s="121"/>
      <c r="Q387" s="66"/>
      <c r="R387" s="121"/>
      <c r="S387" s="133">
        <f>M380</f>
        <v>0</v>
      </c>
      <c r="T387" s="120"/>
      <c r="U387" s="121" t="s">
        <v>292</v>
      </c>
      <c r="V387" s="133">
        <f t="shared" si="164"/>
        <v>0</v>
      </c>
      <c r="W387" s="133">
        <f>VLOOKUP(U387,Sheet1!$B$6:$C$45,2,FALSE)*V387</f>
        <v>0</v>
      </c>
      <c r="X387" s="141"/>
      <c r="Y387" s="121" t="s">
        <v>292</v>
      </c>
      <c r="Z387" s="146">
        <f>VLOOKUP(Takeoffs!Y387,Sheet1!$B$6:$C$124,2,FALSE)</f>
        <v>0</v>
      </c>
      <c r="AA387" s="146">
        <f t="shared" si="165"/>
        <v>0</v>
      </c>
      <c r="AB387" s="143">
        <f t="shared" si="166"/>
        <v>0</v>
      </c>
      <c r="AC387" s="133">
        <f t="shared" si="167"/>
        <v>0</v>
      </c>
      <c r="AD387" s="142">
        <v>1</v>
      </c>
      <c r="AE387" s="141"/>
      <c r="AF387" s="121" t="s">
        <v>292</v>
      </c>
      <c r="AG387" s="146">
        <f>VLOOKUP(Takeoffs!AF387,Sheet1!$B$6:$C$124,2,FALSE)</f>
        <v>0</v>
      </c>
      <c r="AH387" s="146">
        <f t="shared" si="168"/>
        <v>0</v>
      </c>
      <c r="AI387" s="143">
        <f t="shared" si="169"/>
        <v>0</v>
      </c>
      <c r="AJ387" s="133">
        <f t="shared" si="170"/>
        <v>0</v>
      </c>
      <c r="AK387" s="142">
        <f t="shared" si="172"/>
        <v>0</v>
      </c>
      <c r="AL387" s="141"/>
      <c r="AO387" s="286"/>
      <c r="AP387" s="284">
        <f t="shared" si="148"/>
        <v>0</v>
      </c>
      <c r="AQ387" s="281">
        <f t="shared" si="149"/>
        <v>0</v>
      </c>
      <c r="AR387" s="284">
        <f t="shared" si="150"/>
        <v>0</v>
      </c>
      <c r="AS387" s="281">
        <f t="shared" si="151"/>
        <v>0</v>
      </c>
      <c r="AT387" s="284">
        <f t="shared" si="152"/>
        <v>0</v>
      </c>
    </row>
    <row r="388" spans="1:46" s="114" customFormat="1" ht="30.9" x14ac:dyDescent="0.8">
      <c r="A388" s="262">
        <f>ROW()</f>
        <v>388</v>
      </c>
      <c r="C388" s="208"/>
      <c r="D388" s="208"/>
      <c r="E388" s="208"/>
      <c r="F388" s="208"/>
      <c r="G388" s="208"/>
      <c r="H388" s="208"/>
      <c r="J388" s="114" t="str">
        <f t="shared" si="171"/>
        <v/>
      </c>
      <c r="K388" s="114" t="str">
        <f>IF(COUNTBLANK(R388)&gt;0,"",CONCATENATE(R388," for ",N380))</f>
        <v/>
      </c>
      <c r="N388" s="123" t="s">
        <v>120</v>
      </c>
      <c r="O388" s="66" t="s">
        <v>328</v>
      </c>
      <c r="P388" s="121"/>
      <c r="Q388" s="66"/>
      <c r="R388" s="121"/>
      <c r="S388" s="133">
        <f>M380</f>
        <v>0</v>
      </c>
      <c r="T388" s="120"/>
      <c r="U388" s="121" t="s">
        <v>242</v>
      </c>
      <c r="V388" s="133">
        <f t="shared" si="164"/>
        <v>0</v>
      </c>
      <c r="W388" s="133">
        <f>VLOOKUP(U388,Sheet1!$B$6:$C$45,2,FALSE)*V388</f>
        <v>0</v>
      </c>
      <c r="X388" s="141"/>
      <c r="Y388" s="121" t="s">
        <v>292</v>
      </c>
      <c r="Z388" s="146">
        <f>VLOOKUP(Takeoffs!Y388,Sheet1!$B$6:$C$124,2,FALSE)</f>
        <v>0</v>
      </c>
      <c r="AA388" s="146">
        <f t="shared" si="165"/>
        <v>0</v>
      </c>
      <c r="AB388" s="143">
        <f t="shared" si="166"/>
        <v>0</v>
      </c>
      <c r="AC388" s="133">
        <f t="shared" si="167"/>
        <v>0</v>
      </c>
      <c r="AD388" s="142">
        <v>1</v>
      </c>
      <c r="AE388" s="141"/>
      <c r="AF388" s="121" t="s">
        <v>292</v>
      </c>
      <c r="AG388" s="146">
        <f>VLOOKUP(Takeoffs!AF388,Sheet1!$B$6:$C$124,2,FALSE)</f>
        <v>0</v>
      </c>
      <c r="AH388" s="146">
        <f t="shared" si="168"/>
        <v>0</v>
      </c>
      <c r="AI388" s="143">
        <f t="shared" si="169"/>
        <v>0</v>
      </c>
      <c r="AJ388" s="133">
        <f t="shared" si="170"/>
        <v>0</v>
      </c>
      <c r="AK388" s="142">
        <f t="shared" si="172"/>
        <v>0</v>
      </c>
      <c r="AL388" s="141"/>
      <c r="AO388" s="286"/>
      <c r="AP388" s="284">
        <f t="shared" si="148"/>
        <v>0</v>
      </c>
      <c r="AQ388" s="281">
        <f t="shared" si="149"/>
        <v>0</v>
      </c>
      <c r="AR388" s="284">
        <f t="shared" si="150"/>
        <v>0</v>
      </c>
      <c r="AS388" s="281">
        <f t="shared" si="151"/>
        <v>0</v>
      </c>
      <c r="AT388" s="284">
        <f t="shared" si="152"/>
        <v>0</v>
      </c>
    </row>
    <row r="389" spans="1:46" s="114" customFormat="1" ht="30.9" x14ac:dyDescent="0.8">
      <c r="A389" s="262">
        <f>ROW()</f>
        <v>389</v>
      </c>
      <c r="C389" s="208"/>
      <c r="D389" s="208"/>
      <c r="E389" s="208"/>
      <c r="F389" s="208"/>
      <c r="G389" s="208"/>
      <c r="H389" s="208"/>
      <c r="J389" s="114" t="str">
        <f t="shared" si="171"/>
        <v/>
      </c>
      <c r="K389" s="114" t="str">
        <f>IF(COUNTBLANK(R389)&gt;0,"",CONCATENATE(R389," for ",N380))</f>
        <v/>
      </c>
      <c r="N389" s="123" t="s">
        <v>121</v>
      </c>
      <c r="O389" s="66"/>
      <c r="P389" s="121"/>
      <c r="Q389" s="66"/>
      <c r="R389" s="121"/>
      <c r="S389" s="133">
        <f>M380</f>
        <v>0</v>
      </c>
      <c r="T389" s="120"/>
      <c r="U389" s="121" t="s">
        <v>292</v>
      </c>
      <c r="V389" s="133">
        <f t="shared" si="164"/>
        <v>0</v>
      </c>
      <c r="W389" s="133">
        <f>VLOOKUP(U389,Sheet1!$B$6:$C$45,2,FALSE)*V389</f>
        <v>0</v>
      </c>
      <c r="X389" s="141"/>
      <c r="Y389" s="121" t="s">
        <v>292</v>
      </c>
      <c r="Z389" s="146">
        <f>VLOOKUP(Takeoffs!Y389,Sheet1!$B$6:$C$124,2,FALSE)</f>
        <v>0</v>
      </c>
      <c r="AA389" s="146">
        <f t="shared" si="165"/>
        <v>0</v>
      </c>
      <c r="AB389" s="143">
        <f t="shared" si="166"/>
        <v>0</v>
      </c>
      <c r="AC389" s="133">
        <f t="shared" si="167"/>
        <v>0</v>
      </c>
      <c r="AD389" s="142">
        <v>1</v>
      </c>
      <c r="AE389" s="141"/>
      <c r="AF389" s="121" t="s">
        <v>292</v>
      </c>
      <c r="AG389" s="146">
        <f>VLOOKUP(Takeoffs!AF389,Sheet1!$B$6:$C$124,2,FALSE)</f>
        <v>0</v>
      </c>
      <c r="AH389" s="146">
        <f t="shared" si="168"/>
        <v>0</v>
      </c>
      <c r="AI389" s="143">
        <f t="shared" si="169"/>
        <v>0</v>
      </c>
      <c r="AJ389" s="133">
        <f t="shared" si="170"/>
        <v>0</v>
      </c>
      <c r="AK389" s="142">
        <f t="shared" si="172"/>
        <v>0</v>
      </c>
      <c r="AL389" s="141"/>
      <c r="AO389" s="286"/>
      <c r="AP389" s="284">
        <f t="shared" si="148"/>
        <v>0</v>
      </c>
      <c r="AQ389" s="281">
        <f t="shared" si="149"/>
        <v>0</v>
      </c>
      <c r="AR389" s="284">
        <f t="shared" si="150"/>
        <v>0</v>
      </c>
      <c r="AS389" s="281">
        <f t="shared" si="151"/>
        <v>0</v>
      </c>
      <c r="AT389" s="284">
        <f t="shared" si="152"/>
        <v>0</v>
      </c>
    </row>
    <row r="390" spans="1:46" s="114" customFormat="1" ht="30.9" x14ac:dyDescent="0.8">
      <c r="A390" s="262">
        <f>ROW()</f>
        <v>390</v>
      </c>
      <c r="C390" s="208"/>
      <c r="D390" s="208"/>
      <c r="E390" s="208"/>
      <c r="F390" s="208"/>
      <c r="G390" s="208"/>
      <c r="H390" s="208"/>
      <c r="J390" s="114" t="str">
        <f t="shared" si="171"/>
        <v/>
      </c>
      <c r="K390" s="114" t="str">
        <f>IF(COUNTBLANK(R390)&gt;0,"",CONCATENATE(R390," for ",N380))</f>
        <v/>
      </c>
      <c r="N390" s="123" t="s">
        <v>122</v>
      </c>
      <c r="O390" s="66"/>
      <c r="P390" s="121"/>
      <c r="Q390" s="66"/>
      <c r="R390" s="121"/>
      <c r="S390" s="133">
        <f>M380</f>
        <v>0</v>
      </c>
      <c r="T390" s="120"/>
      <c r="U390" s="121" t="s">
        <v>292</v>
      </c>
      <c r="V390" s="133">
        <f t="shared" si="164"/>
        <v>0</v>
      </c>
      <c r="W390" s="133">
        <f>VLOOKUP(U390,Sheet1!$B$6:$C$45,2,FALSE)*V390</f>
        <v>0</v>
      </c>
      <c r="X390" s="141"/>
      <c r="Y390" s="121" t="s">
        <v>292</v>
      </c>
      <c r="Z390" s="146">
        <f>VLOOKUP(Takeoffs!Y390,Sheet1!$B$6:$C$124,2,FALSE)</f>
        <v>0</v>
      </c>
      <c r="AA390" s="146">
        <f t="shared" si="165"/>
        <v>0</v>
      </c>
      <c r="AB390" s="143">
        <f t="shared" si="166"/>
        <v>0</v>
      </c>
      <c r="AC390" s="133">
        <f t="shared" si="167"/>
        <v>0</v>
      </c>
      <c r="AD390" s="142">
        <v>1</v>
      </c>
      <c r="AE390" s="141"/>
      <c r="AF390" s="121" t="s">
        <v>292</v>
      </c>
      <c r="AG390" s="146">
        <f>VLOOKUP(Takeoffs!AF390,Sheet1!$B$6:$C$124,2,FALSE)</f>
        <v>0</v>
      </c>
      <c r="AH390" s="146">
        <f t="shared" si="168"/>
        <v>0</v>
      </c>
      <c r="AI390" s="143">
        <f t="shared" si="169"/>
        <v>0</v>
      </c>
      <c r="AJ390" s="133">
        <f t="shared" si="170"/>
        <v>0</v>
      </c>
      <c r="AK390" s="142">
        <f>T390</f>
        <v>0</v>
      </c>
      <c r="AL390" s="141"/>
      <c r="AO390" s="286"/>
      <c r="AP390" s="284">
        <f t="shared" si="148"/>
        <v>0</v>
      </c>
      <c r="AQ390" s="281">
        <f t="shared" si="149"/>
        <v>0</v>
      </c>
      <c r="AR390" s="284">
        <f t="shared" si="150"/>
        <v>0</v>
      </c>
      <c r="AS390" s="281">
        <f t="shared" si="151"/>
        <v>0</v>
      </c>
      <c r="AT390" s="284">
        <f t="shared" si="152"/>
        <v>0</v>
      </c>
    </row>
    <row r="391" spans="1:46" s="114" customFormat="1" ht="30.9" x14ac:dyDescent="0.8">
      <c r="A391" s="262">
        <f>ROW()</f>
        <v>391</v>
      </c>
      <c r="C391" s="208"/>
      <c r="D391" s="208"/>
      <c r="E391" s="208"/>
      <c r="F391" s="208"/>
      <c r="G391" s="208"/>
      <c r="H391" s="208"/>
      <c r="J391" s="114" t="str">
        <f t="shared" si="171"/>
        <v/>
      </c>
      <c r="K391" s="114" t="str">
        <f>IF(COUNTBLANK(R391)&gt;0,"",CONCATENATE(R391," for ",N380))</f>
        <v/>
      </c>
      <c r="N391" s="123" t="s">
        <v>123</v>
      </c>
      <c r="O391" s="66"/>
      <c r="P391" s="121"/>
      <c r="Q391" s="66"/>
      <c r="R391" s="121"/>
      <c r="S391" s="133">
        <f>M380</f>
        <v>0</v>
      </c>
      <c r="T391" s="120"/>
      <c r="U391" s="121" t="s">
        <v>292</v>
      </c>
      <c r="V391" s="133">
        <f t="shared" si="164"/>
        <v>0</v>
      </c>
      <c r="W391" s="133">
        <f>VLOOKUP(U391,Sheet1!$B$6:$C$45,2,FALSE)*V391</f>
        <v>0</v>
      </c>
      <c r="X391" s="141"/>
      <c r="Y391" s="121" t="s">
        <v>292</v>
      </c>
      <c r="Z391" s="146">
        <f>VLOOKUP(Takeoffs!Y391,Sheet1!$B$6:$C$124,2,FALSE)</f>
        <v>0</v>
      </c>
      <c r="AA391" s="146">
        <f t="shared" si="165"/>
        <v>0</v>
      </c>
      <c r="AB391" s="143">
        <f t="shared" si="166"/>
        <v>0</v>
      </c>
      <c r="AC391" s="133">
        <f t="shared" si="167"/>
        <v>0</v>
      </c>
      <c r="AD391" s="142">
        <v>1</v>
      </c>
      <c r="AE391" s="141"/>
      <c r="AF391" s="121" t="s">
        <v>292</v>
      </c>
      <c r="AG391" s="146">
        <f>VLOOKUP(Takeoffs!AF391,Sheet1!$B$6:$C$124,2,FALSE)</f>
        <v>0</v>
      </c>
      <c r="AH391" s="146">
        <f t="shared" si="168"/>
        <v>0</v>
      </c>
      <c r="AI391" s="143">
        <f t="shared" si="169"/>
        <v>0</v>
      </c>
      <c r="AJ391" s="133">
        <f t="shared" si="170"/>
        <v>0</v>
      </c>
      <c r="AK391" s="142">
        <v>0</v>
      </c>
      <c r="AL391" s="141"/>
      <c r="AO391" s="286"/>
      <c r="AP391" s="284">
        <f t="shared" si="148"/>
        <v>0</v>
      </c>
      <c r="AQ391" s="281">
        <f t="shared" si="149"/>
        <v>0</v>
      </c>
      <c r="AR391" s="284">
        <f t="shared" si="150"/>
        <v>0</v>
      </c>
      <c r="AS391" s="281">
        <f t="shared" si="151"/>
        <v>0</v>
      </c>
      <c r="AT391" s="284">
        <f t="shared" si="152"/>
        <v>0</v>
      </c>
    </row>
    <row r="392" spans="1:46" s="114" customFormat="1" ht="30.9" x14ac:dyDescent="0.8">
      <c r="A392" s="262">
        <f>ROW()</f>
        <v>392</v>
      </c>
      <c r="C392" s="208"/>
      <c r="D392" s="208"/>
      <c r="E392" s="208"/>
      <c r="F392" s="208"/>
      <c r="G392" s="208"/>
      <c r="H392" s="208"/>
      <c r="J392" s="114" t="str">
        <f t="shared" si="171"/>
        <v/>
      </c>
      <c r="K392" s="114" t="str">
        <f>IF(COUNTBLANK(R392)&gt;0,"",CONCATENATE(R392," for ",N380))</f>
        <v/>
      </c>
      <c r="N392" s="123" t="s">
        <v>124</v>
      </c>
      <c r="O392" s="66" t="s">
        <v>140</v>
      </c>
      <c r="P392" s="121"/>
      <c r="Q392" s="66"/>
      <c r="R392" s="121"/>
      <c r="S392" s="133">
        <f>M380</f>
        <v>0</v>
      </c>
      <c r="T392" s="120"/>
      <c r="U392" s="121" t="s">
        <v>292</v>
      </c>
      <c r="V392" s="133">
        <f t="shared" si="164"/>
        <v>0</v>
      </c>
      <c r="W392" s="133">
        <f>VLOOKUP(U392,Sheet1!$B$6:$C$45,2,FALSE)*V392</f>
        <v>0</v>
      </c>
      <c r="X392" s="141"/>
      <c r="Y392" s="121" t="s">
        <v>292</v>
      </c>
      <c r="Z392" s="146">
        <f>VLOOKUP(Takeoffs!Y392,Sheet1!$B$6:$C$124,2,FALSE)</f>
        <v>0</v>
      </c>
      <c r="AA392" s="146">
        <f t="shared" si="165"/>
        <v>0</v>
      </c>
      <c r="AB392" s="143">
        <f t="shared" si="166"/>
        <v>0</v>
      </c>
      <c r="AC392" s="133">
        <f t="shared" si="167"/>
        <v>0</v>
      </c>
      <c r="AD392" s="142">
        <v>1</v>
      </c>
      <c r="AE392" s="141"/>
      <c r="AF392" s="152" t="s">
        <v>418</v>
      </c>
      <c r="AG392" s="146">
        <f>VLOOKUP(Takeoffs!AF392,Sheet1!$B$6:$C$124,2,FALSE)</f>
        <v>0.33600000000000002</v>
      </c>
      <c r="AH392" s="146">
        <f t="shared" si="168"/>
        <v>0</v>
      </c>
      <c r="AI392" s="143">
        <f t="shared" si="169"/>
        <v>0</v>
      </c>
      <c r="AJ392" s="133">
        <f t="shared" si="170"/>
        <v>0</v>
      </c>
      <c r="AK392" s="142">
        <v>1</v>
      </c>
      <c r="AL392" s="141"/>
      <c r="AO392" s="286"/>
      <c r="AP392" s="284">
        <f t="shared" si="148"/>
        <v>0</v>
      </c>
      <c r="AQ392" s="281">
        <f t="shared" si="149"/>
        <v>0</v>
      </c>
      <c r="AR392" s="284">
        <f t="shared" si="150"/>
        <v>0</v>
      </c>
      <c r="AS392" s="281">
        <f t="shared" si="151"/>
        <v>0</v>
      </c>
      <c r="AT392" s="284">
        <f t="shared" si="152"/>
        <v>0</v>
      </c>
    </row>
    <row r="393" spans="1:46" s="114" customFormat="1" ht="30.9" x14ac:dyDescent="0.8">
      <c r="A393" s="262">
        <f>ROW()</f>
        <v>393</v>
      </c>
      <c r="C393" s="208"/>
      <c r="D393" s="208"/>
      <c r="E393" s="208"/>
      <c r="F393" s="208"/>
      <c r="G393" s="208"/>
      <c r="H393" s="208"/>
      <c r="J393" s="114" t="str">
        <f t="shared" si="171"/>
        <v/>
      </c>
      <c r="K393" s="114" t="str">
        <f>IF(COUNTBLANK(R393)&gt;0,"",CONCATENATE(R393," for ",N380))</f>
        <v/>
      </c>
      <c r="N393" s="123" t="s">
        <v>125</v>
      </c>
      <c r="O393" s="66" t="s">
        <v>312</v>
      </c>
      <c r="P393" s="121"/>
      <c r="Q393" s="66"/>
      <c r="R393" s="121"/>
      <c r="S393" s="133">
        <f>M380</f>
        <v>0</v>
      </c>
      <c r="T393" s="120"/>
      <c r="U393" s="121" t="s">
        <v>232</v>
      </c>
      <c r="V393" s="133">
        <f t="shared" si="164"/>
        <v>0</v>
      </c>
      <c r="W393" s="133">
        <f>VLOOKUP(U393,Sheet1!$B$6:$C$45,2,FALSE)*V393</f>
        <v>0</v>
      </c>
      <c r="X393" s="141"/>
      <c r="Y393" s="122" t="s">
        <v>1345</v>
      </c>
      <c r="Z393" s="146">
        <f>VLOOKUP(Takeoffs!Y393,Sheet1!$B$6:$C$124,2,FALSE)</f>
        <v>109.25999999999999</v>
      </c>
      <c r="AA393" s="146">
        <f t="shared" si="165"/>
        <v>0</v>
      </c>
      <c r="AB393" s="143">
        <f t="shared" si="166"/>
        <v>0</v>
      </c>
      <c r="AC393" s="133">
        <f t="shared" si="167"/>
        <v>0</v>
      </c>
      <c r="AD393" s="142">
        <v>1</v>
      </c>
      <c r="AE393" s="141"/>
      <c r="AF393" s="121" t="s">
        <v>292</v>
      </c>
      <c r="AG393" s="146">
        <f>VLOOKUP(Takeoffs!AF393,Sheet1!$B$6:$C$124,2,FALSE)</f>
        <v>0</v>
      </c>
      <c r="AH393" s="146">
        <f t="shared" si="168"/>
        <v>0</v>
      </c>
      <c r="AI393" s="143">
        <f t="shared" si="169"/>
        <v>0</v>
      </c>
      <c r="AJ393" s="133">
        <f t="shared" si="170"/>
        <v>0</v>
      </c>
      <c r="AK393" s="142">
        <f t="shared" ref="AK393:AK400" si="173">T393</f>
        <v>0</v>
      </c>
      <c r="AL393" s="141"/>
      <c r="AO393" s="286"/>
      <c r="AP393" s="284">
        <f t="shared" si="148"/>
        <v>0</v>
      </c>
      <c r="AQ393" s="281">
        <f t="shared" si="149"/>
        <v>0</v>
      </c>
      <c r="AR393" s="284">
        <f t="shared" si="150"/>
        <v>0</v>
      </c>
      <c r="AS393" s="281">
        <f t="shared" si="151"/>
        <v>0</v>
      </c>
      <c r="AT393" s="284">
        <f t="shared" si="152"/>
        <v>0</v>
      </c>
    </row>
    <row r="394" spans="1:46" s="114" customFormat="1" ht="30.9" x14ac:dyDescent="0.8">
      <c r="A394" s="262">
        <f>ROW()</f>
        <v>394</v>
      </c>
      <c r="C394" s="208"/>
      <c r="D394" s="208"/>
      <c r="E394" s="208"/>
      <c r="F394" s="208"/>
      <c r="G394" s="208"/>
      <c r="H394" s="208"/>
      <c r="J394" s="114" t="str">
        <f t="shared" si="171"/>
        <v/>
      </c>
      <c r="K394" s="114" t="str">
        <f>IF(COUNTBLANK(R394)&gt;0,"",CONCATENATE(R394," for ",N380))</f>
        <v/>
      </c>
      <c r="N394" s="123" t="s">
        <v>126</v>
      </c>
      <c r="O394" s="66" t="s">
        <v>685</v>
      </c>
      <c r="P394" s="121"/>
      <c r="Q394" s="66"/>
      <c r="R394" s="121"/>
      <c r="S394" s="133">
        <f>M380</f>
        <v>0</v>
      </c>
      <c r="T394" s="120"/>
      <c r="U394" s="121" t="s">
        <v>292</v>
      </c>
      <c r="V394" s="133">
        <f t="shared" si="164"/>
        <v>0</v>
      </c>
      <c r="W394" s="133">
        <f>VLOOKUP(U394,Sheet1!$B$6:$C$45,2,FALSE)*V394</f>
        <v>0</v>
      </c>
      <c r="X394" s="141"/>
      <c r="Y394" s="122" t="s">
        <v>277</v>
      </c>
      <c r="Z394" s="146">
        <f>VLOOKUP(Takeoffs!Y394,Sheet1!$B$6:$C$124,2,FALSE)</f>
        <v>69.540000000000006</v>
      </c>
      <c r="AA394" s="146">
        <f t="shared" si="165"/>
        <v>0</v>
      </c>
      <c r="AB394" s="143">
        <f t="shared" si="166"/>
        <v>0</v>
      </c>
      <c r="AC394" s="133">
        <f t="shared" si="167"/>
        <v>0</v>
      </c>
      <c r="AD394" s="142">
        <v>1</v>
      </c>
      <c r="AE394" s="141"/>
      <c r="AF394" s="121" t="s">
        <v>292</v>
      </c>
      <c r="AG394" s="146">
        <f>VLOOKUP(Takeoffs!AF394,Sheet1!$B$6:$C$124,2,FALSE)</f>
        <v>0</v>
      </c>
      <c r="AH394" s="146">
        <f t="shared" si="168"/>
        <v>0</v>
      </c>
      <c r="AI394" s="143">
        <f t="shared" si="169"/>
        <v>0</v>
      </c>
      <c r="AJ394" s="133">
        <f t="shared" si="170"/>
        <v>0</v>
      </c>
      <c r="AK394" s="142">
        <f t="shared" si="173"/>
        <v>0</v>
      </c>
      <c r="AL394" s="141"/>
      <c r="AO394" s="286"/>
      <c r="AP394" s="284">
        <f t="shared" si="148"/>
        <v>0</v>
      </c>
      <c r="AQ394" s="281">
        <f t="shared" si="149"/>
        <v>0</v>
      </c>
      <c r="AR394" s="284">
        <f t="shared" si="150"/>
        <v>0</v>
      </c>
      <c r="AS394" s="281">
        <f t="shared" si="151"/>
        <v>0</v>
      </c>
      <c r="AT394" s="284">
        <f t="shared" si="152"/>
        <v>0</v>
      </c>
    </row>
    <row r="395" spans="1:46" s="114" customFormat="1" ht="30.9" x14ac:dyDescent="0.8">
      <c r="A395" s="262">
        <f>ROW()</f>
        <v>395</v>
      </c>
      <c r="C395" s="208"/>
      <c r="D395" s="208"/>
      <c r="E395" s="208"/>
      <c r="F395" s="208"/>
      <c r="G395" s="208"/>
      <c r="H395" s="208"/>
      <c r="J395" s="114" t="str">
        <f t="shared" si="171"/>
        <v/>
      </c>
      <c r="K395" s="114" t="str">
        <f>IF(COUNTBLANK(R395)&gt;0,"",CONCATENATE(R395," for ",N380))</f>
        <v>run and fault lights for DOL fan with interlock with local switch - from MSSB power supply</v>
      </c>
      <c r="N395" s="123" t="s">
        <v>127</v>
      </c>
      <c r="O395" s="66" t="s">
        <v>337</v>
      </c>
      <c r="P395" s="121"/>
      <c r="Q395" s="66"/>
      <c r="R395" s="121" t="s">
        <v>331</v>
      </c>
      <c r="S395" s="133">
        <f>M380</f>
        <v>0</v>
      </c>
      <c r="T395" s="120"/>
      <c r="U395" s="121" t="s">
        <v>292</v>
      </c>
      <c r="V395" s="133">
        <f t="shared" si="164"/>
        <v>0</v>
      </c>
      <c r="W395" s="133">
        <f>VLOOKUP(U395,Sheet1!$B$6:$C$45,2,FALSE)*V395</f>
        <v>0</v>
      </c>
      <c r="X395" s="141"/>
      <c r="Y395" s="122" t="s">
        <v>280</v>
      </c>
      <c r="Z395" s="146">
        <f>VLOOKUP(Takeoffs!Y395,Sheet1!$B$6:$C$124,2,FALSE)</f>
        <v>19.2</v>
      </c>
      <c r="AA395" s="146">
        <f t="shared" si="165"/>
        <v>0</v>
      </c>
      <c r="AB395" s="143">
        <f t="shared" si="166"/>
        <v>0</v>
      </c>
      <c r="AC395" s="133">
        <f t="shared" si="167"/>
        <v>0</v>
      </c>
      <c r="AD395" s="142">
        <v>2</v>
      </c>
      <c r="AE395" s="141"/>
      <c r="AF395" s="121" t="s">
        <v>292</v>
      </c>
      <c r="AG395" s="146">
        <f>VLOOKUP(Takeoffs!AF395,Sheet1!$B$6:$C$124,2,FALSE)</f>
        <v>0</v>
      </c>
      <c r="AH395" s="146">
        <f t="shared" si="168"/>
        <v>0</v>
      </c>
      <c r="AI395" s="143">
        <f t="shared" si="169"/>
        <v>0</v>
      </c>
      <c r="AJ395" s="133">
        <f t="shared" si="170"/>
        <v>0</v>
      </c>
      <c r="AK395" s="142">
        <f t="shared" si="173"/>
        <v>0</v>
      </c>
      <c r="AL395" s="141"/>
      <c r="AO395" s="286"/>
      <c r="AP395" s="284">
        <f t="shared" si="148"/>
        <v>0</v>
      </c>
      <c r="AQ395" s="281">
        <f t="shared" si="149"/>
        <v>0</v>
      </c>
      <c r="AR395" s="284">
        <f t="shared" si="150"/>
        <v>0</v>
      </c>
      <c r="AS395" s="281">
        <f t="shared" si="151"/>
        <v>0</v>
      </c>
      <c r="AT395" s="284">
        <f t="shared" si="152"/>
        <v>0</v>
      </c>
    </row>
    <row r="396" spans="1:46" s="114" customFormat="1" ht="30.9" x14ac:dyDescent="0.8">
      <c r="A396" s="262">
        <f>ROW()</f>
        <v>396</v>
      </c>
      <c r="C396" s="208"/>
      <c r="D396" s="208"/>
      <c r="E396" s="208"/>
      <c r="F396" s="208"/>
      <c r="G396" s="208"/>
      <c r="H396" s="208"/>
      <c r="J396" s="114" t="str">
        <f t="shared" si="171"/>
        <v/>
      </c>
      <c r="K396" s="114" t="str">
        <f>IF(COUNTBLANK(R396)&gt;0,"",CONCATENATE(R396," for ",N380))</f>
        <v/>
      </c>
      <c r="N396" s="123" t="s">
        <v>128</v>
      </c>
      <c r="O396" s="66"/>
      <c r="P396" s="121"/>
      <c r="Q396" s="66"/>
      <c r="R396" s="121"/>
      <c r="S396" s="133">
        <f>M380</f>
        <v>0</v>
      </c>
      <c r="T396" s="120"/>
      <c r="U396" s="121" t="s">
        <v>292</v>
      </c>
      <c r="V396" s="133">
        <f t="shared" si="164"/>
        <v>0</v>
      </c>
      <c r="W396" s="133">
        <f>VLOOKUP(U396,Sheet1!$B$6:$C$45,2,FALSE)*V396</f>
        <v>0</v>
      </c>
      <c r="X396" s="141"/>
      <c r="Y396" s="121" t="s">
        <v>292</v>
      </c>
      <c r="Z396" s="146">
        <f>VLOOKUP(Takeoffs!Y396,Sheet1!$B$6:$C$124,2,FALSE)</f>
        <v>0</v>
      </c>
      <c r="AA396" s="146">
        <f t="shared" si="165"/>
        <v>0</v>
      </c>
      <c r="AB396" s="143">
        <f t="shared" si="166"/>
        <v>0</v>
      </c>
      <c r="AC396" s="133">
        <f t="shared" si="167"/>
        <v>0</v>
      </c>
      <c r="AD396" s="142">
        <v>1</v>
      </c>
      <c r="AE396" s="141"/>
      <c r="AF396" s="121" t="s">
        <v>292</v>
      </c>
      <c r="AG396" s="146">
        <f>VLOOKUP(Takeoffs!AF396,Sheet1!$B$6:$C$124,2,FALSE)</f>
        <v>0</v>
      </c>
      <c r="AH396" s="146">
        <f t="shared" si="168"/>
        <v>0</v>
      </c>
      <c r="AI396" s="143">
        <f t="shared" si="169"/>
        <v>0</v>
      </c>
      <c r="AJ396" s="133">
        <f t="shared" si="170"/>
        <v>0</v>
      </c>
      <c r="AK396" s="142">
        <f t="shared" si="173"/>
        <v>0</v>
      </c>
      <c r="AL396" s="141"/>
      <c r="AO396" s="286"/>
      <c r="AP396" s="284">
        <f t="shared" si="148"/>
        <v>0</v>
      </c>
      <c r="AQ396" s="281">
        <f t="shared" si="149"/>
        <v>0</v>
      </c>
      <c r="AR396" s="284">
        <f t="shared" si="150"/>
        <v>0</v>
      </c>
      <c r="AS396" s="281">
        <f t="shared" si="151"/>
        <v>0</v>
      </c>
      <c r="AT396" s="284">
        <f t="shared" si="152"/>
        <v>0</v>
      </c>
    </row>
    <row r="397" spans="1:46" s="114" customFormat="1" ht="30.9" x14ac:dyDescent="0.8">
      <c r="A397" s="262">
        <f>ROW()</f>
        <v>397</v>
      </c>
      <c r="C397" s="208"/>
      <c r="D397" s="208"/>
      <c r="E397" s="208"/>
      <c r="F397" s="208"/>
      <c r="G397" s="208"/>
      <c r="H397" s="208"/>
      <c r="J397" s="114" t="str">
        <f t="shared" si="171"/>
        <v/>
      </c>
      <c r="K397" s="114" t="str">
        <f>IF(COUNTBLANK(R397)&gt;0,"",CONCATENATE(R397," for ",N380))</f>
        <v>Auto/Off/On switch for DOL fan with interlock with local switch - from MSSB power supply</v>
      </c>
      <c r="N397" s="123" t="s">
        <v>129</v>
      </c>
      <c r="O397" s="66" t="s">
        <v>329</v>
      </c>
      <c r="P397" s="121"/>
      <c r="Q397" s="66"/>
      <c r="R397" s="121" t="s">
        <v>304</v>
      </c>
      <c r="S397" s="133">
        <f>M380</f>
        <v>0</v>
      </c>
      <c r="T397" s="120"/>
      <c r="U397" s="121" t="s">
        <v>292</v>
      </c>
      <c r="V397" s="133">
        <f t="shared" si="164"/>
        <v>0</v>
      </c>
      <c r="W397" s="133">
        <f>VLOOKUP(U397,Sheet1!$B$6:$C$45,2,FALSE)*V397</f>
        <v>0</v>
      </c>
      <c r="X397" s="141"/>
      <c r="Y397" s="122" t="s">
        <v>277</v>
      </c>
      <c r="Z397" s="146">
        <f>VLOOKUP(Takeoffs!Y397,Sheet1!$B$6:$C$124,2,FALSE)</f>
        <v>69.540000000000006</v>
      </c>
      <c r="AA397" s="146">
        <f t="shared" si="165"/>
        <v>0</v>
      </c>
      <c r="AB397" s="143">
        <f t="shared" si="166"/>
        <v>0</v>
      </c>
      <c r="AC397" s="133">
        <f t="shared" si="167"/>
        <v>0</v>
      </c>
      <c r="AD397" s="142">
        <v>1</v>
      </c>
      <c r="AE397" s="141"/>
      <c r="AF397" s="121" t="s">
        <v>292</v>
      </c>
      <c r="AG397" s="146">
        <f>VLOOKUP(Takeoffs!AF397,Sheet1!$B$6:$C$124,2,FALSE)</f>
        <v>0</v>
      </c>
      <c r="AH397" s="146">
        <f t="shared" si="168"/>
        <v>0</v>
      </c>
      <c r="AI397" s="143">
        <f t="shared" si="169"/>
        <v>0</v>
      </c>
      <c r="AJ397" s="133">
        <f t="shared" si="170"/>
        <v>0</v>
      </c>
      <c r="AK397" s="142">
        <f t="shared" si="173"/>
        <v>0</v>
      </c>
      <c r="AL397" s="141"/>
      <c r="AO397" s="286"/>
      <c r="AP397" s="284">
        <f t="shared" si="148"/>
        <v>0</v>
      </c>
      <c r="AQ397" s="281">
        <f t="shared" si="149"/>
        <v>0</v>
      </c>
      <c r="AR397" s="284">
        <f t="shared" si="150"/>
        <v>0</v>
      </c>
      <c r="AS397" s="281">
        <f t="shared" si="151"/>
        <v>0</v>
      </c>
      <c r="AT397" s="284">
        <f t="shared" si="152"/>
        <v>0</v>
      </c>
    </row>
    <row r="398" spans="1:46" s="114" customFormat="1" ht="30.9" x14ac:dyDescent="0.8">
      <c r="A398" s="262">
        <f>ROW()</f>
        <v>398</v>
      </c>
      <c r="C398" s="208"/>
      <c r="D398" s="208"/>
      <c r="E398" s="208"/>
      <c r="F398" s="208"/>
      <c r="G398" s="208"/>
      <c r="H398" s="208"/>
      <c r="J398" s="114" t="str">
        <f t="shared" si="171"/>
        <v/>
      </c>
      <c r="K398" s="114" t="str">
        <f>IF(COUNTBLANK(R398)&gt;0,"",CONCATENATE(R398," for ",N380))</f>
        <v/>
      </c>
      <c r="N398" s="123" t="s">
        <v>130</v>
      </c>
      <c r="O398" s="66"/>
      <c r="P398" s="121"/>
      <c r="Q398" s="66"/>
      <c r="R398" s="121"/>
      <c r="S398" s="133">
        <f>M380</f>
        <v>0</v>
      </c>
      <c r="T398" s="120"/>
      <c r="U398" s="121" t="s">
        <v>292</v>
      </c>
      <c r="V398" s="133">
        <f t="shared" si="164"/>
        <v>0</v>
      </c>
      <c r="W398" s="133">
        <f>VLOOKUP(U398,Sheet1!$B$6:$C$45,2,FALSE)*V398</f>
        <v>0</v>
      </c>
      <c r="X398" s="141"/>
      <c r="Y398" s="121" t="s">
        <v>292</v>
      </c>
      <c r="Z398" s="146">
        <f>VLOOKUP(Takeoffs!Y398,Sheet1!$B$6:$C$124,2,FALSE)</f>
        <v>0</v>
      </c>
      <c r="AA398" s="146">
        <f t="shared" si="165"/>
        <v>0</v>
      </c>
      <c r="AB398" s="143">
        <f t="shared" si="166"/>
        <v>0</v>
      </c>
      <c r="AC398" s="133">
        <f t="shared" si="167"/>
        <v>0</v>
      </c>
      <c r="AD398" s="142">
        <v>1</v>
      </c>
      <c r="AE398" s="141"/>
      <c r="AF398" s="121" t="s">
        <v>292</v>
      </c>
      <c r="AG398" s="146">
        <f>VLOOKUP(Takeoffs!AF398,Sheet1!$B$6:$C$124,2,FALSE)</f>
        <v>0</v>
      </c>
      <c r="AH398" s="146">
        <f t="shared" si="168"/>
        <v>0</v>
      </c>
      <c r="AI398" s="143">
        <f t="shared" si="169"/>
        <v>0</v>
      </c>
      <c r="AJ398" s="133">
        <f t="shared" si="170"/>
        <v>0</v>
      </c>
      <c r="AK398" s="142">
        <f t="shared" si="173"/>
        <v>0</v>
      </c>
      <c r="AL398" s="141"/>
      <c r="AO398" s="286"/>
      <c r="AP398" s="284">
        <f t="shared" si="148"/>
        <v>0</v>
      </c>
      <c r="AQ398" s="281">
        <f t="shared" si="149"/>
        <v>0</v>
      </c>
      <c r="AR398" s="284">
        <f t="shared" si="150"/>
        <v>0</v>
      </c>
      <c r="AS398" s="281">
        <f t="shared" si="151"/>
        <v>0</v>
      </c>
      <c r="AT398" s="284">
        <f t="shared" si="152"/>
        <v>0</v>
      </c>
    </row>
    <row r="399" spans="1:46" s="114" customFormat="1" ht="30.9" x14ac:dyDescent="0.8">
      <c r="A399" s="262">
        <f>ROW()</f>
        <v>399</v>
      </c>
      <c r="C399" s="208"/>
      <c r="D399" s="208"/>
      <c r="E399" s="208"/>
      <c r="F399" s="208"/>
      <c r="G399" s="208"/>
      <c r="H399" s="208"/>
      <c r="J399" s="114" t="str">
        <f t="shared" si="171"/>
        <v/>
      </c>
      <c r="K399" s="114" t="str">
        <f>IF(COUNTBLANK(R399)&gt;0,"",CONCATENATE(R399," for ",N380))</f>
        <v/>
      </c>
      <c r="N399" s="123" t="s">
        <v>131</v>
      </c>
      <c r="O399" s="66" t="s">
        <v>407</v>
      </c>
      <c r="P399" s="121"/>
      <c r="Q399" s="66"/>
      <c r="R399" s="121"/>
      <c r="S399" s="133">
        <f>M380</f>
        <v>0</v>
      </c>
      <c r="T399" s="120"/>
      <c r="U399" s="121" t="s">
        <v>292</v>
      </c>
      <c r="V399" s="133">
        <f t="shared" si="164"/>
        <v>0</v>
      </c>
      <c r="W399" s="133">
        <f>VLOOKUP(U399,Sheet1!$B$6:$C$45,2,FALSE)*V399</f>
        <v>0</v>
      </c>
      <c r="X399" s="141"/>
      <c r="Y399" s="121" t="s">
        <v>274</v>
      </c>
      <c r="Z399" s="146">
        <f>VLOOKUP(Takeoffs!Y399,Sheet1!$B$6:$C$124,2,FALSE)</f>
        <v>360</v>
      </c>
      <c r="AA399" s="146">
        <f t="shared" si="165"/>
        <v>0</v>
      </c>
      <c r="AB399" s="143">
        <f t="shared" si="166"/>
        <v>0</v>
      </c>
      <c r="AC399" s="133">
        <f t="shared" si="167"/>
        <v>0</v>
      </c>
      <c r="AD399" s="142">
        <v>1</v>
      </c>
      <c r="AE399" s="141"/>
      <c r="AF399" s="121" t="s">
        <v>292</v>
      </c>
      <c r="AG399" s="146">
        <f>VLOOKUP(Takeoffs!AF399,Sheet1!$B$6:$C$124,2,FALSE)</f>
        <v>0</v>
      </c>
      <c r="AH399" s="146">
        <f t="shared" si="168"/>
        <v>0</v>
      </c>
      <c r="AI399" s="143">
        <f t="shared" si="169"/>
        <v>0</v>
      </c>
      <c r="AJ399" s="133">
        <f t="shared" si="170"/>
        <v>0</v>
      </c>
      <c r="AK399" s="142">
        <f t="shared" si="173"/>
        <v>0</v>
      </c>
      <c r="AL399" s="141"/>
      <c r="AO399" s="286"/>
      <c r="AP399" s="284">
        <f t="shared" si="148"/>
        <v>0</v>
      </c>
      <c r="AQ399" s="281">
        <f t="shared" si="149"/>
        <v>0</v>
      </c>
      <c r="AR399" s="284">
        <f t="shared" si="150"/>
        <v>0</v>
      </c>
      <c r="AS399" s="281">
        <f t="shared" si="151"/>
        <v>0</v>
      </c>
      <c r="AT399" s="284">
        <f t="shared" si="152"/>
        <v>0</v>
      </c>
    </row>
    <row r="400" spans="1:46" s="114" customFormat="1" ht="30.9" x14ac:dyDescent="0.8">
      <c r="A400" s="262">
        <f>ROW()</f>
        <v>400</v>
      </c>
      <c r="C400" s="208"/>
      <c r="D400" s="208"/>
      <c r="E400" s="208"/>
      <c r="F400" s="208"/>
      <c r="G400" s="208"/>
      <c r="H400" s="208"/>
      <c r="J400" s="114" t="str">
        <f t="shared" si="171"/>
        <v/>
      </c>
      <c r="K400" s="114" t="str">
        <f>IF(COUNTBLANK(R400)&gt;0,"",CONCATENATE(R400," for ",N380))</f>
        <v/>
      </c>
      <c r="N400" s="123" t="s">
        <v>132</v>
      </c>
      <c r="O400" s="66" t="s">
        <v>408</v>
      </c>
      <c r="P400" s="121"/>
      <c r="Q400" s="66"/>
      <c r="R400" s="121"/>
      <c r="S400" s="133">
        <f>M380</f>
        <v>0</v>
      </c>
      <c r="T400" s="120"/>
      <c r="U400" s="121" t="s">
        <v>362</v>
      </c>
      <c r="V400" s="133">
        <f t="shared" si="164"/>
        <v>0</v>
      </c>
      <c r="W400" s="133">
        <f>VLOOKUP(U400,Sheet1!$B$6:$C$45,2,FALSE)*V400</f>
        <v>0</v>
      </c>
      <c r="X400" s="141"/>
      <c r="Y400" s="121" t="s">
        <v>292</v>
      </c>
      <c r="Z400" s="146">
        <f>VLOOKUP(Takeoffs!Y400,Sheet1!$B$6:$C$124,2,FALSE)</f>
        <v>0</v>
      </c>
      <c r="AA400" s="146">
        <f t="shared" si="165"/>
        <v>0</v>
      </c>
      <c r="AB400" s="143">
        <f t="shared" si="166"/>
        <v>0</v>
      </c>
      <c r="AC400" s="133">
        <f t="shared" si="167"/>
        <v>0</v>
      </c>
      <c r="AD400" s="142">
        <v>1</v>
      </c>
      <c r="AE400" s="141"/>
      <c r="AF400" s="121" t="s">
        <v>292</v>
      </c>
      <c r="AG400" s="146">
        <f>VLOOKUP(Takeoffs!AF400,Sheet1!$B$6:$C$124,2,FALSE)</f>
        <v>0</v>
      </c>
      <c r="AH400" s="146">
        <f t="shared" si="168"/>
        <v>0</v>
      </c>
      <c r="AI400" s="143">
        <f t="shared" si="169"/>
        <v>0</v>
      </c>
      <c r="AJ400" s="133">
        <f t="shared" si="170"/>
        <v>0</v>
      </c>
      <c r="AK400" s="142">
        <f t="shared" si="173"/>
        <v>0</v>
      </c>
      <c r="AL400" s="141"/>
      <c r="AO400" s="286"/>
      <c r="AP400" s="284">
        <f t="shared" si="148"/>
        <v>0</v>
      </c>
      <c r="AQ400" s="281">
        <f t="shared" si="149"/>
        <v>0</v>
      </c>
      <c r="AR400" s="284">
        <f t="shared" si="150"/>
        <v>0</v>
      </c>
      <c r="AS400" s="281">
        <f t="shared" si="151"/>
        <v>0</v>
      </c>
      <c r="AT400" s="284">
        <f t="shared" si="152"/>
        <v>0</v>
      </c>
    </row>
    <row r="401" spans="1:97" s="128" customFormat="1" ht="31.5" customHeight="1" x14ac:dyDescent="0.8">
      <c r="A401" s="262">
        <f>ROW()</f>
        <v>401</v>
      </c>
      <c r="C401" s="212"/>
      <c r="D401" s="212"/>
      <c r="E401" s="212"/>
      <c r="F401" s="212"/>
      <c r="G401" s="212"/>
      <c r="H401" s="212"/>
      <c r="J401" s="128" t="s">
        <v>377</v>
      </c>
      <c r="L401" s="128" t="s">
        <v>378</v>
      </c>
      <c r="N401" s="129"/>
      <c r="O401" s="130" t="s">
        <v>357</v>
      </c>
      <c r="P401" s="131">
        <f>V401+AA401+AH401</f>
        <v>0</v>
      </c>
      <c r="Q401" s="131"/>
      <c r="R401" s="131"/>
      <c r="S401" s="130"/>
      <c r="T401" s="127"/>
      <c r="U401" s="126" t="s">
        <v>351</v>
      </c>
      <c r="V401" s="127">
        <f>W401*80</f>
        <v>0</v>
      </c>
      <c r="W401" s="147">
        <f>SUM(W380:W400)</f>
        <v>0</v>
      </c>
      <c r="X401" s="148"/>
      <c r="Y401" s="127" t="s">
        <v>352</v>
      </c>
      <c r="Z401" s="116"/>
      <c r="AA401" s="116">
        <f>SUM(AA380:AA400)</f>
        <v>0</v>
      </c>
      <c r="AB401" s="149"/>
      <c r="AC401" s="149"/>
      <c r="AD401" s="149"/>
      <c r="AE401" s="149"/>
      <c r="AF401" s="127" t="s">
        <v>356</v>
      </c>
      <c r="AG401" s="116"/>
      <c r="AH401" s="116">
        <f>SUM(AH380:AH400)</f>
        <v>0</v>
      </c>
      <c r="AI401" s="149"/>
      <c r="AJ401" s="149"/>
      <c r="AK401" s="149"/>
      <c r="AL401" s="149"/>
      <c r="AM401" s="150">
        <f>P401</f>
        <v>0</v>
      </c>
      <c r="AO401" s="286"/>
      <c r="AP401" s="284">
        <f t="shared" si="148"/>
        <v>0</v>
      </c>
      <c r="AQ401" s="281">
        <f t="shared" si="149"/>
        <v>0</v>
      </c>
      <c r="AR401" s="284">
        <f t="shared" si="150"/>
        <v>0</v>
      </c>
      <c r="AS401" s="281">
        <f t="shared" si="151"/>
        <v>0</v>
      </c>
      <c r="AT401" s="284">
        <f t="shared" si="152"/>
        <v>0</v>
      </c>
    </row>
    <row r="402" spans="1:97" s="234" customFormat="1" ht="154.30000000000001" x14ac:dyDescent="0.8">
      <c r="A402" s="262">
        <f>ROW()</f>
        <v>402</v>
      </c>
      <c r="B402" s="234" t="s">
        <v>491</v>
      </c>
      <c r="C402" s="217" t="str">
        <f>N380</f>
        <v>DOL fan with interlock with local switch - from MSSB power supply</v>
      </c>
      <c r="D402" s="260" t="str">
        <f>IF(B402="Shopping List",IF(ISNUMBER(SEARCH("MSSB",C402)),"MSSB",IF(ISNUMBER(SEARCH("local",C402)),"LOCAL","")))</f>
        <v>MSSB</v>
      </c>
      <c r="E402" s="238"/>
      <c r="F402" s="217"/>
      <c r="G402" s="217"/>
      <c r="H402" s="245"/>
      <c r="I402" s="270"/>
      <c r="J402" s="241" t="str">
        <f>CONCATENATE(O380," ",L380, " (",M380,") ",N380,".", IF(M380&gt;1," Each "," This "),"includes supply and install of ",O381,O382,O383,O384,O385,O386,O387,O388,O389,O390,O391,O392,O393,O394,O395,O396,O397,O398,O399,O400,J381,J382,J383,J384,J385,J386,J387,J388,J389,J390,J391,J392,J393,J394,J395,J396,J397,J398,J399,J400)</f>
        <v xml:space="preserve">Electrical power supply and controls to Zero (0) DOL fan with interlock with local switch - from MSSB power supply. This includes supply and install of power and controls. Power for system includes: CB and cabling to fan from MSSB, and local isolator. Controls for system includes: controls cabling, contactors/relays, local switch with run light, run and fault lights, Auto/Off/On switch, trefolyte labelling, and commissioning/testing. </v>
      </c>
      <c r="K402" s="246">
        <f>P401</f>
        <v>0</v>
      </c>
      <c r="L402" s="235" t="str">
        <f>CONCATENATE(Q381,Q382,Q383,Q384,Q385,Q386,Q387,Q388,Q389,Q390,Q391,Q392,Q393,Q394,Q395,Q396,Q397,Q398,Q399,Q400,)</f>
        <v/>
      </c>
      <c r="M402" s="166" t="s">
        <v>367</v>
      </c>
      <c r="N402" s="160" t="str">
        <f>N380</f>
        <v>DOL fan with interlock with local switch - from MSSB power supply</v>
      </c>
      <c r="O402" s="160" t="s">
        <v>365</v>
      </c>
      <c r="P402" s="82" t="e">
        <f>P401/M380</f>
        <v>#DIV/0!</v>
      </c>
      <c r="Q402" s="161"/>
      <c r="R402" s="161"/>
      <c r="S402" s="160"/>
      <c r="T402" s="161"/>
      <c r="U402" s="503" t="s">
        <v>366</v>
      </c>
      <c r="V402" s="503"/>
      <c r="W402" s="162" t="e">
        <f>W401/M380</f>
        <v>#DIV/0!</v>
      </c>
      <c r="X402" s="163"/>
      <c r="Y402" s="501" t="s">
        <v>365</v>
      </c>
      <c r="Z402" s="501"/>
      <c r="AA402" s="164" t="e">
        <f>AA401/M380</f>
        <v>#DIV/0!</v>
      </c>
      <c r="AB402" s="161"/>
      <c r="AC402" s="161"/>
      <c r="AD402" s="161"/>
      <c r="AE402" s="161"/>
      <c r="AF402" s="501" t="s">
        <v>365</v>
      </c>
      <c r="AG402" s="501"/>
      <c r="AH402" s="164" t="e">
        <f>AH401/M380</f>
        <v>#DIV/0!</v>
      </c>
      <c r="AI402" s="161"/>
      <c r="AJ402" s="161"/>
      <c r="AK402" s="161"/>
      <c r="AL402" s="247"/>
      <c r="AM402" s="257"/>
      <c r="AN402" s="230">
        <f>K402*1.25</f>
        <v>0</v>
      </c>
      <c r="AO402" s="286"/>
      <c r="AP402" s="284">
        <f t="shared" si="148"/>
        <v>0</v>
      </c>
      <c r="AQ402" s="281">
        <f t="shared" si="149"/>
        <v>0</v>
      </c>
      <c r="AR402" s="284">
        <f t="shared" si="150"/>
        <v>0</v>
      </c>
      <c r="AS402" s="281">
        <f t="shared" si="151"/>
        <v>0</v>
      </c>
      <c r="AT402" s="284">
        <f t="shared" si="152"/>
        <v>0</v>
      </c>
      <c r="AU402" s="117"/>
      <c r="AV402" s="117"/>
      <c r="AW402" s="117"/>
      <c r="AX402" s="117"/>
      <c r="AY402" s="117"/>
      <c r="AZ402" s="117"/>
      <c r="BA402" s="117"/>
      <c r="BB402" s="117"/>
      <c r="BC402" s="117"/>
      <c r="BD402" s="117"/>
      <c r="BE402" s="117"/>
      <c r="BF402" s="117"/>
      <c r="BG402" s="117"/>
      <c r="BH402" s="117"/>
      <c r="BI402" s="117"/>
      <c r="BJ402" s="117"/>
      <c r="BK402" s="117"/>
      <c r="BL402" s="117"/>
      <c r="BM402" s="117"/>
      <c r="BN402" s="117"/>
      <c r="BO402" s="117"/>
      <c r="BP402" s="117"/>
      <c r="BQ402" s="117"/>
      <c r="BR402" s="117"/>
      <c r="BS402" s="117"/>
      <c r="BT402" s="117"/>
      <c r="BU402" s="117"/>
      <c r="BV402" s="117"/>
      <c r="BW402" s="117"/>
      <c r="BX402" s="117"/>
      <c r="BY402" s="117"/>
      <c r="BZ402" s="117"/>
      <c r="CA402" s="117"/>
      <c r="CB402" s="117"/>
      <c r="CC402" s="117"/>
      <c r="CD402" s="117"/>
      <c r="CE402" s="117"/>
      <c r="CF402" s="117"/>
      <c r="CG402" s="117"/>
      <c r="CH402" s="117"/>
      <c r="CI402" s="117"/>
      <c r="CJ402" s="117"/>
      <c r="CK402" s="117"/>
      <c r="CL402" s="117"/>
      <c r="CM402" s="117"/>
      <c r="CN402" s="117"/>
      <c r="CO402" s="117"/>
      <c r="CP402" s="117"/>
      <c r="CQ402" s="117"/>
      <c r="CR402" s="117"/>
      <c r="CS402" s="117"/>
    </row>
    <row r="403" spans="1:97" s="116" customFormat="1" ht="192.75" customHeight="1" x14ac:dyDescent="0.8">
      <c r="A403" s="262">
        <f>ROW()</f>
        <v>403</v>
      </c>
      <c r="C403" s="211"/>
      <c r="D403" s="211"/>
      <c r="E403" s="211"/>
      <c r="F403" s="211"/>
      <c r="G403" s="211"/>
      <c r="H403" s="211"/>
      <c r="K403" s="116" t="s">
        <v>452</v>
      </c>
      <c r="M403" s="116" t="s">
        <v>107</v>
      </c>
      <c r="N403" s="116" t="s">
        <v>108</v>
      </c>
      <c r="O403" s="170" t="s">
        <v>386</v>
      </c>
      <c r="P403" s="502" t="s">
        <v>375</v>
      </c>
      <c r="Q403" s="502"/>
      <c r="R403" s="101" t="s">
        <v>452</v>
      </c>
      <c r="S403" s="116" t="s">
        <v>0</v>
      </c>
      <c r="T403" s="118"/>
      <c r="U403" s="116" t="s">
        <v>287</v>
      </c>
      <c r="V403" s="116" t="s">
        <v>288</v>
      </c>
      <c r="W403" s="116" t="s">
        <v>291</v>
      </c>
      <c r="X403" s="140"/>
      <c r="Y403" s="116" t="s">
        <v>289</v>
      </c>
      <c r="Z403" s="116" t="s">
        <v>354</v>
      </c>
      <c r="AA403" s="116" t="s">
        <v>355</v>
      </c>
      <c r="AB403" s="116" t="s">
        <v>317</v>
      </c>
      <c r="AC403" s="116" t="s">
        <v>318</v>
      </c>
      <c r="AD403" s="116" t="s">
        <v>316</v>
      </c>
      <c r="AE403" s="140"/>
      <c r="AF403" s="116" t="s">
        <v>293</v>
      </c>
      <c r="AG403" s="116" t="s">
        <v>354</v>
      </c>
      <c r="AH403" s="116" t="s">
        <v>355</v>
      </c>
      <c r="AI403" s="116" t="s">
        <v>296</v>
      </c>
      <c r="AJ403" s="116" t="s">
        <v>294</v>
      </c>
      <c r="AK403" s="116" t="s">
        <v>295</v>
      </c>
      <c r="AL403" s="140"/>
      <c r="AO403" s="288"/>
      <c r="AP403" s="284">
        <f t="shared" si="148"/>
        <v>0</v>
      </c>
      <c r="AQ403" s="281">
        <f t="shared" si="149"/>
        <v>0</v>
      </c>
      <c r="AR403" s="284">
        <f t="shared" si="150"/>
        <v>0</v>
      </c>
      <c r="AS403" s="281">
        <f t="shared" si="151"/>
        <v>0</v>
      </c>
      <c r="AT403" s="284">
        <f t="shared" si="152"/>
        <v>0</v>
      </c>
    </row>
    <row r="404" spans="1:97" s="114" customFormat="1" ht="40.5" customHeight="1" x14ac:dyDescent="0.8">
      <c r="A404" s="262">
        <f>ROW()</f>
        <v>404</v>
      </c>
      <c r="C404" s="208"/>
      <c r="D404" s="208"/>
      <c r="E404" s="208"/>
      <c r="F404" s="208"/>
      <c r="G404" s="208"/>
      <c r="H404" s="208"/>
      <c r="L404" s="124" t="str">
        <f>VLOOKUP(M404,Sheet2!$D$2:$E$1024,2,FALSE)</f>
        <v>Zero</v>
      </c>
      <c r="M404" s="121">
        <f>I426</f>
        <v>0</v>
      </c>
      <c r="N404" s="132" t="s">
        <v>667</v>
      </c>
      <c r="O404" s="121" t="s">
        <v>347</v>
      </c>
      <c r="P404" s="169" t="s">
        <v>379</v>
      </c>
      <c r="Q404" s="169" t="s">
        <v>375</v>
      </c>
      <c r="R404" s="169"/>
      <c r="S404" s="133">
        <f>M404</f>
        <v>0</v>
      </c>
      <c r="T404" s="119"/>
      <c r="U404" s="121" t="s">
        <v>292</v>
      </c>
      <c r="V404" s="133">
        <f>S404</f>
        <v>0</v>
      </c>
      <c r="W404" s="133">
        <f>VLOOKUP(U404,Sheet1!$B$6:$C$45,2,FALSE)*V404</f>
        <v>0</v>
      </c>
      <c r="X404" s="141"/>
      <c r="Y404" s="121" t="s">
        <v>292</v>
      </c>
      <c r="Z404" s="146">
        <f>VLOOKUP(Takeoffs!Y404,Sheet1!$B$6:$C$124,2,FALSE)</f>
        <v>0</v>
      </c>
      <c r="AA404" s="146">
        <f>Z404*AB404</f>
        <v>0</v>
      </c>
      <c r="AB404" s="143">
        <f>AD404*AC404</f>
        <v>0</v>
      </c>
      <c r="AC404" s="133">
        <f>S404</f>
        <v>0</v>
      </c>
      <c r="AD404" s="142">
        <v>1</v>
      </c>
      <c r="AE404" s="141"/>
      <c r="AF404" s="121" t="s">
        <v>292</v>
      </c>
      <c r="AG404" s="146">
        <f>VLOOKUP(Takeoffs!AF404,Sheet1!$B$6:$C$124,2,FALSE)</f>
        <v>0</v>
      </c>
      <c r="AH404" s="146">
        <f>AG404*AI404</f>
        <v>0</v>
      </c>
      <c r="AI404" s="143">
        <f>AK404*AJ404</f>
        <v>0</v>
      </c>
      <c r="AJ404" s="133">
        <f>S404</f>
        <v>0</v>
      </c>
      <c r="AK404" s="142">
        <f>T404</f>
        <v>0</v>
      </c>
      <c r="AL404" s="141"/>
      <c r="AO404" s="286"/>
      <c r="AP404" s="284">
        <f t="shared" ref="AP404:AP467" si="174">IF(AND(I404&gt;0, ISNUMBER(I404)),I404*P404,0)</f>
        <v>0</v>
      </c>
      <c r="AQ404" s="281">
        <f t="shared" ref="AQ404:AQ467" si="175">IF(AND(I404&gt;0, ISNUMBER(I404)),I404*W404*80,0)</f>
        <v>0</v>
      </c>
      <c r="AR404" s="284">
        <f t="shared" ref="AR404:AR467" si="176">IF(AND(I404&gt;0, ISNUMBER(I404)),I404*AA404,0)</f>
        <v>0</v>
      </c>
      <c r="AS404" s="281">
        <f t="shared" ref="AS404:AS467" si="177">IF(AND(I404&gt;0, ISNUMBER(I404)),I404*AH404,0)</f>
        <v>0</v>
      </c>
      <c r="AT404" s="284">
        <f t="shared" ref="AT404:AT467" si="178">IF(AND(I404&gt;0, ISNUMBER(I404)),I404*(AP404-(AQ404+AR404+AS404)),0)</f>
        <v>0</v>
      </c>
    </row>
    <row r="405" spans="1:97" s="114" customFormat="1" ht="30.9" x14ac:dyDescent="0.8">
      <c r="A405" s="262">
        <f>ROW()</f>
        <v>405</v>
      </c>
      <c r="C405" s="208"/>
      <c r="D405" s="208"/>
      <c r="E405" s="208"/>
      <c r="F405" s="208"/>
      <c r="G405" s="208"/>
      <c r="H405" s="208"/>
      <c r="J405" s="114" t="str">
        <f>IF(COUNTBLANK(Q405)&gt;0,"",CONCATENATE("Coordination Note: - ",P405,": Please refer to our exclusions relating to ",Q405))</f>
        <v/>
      </c>
      <c r="K405" s="114" t="str">
        <f>IF(COUNTBLANK(R405)&gt;0,"",CONCATENATE(R405," for ",N404))</f>
        <v/>
      </c>
      <c r="M405" s="117"/>
      <c r="N405" s="123" t="s">
        <v>113</v>
      </c>
      <c r="O405" s="66" t="s">
        <v>340</v>
      </c>
      <c r="P405" s="121"/>
      <c r="Q405" s="66"/>
      <c r="R405" s="121"/>
      <c r="S405" s="133">
        <f>M404</f>
        <v>0</v>
      </c>
      <c r="T405" s="120"/>
      <c r="U405" s="121" t="s">
        <v>233</v>
      </c>
      <c r="V405" s="133">
        <f t="shared" ref="V405:V424" si="179">S405</f>
        <v>0</v>
      </c>
      <c r="W405" s="133">
        <f>VLOOKUP(U405,Sheet1!$B$6:$C$45,2,FALSE)*V405</f>
        <v>0</v>
      </c>
      <c r="X405" s="141"/>
      <c r="Y405" s="121" t="s">
        <v>292</v>
      </c>
      <c r="Z405" s="146">
        <f>VLOOKUP(Takeoffs!Y405,Sheet1!$B$6:$C$124,2,FALSE)</f>
        <v>0</v>
      </c>
      <c r="AA405" s="146">
        <f t="shared" ref="AA405:AA424" si="180">Z405*AB405</f>
        <v>0</v>
      </c>
      <c r="AB405" s="143">
        <f t="shared" ref="AB405:AB424" si="181">AD405*AC405</f>
        <v>0</v>
      </c>
      <c r="AC405" s="133">
        <f t="shared" ref="AC405:AC424" si="182">S405</f>
        <v>0</v>
      </c>
      <c r="AD405" s="142">
        <v>1</v>
      </c>
      <c r="AE405" s="141"/>
      <c r="AF405" s="121" t="s">
        <v>292</v>
      </c>
      <c r="AG405" s="146">
        <f>VLOOKUP(Takeoffs!AF405,Sheet1!$B$6:$C$124,2,FALSE)</f>
        <v>0</v>
      </c>
      <c r="AH405" s="146">
        <f t="shared" ref="AH405:AH424" si="183">AG405*AI405</f>
        <v>0</v>
      </c>
      <c r="AI405" s="143">
        <f t="shared" ref="AI405:AI424" si="184">AK405*AJ405</f>
        <v>0</v>
      </c>
      <c r="AJ405" s="133">
        <f t="shared" ref="AJ405:AJ424" si="185">S405</f>
        <v>0</v>
      </c>
      <c r="AK405" s="142">
        <f>T405</f>
        <v>0</v>
      </c>
      <c r="AL405" s="141"/>
      <c r="AO405" s="286"/>
      <c r="AP405" s="284">
        <f t="shared" si="174"/>
        <v>0</v>
      </c>
      <c r="AQ405" s="281">
        <f t="shared" si="175"/>
        <v>0</v>
      </c>
      <c r="AR405" s="284">
        <f t="shared" si="176"/>
        <v>0</v>
      </c>
      <c r="AS405" s="281">
        <f t="shared" si="177"/>
        <v>0</v>
      </c>
      <c r="AT405" s="284">
        <f t="shared" si="178"/>
        <v>0</v>
      </c>
    </row>
    <row r="406" spans="1:97" s="114" customFormat="1" ht="30.9" x14ac:dyDescent="0.8">
      <c r="A406" s="262">
        <f>ROW()</f>
        <v>406</v>
      </c>
      <c r="C406" s="208"/>
      <c r="D406" s="208"/>
      <c r="E406" s="208"/>
      <c r="F406" s="208"/>
      <c r="G406" s="208"/>
      <c r="H406" s="208"/>
      <c r="J406" s="114" t="str">
        <f t="shared" ref="J406:J424" si="186">IF(COUNTBLANK(Q406)&gt;0,"",CONCATENATE("Coordination Note: - ",P406,": Please refer to our exclusions relating to ",Q406))</f>
        <v/>
      </c>
      <c r="K406" s="114" t="str">
        <f>IF(COUNTBLANK(R406)&gt;0,"",CONCATENATE(R406," for ",N404))</f>
        <v/>
      </c>
      <c r="M406" s="117"/>
      <c r="N406" s="123" t="s">
        <v>114</v>
      </c>
      <c r="O406" s="66" t="s">
        <v>590</v>
      </c>
      <c r="P406" s="121"/>
      <c r="Q406" s="66"/>
      <c r="R406" s="121"/>
      <c r="S406" s="133">
        <f>M404</f>
        <v>0</v>
      </c>
      <c r="T406" s="120"/>
      <c r="U406" s="117" t="s">
        <v>478</v>
      </c>
      <c r="V406" s="133">
        <f t="shared" si="179"/>
        <v>0</v>
      </c>
      <c r="W406" s="133">
        <f>VLOOKUP(U406,Sheet1!$B$6:$C$45,2,FALSE)*V406</f>
        <v>0</v>
      </c>
      <c r="X406" s="141"/>
      <c r="Y406" s="52" t="s">
        <v>253</v>
      </c>
      <c r="Z406" s="146">
        <f>VLOOKUP(Takeoffs!Y406,Sheet1!$B$6:$C$124,2,FALSE)</f>
        <v>10.139999999999999</v>
      </c>
      <c r="AA406" s="146">
        <f t="shared" si="180"/>
        <v>0</v>
      </c>
      <c r="AB406" s="143">
        <f t="shared" si="181"/>
        <v>0</v>
      </c>
      <c r="AC406" s="133">
        <f t="shared" si="182"/>
        <v>0</v>
      </c>
      <c r="AD406" s="142">
        <v>1</v>
      </c>
      <c r="AE406" s="141"/>
      <c r="AF406" s="122" t="s">
        <v>268</v>
      </c>
      <c r="AG406" s="146">
        <f>VLOOKUP(Takeoffs!AF406,Sheet1!$B$6:$C$124,2,FALSE)</f>
        <v>1.02</v>
      </c>
      <c r="AH406" s="146">
        <f t="shared" si="183"/>
        <v>0</v>
      </c>
      <c r="AI406" s="143">
        <f t="shared" si="184"/>
        <v>0</v>
      </c>
      <c r="AJ406" s="133">
        <f t="shared" si="185"/>
        <v>0</v>
      </c>
      <c r="AK406" s="142">
        <v>5</v>
      </c>
      <c r="AL406" s="141"/>
      <c r="AO406" s="286"/>
      <c r="AP406" s="284">
        <f t="shared" si="174"/>
        <v>0</v>
      </c>
      <c r="AQ406" s="281">
        <f t="shared" si="175"/>
        <v>0</v>
      </c>
      <c r="AR406" s="284">
        <f t="shared" si="176"/>
        <v>0</v>
      </c>
      <c r="AS406" s="281">
        <f t="shared" si="177"/>
        <v>0</v>
      </c>
      <c r="AT406" s="284">
        <f t="shared" si="178"/>
        <v>0</v>
      </c>
    </row>
    <row r="407" spans="1:97" s="114" customFormat="1" ht="30.9" x14ac:dyDescent="0.8">
      <c r="A407" s="262">
        <f>ROW()</f>
        <v>407</v>
      </c>
      <c r="C407" s="208"/>
      <c r="D407" s="208"/>
      <c r="E407" s="208"/>
      <c r="F407" s="208"/>
      <c r="G407" s="208"/>
      <c r="H407" s="208"/>
      <c r="J407" s="114" t="str">
        <f t="shared" si="186"/>
        <v/>
      </c>
      <c r="K407" s="114" t="str">
        <f>IF(COUNTBLANK(R407)&gt;0,"",CONCATENATE(R407," for ",N404))</f>
        <v/>
      </c>
      <c r="M407" s="117"/>
      <c r="N407" s="123" t="s">
        <v>115</v>
      </c>
      <c r="O407" s="66" t="s">
        <v>406</v>
      </c>
      <c r="P407" s="121"/>
      <c r="Q407" s="66"/>
      <c r="R407" s="121"/>
      <c r="S407" s="133">
        <f>M404</f>
        <v>0</v>
      </c>
      <c r="T407" s="120"/>
      <c r="U407" s="121" t="s">
        <v>292</v>
      </c>
      <c r="V407" s="133">
        <f t="shared" si="179"/>
        <v>0</v>
      </c>
      <c r="W407" s="133">
        <f>VLOOKUP(U407,Sheet1!$B$6:$C$45,2,FALSE)*V407</f>
        <v>0</v>
      </c>
      <c r="X407" s="141"/>
      <c r="Y407" s="122" t="s">
        <v>247</v>
      </c>
      <c r="Z407" s="146">
        <f>VLOOKUP(Takeoffs!Y407,Sheet1!$B$6:$C$124,2,FALSE)</f>
        <v>23.76</v>
      </c>
      <c r="AA407" s="146">
        <f t="shared" si="180"/>
        <v>0</v>
      </c>
      <c r="AB407" s="143">
        <f t="shared" si="181"/>
        <v>0</v>
      </c>
      <c r="AC407" s="133">
        <f t="shared" si="182"/>
        <v>0</v>
      </c>
      <c r="AD407" s="142">
        <v>1</v>
      </c>
      <c r="AE407" s="141"/>
      <c r="AF407" s="121" t="s">
        <v>292</v>
      </c>
      <c r="AG407" s="146">
        <f>VLOOKUP(Takeoffs!AF407,Sheet1!$B$6:$C$124,2,FALSE)</f>
        <v>0</v>
      </c>
      <c r="AH407" s="146">
        <f t="shared" si="183"/>
        <v>0</v>
      </c>
      <c r="AI407" s="143">
        <f t="shared" si="184"/>
        <v>0</v>
      </c>
      <c r="AJ407" s="133">
        <f t="shared" si="185"/>
        <v>0</v>
      </c>
      <c r="AK407" s="142">
        <f t="shared" ref="AK407:AK413" si="187">T407</f>
        <v>0</v>
      </c>
      <c r="AL407" s="141"/>
      <c r="AO407" s="286"/>
      <c r="AP407" s="284">
        <f t="shared" si="174"/>
        <v>0</v>
      </c>
      <c r="AQ407" s="281">
        <f t="shared" si="175"/>
        <v>0</v>
      </c>
      <c r="AR407" s="284">
        <f t="shared" si="176"/>
        <v>0</v>
      </c>
      <c r="AS407" s="281">
        <f t="shared" si="177"/>
        <v>0</v>
      </c>
      <c r="AT407" s="284">
        <f t="shared" si="178"/>
        <v>0</v>
      </c>
    </row>
    <row r="408" spans="1:97" s="114" customFormat="1" ht="30.9" x14ac:dyDescent="0.8">
      <c r="A408" s="262">
        <f>ROW()</f>
        <v>408</v>
      </c>
      <c r="C408" s="208"/>
      <c r="D408" s="208"/>
      <c r="E408" s="208"/>
      <c r="F408" s="208"/>
      <c r="G408" s="208"/>
      <c r="H408" s="208"/>
      <c r="J408" s="114" t="str">
        <f t="shared" si="186"/>
        <v/>
      </c>
      <c r="K408" s="114" t="str">
        <f>IF(COUNTBLANK(R408)&gt;0,"",CONCATENATE(R408," for ",N404))</f>
        <v/>
      </c>
      <c r="M408" s="117"/>
      <c r="N408" s="123" t="s">
        <v>116</v>
      </c>
      <c r="O408" s="66"/>
      <c r="P408" s="121"/>
      <c r="Q408" s="66"/>
      <c r="R408" s="121"/>
      <c r="S408" s="133">
        <f>M404</f>
        <v>0</v>
      </c>
      <c r="T408" s="120"/>
      <c r="U408" s="121" t="s">
        <v>292</v>
      </c>
      <c r="V408" s="133">
        <f t="shared" si="179"/>
        <v>0</v>
      </c>
      <c r="W408" s="133">
        <f>VLOOKUP(U408,Sheet1!$B$6:$C$45,2,FALSE)*V408</f>
        <v>0</v>
      </c>
      <c r="X408" s="141"/>
      <c r="Y408" s="121" t="s">
        <v>292</v>
      </c>
      <c r="Z408" s="146">
        <f>VLOOKUP(Takeoffs!Y408,Sheet1!$B$6:$C$124,2,FALSE)</f>
        <v>0</v>
      </c>
      <c r="AA408" s="146">
        <f t="shared" si="180"/>
        <v>0</v>
      </c>
      <c r="AB408" s="143">
        <f t="shared" si="181"/>
        <v>0</v>
      </c>
      <c r="AC408" s="133">
        <f t="shared" si="182"/>
        <v>0</v>
      </c>
      <c r="AD408" s="142">
        <v>1</v>
      </c>
      <c r="AE408" s="141"/>
      <c r="AF408" s="121" t="s">
        <v>292</v>
      </c>
      <c r="AG408" s="146">
        <f>VLOOKUP(Takeoffs!AF408,Sheet1!$B$6:$C$124,2,FALSE)</f>
        <v>0</v>
      </c>
      <c r="AH408" s="146">
        <f t="shared" si="183"/>
        <v>0</v>
      </c>
      <c r="AI408" s="143">
        <f t="shared" si="184"/>
        <v>0</v>
      </c>
      <c r="AJ408" s="133">
        <f t="shared" si="185"/>
        <v>0</v>
      </c>
      <c r="AK408" s="142">
        <f t="shared" si="187"/>
        <v>0</v>
      </c>
      <c r="AL408" s="141"/>
      <c r="AO408" s="286"/>
      <c r="AP408" s="284">
        <f t="shared" si="174"/>
        <v>0</v>
      </c>
      <c r="AQ408" s="281">
        <f t="shared" si="175"/>
        <v>0</v>
      </c>
      <c r="AR408" s="284">
        <f t="shared" si="176"/>
        <v>0</v>
      </c>
      <c r="AS408" s="281">
        <f t="shared" si="177"/>
        <v>0</v>
      </c>
      <c r="AT408" s="284">
        <f t="shared" si="178"/>
        <v>0</v>
      </c>
    </row>
    <row r="409" spans="1:97" s="114" customFormat="1" ht="30.9" x14ac:dyDescent="0.8">
      <c r="A409" s="262">
        <f>ROW()</f>
        <v>409</v>
      </c>
      <c r="C409" s="208"/>
      <c r="D409" s="208"/>
      <c r="E409" s="208"/>
      <c r="F409" s="208"/>
      <c r="G409" s="208"/>
      <c r="H409" s="208"/>
      <c r="J409" s="114" t="str">
        <f t="shared" si="186"/>
        <v/>
      </c>
      <c r="K409" s="114" t="str">
        <f>IF(COUNTBLANK(R409)&gt;0,"",CONCATENATE(R409," for ",N404))</f>
        <v/>
      </c>
      <c r="M409" s="117"/>
      <c r="N409" s="123" t="s">
        <v>117</v>
      </c>
      <c r="O409" s="66"/>
      <c r="P409" s="121"/>
      <c r="Q409" s="66"/>
      <c r="R409" s="121"/>
      <c r="S409" s="133">
        <f>M404</f>
        <v>0</v>
      </c>
      <c r="T409" s="120"/>
      <c r="U409" s="121" t="s">
        <v>292</v>
      </c>
      <c r="V409" s="133">
        <f t="shared" si="179"/>
        <v>0</v>
      </c>
      <c r="W409" s="133">
        <f>VLOOKUP(U409,Sheet1!$B$6:$C$45,2,FALSE)*V409</f>
        <v>0</v>
      </c>
      <c r="X409" s="141"/>
      <c r="Y409" s="121" t="s">
        <v>292</v>
      </c>
      <c r="Z409" s="146">
        <f>VLOOKUP(Takeoffs!Y409,Sheet1!$B$6:$C$124,2,FALSE)</f>
        <v>0</v>
      </c>
      <c r="AA409" s="146">
        <f t="shared" si="180"/>
        <v>0</v>
      </c>
      <c r="AB409" s="143">
        <f t="shared" si="181"/>
        <v>0</v>
      </c>
      <c r="AC409" s="133">
        <f t="shared" si="182"/>
        <v>0</v>
      </c>
      <c r="AD409" s="142">
        <v>1</v>
      </c>
      <c r="AE409" s="141"/>
      <c r="AF409" s="121" t="s">
        <v>292</v>
      </c>
      <c r="AG409" s="146">
        <f>VLOOKUP(Takeoffs!AF409,Sheet1!$B$6:$C$124,2,FALSE)</f>
        <v>0</v>
      </c>
      <c r="AH409" s="146">
        <f t="shared" si="183"/>
        <v>0</v>
      </c>
      <c r="AI409" s="143">
        <f t="shared" si="184"/>
        <v>0</v>
      </c>
      <c r="AJ409" s="133">
        <f t="shared" si="185"/>
        <v>0</v>
      </c>
      <c r="AK409" s="142">
        <f t="shared" si="187"/>
        <v>0</v>
      </c>
      <c r="AL409" s="141"/>
      <c r="AO409" s="286"/>
      <c r="AP409" s="284">
        <f t="shared" si="174"/>
        <v>0</v>
      </c>
      <c r="AQ409" s="281">
        <f t="shared" si="175"/>
        <v>0</v>
      </c>
      <c r="AR409" s="284">
        <f t="shared" si="176"/>
        <v>0</v>
      </c>
      <c r="AS409" s="281">
        <f t="shared" si="177"/>
        <v>0</v>
      </c>
      <c r="AT409" s="284">
        <f t="shared" si="178"/>
        <v>0</v>
      </c>
    </row>
    <row r="410" spans="1:97" s="114" customFormat="1" ht="30.9" x14ac:dyDescent="0.8">
      <c r="A410" s="262">
        <f>ROW()</f>
        <v>410</v>
      </c>
      <c r="C410" s="208"/>
      <c r="D410" s="208"/>
      <c r="E410" s="208"/>
      <c r="F410" s="208"/>
      <c r="G410" s="208"/>
      <c r="H410" s="208"/>
      <c r="J410" s="114" t="str">
        <f t="shared" si="186"/>
        <v/>
      </c>
      <c r="K410" s="114" t="str">
        <f>IF(COUNTBLANK(R410)&gt;0,"",CONCATENATE(R410," for ",N404))</f>
        <v/>
      </c>
      <c r="M410" s="117"/>
      <c r="N410" s="123" t="s">
        <v>118</v>
      </c>
      <c r="O410" s="66"/>
      <c r="P410" s="121"/>
      <c r="Q410" s="66"/>
      <c r="R410" s="121"/>
      <c r="S410" s="133">
        <f>M404</f>
        <v>0</v>
      </c>
      <c r="T410" s="120"/>
      <c r="U410" s="121" t="s">
        <v>292</v>
      </c>
      <c r="V410" s="133">
        <f t="shared" si="179"/>
        <v>0</v>
      </c>
      <c r="W410" s="133">
        <f>VLOOKUP(U410,Sheet1!$B$6:$C$45,2,FALSE)*V410</f>
        <v>0</v>
      </c>
      <c r="X410" s="141"/>
      <c r="Y410" s="121" t="s">
        <v>292</v>
      </c>
      <c r="Z410" s="146">
        <f>VLOOKUP(Takeoffs!Y410,Sheet1!$B$6:$C$124,2,FALSE)</f>
        <v>0</v>
      </c>
      <c r="AA410" s="146">
        <f t="shared" si="180"/>
        <v>0</v>
      </c>
      <c r="AB410" s="143">
        <f t="shared" si="181"/>
        <v>0</v>
      </c>
      <c r="AC410" s="133">
        <f t="shared" si="182"/>
        <v>0</v>
      </c>
      <c r="AD410" s="142">
        <v>1</v>
      </c>
      <c r="AE410" s="141"/>
      <c r="AF410" s="121" t="s">
        <v>292</v>
      </c>
      <c r="AG410" s="146">
        <f>VLOOKUP(Takeoffs!AF410,Sheet1!$B$6:$C$124,2,FALSE)</f>
        <v>0</v>
      </c>
      <c r="AH410" s="146">
        <f t="shared" si="183"/>
        <v>0</v>
      </c>
      <c r="AI410" s="143">
        <f t="shared" si="184"/>
        <v>0</v>
      </c>
      <c r="AJ410" s="133">
        <f t="shared" si="185"/>
        <v>0</v>
      </c>
      <c r="AK410" s="142">
        <f t="shared" si="187"/>
        <v>0</v>
      </c>
      <c r="AL410" s="141"/>
      <c r="AO410" s="286"/>
      <c r="AP410" s="284">
        <f t="shared" si="174"/>
        <v>0</v>
      </c>
      <c r="AQ410" s="281">
        <f t="shared" si="175"/>
        <v>0</v>
      </c>
      <c r="AR410" s="284">
        <f t="shared" si="176"/>
        <v>0</v>
      </c>
      <c r="AS410" s="281">
        <f t="shared" si="177"/>
        <v>0</v>
      </c>
      <c r="AT410" s="284">
        <f t="shared" si="178"/>
        <v>0</v>
      </c>
    </row>
    <row r="411" spans="1:97" s="114" customFormat="1" ht="30.9" x14ac:dyDescent="0.8">
      <c r="A411" s="262">
        <f>ROW()</f>
        <v>411</v>
      </c>
      <c r="C411" s="208"/>
      <c r="D411" s="208"/>
      <c r="E411" s="208"/>
      <c r="F411" s="208"/>
      <c r="G411" s="208"/>
      <c r="H411" s="208"/>
      <c r="J411" s="114" t="str">
        <f t="shared" si="186"/>
        <v/>
      </c>
      <c r="K411" s="114" t="str">
        <f>IF(COUNTBLANK(R411)&gt;0,"",CONCATENATE(R411," for ",N404))</f>
        <v/>
      </c>
      <c r="N411" s="123" t="s">
        <v>119</v>
      </c>
      <c r="O411" s="66"/>
      <c r="P411" s="121"/>
      <c r="Q411" s="66"/>
      <c r="R411" s="121"/>
      <c r="S411" s="133">
        <f>M404</f>
        <v>0</v>
      </c>
      <c r="T411" s="120"/>
      <c r="U411" s="121" t="s">
        <v>292</v>
      </c>
      <c r="V411" s="133">
        <f t="shared" si="179"/>
        <v>0</v>
      </c>
      <c r="W411" s="133">
        <f>VLOOKUP(U411,Sheet1!$B$6:$C$45,2,FALSE)*V411</f>
        <v>0</v>
      </c>
      <c r="X411" s="141"/>
      <c r="Y411" s="121" t="s">
        <v>292</v>
      </c>
      <c r="Z411" s="146">
        <f>VLOOKUP(Takeoffs!Y411,Sheet1!$B$6:$C$124,2,FALSE)</f>
        <v>0</v>
      </c>
      <c r="AA411" s="146">
        <f t="shared" si="180"/>
        <v>0</v>
      </c>
      <c r="AB411" s="143">
        <f t="shared" si="181"/>
        <v>0</v>
      </c>
      <c r="AC411" s="133">
        <f t="shared" si="182"/>
        <v>0</v>
      </c>
      <c r="AD411" s="142">
        <v>1</v>
      </c>
      <c r="AE411" s="141"/>
      <c r="AF411" s="121" t="s">
        <v>292</v>
      </c>
      <c r="AG411" s="146">
        <f>VLOOKUP(Takeoffs!AF411,Sheet1!$B$6:$C$124,2,FALSE)</f>
        <v>0</v>
      </c>
      <c r="AH411" s="146">
        <f t="shared" si="183"/>
        <v>0</v>
      </c>
      <c r="AI411" s="143">
        <f t="shared" si="184"/>
        <v>0</v>
      </c>
      <c r="AJ411" s="133">
        <f t="shared" si="185"/>
        <v>0</v>
      </c>
      <c r="AK411" s="142">
        <f t="shared" si="187"/>
        <v>0</v>
      </c>
      <c r="AL411" s="141"/>
      <c r="AO411" s="286"/>
      <c r="AP411" s="284">
        <f t="shared" si="174"/>
        <v>0</v>
      </c>
      <c r="AQ411" s="281">
        <f t="shared" si="175"/>
        <v>0</v>
      </c>
      <c r="AR411" s="284">
        <f t="shared" si="176"/>
        <v>0</v>
      </c>
      <c r="AS411" s="281">
        <f t="shared" si="177"/>
        <v>0</v>
      </c>
      <c r="AT411" s="284">
        <f t="shared" si="178"/>
        <v>0</v>
      </c>
    </row>
    <row r="412" spans="1:97" s="114" customFormat="1" ht="30.9" x14ac:dyDescent="0.8">
      <c r="A412" s="262">
        <f>ROW()</f>
        <v>412</v>
      </c>
      <c r="C412" s="208"/>
      <c r="D412" s="208"/>
      <c r="E412" s="208"/>
      <c r="F412" s="208"/>
      <c r="G412" s="208"/>
      <c r="H412" s="208"/>
      <c r="J412" s="114" t="str">
        <f t="shared" si="186"/>
        <v/>
      </c>
      <c r="K412" s="114" t="str">
        <f>IF(COUNTBLANK(R412)&gt;0,"",CONCATENATE(R412," for ",N404))</f>
        <v/>
      </c>
      <c r="N412" s="123" t="s">
        <v>120</v>
      </c>
      <c r="O412" s="66" t="s">
        <v>328</v>
      </c>
      <c r="P412" s="121"/>
      <c r="Q412" s="66"/>
      <c r="R412" s="121"/>
      <c r="S412" s="133">
        <f>M404</f>
        <v>0</v>
      </c>
      <c r="T412" s="120"/>
      <c r="U412" s="121" t="s">
        <v>242</v>
      </c>
      <c r="V412" s="133">
        <f t="shared" si="179"/>
        <v>0</v>
      </c>
      <c r="W412" s="133">
        <f>VLOOKUP(U412,Sheet1!$B$6:$C$45,2,FALSE)*V412</f>
        <v>0</v>
      </c>
      <c r="X412" s="141"/>
      <c r="Y412" s="121" t="s">
        <v>292</v>
      </c>
      <c r="Z412" s="146">
        <f>VLOOKUP(Takeoffs!Y412,Sheet1!$B$6:$C$124,2,FALSE)</f>
        <v>0</v>
      </c>
      <c r="AA412" s="146">
        <f t="shared" si="180"/>
        <v>0</v>
      </c>
      <c r="AB412" s="143">
        <f t="shared" si="181"/>
        <v>0</v>
      </c>
      <c r="AC412" s="133">
        <f t="shared" si="182"/>
        <v>0</v>
      </c>
      <c r="AD412" s="142">
        <v>1</v>
      </c>
      <c r="AE412" s="141"/>
      <c r="AF412" s="121" t="s">
        <v>292</v>
      </c>
      <c r="AG412" s="146">
        <f>VLOOKUP(Takeoffs!AF412,Sheet1!$B$6:$C$124,2,FALSE)</f>
        <v>0</v>
      </c>
      <c r="AH412" s="146">
        <f t="shared" si="183"/>
        <v>0</v>
      </c>
      <c r="AI412" s="143">
        <f t="shared" si="184"/>
        <v>0</v>
      </c>
      <c r="AJ412" s="133">
        <f t="shared" si="185"/>
        <v>0</v>
      </c>
      <c r="AK412" s="142">
        <f t="shared" si="187"/>
        <v>0</v>
      </c>
      <c r="AL412" s="141"/>
      <c r="AO412" s="286"/>
      <c r="AP412" s="284">
        <f t="shared" si="174"/>
        <v>0</v>
      </c>
      <c r="AQ412" s="281">
        <f t="shared" si="175"/>
        <v>0</v>
      </c>
      <c r="AR412" s="284">
        <f t="shared" si="176"/>
        <v>0</v>
      </c>
      <c r="AS412" s="281">
        <f t="shared" si="177"/>
        <v>0</v>
      </c>
      <c r="AT412" s="284">
        <f t="shared" si="178"/>
        <v>0</v>
      </c>
    </row>
    <row r="413" spans="1:97" s="114" customFormat="1" ht="30.9" x14ac:dyDescent="0.8">
      <c r="A413" s="262">
        <f>ROW()</f>
        <v>413</v>
      </c>
      <c r="C413" s="208"/>
      <c r="D413" s="208"/>
      <c r="E413" s="208"/>
      <c r="F413" s="208"/>
      <c r="G413" s="208"/>
      <c r="H413" s="208"/>
      <c r="J413" s="114" t="str">
        <f t="shared" si="186"/>
        <v/>
      </c>
      <c r="K413" s="114" t="str">
        <f>IF(COUNTBLANK(R413)&gt;0,"",CONCATENATE(R413," for ",N404))</f>
        <v/>
      </c>
      <c r="N413" s="123" t="s">
        <v>121</v>
      </c>
      <c r="O413" s="66"/>
      <c r="P413" s="121"/>
      <c r="Q413" s="66"/>
      <c r="R413" s="121"/>
      <c r="S413" s="133">
        <f>M404</f>
        <v>0</v>
      </c>
      <c r="T413" s="120"/>
      <c r="U413" s="121" t="s">
        <v>292</v>
      </c>
      <c r="V413" s="133">
        <f t="shared" si="179"/>
        <v>0</v>
      </c>
      <c r="W413" s="133">
        <f>VLOOKUP(U413,Sheet1!$B$6:$C$45,2,FALSE)*V413</f>
        <v>0</v>
      </c>
      <c r="X413" s="141"/>
      <c r="Y413" s="121" t="s">
        <v>292</v>
      </c>
      <c r="Z413" s="146">
        <f>VLOOKUP(Takeoffs!Y413,Sheet1!$B$6:$C$124,2,FALSE)</f>
        <v>0</v>
      </c>
      <c r="AA413" s="146">
        <f t="shared" si="180"/>
        <v>0</v>
      </c>
      <c r="AB413" s="143">
        <f t="shared" si="181"/>
        <v>0</v>
      </c>
      <c r="AC413" s="133">
        <f t="shared" si="182"/>
        <v>0</v>
      </c>
      <c r="AD413" s="142">
        <v>1</v>
      </c>
      <c r="AE413" s="141"/>
      <c r="AF413" s="121" t="s">
        <v>292</v>
      </c>
      <c r="AG413" s="146">
        <f>VLOOKUP(Takeoffs!AF413,Sheet1!$B$6:$C$124,2,FALSE)</f>
        <v>0</v>
      </c>
      <c r="AH413" s="146">
        <f t="shared" si="183"/>
        <v>0</v>
      </c>
      <c r="AI413" s="143">
        <f t="shared" si="184"/>
        <v>0</v>
      </c>
      <c r="AJ413" s="133">
        <f t="shared" si="185"/>
        <v>0</v>
      </c>
      <c r="AK413" s="142">
        <f t="shared" si="187"/>
        <v>0</v>
      </c>
      <c r="AL413" s="141"/>
      <c r="AO413" s="286"/>
      <c r="AP413" s="284">
        <f t="shared" si="174"/>
        <v>0</v>
      </c>
      <c r="AQ413" s="281">
        <f t="shared" si="175"/>
        <v>0</v>
      </c>
      <c r="AR413" s="284">
        <f t="shared" si="176"/>
        <v>0</v>
      </c>
      <c r="AS413" s="281">
        <f t="shared" si="177"/>
        <v>0</v>
      </c>
      <c r="AT413" s="284">
        <f t="shared" si="178"/>
        <v>0</v>
      </c>
    </row>
    <row r="414" spans="1:97" s="114" customFormat="1" ht="30.9" x14ac:dyDescent="0.8">
      <c r="A414" s="262">
        <f>ROW()</f>
        <v>414</v>
      </c>
      <c r="C414" s="208"/>
      <c r="D414" s="208"/>
      <c r="E414" s="208"/>
      <c r="F414" s="208"/>
      <c r="G414" s="208"/>
      <c r="H414" s="208"/>
      <c r="J414" s="114" t="str">
        <f t="shared" si="186"/>
        <v/>
      </c>
      <c r="K414" s="114" t="str">
        <f>IF(COUNTBLANK(R414)&gt;0,"",CONCATENATE(R414," for ",N404))</f>
        <v/>
      </c>
      <c r="N414" s="123" t="s">
        <v>122</v>
      </c>
      <c r="O414" s="66"/>
      <c r="P414" s="121"/>
      <c r="Q414" s="66"/>
      <c r="R414" s="121"/>
      <c r="S414" s="133">
        <f>M404</f>
        <v>0</v>
      </c>
      <c r="T414" s="120"/>
      <c r="U414" s="121" t="s">
        <v>292</v>
      </c>
      <c r="V414" s="133">
        <f t="shared" si="179"/>
        <v>0</v>
      </c>
      <c r="W414" s="133">
        <f>VLOOKUP(U414,Sheet1!$B$6:$C$45,2,FALSE)*V414</f>
        <v>0</v>
      </c>
      <c r="X414" s="141"/>
      <c r="Y414" s="121" t="s">
        <v>292</v>
      </c>
      <c r="Z414" s="146">
        <f>VLOOKUP(Takeoffs!Y414,Sheet1!$B$6:$C$124,2,FALSE)</f>
        <v>0</v>
      </c>
      <c r="AA414" s="146">
        <f t="shared" si="180"/>
        <v>0</v>
      </c>
      <c r="AB414" s="143">
        <f t="shared" si="181"/>
        <v>0</v>
      </c>
      <c r="AC414" s="133">
        <f t="shared" si="182"/>
        <v>0</v>
      </c>
      <c r="AD414" s="142">
        <v>1</v>
      </c>
      <c r="AE414" s="141"/>
      <c r="AF414" s="121" t="s">
        <v>292</v>
      </c>
      <c r="AG414" s="146">
        <f>VLOOKUP(Takeoffs!AF414,Sheet1!$B$6:$C$124,2,FALSE)</f>
        <v>0</v>
      </c>
      <c r="AH414" s="146">
        <f t="shared" si="183"/>
        <v>0</v>
      </c>
      <c r="AI414" s="143">
        <f t="shared" si="184"/>
        <v>0</v>
      </c>
      <c r="AJ414" s="133">
        <f t="shared" si="185"/>
        <v>0</v>
      </c>
      <c r="AK414" s="142">
        <f>T414</f>
        <v>0</v>
      </c>
      <c r="AL414" s="141"/>
      <c r="AO414" s="286"/>
      <c r="AP414" s="284">
        <f t="shared" si="174"/>
        <v>0</v>
      </c>
      <c r="AQ414" s="281">
        <f t="shared" si="175"/>
        <v>0</v>
      </c>
      <c r="AR414" s="284">
        <f t="shared" si="176"/>
        <v>0</v>
      </c>
      <c r="AS414" s="281">
        <f t="shared" si="177"/>
        <v>0</v>
      </c>
      <c r="AT414" s="284">
        <f t="shared" si="178"/>
        <v>0</v>
      </c>
    </row>
    <row r="415" spans="1:97" s="114" customFormat="1" ht="30.9" x14ac:dyDescent="0.8">
      <c r="A415" s="262">
        <f>ROW()</f>
        <v>415</v>
      </c>
      <c r="C415" s="208"/>
      <c r="D415" s="208"/>
      <c r="E415" s="208"/>
      <c r="F415" s="208"/>
      <c r="G415" s="208"/>
      <c r="H415" s="208"/>
      <c r="J415" s="114" t="str">
        <f t="shared" si="186"/>
        <v/>
      </c>
      <c r="K415" s="114" t="str">
        <f>IF(COUNTBLANK(R415)&gt;0,"",CONCATENATE(R415," for ",N404))</f>
        <v/>
      </c>
      <c r="N415" s="123" t="s">
        <v>123</v>
      </c>
      <c r="O415" s="66"/>
      <c r="P415" s="121"/>
      <c r="Q415" s="66"/>
      <c r="R415" s="121"/>
      <c r="S415" s="133">
        <f>M404</f>
        <v>0</v>
      </c>
      <c r="T415" s="120"/>
      <c r="U415" s="121" t="s">
        <v>292</v>
      </c>
      <c r="V415" s="133">
        <f t="shared" si="179"/>
        <v>0</v>
      </c>
      <c r="W415" s="133">
        <f>VLOOKUP(U415,Sheet1!$B$6:$C$45,2,FALSE)*V415</f>
        <v>0</v>
      </c>
      <c r="X415" s="141"/>
      <c r="Y415" s="121" t="s">
        <v>292</v>
      </c>
      <c r="Z415" s="146">
        <f>VLOOKUP(Takeoffs!Y415,Sheet1!$B$6:$C$124,2,FALSE)</f>
        <v>0</v>
      </c>
      <c r="AA415" s="146">
        <f t="shared" si="180"/>
        <v>0</v>
      </c>
      <c r="AB415" s="143">
        <f t="shared" si="181"/>
        <v>0</v>
      </c>
      <c r="AC415" s="133">
        <f t="shared" si="182"/>
        <v>0</v>
      </c>
      <c r="AD415" s="142">
        <v>1</v>
      </c>
      <c r="AE415" s="141"/>
      <c r="AF415" s="121" t="s">
        <v>292</v>
      </c>
      <c r="AG415" s="146">
        <f>VLOOKUP(Takeoffs!AF415,Sheet1!$B$6:$C$124,2,FALSE)</f>
        <v>0</v>
      </c>
      <c r="AH415" s="146">
        <f t="shared" si="183"/>
        <v>0</v>
      </c>
      <c r="AI415" s="143">
        <f t="shared" si="184"/>
        <v>0</v>
      </c>
      <c r="AJ415" s="133">
        <f t="shared" si="185"/>
        <v>0</v>
      </c>
      <c r="AK415" s="142">
        <v>0</v>
      </c>
      <c r="AL415" s="141"/>
      <c r="AO415" s="286"/>
      <c r="AP415" s="284">
        <f t="shared" si="174"/>
        <v>0</v>
      </c>
      <c r="AQ415" s="281">
        <f t="shared" si="175"/>
        <v>0</v>
      </c>
      <c r="AR415" s="284">
        <f t="shared" si="176"/>
        <v>0</v>
      </c>
      <c r="AS415" s="281">
        <f t="shared" si="177"/>
        <v>0</v>
      </c>
      <c r="AT415" s="284">
        <f t="shared" si="178"/>
        <v>0</v>
      </c>
    </row>
    <row r="416" spans="1:97" s="114" customFormat="1" ht="30.9" x14ac:dyDescent="0.8">
      <c r="A416" s="262">
        <f>ROW()</f>
        <v>416</v>
      </c>
      <c r="C416" s="208"/>
      <c r="D416" s="208"/>
      <c r="E416" s="208"/>
      <c r="F416" s="208"/>
      <c r="G416" s="208"/>
      <c r="H416" s="208"/>
      <c r="J416" s="114" t="str">
        <f t="shared" si="186"/>
        <v/>
      </c>
      <c r="K416" s="114" t="str">
        <f>IF(COUNTBLANK(R416)&gt;0,"",CONCATENATE(R416," for ",N404))</f>
        <v/>
      </c>
      <c r="N416" s="123" t="s">
        <v>124</v>
      </c>
      <c r="O416" s="66" t="s">
        <v>140</v>
      </c>
      <c r="P416" s="121"/>
      <c r="Q416" s="66"/>
      <c r="R416" s="121"/>
      <c r="S416" s="133">
        <f>M404</f>
        <v>0</v>
      </c>
      <c r="T416" s="120"/>
      <c r="U416" s="121" t="s">
        <v>292</v>
      </c>
      <c r="V416" s="133">
        <f t="shared" si="179"/>
        <v>0</v>
      </c>
      <c r="W416" s="133">
        <f>VLOOKUP(U416,Sheet1!$B$6:$C$45,2,FALSE)*V416</f>
        <v>0</v>
      </c>
      <c r="X416" s="141"/>
      <c r="Y416" s="121" t="s">
        <v>292</v>
      </c>
      <c r="Z416" s="146">
        <f>VLOOKUP(Takeoffs!Y416,Sheet1!$B$6:$C$124,2,FALSE)</f>
        <v>0</v>
      </c>
      <c r="AA416" s="146">
        <f t="shared" si="180"/>
        <v>0</v>
      </c>
      <c r="AB416" s="143">
        <f t="shared" si="181"/>
        <v>0</v>
      </c>
      <c r="AC416" s="133">
        <f t="shared" si="182"/>
        <v>0</v>
      </c>
      <c r="AD416" s="142">
        <v>1</v>
      </c>
      <c r="AE416" s="141"/>
      <c r="AF416" s="152" t="s">
        <v>418</v>
      </c>
      <c r="AG416" s="146">
        <f>VLOOKUP(Takeoffs!AF416,Sheet1!$B$6:$C$124,2,FALSE)</f>
        <v>0.33600000000000002</v>
      </c>
      <c r="AH416" s="146">
        <f t="shared" si="183"/>
        <v>0</v>
      </c>
      <c r="AI416" s="143">
        <f t="shared" si="184"/>
        <v>0</v>
      </c>
      <c r="AJ416" s="133">
        <f t="shared" si="185"/>
        <v>0</v>
      </c>
      <c r="AK416" s="142">
        <v>1</v>
      </c>
      <c r="AL416" s="141"/>
      <c r="AO416" s="286"/>
      <c r="AP416" s="284">
        <f t="shared" si="174"/>
        <v>0</v>
      </c>
      <c r="AQ416" s="281">
        <f t="shared" si="175"/>
        <v>0</v>
      </c>
      <c r="AR416" s="284">
        <f t="shared" si="176"/>
        <v>0</v>
      </c>
      <c r="AS416" s="281">
        <f t="shared" si="177"/>
        <v>0</v>
      </c>
      <c r="AT416" s="284">
        <f t="shared" si="178"/>
        <v>0</v>
      </c>
    </row>
    <row r="417" spans="1:97" s="114" customFormat="1" ht="30.9" x14ac:dyDescent="0.8">
      <c r="A417" s="262">
        <f>ROW()</f>
        <v>417</v>
      </c>
      <c r="C417" s="208"/>
      <c r="D417" s="208"/>
      <c r="E417" s="208"/>
      <c r="F417" s="208"/>
      <c r="G417" s="208"/>
      <c r="H417" s="208"/>
      <c r="J417" s="114" t="str">
        <f t="shared" si="186"/>
        <v/>
      </c>
      <c r="K417" s="114" t="str">
        <f>IF(COUNTBLANK(R417)&gt;0,"",CONCATENATE(R417," for ",N404))</f>
        <v/>
      </c>
      <c r="N417" s="123" t="s">
        <v>125</v>
      </c>
      <c r="O417" s="66" t="s">
        <v>312</v>
      </c>
      <c r="P417" s="121"/>
      <c r="Q417" s="66"/>
      <c r="R417" s="121"/>
      <c r="S417" s="133">
        <f>M404</f>
        <v>0</v>
      </c>
      <c r="T417" s="120"/>
      <c r="U417" s="121" t="s">
        <v>232</v>
      </c>
      <c r="V417" s="133">
        <f t="shared" si="179"/>
        <v>0</v>
      </c>
      <c r="W417" s="133">
        <f>VLOOKUP(U417,Sheet1!$B$6:$C$45,2,FALSE)*V417</f>
        <v>0</v>
      </c>
      <c r="X417" s="141"/>
      <c r="Y417" s="122" t="s">
        <v>1345</v>
      </c>
      <c r="Z417" s="146">
        <f>VLOOKUP(Takeoffs!Y417,Sheet1!$B$6:$C$124,2,FALSE)</f>
        <v>109.25999999999999</v>
      </c>
      <c r="AA417" s="146">
        <f t="shared" si="180"/>
        <v>0</v>
      </c>
      <c r="AB417" s="143">
        <f t="shared" si="181"/>
        <v>0</v>
      </c>
      <c r="AC417" s="133">
        <f t="shared" si="182"/>
        <v>0</v>
      </c>
      <c r="AD417" s="142">
        <v>1</v>
      </c>
      <c r="AE417" s="141"/>
      <c r="AF417" s="121" t="s">
        <v>292</v>
      </c>
      <c r="AG417" s="146">
        <f>VLOOKUP(Takeoffs!AF417,Sheet1!$B$6:$C$124,2,FALSE)</f>
        <v>0</v>
      </c>
      <c r="AH417" s="146">
        <f t="shared" si="183"/>
        <v>0</v>
      </c>
      <c r="AI417" s="143">
        <f t="shared" si="184"/>
        <v>0</v>
      </c>
      <c r="AJ417" s="133">
        <f t="shared" si="185"/>
        <v>0</v>
      </c>
      <c r="AK417" s="142">
        <f t="shared" ref="AK417:AK424" si="188">T417</f>
        <v>0</v>
      </c>
      <c r="AL417" s="141"/>
      <c r="AO417" s="286"/>
      <c r="AP417" s="284">
        <f t="shared" si="174"/>
        <v>0</v>
      </c>
      <c r="AQ417" s="281">
        <f t="shared" si="175"/>
        <v>0</v>
      </c>
      <c r="AR417" s="284">
        <f t="shared" si="176"/>
        <v>0</v>
      </c>
      <c r="AS417" s="281">
        <f t="shared" si="177"/>
        <v>0</v>
      </c>
      <c r="AT417" s="284">
        <f t="shared" si="178"/>
        <v>0</v>
      </c>
    </row>
    <row r="418" spans="1:97" s="114" customFormat="1" ht="30.9" x14ac:dyDescent="0.8">
      <c r="A418" s="262">
        <f>ROW()</f>
        <v>418</v>
      </c>
      <c r="C418" s="208"/>
      <c r="D418" s="208"/>
      <c r="E418" s="208"/>
      <c r="F418" s="208"/>
      <c r="G418" s="208"/>
      <c r="H418" s="208"/>
      <c r="J418" s="114" t="str">
        <f t="shared" si="186"/>
        <v/>
      </c>
      <c r="K418" s="114" t="str">
        <f>IF(COUNTBLANK(R418)&gt;0,"",CONCATENATE(R418," for ",N404))</f>
        <v/>
      </c>
      <c r="N418" s="123" t="s">
        <v>126</v>
      </c>
      <c r="O418" s="66" t="s">
        <v>541</v>
      </c>
      <c r="P418" s="121"/>
      <c r="Q418" s="66"/>
      <c r="R418" s="121"/>
      <c r="S418" s="133">
        <f>M404</f>
        <v>0</v>
      </c>
      <c r="T418" s="120"/>
      <c r="U418" s="121" t="s">
        <v>292</v>
      </c>
      <c r="V418" s="133">
        <f t="shared" si="179"/>
        <v>0</v>
      </c>
      <c r="W418" s="133">
        <f>VLOOKUP(U418,Sheet1!$B$6:$C$45,2,FALSE)*V418</f>
        <v>0</v>
      </c>
      <c r="X418" s="141"/>
      <c r="Y418" s="122" t="s">
        <v>326</v>
      </c>
      <c r="Z418" s="146">
        <f>VLOOKUP(Takeoffs!Y418,Sheet1!$B$6:$C$124,2,FALSE)</f>
        <v>29.04</v>
      </c>
      <c r="AA418" s="146">
        <f t="shared" si="180"/>
        <v>0</v>
      </c>
      <c r="AB418" s="143">
        <f t="shared" si="181"/>
        <v>0</v>
      </c>
      <c r="AC418" s="133">
        <f t="shared" si="182"/>
        <v>0</v>
      </c>
      <c r="AD418" s="142">
        <v>1</v>
      </c>
      <c r="AE418" s="141"/>
      <c r="AF418" s="121" t="s">
        <v>292</v>
      </c>
      <c r="AG418" s="146">
        <f>VLOOKUP(Takeoffs!AF418,Sheet1!$B$6:$C$124,2,FALSE)</f>
        <v>0</v>
      </c>
      <c r="AH418" s="146">
        <f t="shared" si="183"/>
        <v>0</v>
      </c>
      <c r="AI418" s="143">
        <f t="shared" si="184"/>
        <v>0</v>
      </c>
      <c r="AJ418" s="133">
        <f t="shared" si="185"/>
        <v>0</v>
      </c>
      <c r="AK418" s="142">
        <f t="shared" si="188"/>
        <v>0</v>
      </c>
      <c r="AL418" s="141"/>
      <c r="AO418" s="286"/>
      <c r="AP418" s="284">
        <f t="shared" si="174"/>
        <v>0</v>
      </c>
      <c r="AQ418" s="281">
        <f t="shared" si="175"/>
        <v>0</v>
      </c>
      <c r="AR418" s="284">
        <f t="shared" si="176"/>
        <v>0</v>
      </c>
      <c r="AS418" s="281">
        <f t="shared" si="177"/>
        <v>0</v>
      </c>
      <c r="AT418" s="284">
        <f t="shared" si="178"/>
        <v>0</v>
      </c>
    </row>
    <row r="419" spans="1:97" s="114" customFormat="1" ht="30.9" x14ac:dyDescent="0.8">
      <c r="A419" s="262">
        <f>ROW()</f>
        <v>419</v>
      </c>
      <c r="C419" s="208"/>
      <c r="D419" s="208"/>
      <c r="E419" s="208"/>
      <c r="F419" s="208"/>
      <c r="G419" s="208"/>
      <c r="H419" s="208"/>
      <c r="J419" s="114" t="str">
        <f t="shared" si="186"/>
        <v/>
      </c>
      <c r="K419" s="114" t="str">
        <f>IF(COUNTBLANK(R419)&gt;0,"",CONCATENATE(R419," for ",N404))</f>
        <v>run and fault lights for DOL fan with interlock with reed switch - from MSSB power supply</v>
      </c>
      <c r="N419" s="123" t="s">
        <v>127</v>
      </c>
      <c r="O419" s="66" t="s">
        <v>337</v>
      </c>
      <c r="P419" s="121"/>
      <c r="Q419" s="66"/>
      <c r="R419" s="121" t="s">
        <v>331</v>
      </c>
      <c r="S419" s="133">
        <f>M404</f>
        <v>0</v>
      </c>
      <c r="T419" s="120"/>
      <c r="U419" s="121" t="s">
        <v>292</v>
      </c>
      <c r="V419" s="133">
        <f t="shared" si="179"/>
        <v>0</v>
      </c>
      <c r="W419" s="133">
        <f>VLOOKUP(U419,Sheet1!$B$6:$C$45,2,FALSE)*V419</f>
        <v>0</v>
      </c>
      <c r="X419" s="141"/>
      <c r="Y419" s="122" t="s">
        <v>280</v>
      </c>
      <c r="Z419" s="146">
        <f>VLOOKUP(Takeoffs!Y419,Sheet1!$B$6:$C$124,2,FALSE)</f>
        <v>19.2</v>
      </c>
      <c r="AA419" s="146">
        <f t="shared" si="180"/>
        <v>0</v>
      </c>
      <c r="AB419" s="143">
        <f t="shared" si="181"/>
        <v>0</v>
      </c>
      <c r="AC419" s="133">
        <f t="shared" si="182"/>
        <v>0</v>
      </c>
      <c r="AD419" s="142">
        <v>2</v>
      </c>
      <c r="AE419" s="141"/>
      <c r="AF419" s="121" t="s">
        <v>292</v>
      </c>
      <c r="AG419" s="146">
        <f>VLOOKUP(Takeoffs!AF419,Sheet1!$B$6:$C$124,2,FALSE)</f>
        <v>0</v>
      </c>
      <c r="AH419" s="146">
        <f t="shared" si="183"/>
        <v>0</v>
      </c>
      <c r="AI419" s="143">
        <f t="shared" si="184"/>
        <v>0</v>
      </c>
      <c r="AJ419" s="133">
        <f t="shared" si="185"/>
        <v>0</v>
      </c>
      <c r="AK419" s="142">
        <f t="shared" si="188"/>
        <v>0</v>
      </c>
      <c r="AL419" s="141"/>
      <c r="AO419" s="286"/>
      <c r="AP419" s="284">
        <f t="shared" si="174"/>
        <v>0</v>
      </c>
      <c r="AQ419" s="281">
        <f t="shared" si="175"/>
        <v>0</v>
      </c>
      <c r="AR419" s="284">
        <f t="shared" si="176"/>
        <v>0</v>
      </c>
      <c r="AS419" s="281">
        <f t="shared" si="177"/>
        <v>0</v>
      </c>
      <c r="AT419" s="284">
        <f t="shared" si="178"/>
        <v>0</v>
      </c>
    </row>
    <row r="420" spans="1:97" s="114" customFormat="1" ht="30.9" x14ac:dyDescent="0.8">
      <c r="A420" s="262">
        <f>ROW()</f>
        <v>420</v>
      </c>
      <c r="C420" s="208"/>
      <c r="D420" s="208"/>
      <c r="E420" s="208"/>
      <c r="F420" s="208"/>
      <c r="G420" s="208"/>
      <c r="H420" s="208"/>
      <c r="J420" s="114" t="str">
        <f t="shared" si="186"/>
        <v/>
      </c>
      <c r="K420" s="114" t="str">
        <f>IF(COUNTBLANK(R420)&gt;0,"",CONCATENATE(R420," for ",N404))</f>
        <v/>
      </c>
      <c r="N420" s="123" t="s">
        <v>128</v>
      </c>
      <c r="O420" s="66" t="s">
        <v>668</v>
      </c>
      <c r="P420" s="121"/>
      <c r="Q420" s="66"/>
      <c r="R420" s="121"/>
      <c r="S420" s="133">
        <f>M404</f>
        <v>0</v>
      </c>
      <c r="T420" s="120"/>
      <c r="U420" s="121" t="s">
        <v>292</v>
      </c>
      <c r="V420" s="133">
        <f t="shared" si="179"/>
        <v>0</v>
      </c>
      <c r="W420" s="133">
        <f>VLOOKUP(U420,Sheet1!$B$6:$C$45,2,FALSE)*V420</f>
        <v>0</v>
      </c>
      <c r="X420" s="141"/>
      <c r="Y420" s="121" t="s">
        <v>669</v>
      </c>
      <c r="Z420" s="146">
        <f>VLOOKUP(Takeoffs!Y420,Sheet1!$B$6:$C$124,2,FALSE)</f>
        <v>60</v>
      </c>
      <c r="AA420" s="146">
        <f t="shared" si="180"/>
        <v>0</v>
      </c>
      <c r="AB420" s="143">
        <f t="shared" si="181"/>
        <v>0</v>
      </c>
      <c r="AC420" s="133">
        <f t="shared" si="182"/>
        <v>0</v>
      </c>
      <c r="AD420" s="142">
        <v>1</v>
      </c>
      <c r="AE420" s="141"/>
      <c r="AF420" s="121" t="s">
        <v>292</v>
      </c>
      <c r="AG420" s="146">
        <f>VLOOKUP(Takeoffs!AF420,Sheet1!$B$6:$C$124,2,FALSE)</f>
        <v>0</v>
      </c>
      <c r="AH420" s="146">
        <f t="shared" si="183"/>
        <v>0</v>
      </c>
      <c r="AI420" s="143">
        <f t="shared" si="184"/>
        <v>0</v>
      </c>
      <c r="AJ420" s="133">
        <f t="shared" si="185"/>
        <v>0</v>
      </c>
      <c r="AK420" s="142">
        <f t="shared" si="188"/>
        <v>0</v>
      </c>
      <c r="AL420" s="141"/>
      <c r="AO420" s="286"/>
      <c r="AP420" s="284">
        <f t="shared" si="174"/>
        <v>0</v>
      </c>
      <c r="AQ420" s="281">
        <f t="shared" si="175"/>
        <v>0</v>
      </c>
      <c r="AR420" s="284">
        <f t="shared" si="176"/>
        <v>0</v>
      </c>
      <c r="AS420" s="281">
        <f t="shared" si="177"/>
        <v>0</v>
      </c>
      <c r="AT420" s="284">
        <f t="shared" si="178"/>
        <v>0</v>
      </c>
    </row>
    <row r="421" spans="1:97" s="114" customFormat="1" ht="30.9" x14ac:dyDescent="0.8">
      <c r="A421" s="262">
        <f>ROW()</f>
        <v>421</v>
      </c>
      <c r="C421" s="208"/>
      <c r="D421" s="208"/>
      <c r="E421" s="208"/>
      <c r="F421" s="208"/>
      <c r="G421" s="208"/>
      <c r="H421" s="208"/>
      <c r="J421" s="114" t="str">
        <f t="shared" si="186"/>
        <v/>
      </c>
      <c r="K421" s="114" t="str">
        <f>IF(COUNTBLANK(R421)&gt;0,"",CONCATENATE(R421," for ",N404))</f>
        <v>Auto/Off/On switch for DOL fan with interlock with reed switch - from MSSB power supply</v>
      </c>
      <c r="N421" s="123" t="s">
        <v>129</v>
      </c>
      <c r="O421" s="66" t="s">
        <v>329</v>
      </c>
      <c r="P421" s="121"/>
      <c r="Q421" s="66"/>
      <c r="R421" s="121" t="s">
        <v>304</v>
      </c>
      <c r="S421" s="133">
        <f>M404</f>
        <v>0</v>
      </c>
      <c r="T421" s="120"/>
      <c r="U421" s="121" t="s">
        <v>292</v>
      </c>
      <c r="V421" s="133">
        <f t="shared" si="179"/>
        <v>0</v>
      </c>
      <c r="W421" s="133">
        <f>VLOOKUP(U421,Sheet1!$B$6:$C$45,2,FALSE)*V421</f>
        <v>0</v>
      </c>
      <c r="X421" s="141"/>
      <c r="Y421" s="122" t="s">
        <v>277</v>
      </c>
      <c r="Z421" s="146">
        <f>VLOOKUP(Takeoffs!Y421,Sheet1!$B$6:$C$124,2,FALSE)</f>
        <v>69.540000000000006</v>
      </c>
      <c r="AA421" s="146">
        <f t="shared" si="180"/>
        <v>0</v>
      </c>
      <c r="AB421" s="143">
        <f t="shared" si="181"/>
        <v>0</v>
      </c>
      <c r="AC421" s="133">
        <f t="shared" si="182"/>
        <v>0</v>
      </c>
      <c r="AD421" s="142">
        <v>1</v>
      </c>
      <c r="AE421" s="141"/>
      <c r="AF421" s="121" t="s">
        <v>292</v>
      </c>
      <c r="AG421" s="146">
        <f>VLOOKUP(Takeoffs!AF421,Sheet1!$B$6:$C$124,2,FALSE)</f>
        <v>0</v>
      </c>
      <c r="AH421" s="146">
        <f t="shared" si="183"/>
        <v>0</v>
      </c>
      <c r="AI421" s="143">
        <f t="shared" si="184"/>
        <v>0</v>
      </c>
      <c r="AJ421" s="133">
        <f t="shared" si="185"/>
        <v>0</v>
      </c>
      <c r="AK421" s="142">
        <f t="shared" si="188"/>
        <v>0</v>
      </c>
      <c r="AL421" s="141"/>
      <c r="AO421" s="286"/>
      <c r="AP421" s="284">
        <f t="shared" si="174"/>
        <v>0</v>
      </c>
      <c r="AQ421" s="281">
        <f t="shared" si="175"/>
        <v>0</v>
      </c>
      <c r="AR421" s="284">
        <f t="shared" si="176"/>
        <v>0</v>
      </c>
      <c r="AS421" s="281">
        <f t="shared" si="177"/>
        <v>0</v>
      </c>
      <c r="AT421" s="284">
        <f t="shared" si="178"/>
        <v>0</v>
      </c>
    </row>
    <row r="422" spans="1:97" s="114" customFormat="1" ht="30.9" x14ac:dyDescent="0.8">
      <c r="A422" s="262">
        <f>ROW()</f>
        <v>422</v>
      </c>
      <c r="C422" s="208"/>
      <c r="D422" s="208"/>
      <c r="E422" s="208"/>
      <c r="F422" s="208"/>
      <c r="G422" s="208"/>
      <c r="H422" s="208"/>
      <c r="J422" s="114" t="str">
        <f t="shared" si="186"/>
        <v/>
      </c>
      <c r="K422" s="114" t="str">
        <f>IF(COUNTBLANK(R422)&gt;0,"",CONCATENATE(R422," for ",N404))</f>
        <v/>
      </c>
      <c r="N422" s="123" t="s">
        <v>130</v>
      </c>
      <c r="O422" s="66"/>
      <c r="P422" s="121"/>
      <c r="Q422" s="66"/>
      <c r="R422" s="121"/>
      <c r="S422" s="133">
        <f>M404</f>
        <v>0</v>
      </c>
      <c r="T422" s="120"/>
      <c r="U422" s="121" t="s">
        <v>292</v>
      </c>
      <c r="V422" s="133">
        <f t="shared" si="179"/>
        <v>0</v>
      </c>
      <c r="W422" s="133">
        <f>VLOOKUP(U422,Sheet1!$B$6:$C$45,2,FALSE)*V422</f>
        <v>0</v>
      </c>
      <c r="X422" s="141"/>
      <c r="Y422" s="121" t="s">
        <v>292</v>
      </c>
      <c r="Z422" s="146">
        <f>VLOOKUP(Takeoffs!Y422,Sheet1!$B$6:$C$124,2,FALSE)</f>
        <v>0</v>
      </c>
      <c r="AA422" s="146">
        <f t="shared" si="180"/>
        <v>0</v>
      </c>
      <c r="AB422" s="143">
        <f t="shared" si="181"/>
        <v>0</v>
      </c>
      <c r="AC422" s="133">
        <f t="shared" si="182"/>
        <v>0</v>
      </c>
      <c r="AD422" s="142">
        <v>1</v>
      </c>
      <c r="AE422" s="141"/>
      <c r="AF422" s="121" t="s">
        <v>292</v>
      </c>
      <c r="AG422" s="146">
        <f>VLOOKUP(Takeoffs!AF422,Sheet1!$B$6:$C$124,2,FALSE)</f>
        <v>0</v>
      </c>
      <c r="AH422" s="146">
        <f t="shared" si="183"/>
        <v>0</v>
      </c>
      <c r="AI422" s="143">
        <f t="shared" si="184"/>
        <v>0</v>
      </c>
      <c r="AJ422" s="133">
        <f t="shared" si="185"/>
        <v>0</v>
      </c>
      <c r="AK422" s="142">
        <f t="shared" si="188"/>
        <v>0</v>
      </c>
      <c r="AL422" s="141"/>
      <c r="AO422" s="286"/>
      <c r="AP422" s="284">
        <f t="shared" si="174"/>
        <v>0</v>
      </c>
      <c r="AQ422" s="281">
        <f t="shared" si="175"/>
        <v>0</v>
      </c>
      <c r="AR422" s="284">
        <f t="shared" si="176"/>
        <v>0</v>
      </c>
      <c r="AS422" s="281">
        <f t="shared" si="177"/>
        <v>0</v>
      </c>
      <c r="AT422" s="284">
        <f t="shared" si="178"/>
        <v>0</v>
      </c>
    </row>
    <row r="423" spans="1:97" s="114" customFormat="1" ht="30.9" x14ac:dyDescent="0.8">
      <c r="A423" s="262">
        <f>ROW()</f>
        <v>423</v>
      </c>
      <c r="C423" s="208"/>
      <c r="D423" s="208"/>
      <c r="E423" s="208"/>
      <c r="F423" s="208"/>
      <c r="G423" s="208"/>
      <c r="H423" s="208"/>
      <c r="J423" s="114" t="str">
        <f t="shared" si="186"/>
        <v/>
      </c>
      <c r="K423" s="114" t="str">
        <f>IF(COUNTBLANK(R423)&gt;0,"",CONCATENATE(R423," for ",N404))</f>
        <v/>
      </c>
      <c r="N423" s="123" t="s">
        <v>131</v>
      </c>
      <c r="O423" s="66" t="s">
        <v>407</v>
      </c>
      <c r="P423" s="121"/>
      <c r="Q423" s="66"/>
      <c r="R423" s="121"/>
      <c r="S423" s="133">
        <f>M404</f>
        <v>0</v>
      </c>
      <c r="T423" s="120"/>
      <c r="U423" s="121" t="s">
        <v>292</v>
      </c>
      <c r="V423" s="133">
        <f t="shared" si="179"/>
        <v>0</v>
      </c>
      <c r="W423" s="133">
        <f>VLOOKUP(U423,Sheet1!$B$6:$C$45,2,FALSE)*V423</f>
        <v>0</v>
      </c>
      <c r="X423" s="141"/>
      <c r="Y423" s="121" t="s">
        <v>274</v>
      </c>
      <c r="Z423" s="146">
        <f>VLOOKUP(Takeoffs!Y423,Sheet1!$B$6:$C$124,2,FALSE)</f>
        <v>360</v>
      </c>
      <c r="AA423" s="146">
        <f t="shared" si="180"/>
        <v>0</v>
      </c>
      <c r="AB423" s="143">
        <f t="shared" si="181"/>
        <v>0</v>
      </c>
      <c r="AC423" s="133">
        <f t="shared" si="182"/>
        <v>0</v>
      </c>
      <c r="AD423" s="142">
        <v>1</v>
      </c>
      <c r="AE423" s="141"/>
      <c r="AF423" s="121" t="s">
        <v>292</v>
      </c>
      <c r="AG423" s="146">
        <f>VLOOKUP(Takeoffs!AF423,Sheet1!$B$6:$C$124,2,FALSE)</f>
        <v>0</v>
      </c>
      <c r="AH423" s="146">
        <f t="shared" si="183"/>
        <v>0</v>
      </c>
      <c r="AI423" s="143">
        <f t="shared" si="184"/>
        <v>0</v>
      </c>
      <c r="AJ423" s="133">
        <f t="shared" si="185"/>
        <v>0</v>
      </c>
      <c r="AK423" s="142">
        <f t="shared" si="188"/>
        <v>0</v>
      </c>
      <c r="AL423" s="141"/>
      <c r="AO423" s="286"/>
      <c r="AP423" s="284">
        <f t="shared" si="174"/>
        <v>0</v>
      </c>
      <c r="AQ423" s="281">
        <f t="shared" si="175"/>
        <v>0</v>
      </c>
      <c r="AR423" s="284">
        <f t="shared" si="176"/>
        <v>0</v>
      </c>
      <c r="AS423" s="281">
        <f t="shared" si="177"/>
        <v>0</v>
      </c>
      <c r="AT423" s="284">
        <f t="shared" si="178"/>
        <v>0</v>
      </c>
    </row>
    <row r="424" spans="1:97" s="114" customFormat="1" ht="30.9" x14ac:dyDescent="0.8">
      <c r="A424" s="262">
        <f>ROW()</f>
        <v>424</v>
      </c>
      <c r="C424" s="208"/>
      <c r="D424" s="208"/>
      <c r="E424" s="208"/>
      <c r="F424" s="208"/>
      <c r="G424" s="208"/>
      <c r="H424" s="208"/>
      <c r="J424" s="114" t="str">
        <f t="shared" si="186"/>
        <v/>
      </c>
      <c r="K424" s="114" t="str">
        <f>IF(COUNTBLANK(R424)&gt;0,"",CONCATENATE(R424," for ",N404))</f>
        <v/>
      </c>
      <c r="N424" s="123" t="s">
        <v>132</v>
      </c>
      <c r="O424" s="66" t="s">
        <v>408</v>
      </c>
      <c r="P424" s="121"/>
      <c r="Q424" s="66"/>
      <c r="R424" s="121"/>
      <c r="S424" s="133">
        <f>M404</f>
        <v>0</v>
      </c>
      <c r="T424" s="120"/>
      <c r="U424" s="121" t="s">
        <v>362</v>
      </c>
      <c r="V424" s="133">
        <f t="shared" si="179"/>
        <v>0</v>
      </c>
      <c r="W424" s="133">
        <f>VLOOKUP(U424,Sheet1!$B$6:$C$45,2,FALSE)*V424</f>
        <v>0</v>
      </c>
      <c r="X424" s="141"/>
      <c r="Y424" s="121" t="s">
        <v>292</v>
      </c>
      <c r="Z424" s="146">
        <f>VLOOKUP(Takeoffs!Y424,Sheet1!$B$6:$C$124,2,FALSE)</f>
        <v>0</v>
      </c>
      <c r="AA424" s="146">
        <f t="shared" si="180"/>
        <v>0</v>
      </c>
      <c r="AB424" s="143">
        <f t="shared" si="181"/>
        <v>0</v>
      </c>
      <c r="AC424" s="133">
        <f t="shared" si="182"/>
        <v>0</v>
      </c>
      <c r="AD424" s="142">
        <v>1</v>
      </c>
      <c r="AE424" s="141"/>
      <c r="AF424" s="121" t="s">
        <v>292</v>
      </c>
      <c r="AG424" s="146">
        <f>VLOOKUP(Takeoffs!AF424,Sheet1!$B$6:$C$124,2,FALSE)</f>
        <v>0</v>
      </c>
      <c r="AH424" s="146">
        <f t="shared" si="183"/>
        <v>0</v>
      </c>
      <c r="AI424" s="143">
        <f t="shared" si="184"/>
        <v>0</v>
      </c>
      <c r="AJ424" s="133">
        <f t="shared" si="185"/>
        <v>0</v>
      </c>
      <c r="AK424" s="142">
        <f t="shared" si="188"/>
        <v>0</v>
      </c>
      <c r="AL424" s="141"/>
      <c r="AO424" s="286"/>
      <c r="AP424" s="284">
        <f t="shared" si="174"/>
        <v>0</v>
      </c>
      <c r="AQ424" s="281">
        <f t="shared" si="175"/>
        <v>0</v>
      </c>
      <c r="AR424" s="284">
        <f t="shared" si="176"/>
        <v>0</v>
      </c>
      <c r="AS424" s="281">
        <f t="shared" si="177"/>
        <v>0</v>
      </c>
      <c r="AT424" s="284">
        <f t="shared" si="178"/>
        <v>0</v>
      </c>
    </row>
    <row r="425" spans="1:97" s="128" customFormat="1" ht="31.5" customHeight="1" x14ac:dyDescent="0.8">
      <c r="A425" s="262">
        <f>ROW()</f>
        <v>425</v>
      </c>
      <c r="C425" s="212"/>
      <c r="D425" s="212"/>
      <c r="E425" s="212"/>
      <c r="F425" s="212"/>
      <c r="G425" s="212"/>
      <c r="H425" s="212"/>
      <c r="J425" s="128" t="s">
        <v>377</v>
      </c>
      <c r="L425" s="128" t="s">
        <v>378</v>
      </c>
      <c r="N425" s="129"/>
      <c r="O425" s="130" t="s">
        <v>357</v>
      </c>
      <c r="P425" s="131">
        <f>V425+AA425+AH425</f>
        <v>0</v>
      </c>
      <c r="Q425" s="131"/>
      <c r="R425" s="131"/>
      <c r="S425" s="130"/>
      <c r="T425" s="127"/>
      <c r="U425" s="126" t="s">
        <v>351</v>
      </c>
      <c r="V425" s="127">
        <f>W425*80</f>
        <v>0</v>
      </c>
      <c r="W425" s="147">
        <f>SUM(W404:W424)</f>
        <v>0</v>
      </c>
      <c r="X425" s="148"/>
      <c r="Y425" s="127" t="s">
        <v>352</v>
      </c>
      <c r="Z425" s="116"/>
      <c r="AA425" s="116">
        <f>SUM(AA404:AA424)</f>
        <v>0</v>
      </c>
      <c r="AB425" s="149"/>
      <c r="AC425" s="149"/>
      <c r="AD425" s="149"/>
      <c r="AE425" s="149"/>
      <c r="AF425" s="127" t="s">
        <v>356</v>
      </c>
      <c r="AG425" s="116"/>
      <c r="AH425" s="116">
        <f>SUM(AH404:AH424)</f>
        <v>0</v>
      </c>
      <c r="AI425" s="149"/>
      <c r="AJ425" s="149"/>
      <c r="AK425" s="149"/>
      <c r="AL425" s="149"/>
      <c r="AM425" s="150">
        <f>P425</f>
        <v>0</v>
      </c>
      <c r="AO425" s="286"/>
      <c r="AP425" s="284">
        <f t="shared" si="174"/>
        <v>0</v>
      </c>
      <c r="AQ425" s="281">
        <f t="shared" si="175"/>
        <v>0</v>
      </c>
      <c r="AR425" s="284">
        <f t="shared" si="176"/>
        <v>0</v>
      </c>
      <c r="AS425" s="281">
        <f t="shared" si="177"/>
        <v>0</v>
      </c>
      <c r="AT425" s="284">
        <f t="shared" si="178"/>
        <v>0</v>
      </c>
    </row>
    <row r="426" spans="1:97" s="234" customFormat="1" ht="154.30000000000001" x14ac:dyDescent="0.8">
      <c r="A426" s="262">
        <f>ROW()</f>
        <v>426</v>
      </c>
      <c r="B426" s="234" t="s">
        <v>491</v>
      </c>
      <c r="C426" s="217" t="str">
        <f>N404</f>
        <v>DOL fan with interlock with reed switch - from MSSB power supply</v>
      </c>
      <c r="D426" s="260" t="str">
        <f>IF(B426="Shopping List",IF(ISNUMBER(SEARCH("MSSB",C426)),"MSSB",IF(ISNUMBER(SEARCH("local",C426)),"LOCAL","")))</f>
        <v>MSSB</v>
      </c>
      <c r="E426" s="238"/>
      <c r="F426" s="217"/>
      <c r="G426" s="217"/>
      <c r="H426" s="245"/>
      <c r="I426" s="270"/>
      <c r="J426" s="241" t="str">
        <f>CONCATENATE(O404," ",L404, " (",M404,") ",N404,".", IF(M404&gt;1," Each "," This "),"includes supply and install of ",O405,O406,O407,O408,O409,O410,O411,O412,O413,O414,O415,O416,O417,O418,O419,O420,O421,O422,O423,O424,J405,J406,J407,J408,J409,J410,J411,J412,J413,J414,J415,J416,J417,J418,J419,J420,J421,J422,J423,J424)</f>
        <v xml:space="preserve">Electrical power supply and controls to Zero (0) DOL fan with interlock with reed switch - from MSSB power supply. This includes supply and install of power and controls. Power for system includes: CB and cabling to fan from MSSB, and local isolator. Controls for system includes: controls cabling, contactors/relays, interlock with associated system, run and fault lights, reed switch, Auto/Off/On switch, trefolyte labelling, and commissioning/testing. </v>
      </c>
      <c r="K426" s="246">
        <f>P425</f>
        <v>0</v>
      </c>
      <c r="L426" s="235" t="str">
        <f>CONCATENATE(Q405,Q406,Q407,Q408,Q409,Q410,Q411,Q412,Q413,Q414,Q415,Q416,Q417,Q418,Q419,Q420,Q421,Q422,Q423,Q424,)</f>
        <v/>
      </c>
      <c r="M426" s="166" t="s">
        <v>367</v>
      </c>
      <c r="N426" s="160" t="str">
        <f>N404</f>
        <v>DOL fan with interlock with reed switch - from MSSB power supply</v>
      </c>
      <c r="O426" s="160" t="s">
        <v>365</v>
      </c>
      <c r="P426" s="82" t="e">
        <f>P425/M404</f>
        <v>#DIV/0!</v>
      </c>
      <c r="Q426" s="161"/>
      <c r="R426" s="161"/>
      <c r="S426" s="160"/>
      <c r="T426" s="161"/>
      <c r="U426" s="503" t="s">
        <v>366</v>
      </c>
      <c r="V426" s="503"/>
      <c r="W426" s="162" t="e">
        <f>W425/M404</f>
        <v>#DIV/0!</v>
      </c>
      <c r="X426" s="163"/>
      <c r="Y426" s="501" t="s">
        <v>365</v>
      </c>
      <c r="Z426" s="501"/>
      <c r="AA426" s="164" t="e">
        <f>AA425/M404</f>
        <v>#DIV/0!</v>
      </c>
      <c r="AB426" s="161"/>
      <c r="AC426" s="161"/>
      <c r="AD426" s="161"/>
      <c r="AE426" s="161"/>
      <c r="AF426" s="501" t="s">
        <v>365</v>
      </c>
      <c r="AG426" s="501"/>
      <c r="AH426" s="164" t="e">
        <f>AH425/M404</f>
        <v>#DIV/0!</v>
      </c>
      <c r="AI426" s="161"/>
      <c r="AJ426" s="161"/>
      <c r="AK426" s="161"/>
      <c r="AL426" s="247"/>
      <c r="AM426" s="257"/>
      <c r="AN426" s="230">
        <f>K426*1.25</f>
        <v>0</v>
      </c>
      <c r="AO426" s="286"/>
      <c r="AP426" s="284">
        <f t="shared" si="174"/>
        <v>0</v>
      </c>
      <c r="AQ426" s="281">
        <f t="shared" si="175"/>
        <v>0</v>
      </c>
      <c r="AR426" s="284">
        <f t="shared" si="176"/>
        <v>0</v>
      </c>
      <c r="AS426" s="281">
        <f t="shared" si="177"/>
        <v>0</v>
      </c>
      <c r="AT426" s="284">
        <f t="shared" si="178"/>
        <v>0</v>
      </c>
      <c r="AU426" s="117"/>
      <c r="AV426" s="117"/>
      <c r="AW426" s="117"/>
      <c r="AX426" s="117"/>
      <c r="AY426" s="117"/>
      <c r="AZ426" s="117"/>
      <c r="BA426" s="117"/>
      <c r="BB426" s="117"/>
      <c r="BC426" s="117"/>
      <c r="BD426" s="117"/>
      <c r="BE426" s="117"/>
      <c r="BF426" s="117"/>
      <c r="BG426" s="117"/>
      <c r="BH426" s="117"/>
      <c r="BI426" s="117"/>
      <c r="BJ426" s="117"/>
      <c r="BK426" s="117"/>
      <c r="BL426" s="117"/>
      <c r="BM426" s="117"/>
      <c r="BN426" s="117"/>
      <c r="BO426" s="117"/>
      <c r="BP426" s="117"/>
      <c r="BQ426" s="117"/>
      <c r="BR426" s="117"/>
      <c r="BS426" s="117"/>
      <c r="BT426" s="117"/>
      <c r="BU426" s="117"/>
      <c r="BV426" s="117"/>
      <c r="BW426" s="117"/>
      <c r="BX426" s="117"/>
      <c r="BY426" s="117"/>
      <c r="BZ426" s="117"/>
      <c r="CA426" s="117"/>
      <c r="CB426" s="117"/>
      <c r="CC426" s="117"/>
      <c r="CD426" s="117"/>
      <c r="CE426" s="117"/>
      <c r="CF426" s="117"/>
      <c r="CG426" s="117"/>
      <c r="CH426" s="117"/>
      <c r="CI426" s="117"/>
      <c r="CJ426" s="117"/>
      <c r="CK426" s="117"/>
      <c r="CL426" s="117"/>
      <c r="CM426" s="117"/>
      <c r="CN426" s="117"/>
      <c r="CO426" s="117"/>
      <c r="CP426" s="117"/>
      <c r="CQ426" s="117"/>
      <c r="CR426" s="117"/>
      <c r="CS426" s="117"/>
    </row>
    <row r="427" spans="1:97" s="116" customFormat="1" ht="192.75" customHeight="1" x14ac:dyDescent="0.8">
      <c r="A427" s="262">
        <f>ROW()</f>
        <v>427</v>
      </c>
      <c r="C427" s="211"/>
      <c r="D427" s="211"/>
      <c r="E427" s="211"/>
      <c r="F427" s="211"/>
      <c r="G427" s="211"/>
      <c r="H427" s="211"/>
      <c r="K427" s="116" t="s">
        <v>452</v>
      </c>
      <c r="M427" s="116" t="s">
        <v>107</v>
      </c>
      <c r="N427" s="116" t="s">
        <v>108</v>
      </c>
      <c r="O427" s="170" t="s">
        <v>386</v>
      </c>
      <c r="P427" s="502" t="s">
        <v>375</v>
      </c>
      <c r="Q427" s="502"/>
      <c r="R427" s="101" t="s">
        <v>452</v>
      </c>
      <c r="S427" s="116" t="s">
        <v>0</v>
      </c>
      <c r="T427" s="118"/>
      <c r="U427" s="116" t="s">
        <v>287</v>
      </c>
      <c r="V427" s="116" t="s">
        <v>288</v>
      </c>
      <c r="W427" s="116" t="s">
        <v>291</v>
      </c>
      <c r="X427" s="140"/>
      <c r="Y427" s="116" t="s">
        <v>289</v>
      </c>
      <c r="Z427" s="116" t="s">
        <v>354</v>
      </c>
      <c r="AA427" s="116" t="s">
        <v>355</v>
      </c>
      <c r="AB427" s="116" t="s">
        <v>317</v>
      </c>
      <c r="AC427" s="116" t="s">
        <v>318</v>
      </c>
      <c r="AD427" s="116" t="s">
        <v>316</v>
      </c>
      <c r="AE427" s="140"/>
      <c r="AF427" s="116" t="s">
        <v>293</v>
      </c>
      <c r="AG427" s="116" t="s">
        <v>354</v>
      </c>
      <c r="AH427" s="116" t="s">
        <v>355</v>
      </c>
      <c r="AI427" s="116" t="s">
        <v>296</v>
      </c>
      <c r="AJ427" s="116" t="s">
        <v>294</v>
      </c>
      <c r="AK427" s="116" t="s">
        <v>295</v>
      </c>
      <c r="AL427" s="140"/>
      <c r="AO427" s="288"/>
      <c r="AP427" s="284">
        <f t="shared" si="174"/>
        <v>0</v>
      </c>
      <c r="AQ427" s="281">
        <f t="shared" si="175"/>
        <v>0</v>
      </c>
      <c r="AR427" s="284">
        <f t="shared" si="176"/>
        <v>0</v>
      </c>
      <c r="AS427" s="281">
        <f t="shared" si="177"/>
        <v>0</v>
      </c>
      <c r="AT427" s="284">
        <f t="shared" si="178"/>
        <v>0</v>
      </c>
    </row>
    <row r="428" spans="1:97" s="114" customFormat="1" ht="40.5" customHeight="1" x14ac:dyDescent="0.8">
      <c r="A428" s="262">
        <f>ROW()</f>
        <v>428</v>
      </c>
      <c r="C428" s="208"/>
      <c r="D428" s="208"/>
      <c r="E428" s="208"/>
      <c r="F428" s="208"/>
      <c r="G428" s="208"/>
      <c r="H428" s="208"/>
      <c r="L428" s="124" t="str">
        <f>VLOOKUP(M428,Sheet2!$D$2:$E$1024,2,FALSE)</f>
        <v>Zero</v>
      </c>
      <c r="M428" s="121">
        <f>I450</f>
        <v>0</v>
      </c>
      <c r="N428" s="132" t="s">
        <v>651</v>
      </c>
      <c r="O428" s="121" t="s">
        <v>347</v>
      </c>
      <c r="P428" s="169" t="s">
        <v>379</v>
      </c>
      <c r="Q428" s="169" t="s">
        <v>375</v>
      </c>
      <c r="R428" s="169"/>
      <c r="S428" s="133">
        <f>M428</f>
        <v>0</v>
      </c>
      <c r="T428" s="119"/>
      <c r="U428" s="121" t="s">
        <v>292</v>
      </c>
      <c r="V428" s="133">
        <f>S428</f>
        <v>0</v>
      </c>
      <c r="W428" s="133">
        <f>VLOOKUP(U428,Sheet1!$B$6:$C$45,2,FALSE)*V428</f>
        <v>0</v>
      </c>
      <c r="X428" s="141"/>
      <c r="Y428" s="121" t="s">
        <v>292</v>
      </c>
      <c r="Z428" s="146">
        <f>VLOOKUP(Takeoffs!Y428,Sheet1!$B$6:$C$124,2,FALSE)</f>
        <v>0</v>
      </c>
      <c r="AA428" s="146">
        <f>Z428*AB428</f>
        <v>0</v>
      </c>
      <c r="AB428" s="143">
        <f>AD428*AC428</f>
        <v>0</v>
      </c>
      <c r="AC428" s="133">
        <f>S428</f>
        <v>0</v>
      </c>
      <c r="AD428" s="142">
        <v>1</v>
      </c>
      <c r="AE428" s="141"/>
      <c r="AF428" s="121" t="s">
        <v>292</v>
      </c>
      <c r="AG428" s="146">
        <f>VLOOKUP(Takeoffs!AF428,Sheet1!$B$6:$C$124,2,FALSE)</f>
        <v>0</v>
      </c>
      <c r="AH428" s="146">
        <f>AG428*AI428</f>
        <v>0</v>
      </c>
      <c r="AI428" s="143">
        <f>AK428*AJ428</f>
        <v>0</v>
      </c>
      <c r="AJ428" s="133">
        <f>S428</f>
        <v>0</v>
      </c>
      <c r="AK428" s="142">
        <f>T428</f>
        <v>0</v>
      </c>
      <c r="AL428" s="141"/>
      <c r="AO428" s="286"/>
      <c r="AP428" s="284">
        <f t="shared" si="174"/>
        <v>0</v>
      </c>
      <c r="AQ428" s="281">
        <f t="shared" si="175"/>
        <v>0</v>
      </c>
      <c r="AR428" s="284">
        <f t="shared" si="176"/>
        <v>0</v>
      </c>
      <c r="AS428" s="281">
        <f t="shared" si="177"/>
        <v>0</v>
      </c>
      <c r="AT428" s="284">
        <f t="shared" si="178"/>
        <v>0</v>
      </c>
    </row>
    <row r="429" spans="1:97" s="114" customFormat="1" ht="30.9" x14ac:dyDescent="0.8">
      <c r="A429" s="262">
        <f>ROW()</f>
        <v>429</v>
      </c>
      <c r="C429" s="208"/>
      <c r="D429" s="208"/>
      <c r="E429" s="208"/>
      <c r="F429" s="208"/>
      <c r="G429" s="208"/>
      <c r="H429" s="208"/>
      <c r="J429" s="114" t="str">
        <f>IF(COUNTBLANK(Q429)&gt;0,"",CONCATENATE("Coordination Note: - ",P429,": Please refer to our exclusions relating to ",Q429))</f>
        <v/>
      </c>
      <c r="K429" s="114" t="str">
        <f>IF(COUNTBLANK(R429)&gt;0,"",CONCATENATE(R429," for ",N428))</f>
        <v/>
      </c>
      <c r="M429" s="117"/>
      <c r="N429" s="123" t="s">
        <v>113</v>
      </c>
      <c r="O429" s="66" t="s">
        <v>340</v>
      </c>
      <c r="P429" s="121"/>
      <c r="Q429" s="66"/>
      <c r="R429" s="121"/>
      <c r="S429" s="133">
        <f>M428</f>
        <v>0</v>
      </c>
      <c r="T429" s="120"/>
      <c r="U429" s="121" t="s">
        <v>233</v>
      </c>
      <c r="V429" s="133">
        <f t="shared" ref="V429:V448" si="189">S429</f>
        <v>0</v>
      </c>
      <c r="W429" s="133">
        <f>VLOOKUP(U429,Sheet1!$B$6:$C$45,2,FALSE)*V429</f>
        <v>0</v>
      </c>
      <c r="X429" s="141"/>
      <c r="Y429" s="121" t="s">
        <v>292</v>
      </c>
      <c r="Z429" s="146">
        <f>VLOOKUP(Takeoffs!Y429,Sheet1!$B$6:$C$124,2,FALSE)</f>
        <v>0</v>
      </c>
      <c r="AA429" s="146">
        <f t="shared" ref="AA429:AA448" si="190">Z429*AB429</f>
        <v>0</v>
      </c>
      <c r="AB429" s="143">
        <f t="shared" ref="AB429:AB448" si="191">AD429*AC429</f>
        <v>0</v>
      </c>
      <c r="AC429" s="133">
        <f t="shared" ref="AC429:AC448" si="192">S429</f>
        <v>0</v>
      </c>
      <c r="AD429" s="142">
        <v>1</v>
      </c>
      <c r="AE429" s="141"/>
      <c r="AF429" s="121" t="s">
        <v>292</v>
      </c>
      <c r="AG429" s="146">
        <f>VLOOKUP(Takeoffs!AF429,Sheet1!$B$6:$C$124,2,FALSE)</f>
        <v>0</v>
      </c>
      <c r="AH429" s="146">
        <f t="shared" ref="AH429:AH448" si="193">AG429*AI429</f>
        <v>0</v>
      </c>
      <c r="AI429" s="143">
        <f t="shared" ref="AI429:AI448" si="194">AK429*AJ429</f>
        <v>0</v>
      </c>
      <c r="AJ429" s="133">
        <f t="shared" ref="AJ429:AJ448" si="195">S429</f>
        <v>0</v>
      </c>
      <c r="AK429" s="142">
        <f>T429</f>
        <v>0</v>
      </c>
      <c r="AL429" s="141"/>
      <c r="AO429" s="286"/>
      <c r="AP429" s="284">
        <f t="shared" si="174"/>
        <v>0</v>
      </c>
      <c r="AQ429" s="281">
        <f t="shared" si="175"/>
        <v>0</v>
      </c>
      <c r="AR429" s="284">
        <f t="shared" si="176"/>
        <v>0</v>
      </c>
      <c r="AS429" s="281">
        <f t="shared" si="177"/>
        <v>0</v>
      </c>
      <c r="AT429" s="284">
        <f t="shared" si="178"/>
        <v>0</v>
      </c>
    </row>
    <row r="430" spans="1:97" s="114" customFormat="1" ht="30.9" x14ac:dyDescent="0.8">
      <c r="A430" s="262">
        <f>ROW()</f>
        <v>430</v>
      </c>
      <c r="C430" s="208"/>
      <c r="D430" s="208"/>
      <c r="E430" s="208"/>
      <c r="F430" s="208"/>
      <c r="G430" s="208"/>
      <c r="H430" s="208"/>
      <c r="J430" s="114" t="str">
        <f t="shared" ref="J430:J448" si="196">IF(COUNTBLANK(Q430)&gt;0,"",CONCATENATE("Coordination Note: - ",P430,": Please refer to our exclusions relating to ",Q430))</f>
        <v/>
      </c>
      <c r="K430" s="114" t="str">
        <f>IF(COUNTBLANK(R430)&gt;0,"",CONCATENATE(R430," for ",N428))</f>
        <v/>
      </c>
      <c r="M430" s="117"/>
      <c r="N430" s="123" t="s">
        <v>114</v>
      </c>
      <c r="O430" s="66" t="s">
        <v>590</v>
      </c>
      <c r="P430" s="121"/>
      <c r="Q430" s="66"/>
      <c r="R430" s="121"/>
      <c r="S430" s="133">
        <f>M428</f>
        <v>0</v>
      </c>
      <c r="T430" s="120"/>
      <c r="U430" s="117" t="s">
        <v>478</v>
      </c>
      <c r="V430" s="133">
        <f t="shared" si="189"/>
        <v>0</v>
      </c>
      <c r="W430" s="133">
        <f>VLOOKUP(U430,Sheet1!$B$6:$C$45,2,FALSE)*V430</f>
        <v>0</v>
      </c>
      <c r="X430" s="141"/>
      <c r="Y430" s="52" t="s">
        <v>253</v>
      </c>
      <c r="Z430" s="146">
        <f>VLOOKUP(Takeoffs!Y430,Sheet1!$B$6:$C$124,2,FALSE)</f>
        <v>10.139999999999999</v>
      </c>
      <c r="AA430" s="146">
        <f t="shared" si="190"/>
        <v>0</v>
      </c>
      <c r="AB430" s="143">
        <f t="shared" si="191"/>
        <v>0</v>
      </c>
      <c r="AC430" s="133">
        <f t="shared" si="192"/>
        <v>0</v>
      </c>
      <c r="AD430" s="142">
        <v>1</v>
      </c>
      <c r="AE430" s="141"/>
      <c r="AF430" s="122" t="s">
        <v>268</v>
      </c>
      <c r="AG430" s="146">
        <f>VLOOKUP(Takeoffs!AF430,Sheet1!$B$6:$C$124,2,FALSE)</f>
        <v>1.02</v>
      </c>
      <c r="AH430" s="146">
        <f t="shared" si="193"/>
        <v>0</v>
      </c>
      <c r="AI430" s="143">
        <f t="shared" si="194"/>
        <v>0</v>
      </c>
      <c r="AJ430" s="133">
        <f t="shared" si="195"/>
        <v>0</v>
      </c>
      <c r="AK430" s="142">
        <v>5</v>
      </c>
      <c r="AL430" s="141"/>
      <c r="AO430" s="286"/>
      <c r="AP430" s="284">
        <f t="shared" si="174"/>
        <v>0</v>
      </c>
      <c r="AQ430" s="281">
        <f t="shared" si="175"/>
        <v>0</v>
      </c>
      <c r="AR430" s="284">
        <f t="shared" si="176"/>
        <v>0</v>
      </c>
      <c r="AS430" s="281">
        <f t="shared" si="177"/>
        <v>0</v>
      </c>
      <c r="AT430" s="284">
        <f t="shared" si="178"/>
        <v>0</v>
      </c>
    </row>
    <row r="431" spans="1:97" s="114" customFormat="1" ht="30.9" x14ac:dyDescent="0.8">
      <c r="A431" s="262">
        <f>ROW()</f>
        <v>431</v>
      </c>
      <c r="C431" s="208"/>
      <c r="D431" s="208"/>
      <c r="E431" s="208"/>
      <c r="F431" s="208"/>
      <c r="G431" s="208"/>
      <c r="H431" s="208"/>
      <c r="J431" s="114" t="str">
        <f t="shared" si="196"/>
        <v/>
      </c>
      <c r="K431" s="114" t="str">
        <f>IF(COUNTBLANK(R431)&gt;0,"",CONCATENATE(R431," for ",N428))</f>
        <v/>
      </c>
      <c r="M431" s="117"/>
      <c r="N431" s="123" t="s">
        <v>115</v>
      </c>
      <c r="O431" s="66" t="s">
        <v>406</v>
      </c>
      <c r="P431" s="121"/>
      <c r="Q431" s="66"/>
      <c r="R431" s="121"/>
      <c r="S431" s="133">
        <f>M428</f>
        <v>0</v>
      </c>
      <c r="T431" s="120"/>
      <c r="U431" s="121" t="s">
        <v>292</v>
      </c>
      <c r="V431" s="133">
        <f t="shared" si="189"/>
        <v>0</v>
      </c>
      <c r="W431" s="133">
        <f>VLOOKUP(U431,Sheet1!$B$6:$C$45,2,FALSE)*V431</f>
        <v>0</v>
      </c>
      <c r="X431" s="141"/>
      <c r="Y431" s="122" t="s">
        <v>247</v>
      </c>
      <c r="Z431" s="146">
        <f>VLOOKUP(Takeoffs!Y431,Sheet1!$B$6:$C$124,2,FALSE)</f>
        <v>23.76</v>
      </c>
      <c r="AA431" s="146">
        <f t="shared" si="190"/>
        <v>0</v>
      </c>
      <c r="AB431" s="143">
        <f t="shared" si="191"/>
        <v>0</v>
      </c>
      <c r="AC431" s="133">
        <f t="shared" si="192"/>
        <v>0</v>
      </c>
      <c r="AD431" s="142">
        <v>1</v>
      </c>
      <c r="AE431" s="141"/>
      <c r="AF431" s="121" t="s">
        <v>292</v>
      </c>
      <c r="AG431" s="146">
        <f>VLOOKUP(Takeoffs!AF431,Sheet1!$B$6:$C$124,2,FALSE)</f>
        <v>0</v>
      </c>
      <c r="AH431" s="146">
        <f t="shared" si="193"/>
        <v>0</v>
      </c>
      <c r="AI431" s="143">
        <f t="shared" si="194"/>
        <v>0</v>
      </c>
      <c r="AJ431" s="133">
        <f t="shared" si="195"/>
        <v>0</v>
      </c>
      <c r="AK431" s="142">
        <f t="shared" ref="AK431:AK437" si="197">T431</f>
        <v>0</v>
      </c>
      <c r="AL431" s="141"/>
      <c r="AO431" s="286"/>
      <c r="AP431" s="284">
        <f t="shared" si="174"/>
        <v>0</v>
      </c>
      <c r="AQ431" s="281">
        <f t="shared" si="175"/>
        <v>0</v>
      </c>
      <c r="AR431" s="284">
        <f t="shared" si="176"/>
        <v>0</v>
      </c>
      <c r="AS431" s="281">
        <f t="shared" si="177"/>
        <v>0</v>
      </c>
      <c r="AT431" s="284">
        <f t="shared" si="178"/>
        <v>0</v>
      </c>
    </row>
    <row r="432" spans="1:97" s="114" customFormat="1" ht="30.9" x14ac:dyDescent="0.8">
      <c r="A432" s="262">
        <f>ROW()</f>
        <v>432</v>
      </c>
      <c r="C432" s="208"/>
      <c r="D432" s="208"/>
      <c r="E432" s="208"/>
      <c r="F432" s="208"/>
      <c r="G432" s="208"/>
      <c r="H432" s="208"/>
      <c r="J432" s="114" t="str">
        <f t="shared" si="196"/>
        <v/>
      </c>
      <c r="K432" s="114" t="str">
        <f>IF(COUNTBLANK(R432)&gt;0,"",CONCATENATE(R432," for ",N428))</f>
        <v/>
      </c>
      <c r="M432" s="117"/>
      <c r="N432" s="123" t="s">
        <v>116</v>
      </c>
      <c r="O432" s="66"/>
      <c r="P432" s="121"/>
      <c r="Q432" s="66"/>
      <c r="R432" s="121"/>
      <c r="S432" s="133">
        <f>M428</f>
        <v>0</v>
      </c>
      <c r="T432" s="120"/>
      <c r="U432" s="121" t="s">
        <v>292</v>
      </c>
      <c r="V432" s="133">
        <f t="shared" si="189"/>
        <v>0</v>
      </c>
      <c r="W432" s="133">
        <f>VLOOKUP(U432,Sheet1!$B$6:$C$45,2,FALSE)*V432</f>
        <v>0</v>
      </c>
      <c r="X432" s="141"/>
      <c r="Y432" s="121" t="s">
        <v>292</v>
      </c>
      <c r="Z432" s="146">
        <f>VLOOKUP(Takeoffs!Y432,Sheet1!$B$6:$C$124,2,FALSE)</f>
        <v>0</v>
      </c>
      <c r="AA432" s="146">
        <f t="shared" si="190"/>
        <v>0</v>
      </c>
      <c r="AB432" s="143">
        <f t="shared" si="191"/>
        <v>0</v>
      </c>
      <c r="AC432" s="133">
        <f t="shared" si="192"/>
        <v>0</v>
      </c>
      <c r="AD432" s="142">
        <v>1</v>
      </c>
      <c r="AE432" s="141"/>
      <c r="AF432" s="121" t="s">
        <v>292</v>
      </c>
      <c r="AG432" s="146">
        <f>VLOOKUP(Takeoffs!AF432,Sheet1!$B$6:$C$124,2,FALSE)</f>
        <v>0</v>
      </c>
      <c r="AH432" s="146">
        <f t="shared" si="193"/>
        <v>0</v>
      </c>
      <c r="AI432" s="143">
        <f t="shared" si="194"/>
        <v>0</v>
      </c>
      <c r="AJ432" s="133">
        <f t="shared" si="195"/>
        <v>0</v>
      </c>
      <c r="AK432" s="142">
        <f t="shared" si="197"/>
        <v>0</v>
      </c>
      <c r="AL432" s="141"/>
      <c r="AO432" s="286"/>
      <c r="AP432" s="284">
        <f t="shared" si="174"/>
        <v>0</v>
      </c>
      <c r="AQ432" s="281">
        <f t="shared" si="175"/>
        <v>0</v>
      </c>
      <c r="AR432" s="284">
        <f t="shared" si="176"/>
        <v>0</v>
      </c>
      <c r="AS432" s="281">
        <f t="shared" si="177"/>
        <v>0</v>
      </c>
      <c r="AT432" s="284">
        <f t="shared" si="178"/>
        <v>0</v>
      </c>
    </row>
    <row r="433" spans="1:46" s="114" customFormat="1" ht="30.9" x14ac:dyDescent="0.8">
      <c r="A433" s="262">
        <f>ROW()</f>
        <v>433</v>
      </c>
      <c r="C433" s="208"/>
      <c r="D433" s="208"/>
      <c r="E433" s="208"/>
      <c r="F433" s="208"/>
      <c r="G433" s="208"/>
      <c r="H433" s="208"/>
      <c r="J433" s="114" t="str">
        <f t="shared" si="196"/>
        <v/>
      </c>
      <c r="K433" s="114" t="str">
        <f>IF(COUNTBLANK(R433)&gt;0,"",CONCATENATE(R433," for ",N428))</f>
        <v/>
      </c>
      <c r="M433" s="117"/>
      <c r="N433" s="123" t="s">
        <v>117</v>
      </c>
      <c r="O433" s="66"/>
      <c r="P433" s="121"/>
      <c r="Q433" s="66"/>
      <c r="R433" s="121"/>
      <c r="S433" s="133">
        <f>M428</f>
        <v>0</v>
      </c>
      <c r="T433" s="120"/>
      <c r="U433" s="121" t="s">
        <v>292</v>
      </c>
      <c r="V433" s="133">
        <f t="shared" si="189"/>
        <v>0</v>
      </c>
      <c r="W433" s="133">
        <f>VLOOKUP(U433,Sheet1!$B$6:$C$45,2,FALSE)*V433</f>
        <v>0</v>
      </c>
      <c r="X433" s="141"/>
      <c r="Y433" s="121" t="s">
        <v>292</v>
      </c>
      <c r="Z433" s="146">
        <f>VLOOKUP(Takeoffs!Y433,Sheet1!$B$6:$C$124,2,FALSE)</f>
        <v>0</v>
      </c>
      <c r="AA433" s="146">
        <f t="shared" si="190"/>
        <v>0</v>
      </c>
      <c r="AB433" s="143">
        <f t="shared" si="191"/>
        <v>0</v>
      </c>
      <c r="AC433" s="133">
        <f t="shared" si="192"/>
        <v>0</v>
      </c>
      <c r="AD433" s="142">
        <v>1</v>
      </c>
      <c r="AE433" s="141"/>
      <c r="AF433" s="121" t="s">
        <v>292</v>
      </c>
      <c r="AG433" s="146">
        <f>VLOOKUP(Takeoffs!AF433,Sheet1!$B$6:$C$124,2,FALSE)</f>
        <v>0</v>
      </c>
      <c r="AH433" s="146">
        <f t="shared" si="193"/>
        <v>0</v>
      </c>
      <c r="AI433" s="143">
        <f t="shared" si="194"/>
        <v>0</v>
      </c>
      <c r="AJ433" s="133">
        <f t="shared" si="195"/>
        <v>0</v>
      </c>
      <c r="AK433" s="142">
        <f t="shared" si="197"/>
        <v>0</v>
      </c>
      <c r="AL433" s="141"/>
      <c r="AO433" s="286"/>
      <c r="AP433" s="284">
        <f t="shared" si="174"/>
        <v>0</v>
      </c>
      <c r="AQ433" s="281">
        <f t="shared" si="175"/>
        <v>0</v>
      </c>
      <c r="AR433" s="284">
        <f t="shared" si="176"/>
        <v>0</v>
      </c>
      <c r="AS433" s="281">
        <f t="shared" si="177"/>
        <v>0</v>
      </c>
      <c r="AT433" s="284">
        <f t="shared" si="178"/>
        <v>0</v>
      </c>
    </row>
    <row r="434" spans="1:46" s="114" customFormat="1" ht="30.9" x14ac:dyDescent="0.8">
      <c r="A434" s="262">
        <f>ROW()</f>
        <v>434</v>
      </c>
      <c r="C434" s="208"/>
      <c r="D434" s="208"/>
      <c r="E434" s="208"/>
      <c r="F434" s="208"/>
      <c r="G434" s="208"/>
      <c r="H434" s="208"/>
      <c r="J434" s="114" t="str">
        <f t="shared" si="196"/>
        <v/>
      </c>
      <c r="K434" s="114" t="str">
        <f>IF(COUNTBLANK(R434)&gt;0,"",CONCATENATE(R434," for ",N428))</f>
        <v/>
      </c>
      <c r="M434" s="117"/>
      <c r="N434" s="123" t="s">
        <v>118</v>
      </c>
      <c r="O434" s="66"/>
      <c r="P434" s="121"/>
      <c r="Q434" s="66"/>
      <c r="R434" s="121"/>
      <c r="S434" s="133">
        <f>M428</f>
        <v>0</v>
      </c>
      <c r="T434" s="120"/>
      <c r="U434" s="121" t="s">
        <v>292</v>
      </c>
      <c r="V434" s="133">
        <f t="shared" si="189"/>
        <v>0</v>
      </c>
      <c r="W434" s="133">
        <f>VLOOKUP(U434,Sheet1!$B$6:$C$45,2,FALSE)*V434</f>
        <v>0</v>
      </c>
      <c r="X434" s="141"/>
      <c r="Y434" s="121" t="s">
        <v>292</v>
      </c>
      <c r="Z434" s="146">
        <f>VLOOKUP(Takeoffs!Y434,Sheet1!$B$6:$C$124,2,FALSE)</f>
        <v>0</v>
      </c>
      <c r="AA434" s="146">
        <f t="shared" si="190"/>
        <v>0</v>
      </c>
      <c r="AB434" s="143">
        <f t="shared" si="191"/>
        <v>0</v>
      </c>
      <c r="AC434" s="133">
        <f t="shared" si="192"/>
        <v>0</v>
      </c>
      <c r="AD434" s="142">
        <v>1</v>
      </c>
      <c r="AE434" s="141"/>
      <c r="AF434" s="121" t="s">
        <v>292</v>
      </c>
      <c r="AG434" s="146">
        <f>VLOOKUP(Takeoffs!AF434,Sheet1!$B$6:$C$124,2,FALSE)</f>
        <v>0</v>
      </c>
      <c r="AH434" s="146">
        <f t="shared" si="193"/>
        <v>0</v>
      </c>
      <c r="AI434" s="143">
        <f t="shared" si="194"/>
        <v>0</v>
      </c>
      <c r="AJ434" s="133">
        <f t="shared" si="195"/>
        <v>0</v>
      </c>
      <c r="AK434" s="142">
        <f t="shared" si="197"/>
        <v>0</v>
      </c>
      <c r="AL434" s="141"/>
      <c r="AO434" s="286"/>
      <c r="AP434" s="284">
        <f t="shared" si="174"/>
        <v>0</v>
      </c>
      <c r="AQ434" s="281">
        <f t="shared" si="175"/>
        <v>0</v>
      </c>
      <c r="AR434" s="284">
        <f t="shared" si="176"/>
        <v>0</v>
      </c>
      <c r="AS434" s="281">
        <f t="shared" si="177"/>
        <v>0</v>
      </c>
      <c r="AT434" s="284">
        <f t="shared" si="178"/>
        <v>0</v>
      </c>
    </row>
    <row r="435" spans="1:46" s="114" customFormat="1" ht="30.9" x14ac:dyDescent="0.8">
      <c r="A435" s="262">
        <f>ROW()</f>
        <v>435</v>
      </c>
      <c r="C435" s="208"/>
      <c r="D435" s="208"/>
      <c r="E435" s="208"/>
      <c r="F435" s="208"/>
      <c r="G435" s="208"/>
      <c r="H435" s="208"/>
      <c r="J435" s="114" t="str">
        <f t="shared" si="196"/>
        <v/>
      </c>
      <c r="K435" s="114" t="str">
        <f>IF(COUNTBLANK(R435)&gt;0,"",CONCATENATE(R435," for ",N428))</f>
        <v/>
      </c>
      <c r="N435" s="123" t="s">
        <v>119</v>
      </c>
      <c r="O435" s="66"/>
      <c r="P435" s="121"/>
      <c r="Q435" s="66"/>
      <c r="R435" s="121"/>
      <c r="S435" s="133">
        <f>M428</f>
        <v>0</v>
      </c>
      <c r="T435" s="120"/>
      <c r="U435" s="121" t="s">
        <v>292</v>
      </c>
      <c r="V435" s="133">
        <f t="shared" si="189"/>
        <v>0</v>
      </c>
      <c r="W435" s="133">
        <f>VLOOKUP(U435,Sheet1!$B$6:$C$45,2,FALSE)*V435</f>
        <v>0</v>
      </c>
      <c r="X435" s="141"/>
      <c r="Y435" s="121" t="s">
        <v>292</v>
      </c>
      <c r="Z435" s="146">
        <f>VLOOKUP(Takeoffs!Y435,Sheet1!$B$6:$C$124,2,FALSE)</f>
        <v>0</v>
      </c>
      <c r="AA435" s="146">
        <f t="shared" si="190"/>
        <v>0</v>
      </c>
      <c r="AB435" s="143">
        <f t="shared" si="191"/>
        <v>0</v>
      </c>
      <c r="AC435" s="133">
        <f t="shared" si="192"/>
        <v>0</v>
      </c>
      <c r="AD435" s="142">
        <v>1</v>
      </c>
      <c r="AE435" s="141"/>
      <c r="AF435" s="121" t="s">
        <v>292</v>
      </c>
      <c r="AG435" s="146">
        <f>VLOOKUP(Takeoffs!AF435,Sheet1!$B$6:$C$124,2,FALSE)</f>
        <v>0</v>
      </c>
      <c r="AH435" s="146">
        <f t="shared" si="193"/>
        <v>0</v>
      </c>
      <c r="AI435" s="143">
        <f t="shared" si="194"/>
        <v>0</v>
      </c>
      <c r="AJ435" s="133">
        <f t="shared" si="195"/>
        <v>0</v>
      </c>
      <c r="AK435" s="142">
        <f t="shared" si="197"/>
        <v>0</v>
      </c>
      <c r="AL435" s="141"/>
      <c r="AO435" s="286"/>
      <c r="AP435" s="284">
        <f t="shared" si="174"/>
        <v>0</v>
      </c>
      <c r="AQ435" s="281">
        <f t="shared" si="175"/>
        <v>0</v>
      </c>
      <c r="AR435" s="284">
        <f t="shared" si="176"/>
        <v>0</v>
      </c>
      <c r="AS435" s="281">
        <f t="shared" si="177"/>
        <v>0</v>
      </c>
      <c r="AT435" s="284">
        <f t="shared" si="178"/>
        <v>0</v>
      </c>
    </row>
    <row r="436" spans="1:46" s="114" customFormat="1" ht="30.9" x14ac:dyDescent="0.8">
      <c r="A436" s="262">
        <f>ROW()</f>
        <v>436</v>
      </c>
      <c r="C436" s="208"/>
      <c r="D436" s="208"/>
      <c r="E436" s="208"/>
      <c r="F436" s="208"/>
      <c r="G436" s="208"/>
      <c r="H436" s="208"/>
      <c r="J436" s="114" t="str">
        <f t="shared" si="196"/>
        <v/>
      </c>
      <c r="K436" s="114" t="str">
        <f>IF(COUNTBLANK(R436)&gt;0,"",CONCATENATE(R436," for ",N428))</f>
        <v/>
      </c>
      <c r="N436" s="123" t="s">
        <v>120</v>
      </c>
      <c r="O436" s="66" t="s">
        <v>328</v>
      </c>
      <c r="P436" s="121"/>
      <c r="Q436" s="66"/>
      <c r="R436" s="121"/>
      <c r="S436" s="133">
        <f>M428</f>
        <v>0</v>
      </c>
      <c r="T436" s="120"/>
      <c r="U436" s="121" t="s">
        <v>242</v>
      </c>
      <c r="V436" s="133">
        <f t="shared" si="189"/>
        <v>0</v>
      </c>
      <c r="W436" s="133">
        <f>VLOOKUP(U436,Sheet1!$B$6:$C$45,2,FALSE)*V436</f>
        <v>0</v>
      </c>
      <c r="X436" s="141"/>
      <c r="Y436" s="121" t="s">
        <v>292</v>
      </c>
      <c r="Z436" s="146">
        <f>VLOOKUP(Takeoffs!Y436,Sheet1!$B$6:$C$124,2,FALSE)</f>
        <v>0</v>
      </c>
      <c r="AA436" s="146">
        <f t="shared" si="190"/>
        <v>0</v>
      </c>
      <c r="AB436" s="143">
        <f t="shared" si="191"/>
        <v>0</v>
      </c>
      <c r="AC436" s="133">
        <f t="shared" si="192"/>
        <v>0</v>
      </c>
      <c r="AD436" s="142">
        <v>1</v>
      </c>
      <c r="AE436" s="141"/>
      <c r="AF436" s="121" t="s">
        <v>292</v>
      </c>
      <c r="AG436" s="146">
        <f>VLOOKUP(Takeoffs!AF436,Sheet1!$B$6:$C$124,2,FALSE)</f>
        <v>0</v>
      </c>
      <c r="AH436" s="146">
        <f t="shared" si="193"/>
        <v>0</v>
      </c>
      <c r="AI436" s="143">
        <f t="shared" si="194"/>
        <v>0</v>
      </c>
      <c r="AJ436" s="133">
        <f t="shared" si="195"/>
        <v>0</v>
      </c>
      <c r="AK436" s="142">
        <f t="shared" si="197"/>
        <v>0</v>
      </c>
      <c r="AL436" s="141"/>
      <c r="AO436" s="286"/>
      <c r="AP436" s="284">
        <f t="shared" si="174"/>
        <v>0</v>
      </c>
      <c r="AQ436" s="281">
        <f t="shared" si="175"/>
        <v>0</v>
      </c>
      <c r="AR436" s="284">
        <f t="shared" si="176"/>
        <v>0</v>
      </c>
      <c r="AS436" s="281">
        <f t="shared" si="177"/>
        <v>0</v>
      </c>
      <c r="AT436" s="284">
        <f t="shared" si="178"/>
        <v>0</v>
      </c>
    </row>
    <row r="437" spans="1:46" s="114" customFormat="1" ht="30.9" x14ac:dyDescent="0.8">
      <c r="A437" s="262">
        <f>ROW()</f>
        <v>437</v>
      </c>
      <c r="C437" s="208"/>
      <c r="D437" s="208"/>
      <c r="E437" s="208"/>
      <c r="F437" s="208"/>
      <c r="G437" s="208"/>
      <c r="H437" s="208"/>
      <c r="J437" s="114" t="str">
        <f t="shared" si="196"/>
        <v/>
      </c>
      <c r="K437" s="114" t="str">
        <f>IF(COUNTBLANK(R437)&gt;0,"",CONCATENATE(R437," for ",N428))</f>
        <v/>
      </c>
      <c r="N437" s="123" t="s">
        <v>121</v>
      </c>
      <c r="O437" s="66"/>
      <c r="P437" s="121"/>
      <c r="Q437" s="66"/>
      <c r="R437" s="121"/>
      <c r="S437" s="133">
        <f>M428</f>
        <v>0</v>
      </c>
      <c r="T437" s="120"/>
      <c r="U437" s="121" t="s">
        <v>292</v>
      </c>
      <c r="V437" s="133">
        <f t="shared" si="189"/>
        <v>0</v>
      </c>
      <c r="W437" s="133">
        <f>VLOOKUP(U437,Sheet1!$B$6:$C$45,2,FALSE)*V437</f>
        <v>0</v>
      </c>
      <c r="X437" s="141"/>
      <c r="Y437" s="121" t="s">
        <v>292</v>
      </c>
      <c r="Z437" s="146">
        <f>VLOOKUP(Takeoffs!Y437,Sheet1!$B$6:$C$124,2,FALSE)</f>
        <v>0</v>
      </c>
      <c r="AA437" s="146">
        <f t="shared" si="190"/>
        <v>0</v>
      </c>
      <c r="AB437" s="143">
        <f t="shared" si="191"/>
        <v>0</v>
      </c>
      <c r="AC437" s="133">
        <f t="shared" si="192"/>
        <v>0</v>
      </c>
      <c r="AD437" s="142">
        <v>1</v>
      </c>
      <c r="AE437" s="141"/>
      <c r="AF437" s="121" t="s">
        <v>292</v>
      </c>
      <c r="AG437" s="146">
        <f>VLOOKUP(Takeoffs!AF437,Sheet1!$B$6:$C$124,2,FALSE)</f>
        <v>0</v>
      </c>
      <c r="AH437" s="146">
        <f t="shared" si="193"/>
        <v>0</v>
      </c>
      <c r="AI437" s="143">
        <f t="shared" si="194"/>
        <v>0</v>
      </c>
      <c r="AJ437" s="133">
        <f t="shared" si="195"/>
        <v>0</v>
      </c>
      <c r="AK437" s="142">
        <f t="shared" si="197"/>
        <v>0</v>
      </c>
      <c r="AL437" s="141"/>
      <c r="AO437" s="286"/>
      <c r="AP437" s="284">
        <f t="shared" si="174"/>
        <v>0</v>
      </c>
      <c r="AQ437" s="281">
        <f t="shared" si="175"/>
        <v>0</v>
      </c>
      <c r="AR437" s="284">
        <f t="shared" si="176"/>
        <v>0</v>
      </c>
      <c r="AS437" s="281">
        <f t="shared" si="177"/>
        <v>0</v>
      </c>
      <c r="AT437" s="284">
        <f t="shared" si="178"/>
        <v>0</v>
      </c>
    </row>
    <row r="438" spans="1:46" s="114" customFormat="1" ht="30.9" x14ac:dyDescent="0.8">
      <c r="A438" s="262">
        <f>ROW()</f>
        <v>438</v>
      </c>
      <c r="C438" s="208"/>
      <c r="D438" s="208"/>
      <c r="E438" s="208"/>
      <c r="F438" s="208"/>
      <c r="G438" s="208"/>
      <c r="H438" s="208"/>
      <c r="J438" s="114" t="str">
        <f t="shared" si="196"/>
        <v/>
      </c>
      <c r="K438" s="114" t="str">
        <f>IF(COUNTBLANK(R438)&gt;0,"",CONCATENATE(R438," for ",N428))</f>
        <v/>
      </c>
      <c r="N438" s="123" t="s">
        <v>122</v>
      </c>
      <c r="O438" s="66"/>
      <c r="P438" s="121"/>
      <c r="Q438" s="66"/>
      <c r="R438" s="121"/>
      <c r="S438" s="133">
        <f>M428</f>
        <v>0</v>
      </c>
      <c r="T438" s="120"/>
      <c r="U438" s="121" t="s">
        <v>292</v>
      </c>
      <c r="V438" s="133">
        <f t="shared" si="189"/>
        <v>0</v>
      </c>
      <c r="W438" s="133">
        <f>VLOOKUP(U438,Sheet1!$B$6:$C$45,2,FALSE)*V438</f>
        <v>0</v>
      </c>
      <c r="X438" s="141"/>
      <c r="Y438" s="121" t="s">
        <v>292</v>
      </c>
      <c r="Z438" s="146">
        <f>VLOOKUP(Takeoffs!Y438,Sheet1!$B$6:$C$124,2,FALSE)</f>
        <v>0</v>
      </c>
      <c r="AA438" s="146">
        <f t="shared" si="190"/>
        <v>0</v>
      </c>
      <c r="AB438" s="143">
        <f t="shared" si="191"/>
        <v>0</v>
      </c>
      <c r="AC438" s="133">
        <f t="shared" si="192"/>
        <v>0</v>
      </c>
      <c r="AD438" s="142">
        <v>1</v>
      </c>
      <c r="AE438" s="141"/>
      <c r="AF438" s="121" t="s">
        <v>292</v>
      </c>
      <c r="AG438" s="146">
        <f>VLOOKUP(Takeoffs!AF438,Sheet1!$B$6:$C$124,2,FALSE)</f>
        <v>0</v>
      </c>
      <c r="AH438" s="146">
        <f t="shared" si="193"/>
        <v>0</v>
      </c>
      <c r="AI438" s="143">
        <f t="shared" si="194"/>
        <v>0</v>
      </c>
      <c r="AJ438" s="133">
        <f t="shared" si="195"/>
        <v>0</v>
      </c>
      <c r="AK438" s="142">
        <f>T438</f>
        <v>0</v>
      </c>
      <c r="AL438" s="141"/>
      <c r="AO438" s="286"/>
      <c r="AP438" s="284">
        <f t="shared" si="174"/>
        <v>0</v>
      </c>
      <c r="AQ438" s="281">
        <f t="shared" si="175"/>
        <v>0</v>
      </c>
      <c r="AR438" s="284">
        <f t="shared" si="176"/>
        <v>0</v>
      </c>
      <c r="AS438" s="281">
        <f t="shared" si="177"/>
        <v>0</v>
      </c>
      <c r="AT438" s="284">
        <f t="shared" si="178"/>
        <v>0</v>
      </c>
    </row>
    <row r="439" spans="1:46" s="114" customFormat="1" ht="30.9" x14ac:dyDescent="0.8">
      <c r="A439" s="262">
        <f>ROW()</f>
        <v>439</v>
      </c>
      <c r="C439" s="208"/>
      <c r="D439" s="208"/>
      <c r="E439" s="208"/>
      <c r="F439" s="208"/>
      <c r="G439" s="208"/>
      <c r="H439" s="208"/>
      <c r="J439" s="114" t="str">
        <f t="shared" si="196"/>
        <v/>
      </c>
      <c r="K439" s="114" t="str">
        <f>IF(COUNTBLANK(R439)&gt;0,"",CONCATENATE(R439," for ",N428))</f>
        <v/>
      </c>
      <c r="N439" s="123" t="s">
        <v>123</v>
      </c>
      <c r="O439" s="66"/>
      <c r="P439" s="121"/>
      <c r="Q439" s="66"/>
      <c r="R439" s="121"/>
      <c r="S439" s="133">
        <f>M428</f>
        <v>0</v>
      </c>
      <c r="T439" s="120"/>
      <c r="U439" s="121" t="s">
        <v>292</v>
      </c>
      <c r="V439" s="133">
        <f t="shared" si="189"/>
        <v>0</v>
      </c>
      <c r="W439" s="133">
        <f>VLOOKUP(U439,Sheet1!$B$6:$C$45,2,FALSE)*V439</f>
        <v>0</v>
      </c>
      <c r="X439" s="141"/>
      <c r="Y439" s="121" t="s">
        <v>292</v>
      </c>
      <c r="Z439" s="146">
        <f>VLOOKUP(Takeoffs!Y439,Sheet1!$B$6:$C$124,2,FALSE)</f>
        <v>0</v>
      </c>
      <c r="AA439" s="146">
        <f t="shared" si="190"/>
        <v>0</v>
      </c>
      <c r="AB439" s="143">
        <f t="shared" si="191"/>
        <v>0</v>
      </c>
      <c r="AC439" s="133">
        <f t="shared" si="192"/>
        <v>0</v>
      </c>
      <c r="AD439" s="142">
        <v>1</v>
      </c>
      <c r="AE439" s="141"/>
      <c r="AF439" s="121" t="s">
        <v>292</v>
      </c>
      <c r="AG439" s="146">
        <f>VLOOKUP(Takeoffs!AF439,Sheet1!$B$6:$C$124,2,FALSE)</f>
        <v>0</v>
      </c>
      <c r="AH439" s="146">
        <f t="shared" si="193"/>
        <v>0</v>
      </c>
      <c r="AI439" s="143">
        <f t="shared" si="194"/>
        <v>0</v>
      </c>
      <c r="AJ439" s="133">
        <f t="shared" si="195"/>
        <v>0</v>
      </c>
      <c r="AK439" s="142">
        <v>0</v>
      </c>
      <c r="AL439" s="141"/>
      <c r="AO439" s="286"/>
      <c r="AP439" s="284">
        <f t="shared" si="174"/>
        <v>0</v>
      </c>
      <c r="AQ439" s="281">
        <f t="shared" si="175"/>
        <v>0</v>
      </c>
      <c r="AR439" s="284">
        <f t="shared" si="176"/>
        <v>0</v>
      </c>
      <c r="AS439" s="281">
        <f t="shared" si="177"/>
        <v>0</v>
      </c>
      <c r="AT439" s="284">
        <f t="shared" si="178"/>
        <v>0</v>
      </c>
    </row>
    <row r="440" spans="1:46" s="114" customFormat="1" ht="30.9" x14ac:dyDescent="0.8">
      <c r="A440" s="262">
        <f>ROW()</f>
        <v>440</v>
      </c>
      <c r="C440" s="208"/>
      <c r="D440" s="208"/>
      <c r="E440" s="208"/>
      <c r="F440" s="208"/>
      <c r="G440" s="208"/>
      <c r="H440" s="208"/>
      <c r="J440" s="114" t="str">
        <f t="shared" si="196"/>
        <v/>
      </c>
      <c r="K440" s="114" t="str">
        <f>IF(COUNTBLANK(R440)&gt;0,"",CONCATENATE(R440," for ",N428))</f>
        <v/>
      </c>
      <c r="N440" s="123" t="s">
        <v>124</v>
      </c>
      <c r="O440" s="66" t="s">
        <v>140</v>
      </c>
      <c r="P440" s="121"/>
      <c r="Q440" s="66"/>
      <c r="R440" s="121"/>
      <c r="S440" s="133">
        <f>M428</f>
        <v>0</v>
      </c>
      <c r="T440" s="120"/>
      <c r="U440" s="121" t="s">
        <v>292</v>
      </c>
      <c r="V440" s="133">
        <f t="shared" si="189"/>
        <v>0</v>
      </c>
      <c r="W440" s="133">
        <f>VLOOKUP(U440,Sheet1!$B$6:$C$45,2,FALSE)*V440</f>
        <v>0</v>
      </c>
      <c r="X440" s="141"/>
      <c r="Y440" s="121" t="s">
        <v>292</v>
      </c>
      <c r="Z440" s="146">
        <f>VLOOKUP(Takeoffs!Y440,Sheet1!$B$6:$C$124,2,FALSE)</f>
        <v>0</v>
      </c>
      <c r="AA440" s="146">
        <f t="shared" si="190"/>
        <v>0</v>
      </c>
      <c r="AB440" s="143">
        <f t="shared" si="191"/>
        <v>0</v>
      </c>
      <c r="AC440" s="133">
        <f t="shared" si="192"/>
        <v>0</v>
      </c>
      <c r="AD440" s="142">
        <v>1</v>
      </c>
      <c r="AE440" s="141"/>
      <c r="AF440" s="152" t="s">
        <v>418</v>
      </c>
      <c r="AG440" s="146">
        <f>VLOOKUP(Takeoffs!AF440,Sheet1!$B$6:$C$124,2,FALSE)</f>
        <v>0.33600000000000002</v>
      </c>
      <c r="AH440" s="146">
        <f t="shared" si="193"/>
        <v>0</v>
      </c>
      <c r="AI440" s="143">
        <f t="shared" si="194"/>
        <v>0</v>
      </c>
      <c r="AJ440" s="133">
        <f t="shared" si="195"/>
        <v>0</v>
      </c>
      <c r="AK440" s="142">
        <v>1</v>
      </c>
      <c r="AL440" s="141"/>
      <c r="AO440" s="286"/>
      <c r="AP440" s="284">
        <f t="shared" si="174"/>
        <v>0</v>
      </c>
      <c r="AQ440" s="281">
        <f t="shared" si="175"/>
        <v>0</v>
      </c>
      <c r="AR440" s="284">
        <f t="shared" si="176"/>
        <v>0</v>
      </c>
      <c r="AS440" s="281">
        <f t="shared" si="177"/>
        <v>0</v>
      </c>
      <c r="AT440" s="284">
        <f t="shared" si="178"/>
        <v>0</v>
      </c>
    </row>
    <row r="441" spans="1:46" s="114" customFormat="1" ht="30.9" x14ac:dyDescent="0.8">
      <c r="A441" s="262">
        <f>ROW()</f>
        <v>441</v>
      </c>
      <c r="C441" s="208"/>
      <c r="D441" s="208"/>
      <c r="E441" s="208"/>
      <c r="F441" s="208"/>
      <c r="G441" s="208"/>
      <c r="H441" s="208"/>
      <c r="J441" s="114" t="str">
        <f t="shared" si="196"/>
        <v/>
      </c>
      <c r="K441" s="114" t="str">
        <f>IF(COUNTBLANK(R441)&gt;0,"",CONCATENATE(R441," for ",N428))</f>
        <v/>
      </c>
      <c r="N441" s="123" t="s">
        <v>125</v>
      </c>
      <c r="O441" s="66" t="s">
        <v>312</v>
      </c>
      <c r="P441" s="121"/>
      <c r="Q441" s="66"/>
      <c r="R441" s="121"/>
      <c r="S441" s="133">
        <f>M428</f>
        <v>0</v>
      </c>
      <c r="T441" s="120"/>
      <c r="U441" s="121" t="s">
        <v>232</v>
      </c>
      <c r="V441" s="133">
        <f t="shared" si="189"/>
        <v>0</v>
      </c>
      <c r="W441" s="133">
        <f>VLOOKUP(U441,Sheet1!$B$6:$C$45,2,FALSE)*V441</f>
        <v>0</v>
      </c>
      <c r="X441" s="141"/>
      <c r="Y441" s="122" t="s">
        <v>1345</v>
      </c>
      <c r="Z441" s="146">
        <f>VLOOKUP(Takeoffs!Y441,Sheet1!$B$6:$C$124,2,FALSE)</f>
        <v>109.25999999999999</v>
      </c>
      <c r="AA441" s="146">
        <f t="shared" si="190"/>
        <v>0</v>
      </c>
      <c r="AB441" s="143">
        <f t="shared" si="191"/>
        <v>0</v>
      </c>
      <c r="AC441" s="133">
        <f t="shared" si="192"/>
        <v>0</v>
      </c>
      <c r="AD441" s="142">
        <v>1</v>
      </c>
      <c r="AE441" s="141"/>
      <c r="AF441" s="121" t="s">
        <v>292</v>
      </c>
      <c r="AG441" s="146">
        <f>VLOOKUP(Takeoffs!AF441,Sheet1!$B$6:$C$124,2,FALSE)</f>
        <v>0</v>
      </c>
      <c r="AH441" s="146">
        <f t="shared" si="193"/>
        <v>0</v>
      </c>
      <c r="AI441" s="143">
        <f t="shared" si="194"/>
        <v>0</v>
      </c>
      <c r="AJ441" s="133">
        <f t="shared" si="195"/>
        <v>0</v>
      </c>
      <c r="AK441" s="142">
        <f t="shared" ref="AK441:AK448" si="198">T441</f>
        <v>0</v>
      </c>
      <c r="AL441" s="141"/>
      <c r="AO441" s="286"/>
      <c r="AP441" s="284">
        <f t="shared" si="174"/>
        <v>0</v>
      </c>
      <c r="AQ441" s="281">
        <f t="shared" si="175"/>
        <v>0</v>
      </c>
      <c r="AR441" s="284">
        <f t="shared" si="176"/>
        <v>0</v>
      </c>
      <c r="AS441" s="281">
        <f t="shared" si="177"/>
        <v>0</v>
      </c>
      <c r="AT441" s="284">
        <f t="shared" si="178"/>
        <v>0</v>
      </c>
    </row>
    <row r="442" spans="1:46" s="114" customFormat="1" ht="30.9" x14ac:dyDescent="0.8">
      <c r="A442" s="262">
        <f>ROW()</f>
        <v>442</v>
      </c>
      <c r="C442" s="208"/>
      <c r="D442" s="208"/>
      <c r="E442" s="208"/>
      <c r="F442" s="208"/>
      <c r="G442" s="208"/>
      <c r="H442" s="208"/>
      <c r="J442" s="114" t="str">
        <f t="shared" si="196"/>
        <v/>
      </c>
      <c r="K442" s="114" t="str">
        <f>IF(COUNTBLANK(R442)&gt;0,"",CONCATENATE(R442," for ",N428))</f>
        <v/>
      </c>
      <c r="N442" s="123" t="s">
        <v>126</v>
      </c>
      <c r="O442" s="66" t="s">
        <v>541</v>
      </c>
      <c r="P442" s="121"/>
      <c r="Q442" s="66"/>
      <c r="R442" s="121"/>
      <c r="S442" s="133">
        <f>M428</f>
        <v>0</v>
      </c>
      <c r="T442" s="120"/>
      <c r="U442" s="121" t="s">
        <v>292</v>
      </c>
      <c r="V442" s="133">
        <f t="shared" si="189"/>
        <v>0</v>
      </c>
      <c r="W442" s="133">
        <f>VLOOKUP(U442,Sheet1!$B$6:$C$45,2,FALSE)*V442</f>
        <v>0</v>
      </c>
      <c r="X442" s="141"/>
      <c r="Y442" s="122" t="s">
        <v>326</v>
      </c>
      <c r="Z442" s="146">
        <f>VLOOKUP(Takeoffs!Y442,Sheet1!$B$6:$C$124,2,FALSE)</f>
        <v>29.04</v>
      </c>
      <c r="AA442" s="146">
        <f t="shared" si="190"/>
        <v>0</v>
      </c>
      <c r="AB442" s="143">
        <f t="shared" si="191"/>
        <v>0</v>
      </c>
      <c r="AC442" s="133">
        <f t="shared" si="192"/>
        <v>0</v>
      </c>
      <c r="AD442" s="142">
        <v>1</v>
      </c>
      <c r="AE442" s="141"/>
      <c r="AF442" s="121" t="s">
        <v>292</v>
      </c>
      <c r="AG442" s="146">
        <f>VLOOKUP(Takeoffs!AF442,Sheet1!$B$6:$C$124,2,FALSE)</f>
        <v>0</v>
      </c>
      <c r="AH442" s="146">
        <f t="shared" si="193"/>
        <v>0</v>
      </c>
      <c r="AI442" s="143">
        <f t="shared" si="194"/>
        <v>0</v>
      </c>
      <c r="AJ442" s="133">
        <f t="shared" si="195"/>
        <v>0</v>
      </c>
      <c r="AK442" s="142">
        <f t="shared" si="198"/>
        <v>0</v>
      </c>
      <c r="AL442" s="141"/>
      <c r="AO442" s="286"/>
      <c r="AP442" s="284">
        <f t="shared" si="174"/>
        <v>0</v>
      </c>
      <c r="AQ442" s="281">
        <f t="shared" si="175"/>
        <v>0</v>
      </c>
      <c r="AR442" s="284">
        <f t="shared" si="176"/>
        <v>0</v>
      </c>
      <c r="AS442" s="281">
        <f t="shared" si="177"/>
        <v>0</v>
      </c>
      <c r="AT442" s="284">
        <f t="shared" si="178"/>
        <v>0</v>
      </c>
    </row>
    <row r="443" spans="1:46" s="114" customFormat="1" ht="30.9" x14ac:dyDescent="0.8">
      <c r="A443" s="262">
        <f>ROW()</f>
        <v>443</v>
      </c>
      <c r="C443" s="208"/>
      <c r="D443" s="208"/>
      <c r="E443" s="208"/>
      <c r="F443" s="208"/>
      <c r="G443" s="208"/>
      <c r="H443" s="208"/>
      <c r="J443" s="114" t="str">
        <f t="shared" si="196"/>
        <v/>
      </c>
      <c r="K443" s="114" t="str">
        <f>IF(COUNTBLANK(R443)&gt;0,"",CONCATENATE(R443," for ",N428))</f>
        <v>run and fault lights for DOL fan with interlock - from MSSB power supply</v>
      </c>
      <c r="N443" s="123" t="s">
        <v>127</v>
      </c>
      <c r="O443" s="66" t="s">
        <v>337</v>
      </c>
      <c r="P443" s="121"/>
      <c r="Q443" s="66"/>
      <c r="R443" s="121" t="s">
        <v>331</v>
      </c>
      <c r="S443" s="133">
        <f>M428</f>
        <v>0</v>
      </c>
      <c r="T443" s="120"/>
      <c r="U443" s="121" t="s">
        <v>292</v>
      </c>
      <c r="V443" s="133">
        <f t="shared" si="189"/>
        <v>0</v>
      </c>
      <c r="W443" s="133">
        <f>VLOOKUP(U443,Sheet1!$B$6:$C$45,2,FALSE)*V443</f>
        <v>0</v>
      </c>
      <c r="X443" s="141"/>
      <c r="Y443" s="122" t="s">
        <v>280</v>
      </c>
      <c r="Z443" s="146">
        <f>VLOOKUP(Takeoffs!Y443,Sheet1!$B$6:$C$124,2,FALSE)</f>
        <v>19.2</v>
      </c>
      <c r="AA443" s="146">
        <f t="shared" si="190"/>
        <v>0</v>
      </c>
      <c r="AB443" s="143">
        <f t="shared" si="191"/>
        <v>0</v>
      </c>
      <c r="AC443" s="133">
        <f t="shared" si="192"/>
        <v>0</v>
      </c>
      <c r="AD443" s="142">
        <v>2</v>
      </c>
      <c r="AE443" s="141"/>
      <c r="AF443" s="121" t="s">
        <v>292</v>
      </c>
      <c r="AG443" s="146">
        <f>VLOOKUP(Takeoffs!AF443,Sheet1!$B$6:$C$124,2,FALSE)</f>
        <v>0</v>
      </c>
      <c r="AH443" s="146">
        <f t="shared" si="193"/>
        <v>0</v>
      </c>
      <c r="AI443" s="143">
        <f t="shared" si="194"/>
        <v>0</v>
      </c>
      <c r="AJ443" s="133">
        <f t="shared" si="195"/>
        <v>0</v>
      </c>
      <c r="AK443" s="142">
        <f t="shared" si="198"/>
        <v>0</v>
      </c>
      <c r="AL443" s="141"/>
      <c r="AO443" s="286"/>
      <c r="AP443" s="284">
        <f t="shared" si="174"/>
        <v>0</v>
      </c>
      <c r="AQ443" s="281">
        <f t="shared" si="175"/>
        <v>0</v>
      </c>
      <c r="AR443" s="284">
        <f t="shared" si="176"/>
        <v>0</v>
      </c>
      <c r="AS443" s="281">
        <f t="shared" si="177"/>
        <v>0</v>
      </c>
      <c r="AT443" s="284">
        <f t="shared" si="178"/>
        <v>0</v>
      </c>
    </row>
    <row r="444" spans="1:46" s="114" customFormat="1" ht="30.9" x14ac:dyDescent="0.8">
      <c r="A444" s="262">
        <f>ROW()</f>
        <v>444</v>
      </c>
      <c r="C444" s="208"/>
      <c r="D444" s="208"/>
      <c r="E444" s="208"/>
      <c r="F444" s="208"/>
      <c r="G444" s="208"/>
      <c r="H444" s="208"/>
      <c r="J444" s="114" t="str">
        <f t="shared" si="196"/>
        <v/>
      </c>
      <c r="K444" s="114" t="str">
        <f>IF(COUNTBLANK(R444)&gt;0,"",CONCATENATE(R444," for ",N428))</f>
        <v/>
      </c>
      <c r="N444" s="123" t="s">
        <v>128</v>
      </c>
      <c r="O444" s="66"/>
      <c r="P444" s="121"/>
      <c r="Q444" s="66"/>
      <c r="R444" s="121"/>
      <c r="S444" s="133">
        <f>M428</f>
        <v>0</v>
      </c>
      <c r="T444" s="120"/>
      <c r="U444" s="121" t="s">
        <v>292</v>
      </c>
      <c r="V444" s="133">
        <f t="shared" si="189"/>
        <v>0</v>
      </c>
      <c r="W444" s="133">
        <f>VLOOKUP(U444,Sheet1!$B$6:$C$45,2,FALSE)*V444</f>
        <v>0</v>
      </c>
      <c r="X444" s="141"/>
      <c r="Y444" s="121" t="s">
        <v>292</v>
      </c>
      <c r="Z444" s="146">
        <f>VLOOKUP(Takeoffs!Y444,Sheet1!$B$6:$C$124,2,FALSE)</f>
        <v>0</v>
      </c>
      <c r="AA444" s="146">
        <f t="shared" si="190"/>
        <v>0</v>
      </c>
      <c r="AB444" s="143">
        <f t="shared" si="191"/>
        <v>0</v>
      </c>
      <c r="AC444" s="133">
        <f t="shared" si="192"/>
        <v>0</v>
      </c>
      <c r="AD444" s="142">
        <v>1</v>
      </c>
      <c r="AE444" s="141"/>
      <c r="AF444" s="121" t="s">
        <v>292</v>
      </c>
      <c r="AG444" s="146">
        <f>VLOOKUP(Takeoffs!AF444,Sheet1!$B$6:$C$124,2,FALSE)</f>
        <v>0</v>
      </c>
      <c r="AH444" s="146">
        <f t="shared" si="193"/>
        <v>0</v>
      </c>
      <c r="AI444" s="143">
        <f t="shared" si="194"/>
        <v>0</v>
      </c>
      <c r="AJ444" s="133">
        <f t="shared" si="195"/>
        <v>0</v>
      </c>
      <c r="AK444" s="142">
        <f t="shared" si="198"/>
        <v>0</v>
      </c>
      <c r="AL444" s="141"/>
      <c r="AO444" s="286"/>
      <c r="AP444" s="284">
        <f t="shared" si="174"/>
        <v>0</v>
      </c>
      <c r="AQ444" s="281">
        <f t="shared" si="175"/>
        <v>0</v>
      </c>
      <c r="AR444" s="284">
        <f t="shared" si="176"/>
        <v>0</v>
      </c>
      <c r="AS444" s="281">
        <f t="shared" si="177"/>
        <v>0</v>
      </c>
      <c r="AT444" s="284">
        <f t="shared" si="178"/>
        <v>0</v>
      </c>
    </row>
    <row r="445" spans="1:46" s="114" customFormat="1" ht="30.9" x14ac:dyDescent="0.8">
      <c r="A445" s="262">
        <f>ROW()</f>
        <v>445</v>
      </c>
      <c r="C445" s="208"/>
      <c r="D445" s="208"/>
      <c r="E445" s="208"/>
      <c r="F445" s="208"/>
      <c r="G445" s="208"/>
      <c r="H445" s="208"/>
      <c r="J445" s="114" t="str">
        <f t="shared" si="196"/>
        <v/>
      </c>
      <c r="K445" s="114" t="str">
        <f>IF(COUNTBLANK(R445)&gt;0,"",CONCATENATE(R445," for ",N428))</f>
        <v>Auto/Off/On switch for DOL fan with interlock - from MSSB power supply</v>
      </c>
      <c r="N445" s="123" t="s">
        <v>129</v>
      </c>
      <c r="O445" s="66" t="s">
        <v>329</v>
      </c>
      <c r="P445" s="121"/>
      <c r="Q445" s="66"/>
      <c r="R445" s="121" t="s">
        <v>304</v>
      </c>
      <c r="S445" s="133">
        <f>M428</f>
        <v>0</v>
      </c>
      <c r="T445" s="120"/>
      <c r="U445" s="121" t="s">
        <v>292</v>
      </c>
      <c r="V445" s="133">
        <f t="shared" si="189"/>
        <v>0</v>
      </c>
      <c r="W445" s="133">
        <f>VLOOKUP(U445,Sheet1!$B$6:$C$45,2,FALSE)*V445</f>
        <v>0</v>
      </c>
      <c r="X445" s="141"/>
      <c r="Y445" s="122" t="s">
        <v>277</v>
      </c>
      <c r="Z445" s="146">
        <f>VLOOKUP(Takeoffs!Y445,Sheet1!$B$6:$C$124,2,FALSE)</f>
        <v>69.540000000000006</v>
      </c>
      <c r="AA445" s="146">
        <f t="shared" si="190"/>
        <v>0</v>
      </c>
      <c r="AB445" s="143">
        <f t="shared" si="191"/>
        <v>0</v>
      </c>
      <c r="AC445" s="133">
        <f t="shared" si="192"/>
        <v>0</v>
      </c>
      <c r="AD445" s="142">
        <v>1</v>
      </c>
      <c r="AE445" s="141"/>
      <c r="AF445" s="121" t="s">
        <v>292</v>
      </c>
      <c r="AG445" s="146">
        <f>VLOOKUP(Takeoffs!AF445,Sheet1!$B$6:$C$124,2,FALSE)</f>
        <v>0</v>
      </c>
      <c r="AH445" s="146">
        <f t="shared" si="193"/>
        <v>0</v>
      </c>
      <c r="AI445" s="143">
        <f t="shared" si="194"/>
        <v>0</v>
      </c>
      <c r="AJ445" s="133">
        <f t="shared" si="195"/>
        <v>0</v>
      </c>
      <c r="AK445" s="142">
        <f t="shared" si="198"/>
        <v>0</v>
      </c>
      <c r="AL445" s="141"/>
      <c r="AO445" s="286"/>
      <c r="AP445" s="284">
        <f t="shared" si="174"/>
        <v>0</v>
      </c>
      <c r="AQ445" s="281">
        <f t="shared" si="175"/>
        <v>0</v>
      </c>
      <c r="AR445" s="284">
        <f t="shared" si="176"/>
        <v>0</v>
      </c>
      <c r="AS445" s="281">
        <f t="shared" si="177"/>
        <v>0</v>
      </c>
      <c r="AT445" s="284">
        <f t="shared" si="178"/>
        <v>0</v>
      </c>
    </row>
    <row r="446" spans="1:46" s="114" customFormat="1" ht="30.9" x14ac:dyDescent="0.8">
      <c r="A446" s="262">
        <f>ROW()</f>
        <v>446</v>
      </c>
      <c r="C446" s="208"/>
      <c r="D446" s="208"/>
      <c r="E446" s="208"/>
      <c r="F446" s="208"/>
      <c r="G446" s="208"/>
      <c r="H446" s="208"/>
      <c r="J446" s="114" t="str">
        <f t="shared" si="196"/>
        <v/>
      </c>
      <c r="K446" s="114" t="str">
        <f>IF(COUNTBLANK(R446)&gt;0,"",CONCATENATE(R446," for ",N428))</f>
        <v/>
      </c>
      <c r="N446" s="123" t="s">
        <v>130</v>
      </c>
      <c r="O446" s="66"/>
      <c r="P446" s="121"/>
      <c r="Q446" s="66"/>
      <c r="R446" s="121"/>
      <c r="S446" s="133">
        <f>M428</f>
        <v>0</v>
      </c>
      <c r="T446" s="120"/>
      <c r="U446" s="121" t="s">
        <v>292</v>
      </c>
      <c r="V446" s="133">
        <f t="shared" si="189"/>
        <v>0</v>
      </c>
      <c r="W446" s="133">
        <f>VLOOKUP(U446,Sheet1!$B$6:$C$45,2,FALSE)*V446</f>
        <v>0</v>
      </c>
      <c r="X446" s="141"/>
      <c r="Y446" s="121" t="s">
        <v>292</v>
      </c>
      <c r="Z446" s="146">
        <f>VLOOKUP(Takeoffs!Y446,Sheet1!$B$6:$C$124,2,FALSE)</f>
        <v>0</v>
      </c>
      <c r="AA446" s="146">
        <f t="shared" si="190"/>
        <v>0</v>
      </c>
      <c r="AB446" s="143">
        <f t="shared" si="191"/>
        <v>0</v>
      </c>
      <c r="AC446" s="133">
        <f t="shared" si="192"/>
        <v>0</v>
      </c>
      <c r="AD446" s="142">
        <v>1</v>
      </c>
      <c r="AE446" s="141"/>
      <c r="AF446" s="121" t="s">
        <v>292</v>
      </c>
      <c r="AG446" s="146">
        <f>VLOOKUP(Takeoffs!AF446,Sheet1!$B$6:$C$124,2,FALSE)</f>
        <v>0</v>
      </c>
      <c r="AH446" s="146">
        <f t="shared" si="193"/>
        <v>0</v>
      </c>
      <c r="AI446" s="143">
        <f t="shared" si="194"/>
        <v>0</v>
      </c>
      <c r="AJ446" s="133">
        <f t="shared" si="195"/>
        <v>0</v>
      </c>
      <c r="AK446" s="142">
        <f t="shared" si="198"/>
        <v>0</v>
      </c>
      <c r="AL446" s="141"/>
      <c r="AO446" s="286"/>
      <c r="AP446" s="284">
        <f t="shared" si="174"/>
        <v>0</v>
      </c>
      <c r="AQ446" s="281">
        <f t="shared" si="175"/>
        <v>0</v>
      </c>
      <c r="AR446" s="284">
        <f t="shared" si="176"/>
        <v>0</v>
      </c>
      <c r="AS446" s="281">
        <f t="shared" si="177"/>
        <v>0</v>
      </c>
      <c r="AT446" s="284">
        <f t="shared" si="178"/>
        <v>0</v>
      </c>
    </row>
    <row r="447" spans="1:46" s="114" customFormat="1" ht="30.9" x14ac:dyDescent="0.8">
      <c r="A447" s="262">
        <f>ROW()</f>
        <v>447</v>
      </c>
      <c r="C447" s="208"/>
      <c r="D447" s="208"/>
      <c r="E447" s="208"/>
      <c r="F447" s="208"/>
      <c r="G447" s="208"/>
      <c r="H447" s="208"/>
      <c r="J447" s="114" t="str">
        <f t="shared" si="196"/>
        <v/>
      </c>
      <c r="K447" s="114" t="str">
        <f>IF(COUNTBLANK(R447)&gt;0,"",CONCATENATE(R447," for ",N428))</f>
        <v/>
      </c>
      <c r="N447" s="123" t="s">
        <v>131</v>
      </c>
      <c r="O447" s="66" t="s">
        <v>407</v>
      </c>
      <c r="P447" s="121"/>
      <c r="Q447" s="66"/>
      <c r="R447" s="121"/>
      <c r="S447" s="133">
        <f>M428</f>
        <v>0</v>
      </c>
      <c r="T447" s="120"/>
      <c r="U447" s="121" t="s">
        <v>292</v>
      </c>
      <c r="V447" s="133">
        <f t="shared" si="189"/>
        <v>0</v>
      </c>
      <c r="W447" s="133">
        <f>VLOOKUP(U447,Sheet1!$B$6:$C$45,2,FALSE)*V447</f>
        <v>0</v>
      </c>
      <c r="X447" s="141"/>
      <c r="Y447" s="121" t="s">
        <v>274</v>
      </c>
      <c r="Z447" s="146">
        <f>VLOOKUP(Takeoffs!Y447,Sheet1!$B$6:$C$124,2,FALSE)</f>
        <v>360</v>
      </c>
      <c r="AA447" s="146">
        <f t="shared" si="190"/>
        <v>0</v>
      </c>
      <c r="AB447" s="143">
        <f t="shared" si="191"/>
        <v>0</v>
      </c>
      <c r="AC447" s="133">
        <f t="shared" si="192"/>
        <v>0</v>
      </c>
      <c r="AD447" s="142">
        <v>1</v>
      </c>
      <c r="AE447" s="141"/>
      <c r="AF447" s="121" t="s">
        <v>292</v>
      </c>
      <c r="AG447" s="146">
        <f>VLOOKUP(Takeoffs!AF447,Sheet1!$B$6:$C$124,2,FALSE)</f>
        <v>0</v>
      </c>
      <c r="AH447" s="146">
        <f t="shared" si="193"/>
        <v>0</v>
      </c>
      <c r="AI447" s="143">
        <f t="shared" si="194"/>
        <v>0</v>
      </c>
      <c r="AJ447" s="133">
        <f t="shared" si="195"/>
        <v>0</v>
      </c>
      <c r="AK447" s="142">
        <f t="shared" si="198"/>
        <v>0</v>
      </c>
      <c r="AL447" s="141"/>
      <c r="AO447" s="286"/>
      <c r="AP447" s="284">
        <f t="shared" si="174"/>
        <v>0</v>
      </c>
      <c r="AQ447" s="281">
        <f t="shared" si="175"/>
        <v>0</v>
      </c>
      <c r="AR447" s="284">
        <f t="shared" si="176"/>
        <v>0</v>
      </c>
      <c r="AS447" s="281">
        <f t="shared" si="177"/>
        <v>0</v>
      </c>
      <c r="AT447" s="284">
        <f t="shared" si="178"/>
        <v>0</v>
      </c>
    </row>
    <row r="448" spans="1:46" s="114" customFormat="1" ht="30.9" x14ac:dyDescent="0.8">
      <c r="A448" s="262">
        <f>ROW()</f>
        <v>448</v>
      </c>
      <c r="C448" s="208"/>
      <c r="D448" s="208"/>
      <c r="E448" s="208"/>
      <c r="F448" s="208"/>
      <c r="G448" s="208"/>
      <c r="H448" s="208"/>
      <c r="J448" s="114" t="str">
        <f t="shared" si="196"/>
        <v/>
      </c>
      <c r="K448" s="114" t="str">
        <f>IF(COUNTBLANK(R448)&gt;0,"",CONCATENATE(R448," for ",N428))</f>
        <v/>
      </c>
      <c r="N448" s="123" t="s">
        <v>132</v>
      </c>
      <c r="O448" s="66" t="s">
        <v>408</v>
      </c>
      <c r="P448" s="121"/>
      <c r="Q448" s="66"/>
      <c r="R448" s="121"/>
      <c r="S448" s="133">
        <f>M428</f>
        <v>0</v>
      </c>
      <c r="T448" s="120"/>
      <c r="U448" s="121" t="s">
        <v>362</v>
      </c>
      <c r="V448" s="133">
        <f t="shared" si="189"/>
        <v>0</v>
      </c>
      <c r="W448" s="133">
        <f>VLOOKUP(U448,Sheet1!$B$6:$C$45,2,FALSE)*V448</f>
        <v>0</v>
      </c>
      <c r="X448" s="141"/>
      <c r="Y448" s="121" t="s">
        <v>292</v>
      </c>
      <c r="Z448" s="146">
        <f>VLOOKUP(Takeoffs!Y448,Sheet1!$B$6:$C$124,2,FALSE)</f>
        <v>0</v>
      </c>
      <c r="AA448" s="146">
        <f t="shared" si="190"/>
        <v>0</v>
      </c>
      <c r="AB448" s="143">
        <f t="shared" si="191"/>
        <v>0</v>
      </c>
      <c r="AC448" s="133">
        <f t="shared" si="192"/>
        <v>0</v>
      </c>
      <c r="AD448" s="142">
        <v>1</v>
      </c>
      <c r="AE448" s="141"/>
      <c r="AF448" s="121" t="s">
        <v>292</v>
      </c>
      <c r="AG448" s="146">
        <f>VLOOKUP(Takeoffs!AF448,Sheet1!$B$6:$C$124,2,FALSE)</f>
        <v>0</v>
      </c>
      <c r="AH448" s="146">
        <f t="shared" si="193"/>
        <v>0</v>
      </c>
      <c r="AI448" s="143">
        <f t="shared" si="194"/>
        <v>0</v>
      </c>
      <c r="AJ448" s="133">
        <f t="shared" si="195"/>
        <v>0</v>
      </c>
      <c r="AK448" s="142">
        <f t="shared" si="198"/>
        <v>0</v>
      </c>
      <c r="AL448" s="141"/>
      <c r="AO448" s="286"/>
      <c r="AP448" s="284">
        <f t="shared" si="174"/>
        <v>0</v>
      </c>
      <c r="AQ448" s="281">
        <f t="shared" si="175"/>
        <v>0</v>
      </c>
      <c r="AR448" s="284">
        <f t="shared" si="176"/>
        <v>0</v>
      </c>
      <c r="AS448" s="281">
        <f t="shared" si="177"/>
        <v>0</v>
      </c>
      <c r="AT448" s="284">
        <f t="shared" si="178"/>
        <v>0</v>
      </c>
    </row>
    <row r="449" spans="1:97" s="128" customFormat="1" ht="31.5" customHeight="1" x14ac:dyDescent="0.8">
      <c r="A449" s="262">
        <f>ROW()</f>
        <v>449</v>
      </c>
      <c r="C449" s="212"/>
      <c r="D449" s="212"/>
      <c r="E449" s="212"/>
      <c r="F449" s="212"/>
      <c r="G449" s="212"/>
      <c r="H449" s="212"/>
      <c r="J449" s="128" t="s">
        <v>377</v>
      </c>
      <c r="L449" s="128" t="s">
        <v>378</v>
      </c>
      <c r="N449" s="129"/>
      <c r="O449" s="130" t="s">
        <v>357</v>
      </c>
      <c r="P449" s="131">
        <f>V449+AA449+AH449</f>
        <v>0</v>
      </c>
      <c r="Q449" s="131"/>
      <c r="R449" s="131"/>
      <c r="S449" s="130"/>
      <c r="T449" s="127"/>
      <c r="U449" s="126" t="s">
        <v>351</v>
      </c>
      <c r="V449" s="127">
        <f>W449*80</f>
        <v>0</v>
      </c>
      <c r="W449" s="147">
        <f>SUM(W428:W448)</f>
        <v>0</v>
      </c>
      <c r="X449" s="148"/>
      <c r="Y449" s="127" t="s">
        <v>352</v>
      </c>
      <c r="Z449" s="116"/>
      <c r="AA449" s="116">
        <f>SUM(AA428:AA448)</f>
        <v>0</v>
      </c>
      <c r="AB449" s="149"/>
      <c r="AC449" s="149"/>
      <c r="AD449" s="149"/>
      <c r="AE449" s="149"/>
      <c r="AF449" s="127" t="s">
        <v>356</v>
      </c>
      <c r="AG449" s="116"/>
      <c r="AH449" s="116">
        <f>SUM(AH428:AH448)</f>
        <v>0</v>
      </c>
      <c r="AI449" s="149"/>
      <c r="AJ449" s="149"/>
      <c r="AK449" s="149"/>
      <c r="AL449" s="149"/>
      <c r="AM449" s="150">
        <f>P449</f>
        <v>0</v>
      </c>
      <c r="AO449" s="286"/>
      <c r="AP449" s="284">
        <f t="shared" si="174"/>
        <v>0</v>
      </c>
      <c r="AQ449" s="281">
        <f t="shared" si="175"/>
        <v>0</v>
      </c>
      <c r="AR449" s="284">
        <f t="shared" si="176"/>
        <v>0</v>
      </c>
      <c r="AS449" s="281">
        <f t="shared" si="177"/>
        <v>0</v>
      </c>
      <c r="AT449" s="284">
        <f t="shared" si="178"/>
        <v>0</v>
      </c>
    </row>
    <row r="450" spans="1:97" s="234" customFormat="1" ht="123.45" x14ac:dyDescent="0.8">
      <c r="A450" s="262">
        <f>ROW()</f>
        <v>450</v>
      </c>
      <c r="B450" s="234" t="s">
        <v>491</v>
      </c>
      <c r="C450" s="217" t="str">
        <f>N428</f>
        <v>DOL fan with interlock - from MSSB power supply</v>
      </c>
      <c r="D450" s="260" t="str">
        <f>IF(B450="Shopping List",IF(ISNUMBER(SEARCH("MSSB",C450)),"MSSB",IF(ISNUMBER(SEARCH("local",C450)),"LOCAL","")))</f>
        <v>MSSB</v>
      </c>
      <c r="E450" s="238"/>
      <c r="F450" s="217"/>
      <c r="G450" s="217"/>
      <c r="H450" s="245"/>
      <c r="I450" s="270"/>
      <c r="J450" s="241" t="str">
        <f>CONCATENATE(O428," ",L428, " (",M428,") ",N428,".", IF(M428&gt;1," Each "," This "),"includes supply and install of ",O429,O430,O431,O432,O433,O434,O435,O436,O437,O438,O439,O440,O441,O442,O443,O444,O445,O446,O447,O448,J429,J430,J431,J432,J433,J434,J435,J436,J437,J438,J439,J440,J441,J442,J443,J444,J445,J446,J447,J448)</f>
        <v xml:space="preserve">Electrical power supply and controls to Zero (0) DOL fan with interlock - from MSSB power supply. This includes supply and install of power and controls. Power for system includes: CB and cabling to fan from MSSB, and local isolator. Controls for system includes: controls cabling, contactors/relays, interlock with associated system, run and fault lights, Auto/Off/On switch, trefolyte labelling, and commissioning/testing. </v>
      </c>
      <c r="K450" s="246">
        <f>P449</f>
        <v>0</v>
      </c>
      <c r="L450" s="235" t="str">
        <f>CONCATENATE(Q429,Q430,Q431,Q432,Q433,Q434,Q435,Q436,Q437,Q438,Q439,Q440,Q441,Q442,Q443,Q444,Q445,Q446,Q447,Q448,)</f>
        <v/>
      </c>
      <c r="M450" s="166" t="s">
        <v>367</v>
      </c>
      <c r="N450" s="160" t="str">
        <f>N428</f>
        <v>DOL fan with interlock - from MSSB power supply</v>
      </c>
      <c r="O450" s="160" t="s">
        <v>365</v>
      </c>
      <c r="P450" s="82" t="e">
        <f>P449/M428</f>
        <v>#DIV/0!</v>
      </c>
      <c r="Q450" s="161"/>
      <c r="R450" s="161"/>
      <c r="S450" s="160"/>
      <c r="T450" s="161"/>
      <c r="U450" s="503" t="s">
        <v>366</v>
      </c>
      <c r="V450" s="503"/>
      <c r="W450" s="162" t="e">
        <f>W449/M428</f>
        <v>#DIV/0!</v>
      </c>
      <c r="X450" s="163"/>
      <c r="Y450" s="501" t="s">
        <v>365</v>
      </c>
      <c r="Z450" s="501"/>
      <c r="AA450" s="164" t="e">
        <f>AA449/M428</f>
        <v>#DIV/0!</v>
      </c>
      <c r="AB450" s="161"/>
      <c r="AC450" s="161"/>
      <c r="AD450" s="161"/>
      <c r="AE450" s="161"/>
      <c r="AF450" s="501" t="s">
        <v>365</v>
      </c>
      <c r="AG450" s="501"/>
      <c r="AH450" s="164" t="e">
        <f>AH449/M428</f>
        <v>#DIV/0!</v>
      </c>
      <c r="AI450" s="161"/>
      <c r="AJ450" s="161"/>
      <c r="AK450" s="161"/>
      <c r="AL450" s="247"/>
      <c r="AM450" s="257"/>
      <c r="AN450" s="230">
        <f>K450*1.25</f>
        <v>0</v>
      </c>
      <c r="AO450" s="286"/>
      <c r="AP450" s="284">
        <f t="shared" si="174"/>
        <v>0</v>
      </c>
      <c r="AQ450" s="281">
        <f t="shared" si="175"/>
        <v>0</v>
      </c>
      <c r="AR450" s="284">
        <f t="shared" si="176"/>
        <v>0</v>
      </c>
      <c r="AS450" s="281">
        <f t="shared" si="177"/>
        <v>0</v>
      </c>
      <c r="AT450" s="284">
        <f t="shared" si="178"/>
        <v>0</v>
      </c>
      <c r="AU450" s="117"/>
      <c r="AV450" s="117"/>
      <c r="AW450" s="117"/>
      <c r="AX450" s="117"/>
      <c r="AY450" s="117"/>
      <c r="AZ450" s="117"/>
      <c r="BA450" s="117"/>
      <c r="BB450" s="117"/>
      <c r="BC450" s="117"/>
      <c r="BD450" s="117"/>
      <c r="BE450" s="117"/>
      <c r="BF450" s="117"/>
      <c r="BG450" s="117"/>
      <c r="BH450" s="117"/>
      <c r="BI450" s="117"/>
      <c r="BJ450" s="117"/>
      <c r="BK450" s="117"/>
      <c r="BL450" s="117"/>
      <c r="BM450" s="117"/>
      <c r="BN450" s="117"/>
      <c r="BO450" s="117"/>
      <c r="BP450" s="117"/>
      <c r="BQ450" s="117"/>
      <c r="BR450" s="117"/>
      <c r="BS450" s="117"/>
      <c r="BT450" s="117"/>
      <c r="BU450" s="117"/>
      <c r="BV450" s="117"/>
      <c r="BW450" s="117"/>
      <c r="BX450" s="117"/>
      <c r="BY450" s="117"/>
      <c r="BZ450" s="117"/>
      <c r="CA450" s="117"/>
      <c r="CB450" s="117"/>
      <c r="CC450" s="117"/>
      <c r="CD450" s="117"/>
      <c r="CE450" s="117"/>
      <c r="CF450" s="117"/>
      <c r="CG450" s="117"/>
      <c r="CH450" s="117"/>
      <c r="CI450" s="117"/>
      <c r="CJ450" s="117"/>
      <c r="CK450" s="117"/>
      <c r="CL450" s="117"/>
      <c r="CM450" s="117"/>
      <c r="CN450" s="117"/>
      <c r="CO450" s="117"/>
      <c r="CP450" s="117"/>
      <c r="CQ450" s="117"/>
      <c r="CR450" s="117"/>
      <c r="CS450" s="117"/>
    </row>
    <row r="451" spans="1:97" s="116" customFormat="1" ht="192.75" customHeight="1" x14ac:dyDescent="0.8">
      <c r="A451" s="262">
        <f>ROW()</f>
        <v>451</v>
      </c>
      <c r="C451" s="211"/>
      <c r="D451" s="211"/>
      <c r="E451" s="211"/>
      <c r="F451" s="211"/>
      <c r="G451" s="211"/>
      <c r="H451" s="211"/>
      <c r="K451" s="116" t="s">
        <v>452</v>
      </c>
      <c r="M451" s="116" t="s">
        <v>107</v>
      </c>
      <c r="N451" s="116" t="s">
        <v>108</v>
      </c>
      <c r="O451" s="170" t="s">
        <v>386</v>
      </c>
      <c r="P451" s="502" t="s">
        <v>375</v>
      </c>
      <c r="Q451" s="502"/>
      <c r="R451" s="101" t="s">
        <v>452</v>
      </c>
      <c r="S451" s="116" t="s">
        <v>0</v>
      </c>
      <c r="T451" s="118"/>
      <c r="U451" s="116" t="s">
        <v>287</v>
      </c>
      <c r="V451" s="116" t="s">
        <v>288</v>
      </c>
      <c r="W451" s="116" t="s">
        <v>291</v>
      </c>
      <c r="X451" s="140"/>
      <c r="Y451" s="116" t="s">
        <v>289</v>
      </c>
      <c r="Z451" s="116" t="s">
        <v>354</v>
      </c>
      <c r="AA451" s="116" t="s">
        <v>355</v>
      </c>
      <c r="AB451" s="116" t="s">
        <v>317</v>
      </c>
      <c r="AC451" s="116" t="s">
        <v>318</v>
      </c>
      <c r="AD451" s="116" t="s">
        <v>316</v>
      </c>
      <c r="AE451" s="140"/>
      <c r="AF451" s="116" t="s">
        <v>293</v>
      </c>
      <c r="AG451" s="116" t="s">
        <v>354</v>
      </c>
      <c r="AH451" s="116" t="s">
        <v>355</v>
      </c>
      <c r="AI451" s="116" t="s">
        <v>296</v>
      </c>
      <c r="AJ451" s="116" t="s">
        <v>294</v>
      </c>
      <c r="AK451" s="116" t="s">
        <v>295</v>
      </c>
      <c r="AL451" s="140"/>
      <c r="AO451" s="288"/>
      <c r="AP451" s="284">
        <f t="shared" si="174"/>
        <v>0</v>
      </c>
      <c r="AQ451" s="281">
        <f t="shared" si="175"/>
        <v>0</v>
      </c>
      <c r="AR451" s="284">
        <f t="shared" si="176"/>
        <v>0</v>
      </c>
      <c r="AS451" s="281">
        <f t="shared" si="177"/>
        <v>0</v>
      </c>
      <c r="AT451" s="284">
        <f t="shared" si="178"/>
        <v>0</v>
      </c>
    </row>
    <row r="452" spans="1:97" s="114" customFormat="1" ht="40.5" customHeight="1" x14ac:dyDescent="0.8">
      <c r="A452" s="262">
        <f>ROW()</f>
        <v>452</v>
      </c>
      <c r="C452" s="208"/>
      <c r="D452" s="208"/>
      <c r="E452" s="208"/>
      <c r="F452" s="208"/>
      <c r="G452" s="208"/>
      <c r="H452" s="208"/>
      <c r="L452" s="124" t="str">
        <f>VLOOKUP(M452,Sheet2!$D$2:$E$1024,2,FALSE)</f>
        <v>Zero</v>
      </c>
      <c r="M452" s="121">
        <f>I474</f>
        <v>0</v>
      </c>
      <c r="N452" s="132" t="s">
        <v>608</v>
      </c>
      <c r="O452" s="121" t="s">
        <v>347</v>
      </c>
      <c r="P452" s="169" t="s">
        <v>379</v>
      </c>
      <c r="Q452" s="169" t="s">
        <v>375</v>
      </c>
      <c r="R452" s="169"/>
      <c r="S452" s="133">
        <f>M452</f>
        <v>0</v>
      </c>
      <c r="T452" s="119"/>
      <c r="U452" s="121" t="s">
        <v>292</v>
      </c>
      <c r="V452" s="133">
        <f>S452</f>
        <v>0</v>
      </c>
      <c r="W452" s="133">
        <f>VLOOKUP(U452,Sheet1!$B$6:$C$45,2,FALSE)*V452</f>
        <v>0</v>
      </c>
      <c r="X452" s="141"/>
      <c r="Y452" s="121" t="s">
        <v>292</v>
      </c>
      <c r="Z452" s="146">
        <f>VLOOKUP(Takeoffs!Y452,Sheet1!$B$6:$C$124,2,FALSE)</f>
        <v>0</v>
      </c>
      <c r="AA452" s="146">
        <f>Z452*AB452</f>
        <v>0</v>
      </c>
      <c r="AB452" s="143">
        <f>AD452*AC452</f>
        <v>0</v>
      </c>
      <c r="AC452" s="133">
        <f>S452</f>
        <v>0</v>
      </c>
      <c r="AD452" s="142">
        <v>1</v>
      </c>
      <c r="AE452" s="141"/>
      <c r="AF452" s="121" t="s">
        <v>292</v>
      </c>
      <c r="AG452" s="146">
        <f>VLOOKUP(Takeoffs!AF452,Sheet1!$B$6:$C$124,2,FALSE)</f>
        <v>0</v>
      </c>
      <c r="AH452" s="146">
        <f>AG452*AI452</f>
        <v>0</v>
      </c>
      <c r="AI452" s="143">
        <f>AK452*AJ452</f>
        <v>0</v>
      </c>
      <c r="AJ452" s="133">
        <f>S452</f>
        <v>0</v>
      </c>
      <c r="AK452" s="142">
        <f>T452</f>
        <v>0</v>
      </c>
      <c r="AL452" s="141"/>
      <c r="AO452" s="286"/>
      <c r="AP452" s="284">
        <f t="shared" si="174"/>
        <v>0</v>
      </c>
      <c r="AQ452" s="281">
        <f t="shared" si="175"/>
        <v>0</v>
      </c>
      <c r="AR452" s="284">
        <f t="shared" si="176"/>
        <v>0</v>
      </c>
      <c r="AS452" s="281">
        <f t="shared" si="177"/>
        <v>0</v>
      </c>
      <c r="AT452" s="284">
        <f t="shared" si="178"/>
        <v>0</v>
      </c>
    </row>
    <row r="453" spans="1:97" s="114" customFormat="1" ht="30.9" x14ac:dyDescent="0.8">
      <c r="A453" s="262">
        <f>ROW()</f>
        <v>453</v>
      </c>
      <c r="C453" s="208"/>
      <c r="D453" s="208"/>
      <c r="E453" s="208"/>
      <c r="F453" s="208"/>
      <c r="G453" s="208"/>
      <c r="H453" s="208"/>
      <c r="J453" s="114" t="str">
        <f>IF(COUNTBLANK(Q453)&gt;0,"",CONCATENATE("Coordination Note: - ",P453,": Please refer to our exclusions relating to ",Q453))</f>
        <v/>
      </c>
      <c r="K453" s="114" t="str">
        <f>IF(COUNTBLANK(R453)&gt;0,"",CONCATENATE(R453," for ",N452))</f>
        <v/>
      </c>
      <c r="M453" s="117"/>
      <c r="N453" s="123" t="s">
        <v>113</v>
      </c>
      <c r="O453" s="66" t="s">
        <v>340</v>
      </c>
      <c r="P453" s="121"/>
      <c r="Q453" s="66"/>
      <c r="R453" s="121"/>
      <c r="S453" s="133">
        <f>M452</f>
        <v>0</v>
      </c>
      <c r="T453" s="120"/>
      <c r="U453" s="121" t="s">
        <v>292</v>
      </c>
      <c r="V453" s="133">
        <f t="shared" ref="V453:V472" si="199">S453</f>
        <v>0</v>
      </c>
      <c r="W453" s="133">
        <f>VLOOKUP(U453,Sheet1!$B$6:$C$45,2,FALSE)*V453</f>
        <v>0</v>
      </c>
      <c r="X453" s="141"/>
      <c r="Y453" s="121" t="s">
        <v>292</v>
      </c>
      <c r="Z453" s="146">
        <f>VLOOKUP(Takeoffs!Y453,Sheet1!$B$6:$C$124,2,FALSE)</f>
        <v>0</v>
      </c>
      <c r="AA453" s="146">
        <f t="shared" ref="AA453:AA472" si="200">Z453*AB453</f>
        <v>0</v>
      </c>
      <c r="AB453" s="143">
        <f t="shared" ref="AB453:AB472" si="201">AD453*AC453</f>
        <v>0</v>
      </c>
      <c r="AC453" s="133">
        <f t="shared" ref="AC453:AC472" si="202">S453</f>
        <v>0</v>
      </c>
      <c r="AD453" s="142">
        <v>1</v>
      </c>
      <c r="AE453" s="141"/>
      <c r="AF453" s="121" t="s">
        <v>292</v>
      </c>
      <c r="AG453" s="146">
        <f>VLOOKUP(Takeoffs!AF453,Sheet1!$B$6:$C$124,2,FALSE)</f>
        <v>0</v>
      </c>
      <c r="AH453" s="146">
        <f t="shared" ref="AH453:AH472" si="203">AG453*AI453</f>
        <v>0</v>
      </c>
      <c r="AI453" s="143">
        <f t="shared" ref="AI453:AI472" si="204">AK453*AJ453</f>
        <v>0</v>
      </c>
      <c r="AJ453" s="133">
        <f t="shared" ref="AJ453:AJ472" si="205">S453</f>
        <v>0</v>
      </c>
      <c r="AK453" s="142">
        <f t="shared" ref="AK453:AK462" si="206">T453</f>
        <v>0</v>
      </c>
      <c r="AL453" s="141"/>
      <c r="AO453" s="286"/>
      <c r="AP453" s="284">
        <f t="shared" si="174"/>
        <v>0</v>
      </c>
      <c r="AQ453" s="281">
        <f t="shared" si="175"/>
        <v>0</v>
      </c>
      <c r="AR453" s="284">
        <f t="shared" si="176"/>
        <v>0</v>
      </c>
      <c r="AS453" s="281">
        <f t="shared" si="177"/>
        <v>0</v>
      </c>
      <c r="AT453" s="284">
        <f t="shared" si="178"/>
        <v>0</v>
      </c>
    </row>
    <row r="454" spans="1:97" s="114" customFormat="1" ht="30.9" x14ac:dyDescent="0.8">
      <c r="A454" s="262">
        <f>ROW()</f>
        <v>454</v>
      </c>
      <c r="C454" s="208"/>
      <c r="D454" s="208"/>
      <c r="E454" s="208"/>
      <c r="F454" s="208"/>
      <c r="G454" s="208"/>
      <c r="H454" s="208"/>
      <c r="J454" s="114" t="str">
        <f t="shared" ref="J454:J472" si="207">IF(COUNTBLANK(Q454)&gt;0,"",CONCATENATE("Coordination Note: - ",P454,": Please refer to our exclusions relating to ",Q454))</f>
        <v>Coordination Note: - Customers in-house electrician: Please refer to our exclusions relating to Power cabling from MSSB to fan. Customers electrician to leave tails adjacent MSSB for Controlworks to connect.</v>
      </c>
      <c r="K454" s="114" t="str">
        <f>IF(COUNTBLANK(R454)&gt;0,"",CONCATENATE(R454," for ",N452))</f>
        <v/>
      </c>
      <c r="M454" s="117"/>
      <c r="N454" s="123" t="s">
        <v>114</v>
      </c>
      <c r="O454" s="66" t="s">
        <v>308</v>
      </c>
      <c r="P454" s="121" t="s">
        <v>593</v>
      </c>
      <c r="Q454" s="121" t="s">
        <v>609</v>
      </c>
      <c r="R454" s="121"/>
      <c r="S454" s="133">
        <f>M452</f>
        <v>0</v>
      </c>
      <c r="T454" s="120"/>
      <c r="U454" s="121" t="s">
        <v>292</v>
      </c>
      <c r="V454" s="133">
        <f t="shared" si="199"/>
        <v>0</v>
      </c>
      <c r="W454" s="133">
        <f>VLOOKUP(U454,Sheet1!$B$6:$C$45,2,FALSE)*V454</f>
        <v>0</v>
      </c>
      <c r="X454" s="141"/>
      <c r="Y454" s="52" t="s">
        <v>253</v>
      </c>
      <c r="Z454" s="146">
        <f>VLOOKUP(Takeoffs!Y454,Sheet1!$B$6:$C$124,2,FALSE)</f>
        <v>10.139999999999999</v>
      </c>
      <c r="AA454" s="146">
        <f t="shared" si="200"/>
        <v>0</v>
      </c>
      <c r="AB454" s="143">
        <f t="shared" si="201"/>
        <v>0</v>
      </c>
      <c r="AC454" s="133">
        <f t="shared" si="202"/>
        <v>0</v>
      </c>
      <c r="AD454" s="142">
        <v>1</v>
      </c>
      <c r="AE454" s="141"/>
      <c r="AF454" s="121" t="s">
        <v>292</v>
      </c>
      <c r="AG454" s="146">
        <f>VLOOKUP(Takeoffs!AF454,Sheet1!$B$6:$C$124,2,FALSE)</f>
        <v>0</v>
      </c>
      <c r="AH454" s="146">
        <f t="shared" si="203"/>
        <v>0</v>
      </c>
      <c r="AI454" s="143">
        <f t="shared" si="204"/>
        <v>0</v>
      </c>
      <c r="AJ454" s="133">
        <f t="shared" si="205"/>
        <v>0</v>
      </c>
      <c r="AK454" s="142">
        <f t="shared" si="206"/>
        <v>0</v>
      </c>
      <c r="AL454" s="141"/>
      <c r="AO454" s="286"/>
      <c r="AP454" s="284">
        <f t="shared" si="174"/>
        <v>0</v>
      </c>
      <c r="AQ454" s="281">
        <f t="shared" si="175"/>
        <v>0</v>
      </c>
      <c r="AR454" s="284">
        <f t="shared" si="176"/>
        <v>0</v>
      </c>
      <c r="AS454" s="281">
        <f t="shared" si="177"/>
        <v>0</v>
      </c>
      <c r="AT454" s="284">
        <f t="shared" si="178"/>
        <v>0</v>
      </c>
    </row>
    <row r="455" spans="1:97" s="114" customFormat="1" ht="30.9" x14ac:dyDescent="0.8">
      <c r="A455" s="262">
        <f>ROW()</f>
        <v>455</v>
      </c>
      <c r="C455" s="208"/>
      <c r="D455" s="208"/>
      <c r="E455" s="208"/>
      <c r="F455" s="208"/>
      <c r="G455" s="208"/>
      <c r="H455" s="208"/>
      <c r="J455" s="114" t="str">
        <f t="shared" si="207"/>
        <v xml:space="preserve">Coordination Note: - Customers in-house electrician: Please refer to our exclusions relating to and local power isolator ( adjacent to fan). </v>
      </c>
      <c r="K455" s="114" t="str">
        <f>IF(COUNTBLANK(R455)&gt;0,"",CONCATENATE(R455," for ",N452))</f>
        <v/>
      </c>
      <c r="M455" s="117"/>
      <c r="N455" s="123" t="s">
        <v>115</v>
      </c>
      <c r="O455" s="66"/>
      <c r="P455" s="121" t="s">
        <v>593</v>
      </c>
      <c r="Q455" s="66" t="s">
        <v>610</v>
      </c>
      <c r="R455" s="121"/>
      <c r="S455" s="133">
        <f>M452</f>
        <v>0</v>
      </c>
      <c r="T455" s="120"/>
      <c r="U455" s="121" t="s">
        <v>292</v>
      </c>
      <c r="V455" s="133">
        <f t="shared" si="199"/>
        <v>0</v>
      </c>
      <c r="W455" s="133">
        <f>VLOOKUP(U455,Sheet1!$B$6:$C$45,2,FALSE)*V455</f>
        <v>0</v>
      </c>
      <c r="X455" s="141"/>
      <c r="Y455" s="121" t="s">
        <v>292</v>
      </c>
      <c r="Z455" s="146">
        <f>VLOOKUP(Takeoffs!Y455,Sheet1!$B$6:$C$124,2,FALSE)</f>
        <v>0</v>
      </c>
      <c r="AA455" s="146">
        <f t="shared" si="200"/>
        <v>0</v>
      </c>
      <c r="AB455" s="143">
        <f t="shared" si="201"/>
        <v>0</v>
      </c>
      <c r="AC455" s="133">
        <f t="shared" si="202"/>
        <v>0</v>
      </c>
      <c r="AD455" s="142">
        <v>1</v>
      </c>
      <c r="AE455" s="141"/>
      <c r="AF455" s="121" t="s">
        <v>292</v>
      </c>
      <c r="AG455" s="146">
        <f>VLOOKUP(Takeoffs!AF455,Sheet1!$B$6:$C$124,2,FALSE)</f>
        <v>0</v>
      </c>
      <c r="AH455" s="146">
        <f t="shared" si="203"/>
        <v>0</v>
      </c>
      <c r="AI455" s="143">
        <f t="shared" si="204"/>
        <v>0</v>
      </c>
      <c r="AJ455" s="133">
        <f t="shared" si="205"/>
        <v>0</v>
      </c>
      <c r="AK455" s="142">
        <f t="shared" si="206"/>
        <v>0</v>
      </c>
      <c r="AL455" s="141"/>
      <c r="AO455" s="286"/>
      <c r="AP455" s="284">
        <f t="shared" si="174"/>
        <v>0</v>
      </c>
      <c r="AQ455" s="281">
        <f t="shared" si="175"/>
        <v>0</v>
      </c>
      <c r="AR455" s="284">
        <f t="shared" si="176"/>
        <v>0</v>
      </c>
      <c r="AS455" s="281">
        <f t="shared" si="177"/>
        <v>0</v>
      </c>
      <c r="AT455" s="284">
        <f t="shared" si="178"/>
        <v>0</v>
      </c>
    </row>
    <row r="456" spans="1:97" s="114" customFormat="1" ht="30.9" x14ac:dyDescent="0.8">
      <c r="A456" s="262">
        <f>ROW()</f>
        <v>456</v>
      </c>
      <c r="C456" s="208"/>
      <c r="D456" s="208"/>
      <c r="E456" s="208"/>
      <c r="F456" s="208"/>
      <c r="G456" s="208"/>
      <c r="H456" s="208"/>
      <c r="J456" s="114" t="str">
        <f t="shared" si="207"/>
        <v xml:space="preserve">Coordination Note: - Customers in-house electrician: Please refer to our exclusions relating to proprietary air-conditioning controllers supply and installation. </v>
      </c>
      <c r="K456" s="114" t="str">
        <f>IF(COUNTBLANK(R456)&gt;0,"",CONCATENATE(R456," for ",N452))</f>
        <v/>
      </c>
      <c r="M456" s="117"/>
      <c r="N456" s="123" t="s">
        <v>116</v>
      </c>
      <c r="O456" s="66"/>
      <c r="P456" s="121" t="s">
        <v>593</v>
      </c>
      <c r="Q456" s="121" t="s">
        <v>594</v>
      </c>
      <c r="R456" s="121"/>
      <c r="S456" s="133">
        <f>M452</f>
        <v>0</v>
      </c>
      <c r="T456" s="120"/>
      <c r="U456" s="121" t="s">
        <v>292</v>
      </c>
      <c r="V456" s="133">
        <f t="shared" si="199"/>
        <v>0</v>
      </c>
      <c r="W456" s="133">
        <f>VLOOKUP(U456,Sheet1!$B$6:$C$45,2,FALSE)*V456</f>
        <v>0</v>
      </c>
      <c r="X456" s="141"/>
      <c r="Y456" s="121" t="s">
        <v>292</v>
      </c>
      <c r="Z456" s="146">
        <f>VLOOKUP(Takeoffs!Y456,Sheet1!$B$6:$C$124,2,FALSE)</f>
        <v>0</v>
      </c>
      <c r="AA456" s="146">
        <f t="shared" si="200"/>
        <v>0</v>
      </c>
      <c r="AB456" s="143">
        <f t="shared" si="201"/>
        <v>0</v>
      </c>
      <c r="AC456" s="133">
        <f t="shared" si="202"/>
        <v>0</v>
      </c>
      <c r="AD456" s="142">
        <v>1</v>
      </c>
      <c r="AE456" s="141"/>
      <c r="AF456" s="121" t="s">
        <v>292</v>
      </c>
      <c r="AG456" s="146">
        <f>VLOOKUP(Takeoffs!AF456,Sheet1!$B$6:$C$124,2,FALSE)</f>
        <v>0</v>
      </c>
      <c r="AH456" s="146">
        <f t="shared" si="203"/>
        <v>0</v>
      </c>
      <c r="AI456" s="143">
        <f t="shared" si="204"/>
        <v>0</v>
      </c>
      <c r="AJ456" s="133">
        <f t="shared" si="205"/>
        <v>0</v>
      </c>
      <c r="AK456" s="142">
        <f t="shared" si="206"/>
        <v>0</v>
      </c>
      <c r="AL456" s="141"/>
      <c r="AO456" s="286"/>
      <c r="AP456" s="284">
        <f t="shared" si="174"/>
        <v>0</v>
      </c>
      <c r="AQ456" s="281">
        <f t="shared" si="175"/>
        <v>0</v>
      </c>
      <c r="AR456" s="284">
        <f t="shared" si="176"/>
        <v>0</v>
      </c>
      <c r="AS456" s="281">
        <f t="shared" si="177"/>
        <v>0</v>
      </c>
      <c r="AT456" s="284">
        <f t="shared" si="178"/>
        <v>0</v>
      </c>
    </row>
    <row r="457" spans="1:97" s="114" customFormat="1" ht="30.9" x14ac:dyDescent="0.8">
      <c r="A457" s="262">
        <f>ROW()</f>
        <v>457</v>
      </c>
      <c r="C457" s="208"/>
      <c r="D457" s="208"/>
      <c r="E457" s="208"/>
      <c r="F457" s="208"/>
      <c r="G457" s="208"/>
      <c r="H457" s="208"/>
      <c r="J457" s="114" t="str">
        <f t="shared" si="207"/>
        <v/>
      </c>
      <c r="K457" s="114" t="str">
        <f>IF(COUNTBLANK(R457)&gt;0,"",CONCATENATE(R457," for ",N452))</f>
        <v/>
      </c>
      <c r="M457" s="117"/>
      <c r="N457" s="123" t="s">
        <v>117</v>
      </c>
      <c r="O457" s="66" t="s">
        <v>611</v>
      </c>
      <c r="P457" s="121"/>
      <c r="Q457" s="121"/>
      <c r="R457" s="121"/>
      <c r="S457" s="133">
        <f>M452</f>
        <v>0</v>
      </c>
      <c r="T457" s="120"/>
      <c r="U457" s="121" t="s">
        <v>292</v>
      </c>
      <c r="V457" s="133">
        <f t="shared" si="199"/>
        <v>0</v>
      </c>
      <c r="W457" s="133">
        <f>VLOOKUP(U457,Sheet1!$B$6:$C$45,2,FALSE)*V457</f>
        <v>0</v>
      </c>
      <c r="X457" s="141"/>
      <c r="Y457" s="121" t="s">
        <v>292</v>
      </c>
      <c r="Z457" s="146">
        <f>VLOOKUP(Takeoffs!Y457,Sheet1!$B$6:$C$124,2,FALSE)</f>
        <v>0</v>
      </c>
      <c r="AA457" s="146">
        <f t="shared" si="200"/>
        <v>0</v>
      </c>
      <c r="AB457" s="143">
        <f t="shared" si="201"/>
        <v>0</v>
      </c>
      <c r="AC457" s="133">
        <f t="shared" si="202"/>
        <v>0</v>
      </c>
      <c r="AD457" s="142">
        <v>1</v>
      </c>
      <c r="AE457" s="141"/>
      <c r="AF457" s="121" t="s">
        <v>292</v>
      </c>
      <c r="AG457" s="146">
        <f>VLOOKUP(Takeoffs!AF457,Sheet1!$B$6:$C$124,2,FALSE)</f>
        <v>0</v>
      </c>
      <c r="AH457" s="146">
        <f t="shared" si="203"/>
        <v>0</v>
      </c>
      <c r="AI457" s="143">
        <f t="shared" si="204"/>
        <v>0</v>
      </c>
      <c r="AJ457" s="133">
        <f t="shared" si="205"/>
        <v>0</v>
      </c>
      <c r="AK457" s="142">
        <f t="shared" si="206"/>
        <v>0</v>
      </c>
      <c r="AL457" s="141"/>
      <c r="AO457" s="286"/>
      <c r="AP457" s="284">
        <f t="shared" si="174"/>
        <v>0</v>
      </c>
      <c r="AQ457" s="281">
        <f t="shared" si="175"/>
        <v>0</v>
      </c>
      <c r="AR457" s="284">
        <f t="shared" si="176"/>
        <v>0</v>
      </c>
      <c r="AS457" s="281">
        <f t="shared" si="177"/>
        <v>0</v>
      </c>
      <c r="AT457" s="284">
        <f t="shared" si="178"/>
        <v>0</v>
      </c>
    </row>
    <row r="458" spans="1:97" s="114" customFormat="1" ht="30.9" x14ac:dyDescent="0.8">
      <c r="A458" s="262">
        <f>ROW()</f>
        <v>458</v>
      </c>
      <c r="C458" s="208"/>
      <c r="D458" s="208"/>
      <c r="E458" s="208"/>
      <c r="F458" s="208"/>
      <c r="G458" s="208"/>
      <c r="H458" s="208"/>
      <c r="J458" s="114" t="str">
        <f t="shared" si="207"/>
        <v/>
      </c>
      <c r="K458" s="114" t="str">
        <f>IF(COUNTBLANK(R458)&gt;0,"",CONCATENATE(R458," for ",N452))</f>
        <v/>
      </c>
      <c r="M458" s="117"/>
      <c r="N458" s="123" t="s">
        <v>118</v>
      </c>
      <c r="O458" s="66" t="s">
        <v>596</v>
      </c>
      <c r="P458" s="121"/>
      <c r="Q458" s="121"/>
      <c r="R458" s="121"/>
      <c r="S458" s="133">
        <f>M452</f>
        <v>0</v>
      </c>
      <c r="T458" s="120"/>
      <c r="U458" s="121" t="s">
        <v>292</v>
      </c>
      <c r="V458" s="133">
        <f t="shared" si="199"/>
        <v>0</v>
      </c>
      <c r="W458" s="133">
        <f>VLOOKUP(U458,Sheet1!$B$6:$C$45,2,FALSE)*V458</f>
        <v>0</v>
      </c>
      <c r="X458" s="141"/>
      <c r="Y458" s="121" t="s">
        <v>292</v>
      </c>
      <c r="Z458" s="146">
        <f>VLOOKUP(Takeoffs!Y458,Sheet1!$B$6:$C$124,2,FALSE)</f>
        <v>0</v>
      </c>
      <c r="AA458" s="146">
        <f t="shared" si="200"/>
        <v>0</v>
      </c>
      <c r="AB458" s="143">
        <f t="shared" si="201"/>
        <v>0</v>
      </c>
      <c r="AC458" s="133">
        <f t="shared" si="202"/>
        <v>0</v>
      </c>
      <c r="AD458" s="142">
        <v>1</v>
      </c>
      <c r="AE458" s="141"/>
      <c r="AF458" s="121" t="s">
        <v>292</v>
      </c>
      <c r="AG458" s="146">
        <f>VLOOKUP(Takeoffs!AF458,Sheet1!$B$6:$C$124,2,FALSE)</f>
        <v>0</v>
      </c>
      <c r="AH458" s="146">
        <f t="shared" si="203"/>
        <v>0</v>
      </c>
      <c r="AI458" s="143">
        <f t="shared" si="204"/>
        <v>0</v>
      </c>
      <c r="AJ458" s="133">
        <f t="shared" si="205"/>
        <v>0</v>
      </c>
      <c r="AK458" s="142">
        <f t="shared" si="206"/>
        <v>0</v>
      </c>
      <c r="AL458" s="141"/>
      <c r="AO458" s="286"/>
      <c r="AP458" s="284">
        <f t="shared" si="174"/>
        <v>0</v>
      </c>
      <c r="AQ458" s="281">
        <f t="shared" si="175"/>
        <v>0</v>
      </c>
      <c r="AR458" s="284">
        <f t="shared" si="176"/>
        <v>0</v>
      </c>
      <c r="AS458" s="281">
        <f t="shared" si="177"/>
        <v>0</v>
      </c>
      <c r="AT458" s="284">
        <f t="shared" si="178"/>
        <v>0</v>
      </c>
    </row>
    <row r="459" spans="1:97" s="114" customFormat="1" ht="30.9" x14ac:dyDescent="0.8">
      <c r="A459" s="262">
        <f>ROW()</f>
        <v>459</v>
      </c>
      <c r="C459" s="208"/>
      <c r="D459" s="208"/>
      <c r="E459" s="208"/>
      <c r="F459" s="208"/>
      <c r="G459" s="208"/>
      <c r="H459" s="208"/>
      <c r="J459" s="114" t="str">
        <f t="shared" si="207"/>
        <v/>
      </c>
      <c r="K459" s="114" t="str">
        <f>IF(COUNTBLANK(R459)&gt;0,"",CONCATENATE(R459," for ",N452))</f>
        <v/>
      </c>
      <c r="N459" s="123" t="s">
        <v>119</v>
      </c>
      <c r="O459" s="66" t="s">
        <v>597</v>
      </c>
      <c r="P459" s="121"/>
      <c r="Q459" s="121"/>
      <c r="R459" s="121"/>
      <c r="S459" s="133">
        <f>M452</f>
        <v>0</v>
      </c>
      <c r="T459" s="120"/>
      <c r="U459" s="121" t="s">
        <v>292</v>
      </c>
      <c r="V459" s="133">
        <f t="shared" si="199"/>
        <v>0</v>
      </c>
      <c r="W459" s="133">
        <f>VLOOKUP(U459,Sheet1!$B$6:$C$45,2,FALSE)*V459</f>
        <v>0</v>
      </c>
      <c r="X459" s="141"/>
      <c r="Y459" s="121" t="s">
        <v>292</v>
      </c>
      <c r="Z459" s="146">
        <f>VLOOKUP(Takeoffs!Y459,Sheet1!$B$6:$C$124,2,FALSE)</f>
        <v>0</v>
      </c>
      <c r="AA459" s="146">
        <f t="shared" si="200"/>
        <v>0</v>
      </c>
      <c r="AB459" s="143">
        <f t="shared" si="201"/>
        <v>0</v>
      </c>
      <c r="AC459" s="133">
        <f t="shared" si="202"/>
        <v>0</v>
      </c>
      <c r="AD459" s="142">
        <v>1</v>
      </c>
      <c r="AE459" s="141"/>
      <c r="AF459" s="121" t="s">
        <v>292</v>
      </c>
      <c r="AG459" s="146">
        <f>VLOOKUP(Takeoffs!AF459,Sheet1!$B$6:$C$124,2,FALSE)</f>
        <v>0</v>
      </c>
      <c r="AH459" s="146">
        <f t="shared" si="203"/>
        <v>0</v>
      </c>
      <c r="AI459" s="143">
        <f t="shared" si="204"/>
        <v>0</v>
      </c>
      <c r="AJ459" s="133">
        <f t="shared" si="205"/>
        <v>0</v>
      </c>
      <c r="AK459" s="142">
        <f t="shared" si="206"/>
        <v>0</v>
      </c>
      <c r="AL459" s="141"/>
      <c r="AO459" s="286"/>
      <c r="AP459" s="284">
        <f t="shared" si="174"/>
        <v>0</v>
      </c>
      <c r="AQ459" s="281">
        <f t="shared" si="175"/>
        <v>0</v>
      </c>
      <c r="AR459" s="284">
        <f t="shared" si="176"/>
        <v>0</v>
      </c>
      <c r="AS459" s="281">
        <f t="shared" si="177"/>
        <v>0</v>
      </c>
      <c r="AT459" s="284">
        <f t="shared" si="178"/>
        <v>0</v>
      </c>
    </row>
    <row r="460" spans="1:97" s="114" customFormat="1" ht="30.9" x14ac:dyDescent="0.8">
      <c r="A460" s="262">
        <f>ROW()</f>
        <v>460</v>
      </c>
      <c r="C460" s="208"/>
      <c r="D460" s="208"/>
      <c r="E460" s="208"/>
      <c r="F460" s="208"/>
      <c r="G460" s="208"/>
      <c r="H460" s="208"/>
      <c r="J460" s="114" t="str">
        <f t="shared" si="207"/>
        <v/>
      </c>
      <c r="K460" s="114" t="str">
        <f>IF(COUNTBLANK(R460)&gt;0,"",CONCATENATE(R460," for ",N452))</f>
        <v/>
      </c>
      <c r="N460" s="123" t="s">
        <v>120</v>
      </c>
      <c r="O460" s="66" t="s">
        <v>328</v>
      </c>
      <c r="P460" s="121"/>
      <c r="Q460" s="121"/>
      <c r="R460" s="121"/>
      <c r="S460" s="133">
        <f>M452</f>
        <v>0</v>
      </c>
      <c r="T460" s="120"/>
      <c r="U460" s="121" t="s">
        <v>242</v>
      </c>
      <c r="V460" s="133">
        <f t="shared" si="199"/>
        <v>0</v>
      </c>
      <c r="W460" s="133">
        <f>VLOOKUP(U460,Sheet1!$B$6:$C$45,2,FALSE)*V460</f>
        <v>0</v>
      </c>
      <c r="X460" s="141"/>
      <c r="Y460" s="121" t="s">
        <v>292</v>
      </c>
      <c r="Z460" s="146">
        <f>VLOOKUP(Takeoffs!Y460,Sheet1!$B$6:$C$124,2,FALSE)</f>
        <v>0</v>
      </c>
      <c r="AA460" s="146">
        <f t="shared" si="200"/>
        <v>0</v>
      </c>
      <c r="AB460" s="143">
        <f t="shared" si="201"/>
        <v>0</v>
      </c>
      <c r="AC460" s="133">
        <f t="shared" si="202"/>
        <v>0</v>
      </c>
      <c r="AD460" s="142">
        <v>1</v>
      </c>
      <c r="AE460" s="141"/>
      <c r="AF460" s="121" t="s">
        <v>292</v>
      </c>
      <c r="AG460" s="146">
        <f>VLOOKUP(Takeoffs!AF460,Sheet1!$B$6:$C$124,2,FALSE)</f>
        <v>0</v>
      </c>
      <c r="AH460" s="146">
        <f t="shared" si="203"/>
        <v>0</v>
      </c>
      <c r="AI460" s="143">
        <f t="shared" si="204"/>
        <v>0</v>
      </c>
      <c r="AJ460" s="133">
        <f t="shared" si="205"/>
        <v>0</v>
      </c>
      <c r="AK460" s="142">
        <f t="shared" si="206"/>
        <v>0</v>
      </c>
      <c r="AL460" s="141"/>
      <c r="AO460" s="286"/>
      <c r="AP460" s="284">
        <f t="shared" si="174"/>
        <v>0</v>
      </c>
      <c r="AQ460" s="281">
        <f t="shared" si="175"/>
        <v>0</v>
      </c>
      <c r="AR460" s="284">
        <f t="shared" si="176"/>
        <v>0</v>
      </c>
      <c r="AS460" s="281">
        <f t="shared" si="177"/>
        <v>0</v>
      </c>
      <c r="AT460" s="284">
        <f t="shared" si="178"/>
        <v>0</v>
      </c>
    </row>
    <row r="461" spans="1:97" s="114" customFormat="1" ht="30.9" x14ac:dyDescent="0.8">
      <c r="A461" s="262">
        <f>ROW()</f>
        <v>461</v>
      </c>
      <c r="C461" s="208"/>
      <c r="D461" s="208"/>
      <c r="E461" s="208"/>
      <c r="F461" s="208"/>
      <c r="G461" s="208"/>
      <c r="H461" s="208"/>
      <c r="J461" s="114" t="str">
        <f t="shared" si="207"/>
        <v/>
      </c>
      <c r="K461" s="114" t="str">
        <f>IF(COUNTBLANK(R461)&gt;0,"",CONCATENATE(R461," for ",N452))</f>
        <v/>
      </c>
      <c r="N461" s="123" t="s">
        <v>121</v>
      </c>
      <c r="O461" s="66"/>
      <c r="P461" s="121"/>
      <c r="Q461" s="121"/>
      <c r="R461" s="121"/>
      <c r="S461" s="133">
        <f>M452</f>
        <v>0</v>
      </c>
      <c r="T461" s="120"/>
      <c r="U461" s="121" t="s">
        <v>292</v>
      </c>
      <c r="V461" s="133">
        <f t="shared" si="199"/>
        <v>0</v>
      </c>
      <c r="W461" s="133">
        <f>VLOOKUP(U461,Sheet1!$B$6:$C$45,2,FALSE)*V461</f>
        <v>0</v>
      </c>
      <c r="X461" s="141"/>
      <c r="Y461" s="121" t="s">
        <v>292</v>
      </c>
      <c r="Z461" s="146">
        <f>VLOOKUP(Takeoffs!Y461,Sheet1!$B$6:$C$124,2,FALSE)</f>
        <v>0</v>
      </c>
      <c r="AA461" s="146">
        <f t="shared" si="200"/>
        <v>0</v>
      </c>
      <c r="AB461" s="143">
        <f t="shared" si="201"/>
        <v>0</v>
      </c>
      <c r="AC461" s="133">
        <f t="shared" si="202"/>
        <v>0</v>
      </c>
      <c r="AD461" s="142">
        <v>1</v>
      </c>
      <c r="AE461" s="141"/>
      <c r="AF461" s="121" t="s">
        <v>292</v>
      </c>
      <c r="AG461" s="146">
        <f>VLOOKUP(Takeoffs!AF461,Sheet1!$B$6:$C$124,2,FALSE)</f>
        <v>0</v>
      </c>
      <c r="AH461" s="146">
        <f t="shared" si="203"/>
        <v>0</v>
      </c>
      <c r="AI461" s="143">
        <f t="shared" si="204"/>
        <v>0</v>
      </c>
      <c r="AJ461" s="133">
        <f t="shared" si="205"/>
        <v>0</v>
      </c>
      <c r="AK461" s="142">
        <f t="shared" si="206"/>
        <v>0</v>
      </c>
      <c r="AL461" s="141"/>
      <c r="AO461" s="286"/>
      <c r="AP461" s="284">
        <f t="shared" si="174"/>
        <v>0</v>
      </c>
      <c r="AQ461" s="281">
        <f t="shared" si="175"/>
        <v>0</v>
      </c>
      <c r="AR461" s="284">
        <f t="shared" si="176"/>
        <v>0</v>
      </c>
      <c r="AS461" s="281">
        <f t="shared" si="177"/>
        <v>0</v>
      </c>
      <c r="AT461" s="284">
        <f t="shared" si="178"/>
        <v>0</v>
      </c>
    </row>
    <row r="462" spans="1:97" s="114" customFormat="1" ht="30.9" x14ac:dyDescent="0.8">
      <c r="A462" s="262">
        <f>ROW()</f>
        <v>462</v>
      </c>
      <c r="C462" s="208"/>
      <c r="D462" s="208"/>
      <c r="E462" s="208"/>
      <c r="F462" s="208"/>
      <c r="G462" s="208"/>
      <c r="H462" s="208"/>
      <c r="J462" s="114" t="str">
        <f t="shared" si="207"/>
        <v/>
      </c>
      <c r="K462" s="114" t="str">
        <f>IF(COUNTBLANK(R462)&gt;0,"",CONCATENATE(R462," for ",N452))</f>
        <v/>
      </c>
      <c r="N462" s="123" t="s">
        <v>122</v>
      </c>
      <c r="O462" s="66"/>
      <c r="P462" s="121"/>
      <c r="Q462" s="121"/>
      <c r="R462" s="121"/>
      <c r="S462" s="133">
        <f>M452</f>
        <v>0</v>
      </c>
      <c r="T462" s="120"/>
      <c r="U462" s="121" t="s">
        <v>292</v>
      </c>
      <c r="V462" s="133">
        <f t="shared" si="199"/>
        <v>0</v>
      </c>
      <c r="W462" s="133">
        <f>VLOOKUP(U462,Sheet1!$B$6:$C$45,2,FALSE)*V462</f>
        <v>0</v>
      </c>
      <c r="X462" s="141"/>
      <c r="Y462" s="121" t="s">
        <v>292</v>
      </c>
      <c r="Z462" s="146">
        <f>VLOOKUP(Takeoffs!Y462,Sheet1!$B$6:$C$124,2,FALSE)</f>
        <v>0</v>
      </c>
      <c r="AA462" s="146">
        <f t="shared" si="200"/>
        <v>0</v>
      </c>
      <c r="AB462" s="143">
        <f t="shared" si="201"/>
        <v>0</v>
      </c>
      <c r="AC462" s="133">
        <f t="shared" si="202"/>
        <v>0</v>
      </c>
      <c r="AD462" s="142">
        <v>1</v>
      </c>
      <c r="AE462" s="141"/>
      <c r="AF462" s="121" t="s">
        <v>292</v>
      </c>
      <c r="AG462" s="146">
        <f>VLOOKUP(Takeoffs!AF462,Sheet1!$B$6:$C$124,2,FALSE)</f>
        <v>0</v>
      </c>
      <c r="AH462" s="146">
        <f t="shared" si="203"/>
        <v>0</v>
      </c>
      <c r="AI462" s="143">
        <f t="shared" si="204"/>
        <v>0</v>
      </c>
      <c r="AJ462" s="133">
        <f t="shared" si="205"/>
        <v>0</v>
      </c>
      <c r="AK462" s="142">
        <f t="shared" si="206"/>
        <v>0</v>
      </c>
      <c r="AL462" s="141"/>
      <c r="AO462" s="286"/>
      <c r="AP462" s="284">
        <f t="shared" si="174"/>
        <v>0</v>
      </c>
      <c r="AQ462" s="281">
        <f t="shared" si="175"/>
        <v>0</v>
      </c>
      <c r="AR462" s="284">
        <f t="shared" si="176"/>
        <v>0</v>
      </c>
      <c r="AS462" s="281">
        <f t="shared" si="177"/>
        <v>0</v>
      </c>
      <c r="AT462" s="284">
        <f t="shared" si="178"/>
        <v>0</v>
      </c>
    </row>
    <row r="463" spans="1:97" s="114" customFormat="1" ht="30.9" x14ac:dyDescent="0.8">
      <c r="A463" s="262">
        <f>ROW()</f>
        <v>463</v>
      </c>
      <c r="C463" s="208"/>
      <c r="D463" s="208"/>
      <c r="E463" s="208"/>
      <c r="F463" s="208"/>
      <c r="G463" s="208"/>
      <c r="H463" s="208"/>
      <c r="J463" s="114" t="str">
        <f t="shared" si="207"/>
        <v/>
      </c>
      <c r="K463" s="114" t="str">
        <f>IF(COUNTBLANK(R463)&gt;0,"",CONCATENATE(R463," for ",N452))</f>
        <v/>
      </c>
      <c r="N463" s="123" t="s">
        <v>123</v>
      </c>
      <c r="O463" s="66"/>
      <c r="P463" s="121"/>
      <c r="Q463" s="121"/>
      <c r="R463" s="121"/>
      <c r="S463" s="133">
        <f>M452</f>
        <v>0</v>
      </c>
      <c r="T463" s="120"/>
      <c r="U463" s="121" t="s">
        <v>292</v>
      </c>
      <c r="V463" s="133">
        <f t="shared" si="199"/>
        <v>0</v>
      </c>
      <c r="W463" s="133">
        <f>VLOOKUP(U463,Sheet1!$B$6:$C$45,2,FALSE)*V463</f>
        <v>0</v>
      </c>
      <c r="X463" s="141"/>
      <c r="Y463" s="121" t="s">
        <v>292</v>
      </c>
      <c r="Z463" s="146">
        <f>VLOOKUP(Takeoffs!Y463,Sheet1!$B$6:$C$124,2,FALSE)</f>
        <v>0</v>
      </c>
      <c r="AA463" s="146">
        <f t="shared" si="200"/>
        <v>0</v>
      </c>
      <c r="AB463" s="143">
        <f t="shared" si="201"/>
        <v>0</v>
      </c>
      <c r="AC463" s="133">
        <f t="shared" si="202"/>
        <v>0</v>
      </c>
      <c r="AD463" s="142">
        <v>1</v>
      </c>
      <c r="AE463" s="141"/>
      <c r="AF463" s="121" t="s">
        <v>292</v>
      </c>
      <c r="AG463" s="146">
        <f>VLOOKUP(Takeoffs!AF463,Sheet1!$B$6:$C$124,2,FALSE)</f>
        <v>0</v>
      </c>
      <c r="AH463" s="146">
        <f t="shared" si="203"/>
        <v>0</v>
      </c>
      <c r="AI463" s="143">
        <f t="shared" si="204"/>
        <v>0</v>
      </c>
      <c r="AJ463" s="133">
        <f t="shared" si="205"/>
        <v>0</v>
      </c>
      <c r="AK463" s="142">
        <v>0</v>
      </c>
      <c r="AL463" s="141"/>
      <c r="AO463" s="286"/>
      <c r="AP463" s="284">
        <f t="shared" si="174"/>
        <v>0</v>
      </c>
      <c r="AQ463" s="281">
        <f t="shared" si="175"/>
        <v>0</v>
      </c>
      <c r="AR463" s="284">
        <f t="shared" si="176"/>
        <v>0</v>
      </c>
      <c r="AS463" s="281">
        <f t="shared" si="177"/>
        <v>0</v>
      </c>
      <c r="AT463" s="284">
        <f t="shared" si="178"/>
        <v>0</v>
      </c>
    </row>
    <row r="464" spans="1:97" s="114" customFormat="1" ht="30.9" x14ac:dyDescent="0.8">
      <c r="A464" s="262">
        <f>ROW()</f>
        <v>464</v>
      </c>
      <c r="C464" s="208"/>
      <c r="D464" s="208"/>
      <c r="E464" s="208"/>
      <c r="F464" s="208"/>
      <c r="G464" s="208"/>
      <c r="H464" s="208"/>
      <c r="J464" s="114" t="str">
        <f t="shared" si="207"/>
        <v/>
      </c>
      <c r="K464" s="114" t="str">
        <f>IF(COUNTBLANK(R464)&gt;0,"",CONCATENATE(R464," for ",N452))</f>
        <v/>
      </c>
      <c r="N464" s="123" t="s">
        <v>124</v>
      </c>
      <c r="O464" s="66" t="s">
        <v>140</v>
      </c>
      <c r="P464" s="121"/>
      <c r="Q464" s="121"/>
      <c r="R464" s="121"/>
      <c r="S464" s="133">
        <f>M452</f>
        <v>0</v>
      </c>
      <c r="T464" s="120"/>
      <c r="U464" s="121" t="s">
        <v>292</v>
      </c>
      <c r="V464" s="133">
        <f t="shared" si="199"/>
        <v>0</v>
      </c>
      <c r="W464" s="133">
        <f>VLOOKUP(U464,Sheet1!$B$6:$C$45,2,FALSE)*V464</f>
        <v>0</v>
      </c>
      <c r="X464" s="141"/>
      <c r="Y464" s="121" t="s">
        <v>292</v>
      </c>
      <c r="Z464" s="146">
        <f>VLOOKUP(Takeoffs!Y464,Sheet1!$B$6:$C$124,2,FALSE)</f>
        <v>0</v>
      </c>
      <c r="AA464" s="146">
        <f t="shared" si="200"/>
        <v>0</v>
      </c>
      <c r="AB464" s="143">
        <f t="shared" si="201"/>
        <v>0</v>
      </c>
      <c r="AC464" s="133">
        <f t="shared" si="202"/>
        <v>0</v>
      </c>
      <c r="AD464" s="142">
        <v>1</v>
      </c>
      <c r="AE464" s="141"/>
      <c r="AF464" s="152" t="s">
        <v>418</v>
      </c>
      <c r="AG464" s="146">
        <f>VLOOKUP(Takeoffs!AF464,Sheet1!$B$6:$C$124,2,FALSE)</f>
        <v>0.33600000000000002</v>
      </c>
      <c r="AH464" s="146">
        <f t="shared" si="203"/>
        <v>0</v>
      </c>
      <c r="AI464" s="143">
        <f t="shared" si="204"/>
        <v>0</v>
      </c>
      <c r="AJ464" s="133">
        <f t="shared" si="205"/>
        <v>0</v>
      </c>
      <c r="AK464" s="142">
        <v>1</v>
      </c>
      <c r="AL464" s="141"/>
      <c r="AO464" s="286"/>
      <c r="AP464" s="284">
        <f t="shared" si="174"/>
        <v>0</v>
      </c>
      <c r="AQ464" s="281">
        <f t="shared" si="175"/>
        <v>0</v>
      </c>
      <c r="AR464" s="284">
        <f t="shared" si="176"/>
        <v>0</v>
      </c>
      <c r="AS464" s="281">
        <f t="shared" si="177"/>
        <v>0</v>
      </c>
      <c r="AT464" s="284">
        <f t="shared" si="178"/>
        <v>0</v>
      </c>
    </row>
    <row r="465" spans="1:97" s="114" customFormat="1" ht="30.9" x14ac:dyDescent="0.8">
      <c r="A465" s="262">
        <f>ROW()</f>
        <v>465</v>
      </c>
      <c r="C465" s="208"/>
      <c r="D465" s="208"/>
      <c r="E465" s="208"/>
      <c r="F465" s="208"/>
      <c r="G465" s="208"/>
      <c r="H465" s="208"/>
      <c r="J465" s="114" t="str">
        <f t="shared" si="207"/>
        <v/>
      </c>
      <c r="K465" s="114" t="str">
        <f>IF(COUNTBLANK(R465)&gt;0,"",CONCATENATE(R465," for ",N452))</f>
        <v/>
      </c>
      <c r="N465" s="123" t="s">
        <v>125</v>
      </c>
      <c r="O465" s="66" t="s">
        <v>312</v>
      </c>
      <c r="P465" s="121"/>
      <c r="Q465" s="121"/>
      <c r="R465" s="121"/>
      <c r="S465" s="133">
        <f>M452</f>
        <v>0</v>
      </c>
      <c r="T465" s="120"/>
      <c r="U465" s="121" t="s">
        <v>232</v>
      </c>
      <c r="V465" s="133">
        <f t="shared" si="199"/>
        <v>0</v>
      </c>
      <c r="W465" s="133">
        <f>VLOOKUP(U465,Sheet1!$B$6:$C$45,2,FALSE)*V465</f>
        <v>0</v>
      </c>
      <c r="X465" s="141"/>
      <c r="Y465" s="122" t="s">
        <v>1345</v>
      </c>
      <c r="Z465" s="146">
        <f>VLOOKUP(Takeoffs!Y465,Sheet1!$B$6:$C$124,2,FALSE)</f>
        <v>109.25999999999999</v>
      </c>
      <c r="AA465" s="146">
        <f t="shared" si="200"/>
        <v>0</v>
      </c>
      <c r="AB465" s="143">
        <f t="shared" si="201"/>
        <v>0</v>
      </c>
      <c r="AC465" s="133">
        <f t="shared" si="202"/>
        <v>0</v>
      </c>
      <c r="AD465" s="142">
        <v>1</v>
      </c>
      <c r="AE465" s="141"/>
      <c r="AF465" s="121" t="s">
        <v>292</v>
      </c>
      <c r="AG465" s="146">
        <f>VLOOKUP(Takeoffs!AF465,Sheet1!$B$6:$C$124,2,FALSE)</f>
        <v>0</v>
      </c>
      <c r="AH465" s="146">
        <f t="shared" si="203"/>
        <v>0</v>
      </c>
      <c r="AI465" s="143">
        <f t="shared" si="204"/>
        <v>0</v>
      </c>
      <c r="AJ465" s="133">
        <f t="shared" si="205"/>
        <v>0</v>
      </c>
      <c r="AK465" s="142">
        <f t="shared" ref="AK465:AK472" si="208">T465</f>
        <v>0</v>
      </c>
      <c r="AL465" s="141"/>
      <c r="AO465" s="286"/>
      <c r="AP465" s="284">
        <f t="shared" si="174"/>
        <v>0</v>
      </c>
      <c r="AQ465" s="281">
        <f t="shared" si="175"/>
        <v>0</v>
      </c>
      <c r="AR465" s="284">
        <f t="shared" si="176"/>
        <v>0</v>
      </c>
      <c r="AS465" s="281">
        <f t="shared" si="177"/>
        <v>0</v>
      </c>
      <c r="AT465" s="284">
        <f t="shared" si="178"/>
        <v>0</v>
      </c>
    </row>
    <row r="466" spans="1:97" s="114" customFormat="1" ht="30.9" x14ac:dyDescent="0.8">
      <c r="A466" s="262">
        <f>ROW()</f>
        <v>466</v>
      </c>
      <c r="C466" s="208"/>
      <c r="D466" s="208"/>
      <c r="E466" s="208"/>
      <c r="F466" s="208"/>
      <c r="G466" s="208"/>
      <c r="H466" s="208"/>
      <c r="J466" s="114" t="str">
        <f t="shared" si="207"/>
        <v/>
      </c>
      <c r="K466" s="114" t="str">
        <f>IF(COUNTBLANK(R466)&gt;0,"",CONCATENATE(R466," for ",N452))</f>
        <v/>
      </c>
      <c r="N466" s="123" t="s">
        <v>126</v>
      </c>
      <c r="O466" s="66" t="s">
        <v>541</v>
      </c>
      <c r="P466" s="121"/>
      <c r="Q466" s="121"/>
      <c r="R466" s="121"/>
      <c r="S466" s="133">
        <f>M452</f>
        <v>0</v>
      </c>
      <c r="T466" s="120"/>
      <c r="U466" s="121" t="s">
        <v>292</v>
      </c>
      <c r="V466" s="133">
        <f t="shared" si="199"/>
        <v>0</v>
      </c>
      <c r="W466" s="133">
        <f>VLOOKUP(U466,Sheet1!$B$6:$C$45,2,FALSE)*V466</f>
        <v>0</v>
      </c>
      <c r="X466" s="141"/>
      <c r="Y466" s="122" t="s">
        <v>326</v>
      </c>
      <c r="Z466" s="146">
        <f>VLOOKUP(Takeoffs!Y466,Sheet1!$B$6:$C$124,2,FALSE)</f>
        <v>29.04</v>
      </c>
      <c r="AA466" s="146">
        <f t="shared" si="200"/>
        <v>0</v>
      </c>
      <c r="AB466" s="143">
        <f t="shared" si="201"/>
        <v>0</v>
      </c>
      <c r="AC466" s="133">
        <f t="shared" si="202"/>
        <v>0</v>
      </c>
      <c r="AD466" s="142">
        <v>1</v>
      </c>
      <c r="AE466" s="141"/>
      <c r="AF466" s="121" t="s">
        <v>292</v>
      </c>
      <c r="AG466" s="146">
        <f>VLOOKUP(Takeoffs!AF466,Sheet1!$B$6:$C$124,2,FALSE)</f>
        <v>0</v>
      </c>
      <c r="AH466" s="146">
        <f t="shared" si="203"/>
        <v>0</v>
      </c>
      <c r="AI466" s="143">
        <f t="shared" si="204"/>
        <v>0</v>
      </c>
      <c r="AJ466" s="133">
        <f t="shared" si="205"/>
        <v>0</v>
      </c>
      <c r="AK466" s="142">
        <f t="shared" si="208"/>
        <v>0</v>
      </c>
      <c r="AL466" s="141"/>
      <c r="AO466" s="286"/>
      <c r="AP466" s="284">
        <f t="shared" si="174"/>
        <v>0</v>
      </c>
      <c r="AQ466" s="281">
        <f t="shared" si="175"/>
        <v>0</v>
      </c>
      <c r="AR466" s="284">
        <f t="shared" si="176"/>
        <v>0</v>
      </c>
      <c r="AS466" s="281">
        <f t="shared" si="177"/>
        <v>0</v>
      </c>
      <c r="AT466" s="284">
        <f t="shared" si="178"/>
        <v>0</v>
      </c>
    </row>
    <row r="467" spans="1:97" s="114" customFormat="1" ht="30.9" x14ac:dyDescent="0.8">
      <c r="A467" s="262">
        <f>ROW()</f>
        <v>467</v>
      </c>
      <c r="C467" s="208"/>
      <c r="D467" s="208"/>
      <c r="E467" s="208"/>
      <c r="F467" s="208"/>
      <c r="G467" s="208"/>
      <c r="H467" s="208"/>
      <c r="J467" s="114" t="str">
        <f t="shared" si="207"/>
        <v/>
      </c>
      <c r="K467" s="114" t="str">
        <f>IF(COUNTBLANK(R467)&gt;0,"",CONCATENATE(R467," for ",N452))</f>
        <v/>
      </c>
      <c r="N467" s="123" t="s">
        <v>127</v>
      </c>
      <c r="O467" s="66" t="s">
        <v>337</v>
      </c>
      <c r="P467" s="121"/>
      <c r="Q467" s="121"/>
      <c r="R467" s="121"/>
      <c r="S467" s="133">
        <f>M452</f>
        <v>0</v>
      </c>
      <c r="T467" s="120"/>
      <c r="U467" s="121" t="s">
        <v>292</v>
      </c>
      <c r="V467" s="133">
        <f t="shared" si="199"/>
        <v>0</v>
      </c>
      <c r="W467" s="133">
        <f>VLOOKUP(U467,Sheet1!$B$6:$C$45,2,FALSE)*V467</f>
        <v>0</v>
      </c>
      <c r="X467" s="141"/>
      <c r="Y467" s="122" t="s">
        <v>280</v>
      </c>
      <c r="Z467" s="146">
        <f>VLOOKUP(Takeoffs!Y467,Sheet1!$B$6:$C$124,2,FALSE)</f>
        <v>19.2</v>
      </c>
      <c r="AA467" s="146">
        <f t="shared" si="200"/>
        <v>0</v>
      </c>
      <c r="AB467" s="143">
        <f t="shared" si="201"/>
        <v>0</v>
      </c>
      <c r="AC467" s="133">
        <f t="shared" si="202"/>
        <v>0</v>
      </c>
      <c r="AD467" s="142">
        <v>2</v>
      </c>
      <c r="AE467" s="141"/>
      <c r="AF467" s="121" t="s">
        <v>292</v>
      </c>
      <c r="AG467" s="146">
        <f>VLOOKUP(Takeoffs!AF467,Sheet1!$B$6:$C$124,2,FALSE)</f>
        <v>0</v>
      </c>
      <c r="AH467" s="146">
        <f t="shared" si="203"/>
        <v>0</v>
      </c>
      <c r="AI467" s="143">
        <f t="shared" si="204"/>
        <v>0</v>
      </c>
      <c r="AJ467" s="133">
        <f t="shared" si="205"/>
        <v>0</v>
      </c>
      <c r="AK467" s="142">
        <f t="shared" si="208"/>
        <v>0</v>
      </c>
      <c r="AL467" s="141"/>
      <c r="AO467" s="286"/>
      <c r="AP467" s="284">
        <f t="shared" si="174"/>
        <v>0</v>
      </c>
      <c r="AQ467" s="281">
        <f t="shared" si="175"/>
        <v>0</v>
      </c>
      <c r="AR467" s="284">
        <f t="shared" si="176"/>
        <v>0</v>
      </c>
      <c r="AS467" s="281">
        <f t="shared" si="177"/>
        <v>0</v>
      </c>
      <c r="AT467" s="284">
        <f t="shared" si="178"/>
        <v>0</v>
      </c>
    </row>
    <row r="468" spans="1:97" s="114" customFormat="1" ht="30.9" x14ac:dyDescent="0.8">
      <c r="A468" s="262">
        <f>ROW()</f>
        <v>468</v>
      </c>
      <c r="C468" s="208"/>
      <c r="D468" s="208"/>
      <c r="E468" s="208"/>
      <c r="F468" s="208"/>
      <c r="G468" s="208"/>
      <c r="H468" s="208"/>
      <c r="J468" s="114" t="str">
        <f t="shared" si="207"/>
        <v/>
      </c>
      <c r="K468" s="114" t="str">
        <f>IF(COUNTBLANK(R468)&gt;0,"",CONCATENATE(R468," for ",N452))</f>
        <v/>
      </c>
      <c r="N468" s="123" t="s">
        <v>128</v>
      </c>
      <c r="O468" s="66"/>
      <c r="P468" s="121"/>
      <c r="Q468" s="121"/>
      <c r="R468" s="121"/>
      <c r="S468" s="133">
        <f>M452</f>
        <v>0</v>
      </c>
      <c r="T468" s="120"/>
      <c r="U468" s="121" t="s">
        <v>292</v>
      </c>
      <c r="V468" s="133">
        <f t="shared" si="199"/>
        <v>0</v>
      </c>
      <c r="W468" s="133">
        <f>VLOOKUP(U468,Sheet1!$B$6:$C$45,2,FALSE)*V468</f>
        <v>0</v>
      </c>
      <c r="X468" s="141"/>
      <c r="Y468" s="121" t="s">
        <v>292</v>
      </c>
      <c r="Z468" s="146">
        <f>VLOOKUP(Takeoffs!Y468,Sheet1!$B$6:$C$124,2,FALSE)</f>
        <v>0</v>
      </c>
      <c r="AA468" s="146">
        <f t="shared" si="200"/>
        <v>0</v>
      </c>
      <c r="AB468" s="143">
        <f t="shared" si="201"/>
        <v>0</v>
      </c>
      <c r="AC468" s="133">
        <f t="shared" si="202"/>
        <v>0</v>
      </c>
      <c r="AD468" s="142">
        <v>1</v>
      </c>
      <c r="AE468" s="141"/>
      <c r="AF468" s="121" t="s">
        <v>292</v>
      </c>
      <c r="AG468" s="146">
        <f>VLOOKUP(Takeoffs!AF468,Sheet1!$B$6:$C$124,2,FALSE)</f>
        <v>0</v>
      </c>
      <c r="AH468" s="146">
        <f t="shared" si="203"/>
        <v>0</v>
      </c>
      <c r="AI468" s="143">
        <f t="shared" si="204"/>
        <v>0</v>
      </c>
      <c r="AJ468" s="133">
        <f t="shared" si="205"/>
        <v>0</v>
      </c>
      <c r="AK468" s="142">
        <f t="shared" si="208"/>
        <v>0</v>
      </c>
      <c r="AL468" s="141"/>
      <c r="AO468" s="286"/>
      <c r="AP468" s="284">
        <f t="shared" ref="AP468:AP531" si="209">IF(AND(I468&gt;0, ISNUMBER(I468)),I468*P468,0)</f>
        <v>0</v>
      </c>
      <c r="AQ468" s="281">
        <f t="shared" ref="AQ468:AQ531" si="210">IF(AND(I468&gt;0, ISNUMBER(I468)),I468*W468*80,0)</f>
        <v>0</v>
      </c>
      <c r="AR468" s="284">
        <f t="shared" ref="AR468:AR531" si="211">IF(AND(I468&gt;0, ISNUMBER(I468)),I468*AA468,0)</f>
        <v>0</v>
      </c>
      <c r="AS468" s="281">
        <f t="shared" ref="AS468:AS531" si="212">IF(AND(I468&gt;0, ISNUMBER(I468)),I468*AH468,0)</f>
        <v>0</v>
      </c>
      <c r="AT468" s="284">
        <f t="shared" ref="AT468:AT531" si="213">IF(AND(I468&gt;0, ISNUMBER(I468)),I468*(AP468-(AQ468+AR468+AS468)),0)</f>
        <v>0</v>
      </c>
    </row>
    <row r="469" spans="1:97" s="114" customFormat="1" ht="30.9" x14ac:dyDescent="0.8">
      <c r="A469" s="262">
        <f>ROW()</f>
        <v>469</v>
      </c>
      <c r="C469" s="208"/>
      <c r="D469" s="208"/>
      <c r="E469" s="208"/>
      <c r="F469" s="208"/>
      <c r="G469" s="208"/>
      <c r="H469" s="208"/>
      <c r="J469" s="114" t="str">
        <f t="shared" si="207"/>
        <v/>
      </c>
      <c r="K469" s="114" t="str">
        <f>IF(COUNTBLANK(R469)&gt;0,"",CONCATENATE(R469," for ",N452))</f>
        <v/>
      </c>
      <c r="N469" s="123" t="s">
        <v>129</v>
      </c>
      <c r="O469" s="66" t="s">
        <v>329</v>
      </c>
      <c r="P469" s="121"/>
      <c r="Q469" s="121"/>
      <c r="R469" s="121"/>
      <c r="S469" s="133">
        <f>M452</f>
        <v>0</v>
      </c>
      <c r="T469" s="120"/>
      <c r="U469" s="121" t="s">
        <v>292</v>
      </c>
      <c r="V469" s="133">
        <f t="shared" si="199"/>
        <v>0</v>
      </c>
      <c r="W469" s="133">
        <f>VLOOKUP(U469,Sheet1!$B$6:$C$45,2,FALSE)*V469</f>
        <v>0</v>
      </c>
      <c r="X469" s="141"/>
      <c r="Y469" s="122" t="s">
        <v>277</v>
      </c>
      <c r="Z469" s="146">
        <f>VLOOKUP(Takeoffs!Y469,Sheet1!$B$6:$C$124,2,FALSE)</f>
        <v>69.540000000000006</v>
      </c>
      <c r="AA469" s="146">
        <f t="shared" si="200"/>
        <v>0</v>
      </c>
      <c r="AB469" s="143">
        <f t="shared" si="201"/>
        <v>0</v>
      </c>
      <c r="AC469" s="133">
        <f t="shared" si="202"/>
        <v>0</v>
      </c>
      <c r="AD469" s="142">
        <v>1</v>
      </c>
      <c r="AE469" s="141"/>
      <c r="AF469" s="121" t="s">
        <v>292</v>
      </c>
      <c r="AG469" s="146">
        <f>VLOOKUP(Takeoffs!AF469,Sheet1!$B$6:$C$124,2,FALSE)</f>
        <v>0</v>
      </c>
      <c r="AH469" s="146">
        <f t="shared" si="203"/>
        <v>0</v>
      </c>
      <c r="AI469" s="143">
        <f t="shared" si="204"/>
        <v>0</v>
      </c>
      <c r="AJ469" s="133">
        <f t="shared" si="205"/>
        <v>0</v>
      </c>
      <c r="AK469" s="142">
        <f t="shared" si="208"/>
        <v>0</v>
      </c>
      <c r="AL469" s="141"/>
      <c r="AO469" s="286"/>
      <c r="AP469" s="284">
        <f t="shared" si="209"/>
        <v>0</v>
      </c>
      <c r="AQ469" s="281">
        <f t="shared" si="210"/>
        <v>0</v>
      </c>
      <c r="AR469" s="284">
        <f t="shared" si="211"/>
        <v>0</v>
      </c>
      <c r="AS469" s="281">
        <f t="shared" si="212"/>
        <v>0</v>
      </c>
      <c r="AT469" s="284">
        <f t="shared" si="213"/>
        <v>0</v>
      </c>
    </row>
    <row r="470" spans="1:97" s="114" customFormat="1" ht="30.9" x14ac:dyDescent="0.8">
      <c r="A470" s="262">
        <f>ROW()</f>
        <v>470</v>
      </c>
      <c r="C470" s="208"/>
      <c r="D470" s="208"/>
      <c r="E470" s="208"/>
      <c r="F470" s="208"/>
      <c r="G470" s="208"/>
      <c r="H470" s="208"/>
      <c r="J470" s="114" t="str">
        <f t="shared" si="207"/>
        <v/>
      </c>
      <c r="K470" s="114" t="str">
        <f>IF(COUNTBLANK(R470)&gt;0,"",CONCATENATE(R470," for ",N452))</f>
        <v/>
      </c>
      <c r="N470" s="123" t="s">
        <v>130</v>
      </c>
      <c r="O470" s="66"/>
      <c r="P470" s="121"/>
      <c r="Q470" s="121"/>
      <c r="R470" s="121"/>
      <c r="S470" s="133">
        <f>M452</f>
        <v>0</v>
      </c>
      <c r="T470" s="120"/>
      <c r="U470" s="121" t="s">
        <v>292</v>
      </c>
      <c r="V470" s="133">
        <f t="shared" si="199"/>
        <v>0</v>
      </c>
      <c r="W470" s="133">
        <f>VLOOKUP(U470,Sheet1!$B$6:$C$45,2,FALSE)*V470</f>
        <v>0</v>
      </c>
      <c r="X470" s="141"/>
      <c r="Y470" s="121" t="s">
        <v>292</v>
      </c>
      <c r="Z470" s="146">
        <f>VLOOKUP(Takeoffs!Y470,Sheet1!$B$6:$C$124,2,FALSE)</f>
        <v>0</v>
      </c>
      <c r="AA470" s="146">
        <f t="shared" si="200"/>
        <v>0</v>
      </c>
      <c r="AB470" s="143">
        <f t="shared" si="201"/>
        <v>0</v>
      </c>
      <c r="AC470" s="133">
        <f t="shared" si="202"/>
        <v>0</v>
      </c>
      <c r="AD470" s="142">
        <v>1</v>
      </c>
      <c r="AE470" s="141"/>
      <c r="AF470" s="121" t="s">
        <v>292</v>
      </c>
      <c r="AG470" s="146">
        <f>VLOOKUP(Takeoffs!AF470,Sheet1!$B$6:$C$124,2,FALSE)</f>
        <v>0</v>
      </c>
      <c r="AH470" s="146">
        <f t="shared" si="203"/>
        <v>0</v>
      </c>
      <c r="AI470" s="143">
        <f t="shared" si="204"/>
        <v>0</v>
      </c>
      <c r="AJ470" s="133">
        <f t="shared" si="205"/>
        <v>0</v>
      </c>
      <c r="AK470" s="142">
        <f t="shared" si="208"/>
        <v>0</v>
      </c>
      <c r="AL470" s="141"/>
      <c r="AO470" s="286"/>
      <c r="AP470" s="284">
        <f t="shared" si="209"/>
        <v>0</v>
      </c>
      <c r="AQ470" s="281">
        <f t="shared" si="210"/>
        <v>0</v>
      </c>
      <c r="AR470" s="284">
        <f t="shared" si="211"/>
        <v>0</v>
      </c>
      <c r="AS470" s="281">
        <f t="shared" si="212"/>
        <v>0</v>
      </c>
      <c r="AT470" s="284">
        <f t="shared" si="213"/>
        <v>0</v>
      </c>
    </row>
    <row r="471" spans="1:97" s="114" customFormat="1" ht="30.9" x14ac:dyDescent="0.8">
      <c r="A471" s="262">
        <f>ROW()</f>
        <v>471</v>
      </c>
      <c r="C471" s="208"/>
      <c r="D471" s="208"/>
      <c r="E471" s="208"/>
      <c r="F471" s="208"/>
      <c r="G471" s="208"/>
      <c r="H471" s="208"/>
      <c r="J471" s="114" t="str">
        <f t="shared" si="207"/>
        <v/>
      </c>
      <c r="K471" s="114" t="str">
        <f>IF(COUNTBLANK(R471)&gt;0,"",CONCATENATE(R471," for ",N452))</f>
        <v/>
      </c>
      <c r="N471" s="123" t="s">
        <v>131</v>
      </c>
      <c r="O471" s="66" t="s">
        <v>407</v>
      </c>
      <c r="P471" s="121"/>
      <c r="Q471" s="121"/>
      <c r="R471" s="121"/>
      <c r="S471" s="133">
        <f>M452</f>
        <v>0</v>
      </c>
      <c r="T471" s="120"/>
      <c r="U471" s="121" t="s">
        <v>292</v>
      </c>
      <c r="V471" s="133">
        <f t="shared" si="199"/>
        <v>0</v>
      </c>
      <c r="W471" s="133">
        <f>VLOOKUP(U471,Sheet1!$B$6:$C$45,2,FALSE)*V471</f>
        <v>0</v>
      </c>
      <c r="X471" s="141"/>
      <c r="Y471" s="121" t="s">
        <v>274</v>
      </c>
      <c r="Z471" s="146">
        <f>VLOOKUP(Takeoffs!Y471,Sheet1!$B$6:$C$124,2,FALSE)</f>
        <v>360</v>
      </c>
      <c r="AA471" s="146">
        <f t="shared" si="200"/>
        <v>0</v>
      </c>
      <c r="AB471" s="143">
        <f t="shared" si="201"/>
        <v>0</v>
      </c>
      <c r="AC471" s="133">
        <f t="shared" si="202"/>
        <v>0</v>
      </c>
      <c r="AD471" s="142">
        <v>1</v>
      </c>
      <c r="AE471" s="141"/>
      <c r="AF471" s="121" t="s">
        <v>292</v>
      </c>
      <c r="AG471" s="146">
        <f>VLOOKUP(Takeoffs!AF471,Sheet1!$B$6:$C$124,2,FALSE)</f>
        <v>0</v>
      </c>
      <c r="AH471" s="146">
        <f t="shared" si="203"/>
        <v>0</v>
      </c>
      <c r="AI471" s="143">
        <f t="shared" si="204"/>
        <v>0</v>
      </c>
      <c r="AJ471" s="133">
        <f t="shared" si="205"/>
        <v>0</v>
      </c>
      <c r="AK471" s="142">
        <f t="shared" si="208"/>
        <v>0</v>
      </c>
      <c r="AL471" s="141"/>
      <c r="AO471" s="286"/>
      <c r="AP471" s="284">
        <f t="shared" si="209"/>
        <v>0</v>
      </c>
      <c r="AQ471" s="281">
        <f t="shared" si="210"/>
        <v>0</v>
      </c>
      <c r="AR471" s="284">
        <f t="shared" si="211"/>
        <v>0</v>
      </c>
      <c r="AS471" s="281">
        <f t="shared" si="212"/>
        <v>0</v>
      </c>
      <c r="AT471" s="284">
        <f t="shared" si="213"/>
        <v>0</v>
      </c>
    </row>
    <row r="472" spans="1:97" s="114" customFormat="1" ht="30.9" x14ac:dyDescent="0.8">
      <c r="A472" s="262">
        <f>ROW()</f>
        <v>472</v>
      </c>
      <c r="C472" s="208"/>
      <c r="D472" s="208"/>
      <c r="E472" s="208"/>
      <c r="F472" s="208"/>
      <c r="G472" s="208"/>
      <c r="H472" s="208"/>
      <c r="J472" s="114" t="str">
        <f t="shared" si="207"/>
        <v/>
      </c>
      <c r="K472" s="114" t="str">
        <f>IF(COUNTBLANK(R472)&gt;0,"",CONCATENATE(R472," for ",N452))</f>
        <v/>
      </c>
      <c r="N472" s="123" t="s">
        <v>132</v>
      </c>
      <c r="O472" s="66" t="s">
        <v>408</v>
      </c>
      <c r="P472" s="121"/>
      <c r="Q472" s="121"/>
      <c r="R472" s="121"/>
      <c r="S472" s="133">
        <f>M452</f>
        <v>0</v>
      </c>
      <c r="T472" s="120"/>
      <c r="U472" s="121" t="s">
        <v>362</v>
      </c>
      <c r="V472" s="133">
        <f t="shared" si="199"/>
        <v>0</v>
      </c>
      <c r="W472" s="133">
        <f>VLOOKUP(U472,Sheet1!$B$6:$C$45,2,FALSE)*V472</f>
        <v>0</v>
      </c>
      <c r="X472" s="141"/>
      <c r="Y472" s="121" t="s">
        <v>292</v>
      </c>
      <c r="Z472" s="146">
        <f>VLOOKUP(Takeoffs!Y472,Sheet1!$B$6:$C$124,2,FALSE)</f>
        <v>0</v>
      </c>
      <c r="AA472" s="146">
        <f t="shared" si="200"/>
        <v>0</v>
      </c>
      <c r="AB472" s="143">
        <f t="shared" si="201"/>
        <v>0</v>
      </c>
      <c r="AC472" s="133">
        <f t="shared" si="202"/>
        <v>0</v>
      </c>
      <c r="AD472" s="142">
        <v>1</v>
      </c>
      <c r="AE472" s="141"/>
      <c r="AF472" s="121" t="s">
        <v>292</v>
      </c>
      <c r="AG472" s="146">
        <f>VLOOKUP(Takeoffs!AF472,Sheet1!$B$6:$C$124,2,FALSE)</f>
        <v>0</v>
      </c>
      <c r="AH472" s="146">
        <f t="shared" si="203"/>
        <v>0</v>
      </c>
      <c r="AI472" s="143">
        <f t="shared" si="204"/>
        <v>0</v>
      </c>
      <c r="AJ472" s="133">
        <f t="shared" si="205"/>
        <v>0</v>
      </c>
      <c r="AK472" s="142">
        <f t="shared" si="208"/>
        <v>0</v>
      </c>
      <c r="AL472" s="141"/>
      <c r="AO472" s="286"/>
      <c r="AP472" s="284">
        <f t="shared" si="209"/>
        <v>0</v>
      </c>
      <c r="AQ472" s="281">
        <f t="shared" si="210"/>
        <v>0</v>
      </c>
      <c r="AR472" s="284">
        <f t="shared" si="211"/>
        <v>0</v>
      </c>
      <c r="AS472" s="281">
        <f t="shared" si="212"/>
        <v>0</v>
      </c>
      <c r="AT472" s="284">
        <f t="shared" si="213"/>
        <v>0</v>
      </c>
    </row>
    <row r="473" spans="1:97" s="128" customFormat="1" ht="31.5" customHeight="1" x14ac:dyDescent="0.8">
      <c r="A473" s="262">
        <f>ROW()</f>
        <v>473</v>
      </c>
      <c r="C473" s="212"/>
      <c r="D473" s="212"/>
      <c r="E473" s="212"/>
      <c r="F473" s="212"/>
      <c r="G473" s="212"/>
      <c r="H473" s="212"/>
      <c r="J473" s="128" t="s">
        <v>377</v>
      </c>
      <c r="L473" s="128" t="s">
        <v>378</v>
      </c>
      <c r="N473" s="129"/>
      <c r="O473" s="130" t="s">
        <v>357</v>
      </c>
      <c r="P473" s="131">
        <f>V473+AA473+AH473</f>
        <v>0</v>
      </c>
      <c r="Q473" s="131"/>
      <c r="R473" s="131"/>
      <c r="S473" s="130"/>
      <c r="T473" s="127"/>
      <c r="U473" s="126" t="s">
        <v>351</v>
      </c>
      <c r="V473" s="127">
        <f>W473*80</f>
        <v>0</v>
      </c>
      <c r="W473" s="147">
        <f>SUM(W452:W472)</f>
        <v>0</v>
      </c>
      <c r="X473" s="148"/>
      <c r="Y473" s="127" t="s">
        <v>352</v>
      </c>
      <c r="Z473" s="116"/>
      <c r="AA473" s="116">
        <f>SUM(AA452:AA472)</f>
        <v>0</v>
      </c>
      <c r="AB473" s="149"/>
      <c r="AC473" s="149"/>
      <c r="AD473" s="149"/>
      <c r="AE473" s="149"/>
      <c r="AF473" s="127" t="s">
        <v>356</v>
      </c>
      <c r="AG473" s="116"/>
      <c r="AH473" s="116">
        <f>SUM(AH452:AH472)</f>
        <v>0</v>
      </c>
      <c r="AI473" s="149"/>
      <c r="AJ473" s="149"/>
      <c r="AK473" s="149"/>
      <c r="AL473" s="149"/>
      <c r="AM473" s="150">
        <f>P473</f>
        <v>0</v>
      </c>
      <c r="AO473" s="286"/>
      <c r="AP473" s="284">
        <f t="shared" si="209"/>
        <v>0</v>
      </c>
      <c r="AQ473" s="281">
        <f t="shared" si="210"/>
        <v>0</v>
      </c>
      <c r="AR473" s="284">
        <f t="shared" si="211"/>
        <v>0</v>
      </c>
      <c r="AS473" s="281">
        <f t="shared" si="212"/>
        <v>0</v>
      </c>
      <c r="AT473" s="284">
        <f t="shared" si="213"/>
        <v>0</v>
      </c>
    </row>
    <row r="474" spans="1:97" s="234" customFormat="1" ht="308.60000000000002" x14ac:dyDescent="0.8">
      <c r="A474" s="262">
        <f>ROW()</f>
        <v>474</v>
      </c>
      <c r="B474" s="234" t="s">
        <v>491</v>
      </c>
      <c r="C474" s="217" t="str">
        <f>N452</f>
        <v>general fan with interlock - from MSSB power supply ( field wiring outside MSSB by customer)</v>
      </c>
      <c r="D474" s="260" t="str">
        <f>IF(B474="Shopping List",IF(ISNUMBER(SEARCH("MSSB",C474)),"MSSB",IF(ISNUMBER(SEARCH("local",C474)),"LOCAL","")))</f>
        <v>MSSB</v>
      </c>
      <c r="E474" s="238"/>
      <c r="F474" s="217"/>
      <c r="G474" s="217"/>
      <c r="H474" s="245"/>
      <c r="I474" s="270"/>
      <c r="J474" s="241" t="str">
        <f>CONCATENATE(O452," ",L452, " (",M452,") ",N452,".", IF(M452&gt;1," Each "," This "),"includes supply and install of ",O453,O454,O455,O456,O457,O458,O459,O460,O461,O462,O463,O464,O465,O466,O467,O468,O469,O470,O471,O472,J453,J454,J455,J456,J457,J458,J459,J460,J461,J462,J463,J464,J465,J466,J467,J468,J469,J470,J471,J472)</f>
        <v xml:space="preserve">Electrical power supply and controls to Zero (0) general fan with interlock - from MSSB power supply ( field wiring outside MSSB by customer). This includes supply and install of power and controls. Power for system includes: CB, connections of power cabling into MSSB, testing of customer installed power cabling for compliance with AS3000 ( including polarity, insulation resistance, earth continuity and fault loop impedence), Documented test results of final electrical systems and Form 16 certification. Controls for system includes: controls cabling, contactors/relays, interlock with associated system, run and fault lights, Auto/Off/On switch, trefolyte labelling, and commissioning/testing. Coordination Note: - Customers in-house electrician: Please refer to our exclusions relating to Power cabling from MSSB to fan. Customers electrician to leave tails adjacent MSSB for Controlworks to connect.Coordination Note: - Customers in-house electrician: Please refer to our exclusions relating to and local power isolator ( adjacent to fan). Coordination Note: - Customers in-house electrician: Please refer to our exclusions relating to proprietary air-conditioning controllers supply and installation. </v>
      </c>
      <c r="K474" s="246">
        <f>P473</f>
        <v>0</v>
      </c>
      <c r="L474" s="235" t="str">
        <f>CONCATENATE(Q453,Q454,Q455,Q456,Q457,Q458,Q459,Q460,Q461,Q462,Q463,Q464,Q465,Q466,Q467,Q468,Q469,Q470,Q471,Q472,)</f>
        <v xml:space="preserve">Power cabling from MSSB to fan. Customers electrician to leave tails adjacent MSSB for Controlworks to connect.and local power isolator ( adjacent to fan). proprietary air-conditioning controllers supply and installation. </v>
      </c>
      <c r="M474" s="166" t="s">
        <v>367</v>
      </c>
      <c r="N474" s="160" t="str">
        <f>N452</f>
        <v>general fan with interlock - from MSSB power supply ( field wiring outside MSSB by customer)</v>
      </c>
      <c r="O474" s="160" t="s">
        <v>365</v>
      </c>
      <c r="P474" s="82" t="e">
        <f>P473/M452</f>
        <v>#DIV/0!</v>
      </c>
      <c r="Q474" s="161"/>
      <c r="R474" s="161"/>
      <c r="S474" s="160"/>
      <c r="T474" s="161"/>
      <c r="U474" s="503" t="s">
        <v>366</v>
      </c>
      <c r="V474" s="503"/>
      <c r="W474" s="162" t="e">
        <f>W473/M452</f>
        <v>#DIV/0!</v>
      </c>
      <c r="X474" s="163"/>
      <c r="Y474" s="501" t="s">
        <v>365</v>
      </c>
      <c r="Z474" s="501"/>
      <c r="AA474" s="164" t="e">
        <f>AA473/M452</f>
        <v>#DIV/0!</v>
      </c>
      <c r="AB474" s="161"/>
      <c r="AC474" s="161"/>
      <c r="AD474" s="161"/>
      <c r="AE474" s="161"/>
      <c r="AF474" s="501" t="s">
        <v>365</v>
      </c>
      <c r="AG474" s="501"/>
      <c r="AH474" s="164" t="e">
        <f>AH473/M452</f>
        <v>#DIV/0!</v>
      </c>
      <c r="AI474" s="161"/>
      <c r="AJ474" s="161"/>
      <c r="AK474" s="161"/>
      <c r="AL474" s="247"/>
      <c r="AM474" s="257"/>
      <c r="AN474" s="230">
        <f>K474*1.25</f>
        <v>0</v>
      </c>
      <c r="AO474" s="286"/>
      <c r="AP474" s="284">
        <f t="shared" si="209"/>
        <v>0</v>
      </c>
      <c r="AQ474" s="281">
        <f t="shared" si="210"/>
        <v>0</v>
      </c>
      <c r="AR474" s="284">
        <f t="shared" si="211"/>
        <v>0</v>
      </c>
      <c r="AS474" s="281">
        <f t="shared" si="212"/>
        <v>0</v>
      </c>
      <c r="AT474" s="284">
        <f t="shared" si="213"/>
        <v>0</v>
      </c>
      <c r="AU474" s="117"/>
      <c r="AV474" s="117"/>
      <c r="AW474" s="117"/>
      <c r="AX474" s="117"/>
      <c r="AY474" s="117"/>
      <c r="AZ474" s="117"/>
      <c r="BA474" s="117"/>
      <c r="BB474" s="117"/>
      <c r="BC474" s="117"/>
      <c r="BD474" s="117"/>
      <c r="BE474" s="117"/>
      <c r="BF474" s="117"/>
      <c r="BG474" s="117"/>
      <c r="BH474" s="117"/>
      <c r="BI474" s="117"/>
      <c r="BJ474" s="117"/>
      <c r="BK474" s="117"/>
      <c r="BL474" s="117"/>
      <c r="BM474" s="117"/>
      <c r="BN474" s="117"/>
      <c r="BO474" s="117"/>
      <c r="BP474" s="117"/>
      <c r="BQ474" s="117"/>
      <c r="BR474" s="117"/>
      <c r="BS474" s="117"/>
      <c r="BT474" s="117"/>
      <c r="BU474" s="117"/>
      <c r="BV474" s="117"/>
      <c r="BW474" s="117"/>
      <c r="BX474" s="117"/>
      <c r="BY474" s="117"/>
      <c r="BZ474" s="117"/>
      <c r="CA474" s="117"/>
      <c r="CB474" s="117"/>
      <c r="CC474" s="117"/>
      <c r="CD474" s="117"/>
      <c r="CE474" s="117"/>
      <c r="CF474" s="117"/>
      <c r="CG474" s="117"/>
      <c r="CH474" s="117"/>
      <c r="CI474" s="117"/>
      <c r="CJ474" s="117"/>
      <c r="CK474" s="117"/>
      <c r="CL474" s="117"/>
      <c r="CM474" s="117"/>
      <c r="CN474" s="117"/>
      <c r="CO474" s="117"/>
      <c r="CP474" s="117"/>
      <c r="CQ474" s="117"/>
      <c r="CR474" s="117"/>
      <c r="CS474" s="117"/>
    </row>
    <row r="475" spans="1:97" s="116" customFormat="1" ht="192.75" customHeight="1" x14ac:dyDescent="0.8">
      <c r="A475" s="262">
        <f>ROW()</f>
        <v>475</v>
      </c>
      <c r="C475" s="211"/>
      <c r="D475" s="211"/>
      <c r="E475" s="211"/>
      <c r="F475" s="211"/>
      <c r="G475" s="211"/>
      <c r="H475" s="211"/>
      <c r="K475" s="116" t="s">
        <v>452</v>
      </c>
      <c r="M475" s="116" t="s">
        <v>107</v>
      </c>
      <c r="N475" s="116" t="s">
        <v>108</v>
      </c>
      <c r="O475" s="170" t="s">
        <v>386</v>
      </c>
      <c r="P475" s="502" t="s">
        <v>375</v>
      </c>
      <c r="Q475" s="502"/>
      <c r="R475" s="101" t="s">
        <v>452</v>
      </c>
      <c r="S475" s="116" t="s">
        <v>0</v>
      </c>
      <c r="T475" s="118"/>
      <c r="U475" s="116" t="s">
        <v>287</v>
      </c>
      <c r="V475" s="116" t="s">
        <v>288</v>
      </c>
      <c r="W475" s="116" t="s">
        <v>291</v>
      </c>
      <c r="X475" s="140"/>
      <c r="Y475" s="116" t="s">
        <v>289</v>
      </c>
      <c r="Z475" s="116" t="s">
        <v>354</v>
      </c>
      <c r="AA475" s="116" t="s">
        <v>355</v>
      </c>
      <c r="AB475" s="116" t="s">
        <v>317</v>
      </c>
      <c r="AC475" s="116" t="s">
        <v>318</v>
      </c>
      <c r="AD475" s="116" t="s">
        <v>316</v>
      </c>
      <c r="AE475" s="140"/>
      <c r="AF475" s="116" t="s">
        <v>293</v>
      </c>
      <c r="AG475" s="116" t="s">
        <v>354</v>
      </c>
      <c r="AH475" s="116" t="s">
        <v>355</v>
      </c>
      <c r="AI475" s="116" t="s">
        <v>296</v>
      </c>
      <c r="AJ475" s="116" t="s">
        <v>294</v>
      </c>
      <c r="AK475" s="116" t="s">
        <v>295</v>
      </c>
      <c r="AL475" s="140"/>
      <c r="AO475" s="288"/>
      <c r="AP475" s="284">
        <f t="shared" si="209"/>
        <v>0</v>
      </c>
      <c r="AQ475" s="281">
        <f t="shared" si="210"/>
        <v>0</v>
      </c>
      <c r="AR475" s="284">
        <f t="shared" si="211"/>
        <v>0</v>
      </c>
      <c r="AS475" s="281">
        <f t="shared" si="212"/>
        <v>0</v>
      </c>
      <c r="AT475" s="284">
        <f t="shared" si="213"/>
        <v>0</v>
      </c>
    </row>
    <row r="476" spans="1:97" s="114" customFormat="1" ht="40.5" customHeight="1" x14ac:dyDescent="0.8">
      <c r="A476" s="262">
        <f>ROW()</f>
        <v>476</v>
      </c>
      <c r="C476" s="208"/>
      <c r="D476" s="208"/>
      <c r="E476" s="208"/>
      <c r="F476" s="208"/>
      <c r="G476" s="208"/>
      <c r="H476" s="208"/>
      <c r="L476" s="124" t="str">
        <f>VLOOKUP(M476,Sheet2!$D$2:$E$1024,2,FALSE)</f>
        <v>Zero</v>
      </c>
      <c r="M476" s="121">
        <f>I498</f>
        <v>0</v>
      </c>
      <c r="N476" s="132" t="s">
        <v>698</v>
      </c>
      <c r="O476" s="121" t="s">
        <v>347</v>
      </c>
      <c r="P476" s="169" t="s">
        <v>379</v>
      </c>
      <c r="Q476" s="169" t="s">
        <v>375</v>
      </c>
      <c r="R476" s="169"/>
      <c r="S476" s="133">
        <f>M476</f>
        <v>0</v>
      </c>
      <c r="T476" s="119"/>
      <c r="U476" s="121" t="s">
        <v>292</v>
      </c>
      <c r="V476" s="133">
        <f>S476</f>
        <v>0</v>
      </c>
      <c r="W476" s="133">
        <f>VLOOKUP(U476,Sheet1!$B$6:$C$45,2,FALSE)*V476</f>
        <v>0</v>
      </c>
      <c r="X476" s="141"/>
      <c r="Y476" s="121" t="s">
        <v>292</v>
      </c>
      <c r="Z476" s="146">
        <f>VLOOKUP(Takeoffs!Y476,Sheet1!$B$6:$C$124,2,FALSE)</f>
        <v>0</v>
      </c>
      <c r="AA476" s="146">
        <f>Z476*AB476</f>
        <v>0</v>
      </c>
      <c r="AB476" s="143">
        <f>AD476*AC476</f>
        <v>0</v>
      </c>
      <c r="AC476" s="133">
        <f>S476</f>
        <v>0</v>
      </c>
      <c r="AD476" s="142">
        <v>1</v>
      </c>
      <c r="AE476" s="141"/>
      <c r="AF476" s="121" t="s">
        <v>292</v>
      </c>
      <c r="AG476" s="146">
        <f>VLOOKUP(Takeoffs!AF476,Sheet1!$B$6:$C$124,2,FALSE)</f>
        <v>0</v>
      </c>
      <c r="AH476" s="146">
        <f>AG476*AI476</f>
        <v>0</v>
      </c>
      <c r="AI476" s="143">
        <f>AK476*AJ476</f>
        <v>0</v>
      </c>
      <c r="AJ476" s="133">
        <f>S476</f>
        <v>0</v>
      </c>
      <c r="AK476" s="142">
        <f>T476</f>
        <v>0</v>
      </c>
      <c r="AL476" s="141"/>
      <c r="AO476" s="286"/>
      <c r="AP476" s="284">
        <f t="shared" si="209"/>
        <v>0</v>
      </c>
      <c r="AQ476" s="281">
        <f t="shared" si="210"/>
        <v>0</v>
      </c>
      <c r="AR476" s="284">
        <f t="shared" si="211"/>
        <v>0</v>
      </c>
      <c r="AS476" s="281">
        <f t="shared" si="212"/>
        <v>0</v>
      </c>
      <c r="AT476" s="284">
        <f t="shared" si="213"/>
        <v>0</v>
      </c>
    </row>
    <row r="477" spans="1:97" s="114" customFormat="1" ht="30.9" x14ac:dyDescent="0.8">
      <c r="A477" s="262">
        <f>ROW()</f>
        <v>477</v>
      </c>
      <c r="C477" s="208"/>
      <c r="D477" s="208"/>
      <c r="E477" s="208"/>
      <c r="F477" s="208"/>
      <c r="G477" s="208"/>
      <c r="H477" s="208"/>
      <c r="J477" s="114" t="str">
        <f>IF(COUNTBLANK(Q477)&gt;0,"",CONCATENATE("Coordination Note: - ",P477,": Please refer to our exclusions relating to ",Q477))</f>
        <v/>
      </c>
      <c r="K477" s="114" t="str">
        <f>IF(COUNTBLANK(R477)&gt;0,"",CONCATENATE(R477," for ",N476))</f>
        <v/>
      </c>
      <c r="M477" s="117"/>
      <c r="N477" s="123" t="s">
        <v>113</v>
      </c>
      <c r="O477" s="66" t="s">
        <v>340</v>
      </c>
      <c r="P477" s="121"/>
      <c r="Q477" s="66"/>
      <c r="R477" s="121"/>
      <c r="S477" s="133">
        <f>M476</f>
        <v>0</v>
      </c>
      <c r="T477" s="120"/>
      <c r="U477" s="121" t="s">
        <v>233</v>
      </c>
      <c r="V477" s="133">
        <f t="shared" ref="V477:V496" si="214">S477</f>
        <v>0</v>
      </c>
      <c r="W477" s="133">
        <f>VLOOKUP(U477,Sheet1!$B$6:$C$45,2,FALSE)*V477</f>
        <v>0</v>
      </c>
      <c r="X477" s="141"/>
      <c r="Y477" s="121" t="s">
        <v>292</v>
      </c>
      <c r="Z477" s="146">
        <f>VLOOKUP(Takeoffs!Y477,Sheet1!$B$6:$C$124,2,FALSE)</f>
        <v>0</v>
      </c>
      <c r="AA477" s="146">
        <f t="shared" ref="AA477:AA496" si="215">Z477*AB477</f>
        <v>0</v>
      </c>
      <c r="AB477" s="143">
        <f t="shared" ref="AB477:AB496" si="216">AD477*AC477</f>
        <v>0</v>
      </c>
      <c r="AC477" s="133">
        <f t="shared" ref="AC477:AC496" si="217">S477</f>
        <v>0</v>
      </c>
      <c r="AD477" s="142">
        <v>1</v>
      </c>
      <c r="AE477" s="141"/>
      <c r="AF477" s="121" t="s">
        <v>292</v>
      </c>
      <c r="AG477" s="146">
        <f>VLOOKUP(Takeoffs!AF477,Sheet1!$B$6:$C$124,2,FALSE)</f>
        <v>0</v>
      </c>
      <c r="AH477" s="146">
        <f t="shared" ref="AH477:AH496" si="218">AG477*AI477</f>
        <v>0</v>
      </c>
      <c r="AI477" s="143">
        <f t="shared" ref="AI477:AI496" si="219">AK477*AJ477</f>
        <v>0</v>
      </c>
      <c r="AJ477" s="133">
        <f t="shared" ref="AJ477:AJ496" si="220">S477</f>
        <v>0</v>
      </c>
      <c r="AK477" s="142">
        <f>T477</f>
        <v>0</v>
      </c>
      <c r="AL477" s="141"/>
      <c r="AO477" s="286"/>
      <c r="AP477" s="284">
        <f t="shared" si="209"/>
        <v>0</v>
      </c>
      <c r="AQ477" s="281">
        <f t="shared" si="210"/>
        <v>0</v>
      </c>
      <c r="AR477" s="284">
        <f t="shared" si="211"/>
        <v>0</v>
      </c>
      <c r="AS477" s="281">
        <f t="shared" si="212"/>
        <v>0</v>
      </c>
      <c r="AT477" s="284">
        <f t="shared" si="213"/>
        <v>0</v>
      </c>
    </row>
    <row r="478" spans="1:97" s="114" customFormat="1" ht="30.9" x14ac:dyDescent="0.8">
      <c r="A478" s="262">
        <f>ROW()</f>
        <v>478</v>
      </c>
      <c r="C478" s="208"/>
      <c r="D478" s="208"/>
      <c r="E478" s="208"/>
      <c r="F478" s="208"/>
      <c r="G478" s="208"/>
      <c r="H478" s="208"/>
      <c r="J478" s="114" t="str">
        <f t="shared" ref="J478:J496" si="221">IF(COUNTBLANK(Q478)&gt;0,"",CONCATENATE("Coordination Note: - ",P478,": Please refer to our exclusions relating to ",Q478))</f>
        <v xml:space="preserve">Coordination Note: - Builders electrician: Please refer to our exclusions relating to local power supply </v>
      </c>
      <c r="K478" s="114" t="str">
        <f>IF(COUNTBLANK(R478)&gt;0,"",CONCATENATE(R478," for ",N476))</f>
        <v/>
      </c>
      <c r="M478" s="117"/>
      <c r="N478" s="123" t="s">
        <v>114</v>
      </c>
      <c r="O478" s="66" t="s">
        <v>441</v>
      </c>
      <c r="P478" s="121" t="s">
        <v>539</v>
      </c>
      <c r="Q478" s="66" t="s">
        <v>687</v>
      </c>
      <c r="R478" s="121"/>
      <c r="S478" s="133">
        <f>M476</f>
        <v>0</v>
      </c>
      <c r="T478" s="120"/>
      <c r="U478" s="121" t="s">
        <v>292</v>
      </c>
      <c r="V478" s="133">
        <f t="shared" si="214"/>
        <v>0</v>
      </c>
      <c r="W478" s="133">
        <f>VLOOKUP(U478,Sheet1!$B$6:$C$45,2,FALSE)*V478</f>
        <v>0</v>
      </c>
      <c r="X478" s="141"/>
      <c r="Y478" s="121" t="s">
        <v>292</v>
      </c>
      <c r="Z478" s="146">
        <f>VLOOKUP(Takeoffs!Y478,Sheet1!$B$6:$C$124,2,FALSE)</f>
        <v>0</v>
      </c>
      <c r="AA478" s="146">
        <f t="shared" si="215"/>
        <v>0</v>
      </c>
      <c r="AB478" s="143">
        <f t="shared" si="216"/>
        <v>0</v>
      </c>
      <c r="AC478" s="133">
        <f t="shared" si="217"/>
        <v>0</v>
      </c>
      <c r="AD478" s="142">
        <v>1</v>
      </c>
      <c r="AE478" s="141"/>
      <c r="AF478" s="122" t="s">
        <v>268</v>
      </c>
      <c r="AG478" s="146">
        <f>VLOOKUP(Takeoffs!AF478,Sheet1!$B$6:$C$124,2,FALSE)</f>
        <v>1.02</v>
      </c>
      <c r="AH478" s="146">
        <f t="shared" si="218"/>
        <v>0</v>
      </c>
      <c r="AI478" s="143">
        <f t="shared" si="219"/>
        <v>0</v>
      </c>
      <c r="AJ478" s="133">
        <f t="shared" si="220"/>
        <v>0</v>
      </c>
      <c r="AK478" s="142">
        <v>5</v>
      </c>
      <c r="AL478" s="141"/>
      <c r="AO478" s="286"/>
      <c r="AP478" s="284">
        <f t="shared" si="209"/>
        <v>0</v>
      </c>
      <c r="AQ478" s="281">
        <f t="shared" si="210"/>
        <v>0</v>
      </c>
      <c r="AR478" s="284">
        <f t="shared" si="211"/>
        <v>0</v>
      </c>
      <c r="AS478" s="281">
        <f t="shared" si="212"/>
        <v>0</v>
      </c>
      <c r="AT478" s="284">
        <f t="shared" si="213"/>
        <v>0</v>
      </c>
    </row>
    <row r="479" spans="1:97" s="114" customFormat="1" ht="30.9" x14ac:dyDescent="0.8">
      <c r="A479" s="262">
        <f>ROW()</f>
        <v>479</v>
      </c>
      <c r="C479" s="208"/>
      <c r="D479" s="208"/>
      <c r="E479" s="208"/>
      <c r="F479" s="208"/>
      <c r="G479" s="208"/>
      <c r="H479" s="208"/>
      <c r="J479" s="114" t="str">
        <f t="shared" si="221"/>
        <v/>
      </c>
      <c r="K479" s="114" t="str">
        <f>IF(COUNTBLANK(R479)&gt;0,"",CONCATENATE(R479," for ",N476))</f>
        <v/>
      </c>
      <c r="M479" s="117"/>
      <c r="N479" s="123" t="s">
        <v>115</v>
      </c>
      <c r="O479" s="66" t="s">
        <v>406</v>
      </c>
      <c r="P479" s="121"/>
      <c r="Q479" s="66"/>
      <c r="R479" s="121"/>
      <c r="S479" s="133">
        <f>M476</f>
        <v>0</v>
      </c>
      <c r="T479" s="120"/>
      <c r="U479" s="121" t="s">
        <v>292</v>
      </c>
      <c r="V479" s="133">
        <f t="shared" si="214"/>
        <v>0</v>
      </c>
      <c r="W479" s="133">
        <f>VLOOKUP(U479,Sheet1!$B$6:$C$45,2,FALSE)*V479</f>
        <v>0</v>
      </c>
      <c r="X479" s="141"/>
      <c r="Y479" s="122" t="s">
        <v>247</v>
      </c>
      <c r="Z479" s="146">
        <f>VLOOKUP(Takeoffs!Y479,Sheet1!$B$6:$C$124,2,FALSE)</f>
        <v>23.76</v>
      </c>
      <c r="AA479" s="146">
        <f t="shared" si="215"/>
        <v>0</v>
      </c>
      <c r="AB479" s="143">
        <f t="shared" si="216"/>
        <v>0</v>
      </c>
      <c r="AC479" s="133">
        <f t="shared" si="217"/>
        <v>0</v>
      </c>
      <c r="AD479" s="142">
        <v>1</v>
      </c>
      <c r="AE479" s="141"/>
      <c r="AF479" s="121" t="s">
        <v>292</v>
      </c>
      <c r="AG479" s="146">
        <f>VLOOKUP(Takeoffs!AF479,Sheet1!$B$6:$C$124,2,FALSE)</f>
        <v>0</v>
      </c>
      <c r="AH479" s="146">
        <f t="shared" si="218"/>
        <v>0</v>
      </c>
      <c r="AI479" s="143">
        <f t="shared" si="219"/>
        <v>0</v>
      </c>
      <c r="AJ479" s="133">
        <f t="shared" si="220"/>
        <v>0</v>
      </c>
      <c r="AK479" s="142">
        <f t="shared" ref="AK479:AK485" si="222">T479</f>
        <v>0</v>
      </c>
      <c r="AL479" s="141"/>
      <c r="AO479" s="286"/>
      <c r="AP479" s="284">
        <f t="shared" si="209"/>
        <v>0</v>
      </c>
      <c r="AQ479" s="281">
        <f t="shared" si="210"/>
        <v>0</v>
      </c>
      <c r="AR479" s="284">
        <f t="shared" si="211"/>
        <v>0</v>
      </c>
      <c r="AS479" s="281">
        <f t="shared" si="212"/>
        <v>0</v>
      </c>
      <c r="AT479" s="284">
        <f t="shared" si="213"/>
        <v>0</v>
      </c>
    </row>
    <row r="480" spans="1:97" s="114" customFormat="1" ht="30.9" x14ac:dyDescent="0.8">
      <c r="A480" s="262">
        <f>ROW()</f>
        <v>480</v>
      </c>
      <c r="C480" s="208"/>
      <c r="D480" s="208"/>
      <c r="E480" s="208"/>
      <c r="F480" s="208"/>
      <c r="G480" s="208"/>
      <c r="H480" s="208"/>
      <c r="J480" s="114" t="str">
        <f t="shared" si="221"/>
        <v/>
      </c>
      <c r="K480" s="114" t="str">
        <f>IF(COUNTBLANK(R480)&gt;0,"",CONCATENATE(R480," for ",N476))</f>
        <v/>
      </c>
      <c r="M480" s="117"/>
      <c r="N480" s="123" t="s">
        <v>116</v>
      </c>
      <c r="O480" s="66"/>
      <c r="P480" s="121"/>
      <c r="Q480" s="66"/>
      <c r="R480" s="121"/>
      <c r="S480" s="133">
        <f>M476</f>
        <v>0</v>
      </c>
      <c r="T480" s="120"/>
      <c r="U480" s="121" t="s">
        <v>292</v>
      </c>
      <c r="V480" s="133">
        <f t="shared" si="214"/>
        <v>0</v>
      </c>
      <c r="W480" s="133">
        <f>VLOOKUP(U480,Sheet1!$B$6:$C$45,2,FALSE)*V480</f>
        <v>0</v>
      </c>
      <c r="X480" s="141"/>
      <c r="Y480" s="121" t="s">
        <v>292</v>
      </c>
      <c r="Z480" s="146">
        <f>VLOOKUP(Takeoffs!Y480,Sheet1!$B$6:$C$124,2,FALSE)</f>
        <v>0</v>
      </c>
      <c r="AA480" s="146">
        <f t="shared" si="215"/>
        <v>0</v>
      </c>
      <c r="AB480" s="143">
        <f t="shared" si="216"/>
        <v>0</v>
      </c>
      <c r="AC480" s="133">
        <f t="shared" si="217"/>
        <v>0</v>
      </c>
      <c r="AD480" s="142">
        <v>1</v>
      </c>
      <c r="AE480" s="141"/>
      <c r="AF480" s="121" t="s">
        <v>292</v>
      </c>
      <c r="AG480" s="146">
        <f>VLOOKUP(Takeoffs!AF480,Sheet1!$B$6:$C$124,2,FALSE)</f>
        <v>0</v>
      </c>
      <c r="AH480" s="146">
        <f t="shared" si="218"/>
        <v>0</v>
      </c>
      <c r="AI480" s="143">
        <f t="shared" si="219"/>
        <v>0</v>
      </c>
      <c r="AJ480" s="133">
        <f t="shared" si="220"/>
        <v>0</v>
      </c>
      <c r="AK480" s="142">
        <f t="shared" si="222"/>
        <v>0</v>
      </c>
      <c r="AL480" s="141"/>
      <c r="AO480" s="286"/>
      <c r="AP480" s="284">
        <f t="shared" si="209"/>
        <v>0</v>
      </c>
      <c r="AQ480" s="281">
        <f t="shared" si="210"/>
        <v>0</v>
      </c>
      <c r="AR480" s="284">
        <f t="shared" si="211"/>
        <v>0</v>
      </c>
      <c r="AS480" s="281">
        <f t="shared" si="212"/>
        <v>0</v>
      </c>
      <c r="AT480" s="284">
        <f t="shared" si="213"/>
        <v>0</v>
      </c>
    </row>
    <row r="481" spans="1:46" s="114" customFormat="1" ht="30.9" x14ac:dyDescent="0.8">
      <c r="A481" s="262">
        <f>ROW()</f>
        <v>481</v>
      </c>
      <c r="C481" s="208"/>
      <c r="D481" s="208"/>
      <c r="E481" s="208"/>
      <c r="F481" s="208"/>
      <c r="G481" s="208"/>
      <c r="H481" s="208"/>
      <c r="J481" s="114" t="str">
        <f t="shared" si="221"/>
        <v/>
      </c>
      <c r="K481" s="114" t="str">
        <f>IF(COUNTBLANK(R481)&gt;0,"",CONCATENATE(R481," for ",N476))</f>
        <v/>
      </c>
      <c r="M481" s="117"/>
      <c r="N481" s="123" t="s">
        <v>117</v>
      </c>
      <c r="O481" s="66"/>
      <c r="P481" s="121"/>
      <c r="Q481" s="66"/>
      <c r="R481" s="121"/>
      <c r="S481" s="133">
        <f>M476</f>
        <v>0</v>
      </c>
      <c r="T481" s="120"/>
      <c r="U481" s="121" t="s">
        <v>292</v>
      </c>
      <c r="V481" s="133">
        <f t="shared" si="214"/>
        <v>0</v>
      </c>
      <c r="W481" s="133">
        <f>VLOOKUP(U481,Sheet1!$B$6:$C$45,2,FALSE)*V481</f>
        <v>0</v>
      </c>
      <c r="X481" s="141"/>
      <c r="Y481" s="121" t="s">
        <v>292</v>
      </c>
      <c r="Z481" s="146">
        <f>VLOOKUP(Takeoffs!Y481,Sheet1!$B$6:$C$124,2,FALSE)</f>
        <v>0</v>
      </c>
      <c r="AA481" s="146">
        <f t="shared" si="215"/>
        <v>0</v>
      </c>
      <c r="AB481" s="143">
        <f t="shared" si="216"/>
        <v>0</v>
      </c>
      <c r="AC481" s="133">
        <f t="shared" si="217"/>
        <v>0</v>
      </c>
      <c r="AD481" s="142">
        <v>1</v>
      </c>
      <c r="AE481" s="141"/>
      <c r="AF481" s="121" t="s">
        <v>292</v>
      </c>
      <c r="AG481" s="146">
        <f>VLOOKUP(Takeoffs!AF481,Sheet1!$B$6:$C$124,2,FALSE)</f>
        <v>0</v>
      </c>
      <c r="AH481" s="146">
        <f t="shared" si="218"/>
        <v>0</v>
      </c>
      <c r="AI481" s="143">
        <f t="shared" si="219"/>
        <v>0</v>
      </c>
      <c r="AJ481" s="133">
        <f t="shared" si="220"/>
        <v>0</v>
      </c>
      <c r="AK481" s="142">
        <f t="shared" si="222"/>
        <v>0</v>
      </c>
      <c r="AL481" s="141"/>
      <c r="AO481" s="286"/>
      <c r="AP481" s="284">
        <f t="shared" si="209"/>
        <v>0</v>
      </c>
      <c r="AQ481" s="281">
        <f t="shared" si="210"/>
        <v>0</v>
      </c>
      <c r="AR481" s="284">
        <f t="shared" si="211"/>
        <v>0</v>
      </c>
      <c r="AS481" s="281">
        <f t="shared" si="212"/>
        <v>0</v>
      </c>
      <c r="AT481" s="284">
        <f t="shared" si="213"/>
        <v>0</v>
      </c>
    </row>
    <row r="482" spans="1:46" s="114" customFormat="1" ht="30.9" x14ac:dyDescent="0.8">
      <c r="A482" s="262">
        <f>ROW()</f>
        <v>482</v>
      </c>
      <c r="C482" s="208"/>
      <c r="D482" s="208"/>
      <c r="E482" s="208"/>
      <c r="F482" s="208"/>
      <c r="G482" s="208"/>
      <c r="H482" s="208"/>
      <c r="J482" s="114" t="str">
        <f t="shared" si="221"/>
        <v/>
      </c>
      <c r="K482" s="114" t="str">
        <f>IF(COUNTBLANK(R482)&gt;0,"",CONCATENATE(R482," for ",N476))</f>
        <v/>
      </c>
      <c r="M482" s="117"/>
      <c r="N482" s="123" t="s">
        <v>118</v>
      </c>
      <c r="O482" s="66"/>
      <c r="P482" s="121"/>
      <c r="Q482" s="66"/>
      <c r="R482" s="121"/>
      <c r="S482" s="133">
        <f>M476</f>
        <v>0</v>
      </c>
      <c r="T482" s="120"/>
      <c r="U482" s="121" t="s">
        <v>292</v>
      </c>
      <c r="V482" s="133">
        <f t="shared" si="214"/>
        <v>0</v>
      </c>
      <c r="W482" s="133">
        <f>VLOOKUP(U482,Sheet1!$B$6:$C$45,2,FALSE)*V482</f>
        <v>0</v>
      </c>
      <c r="X482" s="141"/>
      <c r="Y482" s="121" t="s">
        <v>292</v>
      </c>
      <c r="Z482" s="146">
        <f>VLOOKUP(Takeoffs!Y482,Sheet1!$B$6:$C$124,2,FALSE)</f>
        <v>0</v>
      </c>
      <c r="AA482" s="146">
        <f t="shared" si="215"/>
        <v>0</v>
      </c>
      <c r="AB482" s="143">
        <f t="shared" si="216"/>
        <v>0</v>
      </c>
      <c r="AC482" s="133">
        <f t="shared" si="217"/>
        <v>0</v>
      </c>
      <c r="AD482" s="142">
        <v>1</v>
      </c>
      <c r="AE482" s="141"/>
      <c r="AF482" s="121" t="s">
        <v>292</v>
      </c>
      <c r="AG482" s="146">
        <f>VLOOKUP(Takeoffs!AF482,Sheet1!$B$6:$C$124,2,FALSE)</f>
        <v>0</v>
      </c>
      <c r="AH482" s="146">
        <f t="shared" si="218"/>
        <v>0</v>
      </c>
      <c r="AI482" s="143">
        <f t="shared" si="219"/>
        <v>0</v>
      </c>
      <c r="AJ482" s="133">
        <f t="shared" si="220"/>
        <v>0</v>
      </c>
      <c r="AK482" s="142">
        <f t="shared" si="222"/>
        <v>0</v>
      </c>
      <c r="AL482" s="141"/>
      <c r="AO482" s="286"/>
      <c r="AP482" s="284">
        <f t="shared" si="209"/>
        <v>0</v>
      </c>
      <c r="AQ482" s="281">
        <f t="shared" si="210"/>
        <v>0</v>
      </c>
      <c r="AR482" s="284">
        <f t="shared" si="211"/>
        <v>0</v>
      </c>
      <c r="AS482" s="281">
        <f t="shared" si="212"/>
        <v>0</v>
      </c>
      <c r="AT482" s="284">
        <f t="shared" si="213"/>
        <v>0</v>
      </c>
    </row>
    <row r="483" spans="1:46" s="114" customFormat="1" ht="30.9" x14ac:dyDescent="0.8">
      <c r="A483" s="262">
        <f>ROW()</f>
        <v>483</v>
      </c>
      <c r="C483" s="208"/>
      <c r="D483" s="208"/>
      <c r="E483" s="208"/>
      <c r="F483" s="208"/>
      <c r="G483" s="208"/>
      <c r="H483" s="208"/>
      <c r="J483" s="114" t="str">
        <f t="shared" si="221"/>
        <v/>
      </c>
      <c r="K483" s="114" t="str">
        <f>IF(COUNTBLANK(R483)&gt;0,"",CONCATENATE(R483," for ",N476))</f>
        <v/>
      </c>
      <c r="N483" s="123" t="s">
        <v>119</v>
      </c>
      <c r="O483" s="66"/>
      <c r="P483" s="121"/>
      <c r="Q483" s="66"/>
      <c r="R483" s="121"/>
      <c r="S483" s="133">
        <f>M476</f>
        <v>0</v>
      </c>
      <c r="T483" s="120"/>
      <c r="U483" s="121" t="s">
        <v>292</v>
      </c>
      <c r="V483" s="133">
        <f t="shared" si="214"/>
        <v>0</v>
      </c>
      <c r="W483" s="133">
        <f>VLOOKUP(U483,Sheet1!$B$6:$C$45,2,FALSE)*V483</f>
        <v>0</v>
      </c>
      <c r="X483" s="141"/>
      <c r="Y483" s="121" t="s">
        <v>292</v>
      </c>
      <c r="Z483" s="146">
        <f>VLOOKUP(Takeoffs!Y483,Sheet1!$B$6:$C$124,2,FALSE)</f>
        <v>0</v>
      </c>
      <c r="AA483" s="146">
        <f t="shared" si="215"/>
        <v>0</v>
      </c>
      <c r="AB483" s="143">
        <f t="shared" si="216"/>
        <v>0</v>
      </c>
      <c r="AC483" s="133">
        <f t="shared" si="217"/>
        <v>0</v>
      </c>
      <c r="AD483" s="142">
        <v>1</v>
      </c>
      <c r="AE483" s="141"/>
      <c r="AF483" s="121" t="s">
        <v>292</v>
      </c>
      <c r="AG483" s="146">
        <f>VLOOKUP(Takeoffs!AF483,Sheet1!$B$6:$C$124,2,FALSE)</f>
        <v>0</v>
      </c>
      <c r="AH483" s="146">
        <f t="shared" si="218"/>
        <v>0</v>
      </c>
      <c r="AI483" s="143">
        <f t="shared" si="219"/>
        <v>0</v>
      </c>
      <c r="AJ483" s="133">
        <f t="shared" si="220"/>
        <v>0</v>
      </c>
      <c r="AK483" s="142">
        <f t="shared" si="222"/>
        <v>0</v>
      </c>
      <c r="AL483" s="141"/>
      <c r="AO483" s="286"/>
      <c r="AP483" s="284">
        <f t="shared" si="209"/>
        <v>0</v>
      </c>
      <c r="AQ483" s="281">
        <f t="shared" si="210"/>
        <v>0</v>
      </c>
      <c r="AR483" s="284">
        <f t="shared" si="211"/>
        <v>0</v>
      </c>
      <c r="AS483" s="281">
        <f t="shared" si="212"/>
        <v>0</v>
      </c>
      <c r="AT483" s="284">
        <f t="shared" si="213"/>
        <v>0</v>
      </c>
    </row>
    <row r="484" spans="1:46" s="114" customFormat="1" ht="30.9" x14ac:dyDescent="0.8">
      <c r="A484" s="262">
        <f>ROW()</f>
        <v>484</v>
      </c>
      <c r="C484" s="208"/>
      <c r="D484" s="208"/>
      <c r="E484" s="208"/>
      <c r="F484" s="208"/>
      <c r="G484" s="208"/>
      <c r="H484" s="208"/>
      <c r="J484" s="114" t="str">
        <f t="shared" si="221"/>
        <v/>
      </c>
      <c r="K484" s="114" t="str">
        <f>IF(COUNTBLANK(R484)&gt;0,"",CONCATENATE(R484," for ",N476))</f>
        <v/>
      </c>
      <c r="N484" s="123" t="s">
        <v>120</v>
      </c>
      <c r="O484" s="66" t="s">
        <v>328</v>
      </c>
      <c r="P484" s="121"/>
      <c r="Q484" s="66"/>
      <c r="R484" s="121"/>
      <c r="S484" s="133">
        <f>M476</f>
        <v>0</v>
      </c>
      <c r="T484" s="120"/>
      <c r="U484" s="121" t="s">
        <v>292</v>
      </c>
      <c r="V484" s="133">
        <f t="shared" si="214"/>
        <v>0</v>
      </c>
      <c r="W484" s="133">
        <f>VLOOKUP(U484,Sheet1!$B$6:$C$45,2,FALSE)*V484</f>
        <v>0</v>
      </c>
      <c r="X484" s="141"/>
      <c r="Y484" s="121" t="s">
        <v>292</v>
      </c>
      <c r="Z484" s="146">
        <f>VLOOKUP(Takeoffs!Y484,Sheet1!$B$6:$C$124,2,FALSE)</f>
        <v>0</v>
      </c>
      <c r="AA484" s="146">
        <f t="shared" si="215"/>
        <v>0</v>
      </c>
      <c r="AB484" s="143">
        <f t="shared" si="216"/>
        <v>0</v>
      </c>
      <c r="AC484" s="133">
        <f t="shared" si="217"/>
        <v>0</v>
      </c>
      <c r="AD484" s="142">
        <v>1</v>
      </c>
      <c r="AE484" s="141"/>
      <c r="AF484" s="121" t="s">
        <v>292</v>
      </c>
      <c r="AG484" s="146">
        <f>VLOOKUP(Takeoffs!AF484,Sheet1!$B$6:$C$124,2,FALSE)</f>
        <v>0</v>
      </c>
      <c r="AH484" s="146">
        <f t="shared" si="218"/>
        <v>0</v>
      </c>
      <c r="AI484" s="143">
        <f t="shared" si="219"/>
        <v>0</v>
      </c>
      <c r="AJ484" s="133">
        <f t="shared" si="220"/>
        <v>0</v>
      </c>
      <c r="AK484" s="142">
        <f t="shared" si="222"/>
        <v>0</v>
      </c>
      <c r="AL484" s="141"/>
      <c r="AO484" s="286"/>
      <c r="AP484" s="284">
        <f t="shared" si="209"/>
        <v>0</v>
      </c>
      <c r="AQ484" s="281">
        <f t="shared" si="210"/>
        <v>0</v>
      </c>
      <c r="AR484" s="284">
        <f t="shared" si="211"/>
        <v>0</v>
      </c>
      <c r="AS484" s="281">
        <f t="shared" si="212"/>
        <v>0</v>
      </c>
      <c r="AT484" s="284">
        <f t="shared" si="213"/>
        <v>0</v>
      </c>
    </row>
    <row r="485" spans="1:46" s="114" customFormat="1" ht="30.9" x14ac:dyDescent="0.8">
      <c r="A485" s="262">
        <f>ROW()</f>
        <v>485</v>
      </c>
      <c r="C485" s="208"/>
      <c r="D485" s="208"/>
      <c r="E485" s="208"/>
      <c r="F485" s="208"/>
      <c r="G485" s="208"/>
      <c r="H485" s="208"/>
      <c r="J485" s="114" t="str">
        <f t="shared" si="221"/>
        <v/>
      </c>
      <c r="K485" s="114" t="str">
        <f>IF(COUNTBLANK(R485)&gt;0,"",CONCATENATE(R485," for ",N476))</f>
        <v/>
      </c>
      <c r="N485" s="123" t="s">
        <v>121</v>
      </c>
      <c r="O485" s="66"/>
      <c r="P485" s="121"/>
      <c r="Q485" s="66"/>
      <c r="R485" s="121"/>
      <c r="S485" s="133">
        <f>M476</f>
        <v>0</v>
      </c>
      <c r="T485" s="120"/>
      <c r="U485" s="121" t="s">
        <v>292</v>
      </c>
      <c r="V485" s="133">
        <f t="shared" si="214"/>
        <v>0</v>
      </c>
      <c r="W485" s="133">
        <f>VLOOKUP(U485,Sheet1!$B$6:$C$45,2,FALSE)*V485</f>
        <v>0</v>
      </c>
      <c r="X485" s="141"/>
      <c r="Y485" s="121" t="s">
        <v>292</v>
      </c>
      <c r="Z485" s="146">
        <f>VLOOKUP(Takeoffs!Y485,Sheet1!$B$6:$C$124,2,FALSE)</f>
        <v>0</v>
      </c>
      <c r="AA485" s="146">
        <f t="shared" si="215"/>
        <v>0</v>
      </c>
      <c r="AB485" s="143">
        <f t="shared" si="216"/>
        <v>0</v>
      </c>
      <c r="AC485" s="133">
        <f t="shared" si="217"/>
        <v>0</v>
      </c>
      <c r="AD485" s="142">
        <v>1</v>
      </c>
      <c r="AE485" s="141"/>
      <c r="AF485" s="121" t="s">
        <v>292</v>
      </c>
      <c r="AG485" s="146">
        <f>VLOOKUP(Takeoffs!AF485,Sheet1!$B$6:$C$124,2,FALSE)</f>
        <v>0</v>
      </c>
      <c r="AH485" s="146">
        <f t="shared" si="218"/>
        <v>0</v>
      </c>
      <c r="AI485" s="143">
        <f t="shared" si="219"/>
        <v>0</v>
      </c>
      <c r="AJ485" s="133">
        <f t="shared" si="220"/>
        <v>0</v>
      </c>
      <c r="AK485" s="142">
        <f t="shared" si="222"/>
        <v>0</v>
      </c>
      <c r="AL485" s="141"/>
      <c r="AO485" s="286"/>
      <c r="AP485" s="284">
        <f t="shared" si="209"/>
        <v>0</v>
      </c>
      <c r="AQ485" s="281">
        <f t="shared" si="210"/>
        <v>0</v>
      </c>
      <c r="AR485" s="284">
        <f t="shared" si="211"/>
        <v>0</v>
      </c>
      <c r="AS485" s="281">
        <f t="shared" si="212"/>
        <v>0</v>
      </c>
      <c r="AT485" s="284">
        <f t="shared" si="213"/>
        <v>0</v>
      </c>
    </row>
    <row r="486" spans="1:46" s="114" customFormat="1" ht="30.9" x14ac:dyDescent="0.8">
      <c r="A486" s="262">
        <f>ROW()</f>
        <v>486</v>
      </c>
      <c r="C486" s="208"/>
      <c r="D486" s="208"/>
      <c r="E486" s="208"/>
      <c r="F486" s="208"/>
      <c r="G486" s="208"/>
      <c r="H486" s="208"/>
      <c r="J486" s="114" t="str">
        <f t="shared" si="221"/>
        <v/>
      </c>
      <c r="K486" s="114" t="str">
        <f>IF(COUNTBLANK(R486)&gt;0,"",CONCATENATE(R486," for ",N476))</f>
        <v/>
      </c>
      <c r="N486" s="123" t="s">
        <v>122</v>
      </c>
      <c r="O486" s="66"/>
      <c r="P486" s="121"/>
      <c r="Q486" s="66"/>
      <c r="R486" s="121"/>
      <c r="S486" s="133">
        <f>M476</f>
        <v>0</v>
      </c>
      <c r="T486" s="120"/>
      <c r="U486" s="121" t="s">
        <v>292</v>
      </c>
      <c r="V486" s="133">
        <f t="shared" si="214"/>
        <v>0</v>
      </c>
      <c r="W486" s="133">
        <f>VLOOKUP(U486,Sheet1!$B$6:$C$45,2,FALSE)*V486</f>
        <v>0</v>
      </c>
      <c r="X486" s="141"/>
      <c r="Y486" s="121" t="s">
        <v>292</v>
      </c>
      <c r="Z486" s="146">
        <f>VLOOKUP(Takeoffs!Y486,Sheet1!$B$6:$C$124,2,FALSE)</f>
        <v>0</v>
      </c>
      <c r="AA486" s="146">
        <f t="shared" si="215"/>
        <v>0</v>
      </c>
      <c r="AB486" s="143">
        <f t="shared" si="216"/>
        <v>0</v>
      </c>
      <c r="AC486" s="133">
        <f t="shared" si="217"/>
        <v>0</v>
      </c>
      <c r="AD486" s="142">
        <v>1</v>
      </c>
      <c r="AE486" s="141"/>
      <c r="AF486" s="121" t="s">
        <v>292</v>
      </c>
      <c r="AG486" s="146">
        <f>VLOOKUP(Takeoffs!AF486,Sheet1!$B$6:$C$124,2,FALSE)</f>
        <v>0</v>
      </c>
      <c r="AH486" s="146">
        <f t="shared" si="218"/>
        <v>0</v>
      </c>
      <c r="AI486" s="143">
        <f t="shared" si="219"/>
        <v>0</v>
      </c>
      <c r="AJ486" s="133">
        <f t="shared" si="220"/>
        <v>0</v>
      </c>
      <c r="AK486" s="142">
        <f>T486</f>
        <v>0</v>
      </c>
      <c r="AL486" s="141"/>
      <c r="AO486" s="286"/>
      <c r="AP486" s="284">
        <f t="shared" si="209"/>
        <v>0</v>
      </c>
      <c r="AQ486" s="281">
        <f t="shared" si="210"/>
        <v>0</v>
      </c>
      <c r="AR486" s="284">
        <f t="shared" si="211"/>
        <v>0</v>
      </c>
      <c r="AS486" s="281">
        <f t="shared" si="212"/>
        <v>0</v>
      </c>
      <c r="AT486" s="284">
        <f t="shared" si="213"/>
        <v>0</v>
      </c>
    </row>
    <row r="487" spans="1:46" s="114" customFormat="1" ht="30.9" x14ac:dyDescent="0.8">
      <c r="A487" s="262">
        <f>ROW()</f>
        <v>487</v>
      </c>
      <c r="C487" s="208"/>
      <c r="D487" s="208"/>
      <c r="E487" s="208"/>
      <c r="F487" s="208"/>
      <c r="G487" s="208"/>
      <c r="H487" s="208"/>
      <c r="J487" s="114" t="str">
        <f t="shared" si="221"/>
        <v/>
      </c>
      <c r="K487" s="114" t="str">
        <f>IF(COUNTBLANK(R487)&gt;0,"",CONCATENATE(R487," for ",N476))</f>
        <v/>
      </c>
      <c r="N487" s="123" t="s">
        <v>123</v>
      </c>
      <c r="O487" s="66"/>
      <c r="P487" s="121"/>
      <c r="Q487" s="66"/>
      <c r="R487" s="121"/>
      <c r="S487" s="133">
        <f>M476</f>
        <v>0</v>
      </c>
      <c r="T487" s="120"/>
      <c r="U487" s="121" t="s">
        <v>292</v>
      </c>
      <c r="V487" s="133">
        <f t="shared" si="214"/>
        <v>0</v>
      </c>
      <c r="W487" s="133">
        <f>VLOOKUP(U487,Sheet1!$B$6:$C$45,2,FALSE)*V487</f>
        <v>0</v>
      </c>
      <c r="X487" s="141"/>
      <c r="Y487" s="121" t="s">
        <v>292</v>
      </c>
      <c r="Z487" s="146">
        <f>VLOOKUP(Takeoffs!Y487,Sheet1!$B$6:$C$124,2,FALSE)</f>
        <v>0</v>
      </c>
      <c r="AA487" s="146">
        <f t="shared" si="215"/>
        <v>0</v>
      </c>
      <c r="AB487" s="143">
        <f t="shared" si="216"/>
        <v>0</v>
      </c>
      <c r="AC487" s="133">
        <f t="shared" si="217"/>
        <v>0</v>
      </c>
      <c r="AD487" s="142">
        <v>1</v>
      </c>
      <c r="AE487" s="141"/>
      <c r="AF487" s="121" t="s">
        <v>292</v>
      </c>
      <c r="AG487" s="146">
        <f>VLOOKUP(Takeoffs!AF487,Sheet1!$B$6:$C$124,2,FALSE)</f>
        <v>0</v>
      </c>
      <c r="AH487" s="146">
        <f t="shared" si="218"/>
        <v>0</v>
      </c>
      <c r="AI487" s="143">
        <f t="shared" si="219"/>
        <v>0</v>
      </c>
      <c r="AJ487" s="133">
        <f t="shared" si="220"/>
        <v>0</v>
      </c>
      <c r="AK487" s="142">
        <v>0</v>
      </c>
      <c r="AL487" s="141"/>
      <c r="AO487" s="286"/>
      <c r="AP487" s="284">
        <f t="shared" si="209"/>
        <v>0</v>
      </c>
      <c r="AQ487" s="281">
        <f t="shared" si="210"/>
        <v>0</v>
      </c>
      <c r="AR487" s="284">
        <f t="shared" si="211"/>
        <v>0</v>
      </c>
      <c r="AS487" s="281">
        <f t="shared" si="212"/>
        <v>0</v>
      </c>
      <c r="AT487" s="284">
        <f t="shared" si="213"/>
        <v>0</v>
      </c>
    </row>
    <row r="488" spans="1:46" s="114" customFormat="1" ht="30.9" x14ac:dyDescent="0.8">
      <c r="A488" s="262">
        <f>ROW()</f>
        <v>488</v>
      </c>
      <c r="C488" s="208"/>
      <c r="D488" s="208"/>
      <c r="E488" s="208"/>
      <c r="F488" s="208"/>
      <c r="G488" s="208"/>
      <c r="H488" s="208"/>
      <c r="J488" s="114" t="str">
        <f t="shared" si="221"/>
        <v/>
      </c>
      <c r="K488" s="114" t="str">
        <f>IF(COUNTBLANK(R488)&gt;0,"",CONCATENATE(R488," for ",N476))</f>
        <v/>
      </c>
      <c r="N488" s="123" t="s">
        <v>124</v>
      </c>
      <c r="O488" s="66" t="s">
        <v>140</v>
      </c>
      <c r="P488" s="121"/>
      <c r="Q488" s="66"/>
      <c r="R488" s="121"/>
      <c r="S488" s="133">
        <f>M476</f>
        <v>0</v>
      </c>
      <c r="T488" s="120"/>
      <c r="U488" s="121" t="s">
        <v>292</v>
      </c>
      <c r="V488" s="133">
        <f t="shared" si="214"/>
        <v>0</v>
      </c>
      <c r="W488" s="133">
        <f>VLOOKUP(U488,Sheet1!$B$6:$C$45,2,FALSE)*V488</f>
        <v>0</v>
      </c>
      <c r="X488" s="141"/>
      <c r="Y488" s="121" t="s">
        <v>292</v>
      </c>
      <c r="Z488" s="146">
        <f>VLOOKUP(Takeoffs!Y488,Sheet1!$B$6:$C$124,2,FALSE)</f>
        <v>0</v>
      </c>
      <c r="AA488" s="146">
        <f t="shared" si="215"/>
        <v>0</v>
      </c>
      <c r="AB488" s="143">
        <f t="shared" si="216"/>
        <v>0</v>
      </c>
      <c r="AC488" s="133">
        <f t="shared" si="217"/>
        <v>0</v>
      </c>
      <c r="AD488" s="142">
        <v>1</v>
      </c>
      <c r="AE488" s="141"/>
      <c r="AF488" s="152" t="s">
        <v>418</v>
      </c>
      <c r="AG488" s="146">
        <f>VLOOKUP(Takeoffs!AF488,Sheet1!$B$6:$C$124,2,FALSE)</f>
        <v>0.33600000000000002</v>
      </c>
      <c r="AH488" s="146">
        <f t="shared" si="218"/>
        <v>0</v>
      </c>
      <c r="AI488" s="143">
        <f t="shared" si="219"/>
        <v>0</v>
      </c>
      <c r="AJ488" s="133">
        <f t="shared" si="220"/>
        <v>0</v>
      </c>
      <c r="AK488" s="142">
        <v>1</v>
      </c>
      <c r="AL488" s="141"/>
      <c r="AO488" s="286"/>
      <c r="AP488" s="284">
        <f t="shared" si="209"/>
        <v>0</v>
      </c>
      <c r="AQ488" s="281">
        <f t="shared" si="210"/>
        <v>0</v>
      </c>
      <c r="AR488" s="284">
        <f t="shared" si="211"/>
        <v>0</v>
      </c>
      <c r="AS488" s="281">
        <f t="shared" si="212"/>
        <v>0</v>
      </c>
      <c r="AT488" s="284">
        <f t="shared" si="213"/>
        <v>0</v>
      </c>
    </row>
    <row r="489" spans="1:46" s="114" customFormat="1" ht="30.9" x14ac:dyDescent="0.8">
      <c r="A489" s="262">
        <f>ROW()</f>
        <v>489</v>
      </c>
      <c r="C489" s="208"/>
      <c r="D489" s="208"/>
      <c r="E489" s="208"/>
      <c r="F489" s="208"/>
      <c r="G489" s="208"/>
      <c r="H489" s="208"/>
      <c r="J489" s="114" t="str">
        <f t="shared" si="221"/>
        <v/>
      </c>
      <c r="K489" s="114" t="str">
        <f>IF(COUNTBLANK(R489)&gt;0,"",CONCATENATE(R489," for ",N476))</f>
        <v/>
      </c>
      <c r="N489" s="123" t="s">
        <v>125</v>
      </c>
      <c r="O489" s="66" t="s">
        <v>312</v>
      </c>
      <c r="P489" s="121"/>
      <c r="Q489" s="66"/>
      <c r="R489" s="121"/>
      <c r="S489" s="133">
        <f>M476</f>
        <v>0</v>
      </c>
      <c r="T489" s="120"/>
      <c r="U489" s="121" t="s">
        <v>232</v>
      </c>
      <c r="V489" s="133">
        <f t="shared" si="214"/>
        <v>0</v>
      </c>
      <c r="W489" s="133">
        <f>VLOOKUP(U489,Sheet1!$B$6:$C$45,2,FALSE)*V489</f>
        <v>0</v>
      </c>
      <c r="X489" s="141"/>
      <c r="Y489" s="135" t="s">
        <v>422</v>
      </c>
      <c r="Z489" s="146">
        <f>VLOOKUP(Takeoffs!Y489,Sheet1!$B$6:$C$124,2,FALSE)</f>
        <v>23.4</v>
      </c>
      <c r="AA489" s="146">
        <f t="shared" si="215"/>
        <v>0</v>
      </c>
      <c r="AB489" s="143">
        <f t="shared" si="216"/>
        <v>0</v>
      </c>
      <c r="AC489" s="133">
        <f t="shared" si="217"/>
        <v>0</v>
      </c>
      <c r="AD489" s="142">
        <v>1</v>
      </c>
      <c r="AE489" s="141"/>
      <c r="AF489" s="121" t="s">
        <v>292</v>
      </c>
      <c r="AG489" s="146">
        <f>VLOOKUP(Takeoffs!AF489,Sheet1!$B$6:$C$124,2,FALSE)</f>
        <v>0</v>
      </c>
      <c r="AH489" s="146">
        <f t="shared" si="218"/>
        <v>0</v>
      </c>
      <c r="AI489" s="143">
        <f t="shared" si="219"/>
        <v>0</v>
      </c>
      <c r="AJ489" s="133">
        <f t="shared" si="220"/>
        <v>0</v>
      </c>
      <c r="AK489" s="142">
        <f t="shared" ref="AK489:AK496" si="223">T489</f>
        <v>0</v>
      </c>
      <c r="AL489" s="141"/>
      <c r="AO489" s="286"/>
      <c r="AP489" s="284">
        <f t="shared" si="209"/>
        <v>0</v>
      </c>
      <c r="AQ489" s="281">
        <f t="shared" si="210"/>
        <v>0</v>
      </c>
      <c r="AR489" s="284">
        <f t="shared" si="211"/>
        <v>0</v>
      </c>
      <c r="AS489" s="281">
        <f t="shared" si="212"/>
        <v>0</v>
      </c>
      <c r="AT489" s="284">
        <f t="shared" si="213"/>
        <v>0</v>
      </c>
    </row>
    <row r="490" spans="1:46" s="114" customFormat="1" ht="30.9" x14ac:dyDescent="0.8">
      <c r="A490" s="262">
        <f>ROW()</f>
        <v>490</v>
      </c>
      <c r="C490" s="208"/>
      <c r="D490" s="208"/>
      <c r="E490" s="208"/>
      <c r="F490" s="208"/>
      <c r="G490" s="208"/>
      <c r="H490" s="208"/>
      <c r="J490" s="114" t="str">
        <f t="shared" si="221"/>
        <v/>
      </c>
      <c r="K490" s="114" t="str">
        <f>IF(COUNTBLANK(R490)&gt;0,"",CONCATENATE(R490," for ",N476))</f>
        <v/>
      </c>
      <c r="N490" s="123" t="s">
        <v>126</v>
      </c>
      <c r="O490" s="66" t="s">
        <v>696</v>
      </c>
      <c r="P490" s="121"/>
      <c r="Q490" s="66"/>
      <c r="R490" s="121"/>
      <c r="S490" s="133">
        <f>M476</f>
        <v>0</v>
      </c>
      <c r="T490" s="120"/>
      <c r="U490" s="121" t="s">
        <v>292</v>
      </c>
      <c r="V490" s="133">
        <f t="shared" si="214"/>
        <v>0</v>
      </c>
      <c r="W490" s="133">
        <f>VLOOKUP(U490,Sheet1!$B$6:$C$45,2,FALSE)*V490</f>
        <v>0</v>
      </c>
      <c r="X490" s="141"/>
      <c r="Y490" s="121" t="s">
        <v>292</v>
      </c>
      <c r="Z490" s="146">
        <f>VLOOKUP(Takeoffs!Y490,Sheet1!$B$6:$C$124,2,FALSE)</f>
        <v>0</v>
      </c>
      <c r="AA490" s="146">
        <f t="shared" si="215"/>
        <v>0</v>
      </c>
      <c r="AB490" s="143">
        <f t="shared" si="216"/>
        <v>0</v>
      </c>
      <c r="AC490" s="133">
        <f t="shared" si="217"/>
        <v>0</v>
      </c>
      <c r="AD490" s="142">
        <v>1</v>
      </c>
      <c r="AE490" s="141"/>
      <c r="AF490" s="121" t="s">
        <v>292</v>
      </c>
      <c r="AG490" s="146">
        <f>VLOOKUP(Takeoffs!AF490,Sheet1!$B$6:$C$124,2,FALSE)</f>
        <v>0</v>
      </c>
      <c r="AH490" s="146">
        <f t="shared" si="218"/>
        <v>0</v>
      </c>
      <c r="AI490" s="143">
        <f t="shared" si="219"/>
        <v>0</v>
      </c>
      <c r="AJ490" s="133">
        <f t="shared" si="220"/>
        <v>0</v>
      </c>
      <c r="AK490" s="142">
        <f t="shared" si="223"/>
        <v>0</v>
      </c>
      <c r="AL490" s="141"/>
      <c r="AO490" s="286"/>
      <c r="AP490" s="284">
        <f t="shared" si="209"/>
        <v>0</v>
      </c>
      <c r="AQ490" s="281">
        <f t="shared" si="210"/>
        <v>0</v>
      </c>
      <c r="AR490" s="284">
        <f t="shared" si="211"/>
        <v>0</v>
      </c>
      <c r="AS490" s="281">
        <f t="shared" si="212"/>
        <v>0</v>
      </c>
      <c r="AT490" s="284">
        <f t="shared" si="213"/>
        <v>0</v>
      </c>
    </row>
    <row r="491" spans="1:46" s="114" customFormat="1" ht="30.9" x14ac:dyDescent="0.8">
      <c r="A491" s="262">
        <f>ROW()</f>
        <v>491</v>
      </c>
      <c r="C491" s="208"/>
      <c r="D491" s="208"/>
      <c r="E491" s="208"/>
      <c r="F491" s="208"/>
      <c r="G491" s="208"/>
      <c r="H491" s="208"/>
      <c r="J491" s="114" t="str">
        <f t="shared" si="221"/>
        <v/>
      </c>
      <c r="K491" s="114" t="str">
        <f>IF(COUNTBLANK(R491)&gt;0,"",CONCATENATE(R491," for ",N476))</f>
        <v>run and fault lights for DOL fan with current switch interlock to other circuit- from local power supply</v>
      </c>
      <c r="N491" s="123" t="s">
        <v>127</v>
      </c>
      <c r="O491" s="66"/>
      <c r="P491" s="121"/>
      <c r="Q491" s="66"/>
      <c r="R491" s="121" t="s">
        <v>331</v>
      </c>
      <c r="S491" s="133">
        <f>M476</f>
        <v>0</v>
      </c>
      <c r="T491" s="120"/>
      <c r="U491" s="121" t="s">
        <v>292</v>
      </c>
      <c r="V491" s="133">
        <f t="shared" si="214"/>
        <v>0</v>
      </c>
      <c r="W491" s="133">
        <f>VLOOKUP(U491,Sheet1!$B$6:$C$45,2,FALSE)*V491</f>
        <v>0</v>
      </c>
      <c r="X491" s="141"/>
      <c r="Y491" s="121" t="s">
        <v>292</v>
      </c>
      <c r="Z491" s="146">
        <f>VLOOKUP(Takeoffs!Y491,Sheet1!$B$6:$C$124,2,FALSE)</f>
        <v>0</v>
      </c>
      <c r="AA491" s="146">
        <f t="shared" si="215"/>
        <v>0</v>
      </c>
      <c r="AB491" s="143">
        <f t="shared" si="216"/>
        <v>0</v>
      </c>
      <c r="AC491" s="133">
        <f t="shared" si="217"/>
        <v>0</v>
      </c>
      <c r="AD491" s="142">
        <v>2</v>
      </c>
      <c r="AE491" s="141"/>
      <c r="AF491" s="121" t="s">
        <v>292</v>
      </c>
      <c r="AG491" s="146">
        <f>VLOOKUP(Takeoffs!AF491,Sheet1!$B$6:$C$124,2,FALSE)</f>
        <v>0</v>
      </c>
      <c r="AH491" s="146">
        <f t="shared" si="218"/>
        <v>0</v>
      </c>
      <c r="AI491" s="143">
        <f t="shared" si="219"/>
        <v>0</v>
      </c>
      <c r="AJ491" s="133">
        <f t="shared" si="220"/>
        <v>0</v>
      </c>
      <c r="AK491" s="142">
        <f t="shared" si="223"/>
        <v>0</v>
      </c>
      <c r="AL491" s="141"/>
      <c r="AO491" s="286"/>
      <c r="AP491" s="284">
        <f t="shared" si="209"/>
        <v>0</v>
      </c>
      <c r="AQ491" s="281">
        <f t="shared" si="210"/>
        <v>0</v>
      </c>
      <c r="AR491" s="284">
        <f t="shared" si="211"/>
        <v>0</v>
      </c>
      <c r="AS491" s="281">
        <f t="shared" si="212"/>
        <v>0</v>
      </c>
      <c r="AT491" s="284">
        <f t="shared" si="213"/>
        <v>0</v>
      </c>
    </row>
    <row r="492" spans="1:46" s="114" customFormat="1" ht="30.9" x14ac:dyDescent="0.8">
      <c r="A492" s="262">
        <f>ROW()</f>
        <v>492</v>
      </c>
      <c r="C492" s="208"/>
      <c r="D492" s="208"/>
      <c r="E492" s="208"/>
      <c r="F492" s="208"/>
      <c r="G492" s="208"/>
      <c r="H492" s="208"/>
      <c r="J492" s="114" t="str">
        <f t="shared" si="221"/>
        <v/>
      </c>
      <c r="K492" s="114" t="str">
        <f>IF(COUNTBLANK(R492)&gt;0,"",CONCATENATE(R492," for ",N476))</f>
        <v/>
      </c>
      <c r="N492" s="123" t="s">
        <v>128</v>
      </c>
      <c r="O492" s="66"/>
      <c r="P492" s="121"/>
      <c r="Q492" s="66"/>
      <c r="R492" s="121"/>
      <c r="S492" s="133">
        <f>M476</f>
        <v>0</v>
      </c>
      <c r="T492" s="120"/>
      <c r="U492" s="121" t="s">
        <v>292</v>
      </c>
      <c r="V492" s="133">
        <f t="shared" si="214"/>
        <v>0</v>
      </c>
      <c r="W492" s="133">
        <f>VLOOKUP(U492,Sheet1!$B$6:$C$45,2,FALSE)*V492</f>
        <v>0</v>
      </c>
      <c r="X492" s="141"/>
      <c r="Y492" s="135" t="s">
        <v>697</v>
      </c>
      <c r="Z492" s="146">
        <f>VLOOKUP(Takeoffs!Y492,Sheet1!$B$6:$C$124,2,FALSE)</f>
        <v>29.04</v>
      </c>
      <c r="AA492" s="146">
        <f t="shared" si="215"/>
        <v>0</v>
      </c>
      <c r="AB492" s="143">
        <f t="shared" si="216"/>
        <v>0</v>
      </c>
      <c r="AC492" s="133">
        <f t="shared" si="217"/>
        <v>0</v>
      </c>
      <c r="AD492" s="142">
        <v>1</v>
      </c>
      <c r="AE492" s="141"/>
      <c r="AF492" s="121" t="s">
        <v>292</v>
      </c>
      <c r="AG492" s="146">
        <f>VLOOKUP(Takeoffs!AF492,Sheet1!$B$6:$C$124,2,FALSE)</f>
        <v>0</v>
      </c>
      <c r="AH492" s="146">
        <f t="shared" si="218"/>
        <v>0</v>
      </c>
      <c r="AI492" s="143">
        <f t="shared" si="219"/>
        <v>0</v>
      </c>
      <c r="AJ492" s="133">
        <f t="shared" si="220"/>
        <v>0</v>
      </c>
      <c r="AK492" s="142">
        <f t="shared" si="223"/>
        <v>0</v>
      </c>
      <c r="AL492" s="141"/>
      <c r="AO492" s="286"/>
      <c r="AP492" s="284">
        <f t="shared" si="209"/>
        <v>0</v>
      </c>
      <c r="AQ492" s="281">
        <f t="shared" si="210"/>
        <v>0</v>
      </c>
      <c r="AR492" s="284">
        <f t="shared" si="211"/>
        <v>0</v>
      </c>
      <c r="AS492" s="281">
        <f t="shared" si="212"/>
        <v>0</v>
      </c>
      <c r="AT492" s="284">
        <f t="shared" si="213"/>
        <v>0</v>
      </c>
    </row>
    <row r="493" spans="1:46" s="114" customFormat="1" ht="30.9" x14ac:dyDescent="0.8">
      <c r="A493" s="262">
        <f>ROW()</f>
        <v>493</v>
      </c>
      <c r="C493" s="208"/>
      <c r="D493" s="208"/>
      <c r="E493" s="208"/>
      <c r="F493" s="208"/>
      <c r="G493" s="208"/>
      <c r="H493" s="208"/>
      <c r="J493" s="114" t="str">
        <f t="shared" si="221"/>
        <v/>
      </c>
      <c r="K493" s="114" t="str">
        <f>IF(COUNTBLANK(R493)&gt;0,"",CONCATENATE(R493," for ",N476))</f>
        <v>Auto/Off/On switch for DOL fan with current switch interlock to other circuit- from local power supply</v>
      </c>
      <c r="N493" s="123" t="s">
        <v>129</v>
      </c>
      <c r="O493" s="66"/>
      <c r="P493" s="121"/>
      <c r="Q493" s="66"/>
      <c r="R493" s="121" t="s">
        <v>304</v>
      </c>
      <c r="S493" s="133">
        <f>M476</f>
        <v>0</v>
      </c>
      <c r="T493" s="120"/>
      <c r="U493" s="121" t="s">
        <v>292</v>
      </c>
      <c r="V493" s="133">
        <f t="shared" si="214"/>
        <v>0</v>
      </c>
      <c r="W493" s="133">
        <f>VLOOKUP(U493,Sheet1!$B$6:$C$45,2,FALSE)*V493</f>
        <v>0</v>
      </c>
      <c r="X493" s="141"/>
      <c r="Y493" s="121" t="s">
        <v>292</v>
      </c>
      <c r="Z493" s="146">
        <f>VLOOKUP(Takeoffs!Y493,Sheet1!$B$6:$C$124,2,FALSE)</f>
        <v>0</v>
      </c>
      <c r="AA493" s="146">
        <f t="shared" si="215"/>
        <v>0</v>
      </c>
      <c r="AB493" s="143">
        <f t="shared" si="216"/>
        <v>0</v>
      </c>
      <c r="AC493" s="133">
        <f t="shared" si="217"/>
        <v>0</v>
      </c>
      <c r="AD493" s="142">
        <v>1</v>
      </c>
      <c r="AE493" s="141"/>
      <c r="AF493" s="121" t="s">
        <v>292</v>
      </c>
      <c r="AG493" s="146">
        <f>VLOOKUP(Takeoffs!AF493,Sheet1!$B$6:$C$124,2,FALSE)</f>
        <v>0</v>
      </c>
      <c r="AH493" s="146">
        <f t="shared" si="218"/>
        <v>0</v>
      </c>
      <c r="AI493" s="143">
        <f t="shared" si="219"/>
        <v>0</v>
      </c>
      <c r="AJ493" s="133">
        <f t="shared" si="220"/>
        <v>0</v>
      </c>
      <c r="AK493" s="142">
        <f t="shared" si="223"/>
        <v>0</v>
      </c>
      <c r="AL493" s="141"/>
      <c r="AO493" s="286"/>
      <c r="AP493" s="284">
        <f t="shared" si="209"/>
        <v>0</v>
      </c>
      <c r="AQ493" s="281">
        <f t="shared" si="210"/>
        <v>0</v>
      </c>
      <c r="AR493" s="284">
        <f t="shared" si="211"/>
        <v>0</v>
      </c>
      <c r="AS493" s="281">
        <f t="shared" si="212"/>
        <v>0</v>
      </c>
      <c r="AT493" s="284">
        <f t="shared" si="213"/>
        <v>0</v>
      </c>
    </row>
    <row r="494" spans="1:46" s="114" customFormat="1" ht="30.9" x14ac:dyDescent="0.8">
      <c r="A494" s="262">
        <f>ROW()</f>
        <v>494</v>
      </c>
      <c r="C494" s="208"/>
      <c r="D494" s="208"/>
      <c r="E494" s="208"/>
      <c r="F494" s="208"/>
      <c r="G494" s="208"/>
      <c r="H494" s="208"/>
      <c r="J494" s="114" t="str">
        <f t="shared" si="221"/>
        <v/>
      </c>
      <c r="K494" s="114" t="str">
        <f>IF(COUNTBLANK(R494)&gt;0,"",CONCATENATE(R494," for ",N476))</f>
        <v/>
      </c>
      <c r="N494" s="123" t="s">
        <v>130</v>
      </c>
      <c r="O494" s="66" t="s">
        <v>338</v>
      </c>
      <c r="P494" s="121"/>
      <c r="Q494" s="66"/>
      <c r="R494" s="121"/>
      <c r="S494" s="133">
        <f>M476</f>
        <v>0</v>
      </c>
      <c r="T494" s="120"/>
      <c r="U494" s="121" t="s">
        <v>292</v>
      </c>
      <c r="V494" s="133">
        <f t="shared" si="214"/>
        <v>0</v>
      </c>
      <c r="W494" s="133">
        <f>VLOOKUP(U494,Sheet1!$B$6:$C$45,2,FALSE)*V494</f>
        <v>0</v>
      </c>
      <c r="X494" s="141"/>
      <c r="Y494" s="122" t="s">
        <v>333</v>
      </c>
      <c r="Z494" s="146">
        <f>VLOOKUP(Takeoffs!Y494,Sheet1!$B$6:$C$124,2,FALSE)</f>
        <v>60</v>
      </c>
      <c r="AA494" s="146">
        <f t="shared" si="215"/>
        <v>0</v>
      </c>
      <c r="AB494" s="143">
        <f t="shared" si="216"/>
        <v>0</v>
      </c>
      <c r="AC494" s="133">
        <f t="shared" si="217"/>
        <v>0</v>
      </c>
      <c r="AD494" s="142">
        <v>1</v>
      </c>
      <c r="AE494" s="141"/>
      <c r="AF494" s="121" t="s">
        <v>292</v>
      </c>
      <c r="AG494" s="146">
        <f>VLOOKUP(Takeoffs!AF494,Sheet1!$B$6:$C$124,2,FALSE)</f>
        <v>0</v>
      </c>
      <c r="AH494" s="146">
        <f t="shared" si="218"/>
        <v>0</v>
      </c>
      <c r="AI494" s="143">
        <f t="shared" si="219"/>
        <v>0</v>
      </c>
      <c r="AJ494" s="133">
        <f t="shared" si="220"/>
        <v>0</v>
      </c>
      <c r="AK494" s="142">
        <f t="shared" si="223"/>
        <v>0</v>
      </c>
      <c r="AL494" s="141"/>
      <c r="AO494" s="286"/>
      <c r="AP494" s="284">
        <f t="shared" si="209"/>
        <v>0</v>
      </c>
      <c r="AQ494" s="281">
        <f t="shared" si="210"/>
        <v>0</v>
      </c>
      <c r="AR494" s="284">
        <f t="shared" si="211"/>
        <v>0</v>
      </c>
      <c r="AS494" s="281">
        <f t="shared" si="212"/>
        <v>0</v>
      </c>
      <c r="AT494" s="284">
        <f t="shared" si="213"/>
        <v>0</v>
      </c>
    </row>
    <row r="495" spans="1:46" s="114" customFormat="1" ht="30.9" x14ac:dyDescent="0.8">
      <c r="A495" s="262">
        <f>ROW()</f>
        <v>495</v>
      </c>
      <c r="C495" s="208"/>
      <c r="D495" s="208"/>
      <c r="E495" s="208"/>
      <c r="F495" s="208"/>
      <c r="G495" s="208"/>
      <c r="H495" s="208"/>
      <c r="J495" s="114" t="str">
        <f t="shared" si="221"/>
        <v/>
      </c>
      <c r="K495" s="114" t="str">
        <f>IF(COUNTBLANK(R495)&gt;0,"",CONCATENATE(R495," for ",N476))</f>
        <v/>
      </c>
      <c r="N495" s="123" t="s">
        <v>131</v>
      </c>
      <c r="O495" s="66"/>
      <c r="P495" s="121"/>
      <c r="Q495" s="66"/>
      <c r="R495" s="121"/>
      <c r="S495" s="133">
        <f>M476</f>
        <v>0</v>
      </c>
      <c r="T495" s="120"/>
      <c r="U495" s="121" t="s">
        <v>292</v>
      </c>
      <c r="V495" s="133">
        <f t="shared" si="214"/>
        <v>0</v>
      </c>
      <c r="W495" s="133">
        <f>VLOOKUP(U495,Sheet1!$B$6:$C$45,2,FALSE)*V495</f>
        <v>0</v>
      </c>
      <c r="X495" s="141"/>
      <c r="Y495" s="121" t="s">
        <v>292</v>
      </c>
      <c r="Z495" s="146">
        <f>VLOOKUP(Takeoffs!Y495,Sheet1!$B$6:$C$124,2,FALSE)</f>
        <v>0</v>
      </c>
      <c r="AA495" s="146">
        <f t="shared" si="215"/>
        <v>0</v>
      </c>
      <c r="AB495" s="143">
        <f t="shared" si="216"/>
        <v>0</v>
      </c>
      <c r="AC495" s="133">
        <f t="shared" si="217"/>
        <v>0</v>
      </c>
      <c r="AD495" s="142">
        <v>1</v>
      </c>
      <c r="AE495" s="141"/>
      <c r="AF495" s="121" t="s">
        <v>292</v>
      </c>
      <c r="AG495" s="146">
        <f>VLOOKUP(Takeoffs!AF495,Sheet1!$B$6:$C$124,2,FALSE)</f>
        <v>0</v>
      </c>
      <c r="AH495" s="146">
        <f t="shared" si="218"/>
        <v>0</v>
      </c>
      <c r="AI495" s="143">
        <f t="shared" si="219"/>
        <v>0</v>
      </c>
      <c r="AJ495" s="133">
        <f t="shared" si="220"/>
        <v>0</v>
      </c>
      <c r="AK495" s="142">
        <f t="shared" si="223"/>
        <v>0</v>
      </c>
      <c r="AL495" s="141"/>
      <c r="AO495" s="286"/>
      <c r="AP495" s="284">
        <f t="shared" si="209"/>
        <v>0</v>
      </c>
      <c r="AQ495" s="281">
        <f t="shared" si="210"/>
        <v>0</v>
      </c>
      <c r="AR495" s="284">
        <f t="shared" si="211"/>
        <v>0</v>
      </c>
      <c r="AS495" s="281">
        <f t="shared" si="212"/>
        <v>0</v>
      </c>
      <c r="AT495" s="284">
        <f t="shared" si="213"/>
        <v>0</v>
      </c>
    </row>
    <row r="496" spans="1:46" s="114" customFormat="1" ht="30.9" x14ac:dyDescent="0.8">
      <c r="A496" s="262">
        <f>ROW()</f>
        <v>496</v>
      </c>
      <c r="C496" s="208"/>
      <c r="D496" s="208"/>
      <c r="E496" s="208"/>
      <c r="F496" s="208"/>
      <c r="G496" s="208"/>
      <c r="H496" s="208"/>
      <c r="J496" s="114" t="str">
        <f t="shared" si="221"/>
        <v/>
      </c>
      <c r="K496" s="114" t="str">
        <f>IF(COUNTBLANK(R496)&gt;0,"",CONCATENATE(R496," for ",N476))</f>
        <v/>
      </c>
      <c r="N496" s="123" t="s">
        <v>132</v>
      </c>
      <c r="O496" s="66" t="s">
        <v>408</v>
      </c>
      <c r="P496" s="121"/>
      <c r="Q496" s="66"/>
      <c r="R496" s="121"/>
      <c r="S496" s="133">
        <f>M476</f>
        <v>0</v>
      </c>
      <c r="T496" s="120"/>
      <c r="U496" s="121" t="s">
        <v>292</v>
      </c>
      <c r="V496" s="133">
        <f t="shared" si="214"/>
        <v>0</v>
      </c>
      <c r="W496" s="133">
        <f>VLOOKUP(U496,Sheet1!$B$6:$C$45,2,FALSE)*V496</f>
        <v>0</v>
      </c>
      <c r="X496" s="141"/>
      <c r="Y496" s="121" t="s">
        <v>292</v>
      </c>
      <c r="Z496" s="146">
        <f>VLOOKUP(Takeoffs!Y496,Sheet1!$B$6:$C$124,2,FALSE)</f>
        <v>0</v>
      </c>
      <c r="AA496" s="146">
        <f t="shared" si="215"/>
        <v>0</v>
      </c>
      <c r="AB496" s="143">
        <f t="shared" si="216"/>
        <v>0</v>
      </c>
      <c r="AC496" s="133">
        <f t="shared" si="217"/>
        <v>0</v>
      </c>
      <c r="AD496" s="142">
        <v>1</v>
      </c>
      <c r="AE496" s="141"/>
      <c r="AF496" s="121" t="s">
        <v>292</v>
      </c>
      <c r="AG496" s="146">
        <f>VLOOKUP(Takeoffs!AF496,Sheet1!$B$6:$C$124,2,FALSE)</f>
        <v>0</v>
      </c>
      <c r="AH496" s="146">
        <f t="shared" si="218"/>
        <v>0</v>
      </c>
      <c r="AI496" s="143">
        <f t="shared" si="219"/>
        <v>0</v>
      </c>
      <c r="AJ496" s="133">
        <f t="shared" si="220"/>
        <v>0</v>
      </c>
      <c r="AK496" s="142">
        <f t="shared" si="223"/>
        <v>0</v>
      </c>
      <c r="AL496" s="141"/>
      <c r="AO496" s="286"/>
      <c r="AP496" s="284">
        <f t="shared" si="209"/>
        <v>0</v>
      </c>
      <c r="AQ496" s="281">
        <f t="shared" si="210"/>
        <v>0</v>
      </c>
      <c r="AR496" s="284">
        <f t="shared" si="211"/>
        <v>0</v>
      </c>
      <c r="AS496" s="281">
        <f t="shared" si="212"/>
        <v>0</v>
      </c>
      <c r="AT496" s="284">
        <f t="shared" si="213"/>
        <v>0</v>
      </c>
    </row>
    <row r="497" spans="1:97" s="128" customFormat="1" ht="31.5" customHeight="1" x14ac:dyDescent="0.8">
      <c r="A497" s="262">
        <f>ROW()</f>
        <v>497</v>
      </c>
      <c r="C497" s="212"/>
      <c r="D497" s="212"/>
      <c r="E497" s="212"/>
      <c r="F497" s="212"/>
      <c r="G497" s="212"/>
      <c r="H497" s="212"/>
      <c r="J497" s="128" t="s">
        <v>377</v>
      </c>
      <c r="L497" s="128" t="s">
        <v>378</v>
      </c>
      <c r="N497" s="129"/>
      <c r="O497" s="130" t="s">
        <v>357</v>
      </c>
      <c r="P497" s="131">
        <f>V497+AA497+AH497</f>
        <v>0</v>
      </c>
      <c r="Q497" s="131"/>
      <c r="R497" s="131"/>
      <c r="S497" s="130"/>
      <c r="T497" s="127"/>
      <c r="U497" s="126" t="s">
        <v>351</v>
      </c>
      <c r="V497" s="127">
        <f>W497*80</f>
        <v>0</v>
      </c>
      <c r="W497" s="147">
        <f>SUM(W476:W496)</f>
        <v>0</v>
      </c>
      <c r="X497" s="148"/>
      <c r="Y497" s="127" t="s">
        <v>352</v>
      </c>
      <c r="Z497" s="116"/>
      <c r="AA497" s="116">
        <f>SUM(AA476:AA496)</f>
        <v>0</v>
      </c>
      <c r="AB497" s="149"/>
      <c r="AC497" s="149"/>
      <c r="AD497" s="149"/>
      <c r="AE497" s="149"/>
      <c r="AF497" s="127" t="s">
        <v>356</v>
      </c>
      <c r="AG497" s="116"/>
      <c r="AH497" s="116">
        <f>SUM(AH476:AH496)</f>
        <v>0</v>
      </c>
      <c r="AI497" s="149"/>
      <c r="AJ497" s="149"/>
      <c r="AK497" s="149"/>
      <c r="AL497" s="149"/>
      <c r="AM497" s="150">
        <f>P497</f>
        <v>0</v>
      </c>
      <c r="AO497" s="286"/>
      <c r="AP497" s="284">
        <f t="shared" si="209"/>
        <v>0</v>
      </c>
      <c r="AQ497" s="281">
        <f t="shared" si="210"/>
        <v>0</v>
      </c>
      <c r="AR497" s="284">
        <f t="shared" si="211"/>
        <v>0</v>
      </c>
      <c r="AS497" s="281">
        <f t="shared" si="212"/>
        <v>0</v>
      </c>
      <c r="AT497" s="284">
        <f t="shared" si="213"/>
        <v>0</v>
      </c>
    </row>
    <row r="498" spans="1:97" s="234" customFormat="1" ht="154.30000000000001" x14ac:dyDescent="0.8">
      <c r="A498" s="262">
        <f>ROW()</f>
        <v>498</v>
      </c>
      <c r="B498" s="234" t="s">
        <v>491</v>
      </c>
      <c r="C498" s="217" t="str">
        <f>N476</f>
        <v>DOL fan with current switch interlock to other circuit- from local power supply</v>
      </c>
      <c r="D498" s="260" t="str">
        <f>IF(B498="Shopping List",IF(ISNUMBER(SEARCH("MSSB",C498)),"MSSB",IF(ISNUMBER(SEARCH("local",C498)),"LOCAL","")))</f>
        <v>LOCAL</v>
      </c>
      <c r="E498" s="238"/>
      <c r="F498" s="217"/>
      <c r="G498" s="217"/>
      <c r="H498" s="245"/>
      <c r="I498" s="270">
        <v>0</v>
      </c>
      <c r="J498" s="241" t="str">
        <f>CONCATENATE(O476," ",L476, " (",M476,") ",N476,".", IF(M476&gt;1," Each "," This "),"includes supply and install of ",O477,O478,O479,O480,O481,O482,O483,O484,O485,O486,O487,O488,O489,O490,O491,O492,O493,O494,O495,O496,J477,J478,J479,J480,J481,J482,J483,J484,J485,J486,J487,J488,J489,J490,J491,J492,J493,J494,J495,J496)</f>
        <v xml:space="preserve">Electrical power supply and controls to Zero (0) DOL fan with current switch interlock to other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other circuit ( note current switch ensures clear demarcation between trades), controls enclosure, and commissioning/testing. Coordination Note: - Builders electrician: Please refer to our exclusions relating to local power supply </v>
      </c>
      <c r="K498" s="246">
        <f>P497</f>
        <v>0</v>
      </c>
      <c r="L498" s="234" t="str">
        <f>CONCATENATE(Q477,Q478,Q479,Q480,Q481,Q482,Q483,Q484,Q485,Q486,Q487,Q488,Q489,Q490,Q491,Q492,Q493,Q494,Q495,Q496,)</f>
        <v xml:space="preserve">local power supply </v>
      </c>
      <c r="M498" s="166" t="s">
        <v>367</v>
      </c>
      <c r="N498" s="160" t="str">
        <f>N476</f>
        <v>DOL fan with current switch interlock to other circuit- from local power supply</v>
      </c>
      <c r="O498" s="160" t="s">
        <v>365</v>
      </c>
      <c r="P498" s="82" t="e">
        <f>P497/M476</f>
        <v>#DIV/0!</v>
      </c>
      <c r="Q498" s="161"/>
      <c r="R498" s="161"/>
      <c r="S498" s="160"/>
      <c r="T498" s="161"/>
      <c r="U498" s="503" t="s">
        <v>366</v>
      </c>
      <c r="V498" s="503"/>
      <c r="W498" s="162" t="e">
        <f>W497/M476</f>
        <v>#DIV/0!</v>
      </c>
      <c r="X498" s="163"/>
      <c r="Y498" s="501" t="s">
        <v>365</v>
      </c>
      <c r="Z498" s="501"/>
      <c r="AA498" s="164" t="e">
        <f>AA497/M476</f>
        <v>#DIV/0!</v>
      </c>
      <c r="AB498" s="161"/>
      <c r="AC498" s="161"/>
      <c r="AD498" s="161"/>
      <c r="AE498" s="161"/>
      <c r="AF498" s="501" t="s">
        <v>365</v>
      </c>
      <c r="AG498" s="501"/>
      <c r="AH498" s="164" t="e">
        <f>AH497/M476</f>
        <v>#DIV/0!</v>
      </c>
      <c r="AI498" s="161"/>
      <c r="AJ498" s="161"/>
      <c r="AK498" s="161"/>
      <c r="AL498" s="247"/>
      <c r="AM498" s="257"/>
      <c r="AN498" s="236">
        <f>K498*$D$9</f>
        <v>0</v>
      </c>
      <c r="AO498" s="286"/>
      <c r="AP498" s="284">
        <f t="shared" si="209"/>
        <v>0</v>
      </c>
      <c r="AQ498" s="281">
        <f t="shared" si="210"/>
        <v>0</v>
      </c>
      <c r="AR498" s="284">
        <f t="shared" si="211"/>
        <v>0</v>
      </c>
      <c r="AS498" s="281">
        <f t="shared" si="212"/>
        <v>0</v>
      </c>
      <c r="AT498" s="284">
        <f t="shared" si="213"/>
        <v>0</v>
      </c>
      <c r="AU498" s="117"/>
      <c r="AV498" s="117"/>
      <c r="AW498" s="117"/>
      <c r="AX498" s="117"/>
      <c r="AY498" s="117"/>
      <c r="AZ498" s="117"/>
      <c r="BA498" s="117"/>
      <c r="BB498" s="117"/>
      <c r="BC498" s="117"/>
      <c r="BD498" s="117"/>
      <c r="BE498" s="117"/>
      <c r="BF498" s="117"/>
      <c r="BG498" s="117"/>
      <c r="BH498" s="117"/>
      <c r="BI498" s="117"/>
      <c r="BJ498" s="117"/>
      <c r="BK498" s="117"/>
      <c r="BL498" s="117"/>
      <c r="BM498" s="117"/>
      <c r="BN498" s="117"/>
      <c r="BO498" s="117"/>
      <c r="BP498" s="117"/>
      <c r="BQ498" s="117"/>
      <c r="BR498" s="117"/>
      <c r="BS498" s="117"/>
      <c r="BT498" s="117"/>
      <c r="BU498" s="117"/>
      <c r="BV498" s="117"/>
      <c r="BW498" s="117"/>
      <c r="BX498" s="117"/>
      <c r="BY498" s="117"/>
      <c r="BZ498" s="117"/>
      <c r="CA498" s="117"/>
      <c r="CB498" s="117"/>
      <c r="CC498" s="117"/>
      <c r="CD498" s="117"/>
      <c r="CE498" s="117"/>
      <c r="CF498" s="117"/>
      <c r="CG498" s="117"/>
      <c r="CH498" s="117"/>
      <c r="CI498" s="117"/>
      <c r="CJ498" s="117"/>
      <c r="CK498" s="117"/>
      <c r="CL498" s="117"/>
      <c r="CM498" s="117"/>
      <c r="CN498" s="117"/>
      <c r="CO498" s="117"/>
      <c r="CP498" s="117"/>
      <c r="CQ498" s="117"/>
      <c r="CR498" s="117"/>
      <c r="CS498" s="117"/>
    </row>
    <row r="499" spans="1:97" s="116" customFormat="1" ht="192.75" customHeight="1" x14ac:dyDescent="0.8">
      <c r="A499" s="262">
        <f>ROW()</f>
        <v>499</v>
      </c>
      <c r="C499" s="211"/>
      <c r="D499" s="211"/>
      <c r="E499" s="211"/>
      <c r="F499" s="211"/>
      <c r="G499" s="211"/>
      <c r="H499" s="211"/>
      <c r="K499" s="116" t="s">
        <v>452</v>
      </c>
      <c r="M499" s="116" t="s">
        <v>107</v>
      </c>
      <c r="N499" s="116" t="s">
        <v>108</v>
      </c>
      <c r="O499" s="170" t="s">
        <v>386</v>
      </c>
      <c r="P499" s="502" t="s">
        <v>375</v>
      </c>
      <c r="Q499" s="502"/>
      <c r="R499" s="101" t="s">
        <v>452</v>
      </c>
      <c r="S499" s="116" t="s">
        <v>0</v>
      </c>
      <c r="T499" s="118"/>
      <c r="U499" s="116" t="s">
        <v>287</v>
      </c>
      <c r="V499" s="116" t="s">
        <v>288</v>
      </c>
      <c r="W499" s="116" t="s">
        <v>291</v>
      </c>
      <c r="X499" s="140"/>
      <c r="Y499" s="116" t="s">
        <v>289</v>
      </c>
      <c r="Z499" s="116" t="s">
        <v>354</v>
      </c>
      <c r="AA499" s="116" t="s">
        <v>355</v>
      </c>
      <c r="AB499" s="116" t="s">
        <v>317</v>
      </c>
      <c r="AC499" s="116" t="s">
        <v>318</v>
      </c>
      <c r="AD499" s="116" t="s">
        <v>316</v>
      </c>
      <c r="AE499" s="140"/>
      <c r="AF499" s="116" t="s">
        <v>293</v>
      </c>
      <c r="AG499" s="116" t="s">
        <v>354</v>
      </c>
      <c r="AH499" s="116" t="s">
        <v>355</v>
      </c>
      <c r="AI499" s="116" t="s">
        <v>296</v>
      </c>
      <c r="AJ499" s="116" t="s">
        <v>294</v>
      </c>
      <c r="AK499" s="116" t="s">
        <v>295</v>
      </c>
      <c r="AL499" s="140"/>
      <c r="AO499" s="288"/>
      <c r="AP499" s="284">
        <f t="shared" si="209"/>
        <v>0</v>
      </c>
      <c r="AQ499" s="281">
        <f t="shared" si="210"/>
        <v>0</v>
      </c>
      <c r="AR499" s="284">
        <f t="shared" si="211"/>
        <v>0</v>
      </c>
      <c r="AS499" s="281">
        <f t="shared" si="212"/>
        <v>0</v>
      </c>
      <c r="AT499" s="284">
        <f t="shared" si="213"/>
        <v>0</v>
      </c>
    </row>
    <row r="500" spans="1:97" s="114" customFormat="1" ht="40.5" customHeight="1" x14ac:dyDescent="0.8">
      <c r="A500" s="262">
        <f>ROW()</f>
        <v>500</v>
      </c>
      <c r="C500" s="208"/>
      <c r="D500" s="208"/>
      <c r="E500" s="208"/>
      <c r="F500" s="208"/>
      <c r="G500" s="208"/>
      <c r="H500" s="208"/>
      <c r="L500" s="124" t="str">
        <f>VLOOKUP(M500,Sheet2!$D$2:$E$1024,2,FALSE)</f>
        <v>Zero</v>
      </c>
      <c r="M500" s="121">
        <f>I522</f>
        <v>0</v>
      </c>
      <c r="N500" s="132" t="s">
        <v>649</v>
      </c>
      <c r="O500" s="121" t="s">
        <v>347</v>
      </c>
      <c r="P500" s="169" t="s">
        <v>379</v>
      </c>
      <c r="Q500" s="169" t="s">
        <v>375</v>
      </c>
      <c r="R500" s="169"/>
      <c r="S500" s="133">
        <f>M500</f>
        <v>0</v>
      </c>
      <c r="T500" s="119"/>
      <c r="U500" s="121" t="s">
        <v>292</v>
      </c>
      <c r="V500" s="133">
        <f>S500</f>
        <v>0</v>
      </c>
      <c r="W500" s="133">
        <f>VLOOKUP(U500,Sheet1!$B$6:$C$45,2,FALSE)*V500</f>
        <v>0</v>
      </c>
      <c r="X500" s="141"/>
      <c r="Y500" s="121" t="s">
        <v>292</v>
      </c>
      <c r="Z500" s="146">
        <f>VLOOKUP(Takeoffs!Y500,Sheet1!$B$6:$C$124,2,FALSE)</f>
        <v>0</v>
      </c>
      <c r="AA500" s="146">
        <f>Z500*AB500</f>
        <v>0</v>
      </c>
      <c r="AB500" s="143">
        <f>AD500*AC500</f>
        <v>0</v>
      </c>
      <c r="AC500" s="133">
        <f>S500</f>
        <v>0</v>
      </c>
      <c r="AD500" s="142">
        <v>1</v>
      </c>
      <c r="AE500" s="141"/>
      <c r="AF500" s="121" t="s">
        <v>292</v>
      </c>
      <c r="AG500" s="146">
        <f>VLOOKUP(Takeoffs!AF500,Sheet1!$B$6:$C$124,2,FALSE)</f>
        <v>0</v>
      </c>
      <c r="AH500" s="146">
        <f>AG500*AI500</f>
        <v>0</v>
      </c>
      <c r="AI500" s="143">
        <f>AK500*AJ500</f>
        <v>0</v>
      </c>
      <c r="AJ500" s="133">
        <f>S500</f>
        <v>0</v>
      </c>
      <c r="AK500" s="142">
        <f>T500</f>
        <v>0</v>
      </c>
      <c r="AL500" s="141"/>
      <c r="AO500" s="286"/>
      <c r="AP500" s="284">
        <f t="shared" si="209"/>
        <v>0</v>
      </c>
      <c r="AQ500" s="281">
        <f t="shared" si="210"/>
        <v>0</v>
      </c>
      <c r="AR500" s="284">
        <f t="shared" si="211"/>
        <v>0</v>
      </c>
      <c r="AS500" s="281">
        <f t="shared" si="212"/>
        <v>0</v>
      </c>
      <c r="AT500" s="284">
        <f t="shared" si="213"/>
        <v>0</v>
      </c>
    </row>
    <row r="501" spans="1:97" s="114" customFormat="1" ht="30.9" x14ac:dyDescent="0.8">
      <c r="A501" s="262">
        <f>ROW()</f>
        <v>501</v>
      </c>
      <c r="C501" s="208"/>
      <c r="D501" s="208"/>
      <c r="E501" s="208"/>
      <c r="F501" s="208"/>
      <c r="G501" s="208"/>
      <c r="H501" s="208"/>
      <c r="J501" s="114" t="str">
        <f>IF(COUNTBLANK(Q501)&gt;0,"",CONCATENATE("Coordination Note: - ",P501,": Please refer to our exclusions relating to ",Q501))</f>
        <v/>
      </c>
      <c r="K501" s="114" t="str">
        <f>IF(COUNTBLANK(R501)&gt;0,"",CONCATENATE(R501," for ",N500))</f>
        <v/>
      </c>
      <c r="M501" s="117"/>
      <c r="N501" s="123" t="s">
        <v>113</v>
      </c>
      <c r="O501" s="66" t="s">
        <v>340</v>
      </c>
      <c r="P501" s="121"/>
      <c r="Q501" s="66"/>
      <c r="R501" s="121"/>
      <c r="S501" s="133">
        <f>M500</f>
        <v>0</v>
      </c>
      <c r="T501" s="120"/>
      <c r="U501" s="121" t="s">
        <v>233</v>
      </c>
      <c r="V501" s="133">
        <f t="shared" ref="V501:V520" si="224">S501</f>
        <v>0</v>
      </c>
      <c r="W501" s="133">
        <f>VLOOKUP(U501,Sheet1!$B$6:$C$45,2,FALSE)*V501</f>
        <v>0</v>
      </c>
      <c r="X501" s="141"/>
      <c r="Y501" s="121" t="s">
        <v>292</v>
      </c>
      <c r="Z501" s="146">
        <f>VLOOKUP(Takeoffs!Y501,Sheet1!$B$6:$C$124,2,FALSE)</f>
        <v>0</v>
      </c>
      <c r="AA501" s="146">
        <f t="shared" ref="AA501:AA520" si="225">Z501*AB501</f>
        <v>0</v>
      </c>
      <c r="AB501" s="143">
        <f t="shared" ref="AB501:AB520" si="226">AD501*AC501</f>
        <v>0</v>
      </c>
      <c r="AC501" s="133">
        <f t="shared" ref="AC501:AC520" si="227">S501</f>
        <v>0</v>
      </c>
      <c r="AD501" s="142">
        <v>1</v>
      </c>
      <c r="AE501" s="141"/>
      <c r="AF501" s="121" t="s">
        <v>292</v>
      </c>
      <c r="AG501" s="146">
        <f>VLOOKUP(Takeoffs!AF501,Sheet1!$B$6:$C$124,2,FALSE)</f>
        <v>0</v>
      </c>
      <c r="AH501" s="146">
        <f t="shared" ref="AH501:AH520" si="228">AG501*AI501</f>
        <v>0</v>
      </c>
      <c r="AI501" s="143">
        <f t="shared" ref="AI501:AI520" si="229">AK501*AJ501</f>
        <v>0</v>
      </c>
      <c r="AJ501" s="133">
        <f t="shared" ref="AJ501:AJ520" si="230">S501</f>
        <v>0</v>
      </c>
      <c r="AK501" s="142">
        <f>T501</f>
        <v>0</v>
      </c>
      <c r="AL501" s="141"/>
      <c r="AO501" s="286"/>
      <c r="AP501" s="284">
        <f t="shared" si="209"/>
        <v>0</v>
      </c>
      <c r="AQ501" s="281">
        <f t="shared" si="210"/>
        <v>0</v>
      </c>
      <c r="AR501" s="284">
        <f t="shared" si="211"/>
        <v>0</v>
      </c>
      <c r="AS501" s="281">
        <f t="shared" si="212"/>
        <v>0</v>
      </c>
      <c r="AT501" s="284">
        <f t="shared" si="213"/>
        <v>0</v>
      </c>
    </row>
    <row r="502" spans="1:97" s="114" customFormat="1" ht="30.9" x14ac:dyDescent="0.8">
      <c r="A502" s="262">
        <f>ROW()</f>
        <v>502</v>
      </c>
      <c r="C502" s="208"/>
      <c r="D502" s="208"/>
      <c r="E502" s="208"/>
      <c r="F502" s="208"/>
      <c r="G502" s="208"/>
      <c r="H502" s="208"/>
      <c r="J502" s="114" t="str">
        <f t="shared" ref="J502:J520" si="231">IF(COUNTBLANK(Q502)&gt;0,"",CONCATENATE("Coordination Note: - ",P502,": Please refer to our exclusions relating to ",Q502))</f>
        <v xml:space="preserve">Coordination Note: - Builders electrician: Please refer to our exclusions relating to local power supply </v>
      </c>
      <c r="K502" s="114" t="str">
        <f>IF(COUNTBLANK(R502)&gt;0,"",CONCATENATE(R502," for ",N500))</f>
        <v/>
      </c>
      <c r="M502" s="117"/>
      <c r="N502" s="123" t="s">
        <v>114</v>
      </c>
      <c r="O502" s="66" t="s">
        <v>441</v>
      </c>
      <c r="P502" s="121" t="s">
        <v>539</v>
      </c>
      <c r="Q502" s="66" t="s">
        <v>687</v>
      </c>
      <c r="R502" s="121"/>
      <c r="S502" s="133">
        <f>M500</f>
        <v>0</v>
      </c>
      <c r="T502" s="120"/>
      <c r="U502" s="121" t="s">
        <v>361</v>
      </c>
      <c r="V502" s="133">
        <f t="shared" si="224"/>
        <v>0</v>
      </c>
      <c r="W502" s="133">
        <f>VLOOKUP(U502,Sheet1!$B$6:$C$45,2,FALSE)*V502</f>
        <v>0</v>
      </c>
      <c r="X502" s="141"/>
      <c r="Y502" s="121" t="s">
        <v>292</v>
      </c>
      <c r="Z502" s="146">
        <f>VLOOKUP(Takeoffs!Y502,Sheet1!$B$6:$C$124,2,FALSE)</f>
        <v>0</v>
      </c>
      <c r="AA502" s="146">
        <f t="shared" si="225"/>
        <v>0</v>
      </c>
      <c r="AB502" s="143">
        <f t="shared" si="226"/>
        <v>0</v>
      </c>
      <c r="AC502" s="133">
        <f t="shared" si="227"/>
        <v>0</v>
      </c>
      <c r="AD502" s="142">
        <v>1</v>
      </c>
      <c r="AE502" s="141"/>
      <c r="AF502" s="122" t="s">
        <v>268</v>
      </c>
      <c r="AG502" s="146">
        <f>VLOOKUP(Takeoffs!AF502,Sheet1!$B$6:$C$124,2,FALSE)</f>
        <v>1.02</v>
      </c>
      <c r="AH502" s="146">
        <f t="shared" si="228"/>
        <v>0</v>
      </c>
      <c r="AI502" s="143">
        <f t="shared" si="229"/>
        <v>0</v>
      </c>
      <c r="AJ502" s="133">
        <f t="shared" si="230"/>
        <v>0</v>
      </c>
      <c r="AK502" s="142">
        <v>5</v>
      </c>
      <c r="AL502" s="141"/>
      <c r="AO502" s="286"/>
      <c r="AP502" s="284">
        <f t="shared" si="209"/>
        <v>0</v>
      </c>
      <c r="AQ502" s="281">
        <f t="shared" si="210"/>
        <v>0</v>
      </c>
      <c r="AR502" s="284">
        <f t="shared" si="211"/>
        <v>0</v>
      </c>
      <c r="AS502" s="281">
        <f t="shared" si="212"/>
        <v>0</v>
      </c>
      <c r="AT502" s="284">
        <f t="shared" si="213"/>
        <v>0</v>
      </c>
    </row>
    <row r="503" spans="1:97" s="114" customFormat="1" ht="30.9" x14ac:dyDescent="0.8">
      <c r="A503" s="262">
        <f>ROW()</f>
        <v>503</v>
      </c>
      <c r="C503" s="208"/>
      <c r="D503" s="208"/>
      <c r="E503" s="208"/>
      <c r="F503" s="208"/>
      <c r="G503" s="208"/>
      <c r="H503" s="208"/>
      <c r="J503" s="114" t="str">
        <f t="shared" si="231"/>
        <v/>
      </c>
      <c r="K503" s="114" t="str">
        <f>IF(COUNTBLANK(R503)&gt;0,"",CONCATENATE(R503," for ",N500))</f>
        <v/>
      </c>
      <c r="M503" s="117"/>
      <c r="N503" s="123" t="s">
        <v>115</v>
      </c>
      <c r="O503" s="66" t="s">
        <v>406</v>
      </c>
      <c r="P503" s="121"/>
      <c r="Q503" s="66"/>
      <c r="R503" s="121"/>
      <c r="S503" s="133">
        <f>M500</f>
        <v>0</v>
      </c>
      <c r="T503" s="120"/>
      <c r="U503" s="121" t="s">
        <v>292</v>
      </c>
      <c r="V503" s="133">
        <f t="shared" si="224"/>
        <v>0</v>
      </c>
      <c r="W503" s="133">
        <f>VLOOKUP(U503,Sheet1!$B$6:$C$45,2,FALSE)*V503</f>
        <v>0</v>
      </c>
      <c r="X503" s="141"/>
      <c r="Y503" s="122" t="s">
        <v>247</v>
      </c>
      <c r="Z503" s="146">
        <f>VLOOKUP(Takeoffs!Y503,Sheet1!$B$6:$C$124,2,FALSE)</f>
        <v>23.76</v>
      </c>
      <c r="AA503" s="146">
        <f t="shared" si="225"/>
        <v>0</v>
      </c>
      <c r="AB503" s="143">
        <f t="shared" si="226"/>
        <v>0</v>
      </c>
      <c r="AC503" s="133">
        <f t="shared" si="227"/>
        <v>0</v>
      </c>
      <c r="AD503" s="142">
        <v>1</v>
      </c>
      <c r="AE503" s="141"/>
      <c r="AF503" s="121" t="s">
        <v>292</v>
      </c>
      <c r="AG503" s="146">
        <f>VLOOKUP(Takeoffs!AF503,Sheet1!$B$6:$C$124,2,FALSE)</f>
        <v>0</v>
      </c>
      <c r="AH503" s="146">
        <f t="shared" si="228"/>
        <v>0</v>
      </c>
      <c r="AI503" s="143">
        <f t="shared" si="229"/>
        <v>0</v>
      </c>
      <c r="AJ503" s="133">
        <f t="shared" si="230"/>
        <v>0</v>
      </c>
      <c r="AK503" s="142">
        <f t="shared" ref="AK503:AK509" si="232">T503</f>
        <v>0</v>
      </c>
      <c r="AL503" s="141"/>
      <c r="AO503" s="286"/>
      <c r="AP503" s="284">
        <f t="shared" si="209"/>
        <v>0</v>
      </c>
      <c r="AQ503" s="281">
        <f t="shared" si="210"/>
        <v>0</v>
      </c>
      <c r="AR503" s="284">
        <f t="shared" si="211"/>
        <v>0</v>
      </c>
      <c r="AS503" s="281">
        <f t="shared" si="212"/>
        <v>0</v>
      </c>
      <c r="AT503" s="284">
        <f t="shared" si="213"/>
        <v>0</v>
      </c>
    </row>
    <row r="504" spans="1:97" s="114" customFormat="1" ht="30.9" x14ac:dyDescent="0.8">
      <c r="A504" s="262">
        <f>ROW()</f>
        <v>504</v>
      </c>
      <c r="C504" s="208"/>
      <c r="D504" s="208"/>
      <c r="E504" s="208"/>
      <c r="F504" s="208"/>
      <c r="G504" s="208"/>
      <c r="H504" s="208"/>
      <c r="J504" s="114" t="str">
        <f t="shared" si="231"/>
        <v/>
      </c>
      <c r="K504" s="114" t="str">
        <f>IF(COUNTBLANK(R504)&gt;0,"",CONCATENATE(R504," for ",N500))</f>
        <v/>
      </c>
      <c r="M504" s="117"/>
      <c r="N504" s="123" t="s">
        <v>116</v>
      </c>
      <c r="O504" s="66"/>
      <c r="P504" s="121"/>
      <c r="Q504" s="66"/>
      <c r="R504" s="121"/>
      <c r="S504" s="133">
        <f>M500</f>
        <v>0</v>
      </c>
      <c r="T504" s="120"/>
      <c r="U504" s="121" t="s">
        <v>292</v>
      </c>
      <c r="V504" s="133">
        <f t="shared" si="224"/>
        <v>0</v>
      </c>
      <c r="W504" s="133">
        <f>VLOOKUP(U504,Sheet1!$B$6:$C$45,2,FALSE)*V504</f>
        <v>0</v>
      </c>
      <c r="X504" s="141"/>
      <c r="Y504" s="121" t="s">
        <v>292</v>
      </c>
      <c r="Z504" s="146">
        <f>VLOOKUP(Takeoffs!Y504,Sheet1!$B$6:$C$124,2,FALSE)</f>
        <v>0</v>
      </c>
      <c r="AA504" s="146">
        <f t="shared" si="225"/>
        <v>0</v>
      </c>
      <c r="AB504" s="143">
        <f t="shared" si="226"/>
        <v>0</v>
      </c>
      <c r="AC504" s="133">
        <f t="shared" si="227"/>
        <v>0</v>
      </c>
      <c r="AD504" s="142">
        <v>1</v>
      </c>
      <c r="AE504" s="141"/>
      <c r="AF504" s="121" t="s">
        <v>292</v>
      </c>
      <c r="AG504" s="146">
        <f>VLOOKUP(Takeoffs!AF504,Sheet1!$B$6:$C$124,2,FALSE)</f>
        <v>0</v>
      </c>
      <c r="AH504" s="146">
        <f t="shared" si="228"/>
        <v>0</v>
      </c>
      <c r="AI504" s="143">
        <f t="shared" si="229"/>
        <v>0</v>
      </c>
      <c r="AJ504" s="133">
        <f t="shared" si="230"/>
        <v>0</v>
      </c>
      <c r="AK504" s="142">
        <f t="shared" si="232"/>
        <v>0</v>
      </c>
      <c r="AL504" s="141"/>
      <c r="AO504" s="286"/>
      <c r="AP504" s="284">
        <f t="shared" si="209"/>
        <v>0</v>
      </c>
      <c r="AQ504" s="281">
        <f t="shared" si="210"/>
        <v>0</v>
      </c>
      <c r="AR504" s="284">
        <f t="shared" si="211"/>
        <v>0</v>
      </c>
      <c r="AS504" s="281">
        <f t="shared" si="212"/>
        <v>0</v>
      </c>
      <c r="AT504" s="284">
        <f t="shared" si="213"/>
        <v>0</v>
      </c>
    </row>
    <row r="505" spans="1:97" s="114" customFormat="1" ht="30.9" x14ac:dyDescent="0.8">
      <c r="A505" s="262">
        <f>ROW()</f>
        <v>505</v>
      </c>
      <c r="C505" s="208"/>
      <c r="D505" s="208"/>
      <c r="E505" s="208"/>
      <c r="F505" s="208"/>
      <c r="G505" s="208"/>
      <c r="H505" s="208"/>
      <c r="J505" s="114" t="str">
        <f t="shared" si="231"/>
        <v/>
      </c>
      <c r="K505" s="114" t="str">
        <f>IF(COUNTBLANK(R505)&gt;0,"",CONCATENATE(R505," for ",N500))</f>
        <v/>
      </c>
      <c r="M505" s="117"/>
      <c r="N505" s="123" t="s">
        <v>117</v>
      </c>
      <c r="O505" s="66"/>
      <c r="P505" s="121"/>
      <c r="Q505" s="66"/>
      <c r="R505" s="121"/>
      <c r="S505" s="133">
        <f>M500</f>
        <v>0</v>
      </c>
      <c r="T505" s="120"/>
      <c r="U505" s="121" t="s">
        <v>292</v>
      </c>
      <c r="V505" s="133">
        <f t="shared" si="224"/>
        <v>0</v>
      </c>
      <c r="W505" s="133">
        <f>VLOOKUP(U505,Sheet1!$B$6:$C$45,2,FALSE)*V505</f>
        <v>0</v>
      </c>
      <c r="X505" s="141"/>
      <c r="Y505" s="121" t="s">
        <v>292</v>
      </c>
      <c r="Z505" s="146">
        <f>VLOOKUP(Takeoffs!Y505,Sheet1!$B$6:$C$124,2,FALSE)</f>
        <v>0</v>
      </c>
      <c r="AA505" s="146">
        <f t="shared" si="225"/>
        <v>0</v>
      </c>
      <c r="AB505" s="143">
        <f t="shared" si="226"/>
        <v>0</v>
      </c>
      <c r="AC505" s="133">
        <f t="shared" si="227"/>
        <v>0</v>
      </c>
      <c r="AD505" s="142">
        <v>1</v>
      </c>
      <c r="AE505" s="141"/>
      <c r="AF505" s="121" t="s">
        <v>292</v>
      </c>
      <c r="AG505" s="146">
        <f>VLOOKUP(Takeoffs!AF505,Sheet1!$B$6:$C$124,2,FALSE)</f>
        <v>0</v>
      </c>
      <c r="AH505" s="146">
        <f t="shared" si="228"/>
        <v>0</v>
      </c>
      <c r="AI505" s="143">
        <f t="shared" si="229"/>
        <v>0</v>
      </c>
      <c r="AJ505" s="133">
        <f t="shared" si="230"/>
        <v>0</v>
      </c>
      <c r="AK505" s="142">
        <f t="shared" si="232"/>
        <v>0</v>
      </c>
      <c r="AL505" s="141"/>
      <c r="AO505" s="286"/>
      <c r="AP505" s="284">
        <f t="shared" si="209"/>
        <v>0</v>
      </c>
      <c r="AQ505" s="281">
        <f t="shared" si="210"/>
        <v>0</v>
      </c>
      <c r="AR505" s="284">
        <f t="shared" si="211"/>
        <v>0</v>
      </c>
      <c r="AS505" s="281">
        <f t="shared" si="212"/>
        <v>0</v>
      </c>
      <c r="AT505" s="284">
        <f t="shared" si="213"/>
        <v>0</v>
      </c>
    </row>
    <row r="506" spans="1:97" s="114" customFormat="1" ht="30.9" x14ac:dyDescent="0.8">
      <c r="A506" s="262">
        <f>ROW()</f>
        <v>506</v>
      </c>
      <c r="C506" s="208"/>
      <c r="D506" s="208"/>
      <c r="E506" s="208"/>
      <c r="F506" s="208"/>
      <c r="G506" s="208"/>
      <c r="H506" s="208"/>
      <c r="J506" s="114" t="str">
        <f t="shared" si="231"/>
        <v/>
      </c>
      <c r="K506" s="114" t="str">
        <f>IF(COUNTBLANK(R506)&gt;0,"",CONCATENATE(R506," for ",N500))</f>
        <v/>
      </c>
      <c r="M506" s="117"/>
      <c r="N506" s="123" t="s">
        <v>118</v>
      </c>
      <c r="O506" s="66"/>
      <c r="P506" s="121"/>
      <c r="Q506" s="66"/>
      <c r="R506" s="121"/>
      <c r="S506" s="133">
        <f>M500</f>
        <v>0</v>
      </c>
      <c r="T506" s="120"/>
      <c r="U506" s="121" t="s">
        <v>292</v>
      </c>
      <c r="V506" s="133">
        <f t="shared" si="224"/>
        <v>0</v>
      </c>
      <c r="W506" s="133">
        <f>VLOOKUP(U506,Sheet1!$B$6:$C$45,2,FALSE)*V506</f>
        <v>0</v>
      </c>
      <c r="X506" s="141"/>
      <c r="Y506" s="121" t="s">
        <v>292</v>
      </c>
      <c r="Z506" s="146">
        <f>VLOOKUP(Takeoffs!Y506,Sheet1!$B$6:$C$124,2,FALSE)</f>
        <v>0</v>
      </c>
      <c r="AA506" s="146">
        <f t="shared" si="225"/>
        <v>0</v>
      </c>
      <c r="AB506" s="143">
        <f t="shared" si="226"/>
        <v>0</v>
      </c>
      <c r="AC506" s="133">
        <f t="shared" si="227"/>
        <v>0</v>
      </c>
      <c r="AD506" s="142">
        <v>1</v>
      </c>
      <c r="AE506" s="141"/>
      <c r="AF506" s="121" t="s">
        <v>292</v>
      </c>
      <c r="AG506" s="146">
        <f>VLOOKUP(Takeoffs!AF506,Sheet1!$B$6:$C$124,2,FALSE)</f>
        <v>0</v>
      </c>
      <c r="AH506" s="146">
        <f t="shared" si="228"/>
        <v>0</v>
      </c>
      <c r="AI506" s="143">
        <f t="shared" si="229"/>
        <v>0</v>
      </c>
      <c r="AJ506" s="133">
        <f t="shared" si="230"/>
        <v>0</v>
      </c>
      <c r="AK506" s="142">
        <f t="shared" si="232"/>
        <v>0</v>
      </c>
      <c r="AL506" s="141"/>
      <c r="AO506" s="286"/>
      <c r="AP506" s="284">
        <f t="shared" si="209"/>
        <v>0</v>
      </c>
      <c r="AQ506" s="281">
        <f t="shared" si="210"/>
        <v>0</v>
      </c>
      <c r="AR506" s="284">
        <f t="shared" si="211"/>
        <v>0</v>
      </c>
      <c r="AS506" s="281">
        <f t="shared" si="212"/>
        <v>0</v>
      </c>
      <c r="AT506" s="284">
        <f t="shared" si="213"/>
        <v>0</v>
      </c>
    </row>
    <row r="507" spans="1:97" s="114" customFormat="1" ht="30.9" x14ac:dyDescent="0.8">
      <c r="A507" s="262">
        <f>ROW()</f>
        <v>507</v>
      </c>
      <c r="C507" s="208"/>
      <c r="D507" s="208"/>
      <c r="E507" s="208"/>
      <c r="F507" s="208"/>
      <c r="G507" s="208"/>
      <c r="H507" s="208"/>
      <c r="J507" s="114" t="str">
        <f t="shared" si="231"/>
        <v/>
      </c>
      <c r="K507" s="114" t="str">
        <f>IF(COUNTBLANK(R507)&gt;0,"",CONCATENATE(R507," for ",N500))</f>
        <v/>
      </c>
      <c r="N507" s="123" t="s">
        <v>119</v>
      </c>
      <c r="O507" s="66"/>
      <c r="P507" s="121"/>
      <c r="Q507" s="66"/>
      <c r="R507" s="121"/>
      <c r="S507" s="133">
        <f>M500</f>
        <v>0</v>
      </c>
      <c r="T507" s="120"/>
      <c r="U507" s="121" t="s">
        <v>292</v>
      </c>
      <c r="V507" s="133">
        <f t="shared" si="224"/>
        <v>0</v>
      </c>
      <c r="W507" s="133">
        <f>VLOOKUP(U507,Sheet1!$B$6:$C$45,2,FALSE)*V507</f>
        <v>0</v>
      </c>
      <c r="X507" s="141"/>
      <c r="Y507" s="121" t="s">
        <v>292</v>
      </c>
      <c r="Z507" s="146">
        <f>VLOOKUP(Takeoffs!Y507,Sheet1!$B$6:$C$124,2,FALSE)</f>
        <v>0</v>
      </c>
      <c r="AA507" s="146">
        <f t="shared" si="225"/>
        <v>0</v>
      </c>
      <c r="AB507" s="143">
        <f t="shared" si="226"/>
        <v>0</v>
      </c>
      <c r="AC507" s="133">
        <f t="shared" si="227"/>
        <v>0</v>
      </c>
      <c r="AD507" s="142">
        <v>1</v>
      </c>
      <c r="AE507" s="141"/>
      <c r="AF507" s="121" t="s">
        <v>292</v>
      </c>
      <c r="AG507" s="146">
        <f>VLOOKUP(Takeoffs!AF507,Sheet1!$B$6:$C$124,2,FALSE)</f>
        <v>0</v>
      </c>
      <c r="AH507" s="146">
        <f t="shared" si="228"/>
        <v>0</v>
      </c>
      <c r="AI507" s="143">
        <f t="shared" si="229"/>
        <v>0</v>
      </c>
      <c r="AJ507" s="133">
        <f t="shared" si="230"/>
        <v>0</v>
      </c>
      <c r="AK507" s="142">
        <f t="shared" si="232"/>
        <v>0</v>
      </c>
      <c r="AL507" s="141"/>
      <c r="AO507" s="286"/>
      <c r="AP507" s="284">
        <f t="shared" si="209"/>
        <v>0</v>
      </c>
      <c r="AQ507" s="281">
        <f t="shared" si="210"/>
        <v>0</v>
      </c>
      <c r="AR507" s="284">
        <f t="shared" si="211"/>
        <v>0</v>
      </c>
      <c r="AS507" s="281">
        <f t="shared" si="212"/>
        <v>0</v>
      </c>
      <c r="AT507" s="284">
        <f t="shared" si="213"/>
        <v>0</v>
      </c>
    </row>
    <row r="508" spans="1:97" s="114" customFormat="1" ht="30.9" x14ac:dyDescent="0.8">
      <c r="A508" s="262">
        <f>ROW()</f>
        <v>508</v>
      </c>
      <c r="C508" s="208"/>
      <c r="D508" s="208"/>
      <c r="E508" s="208"/>
      <c r="F508" s="208"/>
      <c r="G508" s="208"/>
      <c r="H508" s="208"/>
      <c r="J508" s="114" t="str">
        <f t="shared" si="231"/>
        <v/>
      </c>
      <c r="K508" s="114" t="str">
        <f>IF(COUNTBLANK(R508)&gt;0,"",CONCATENATE(R508," for ",N500))</f>
        <v/>
      </c>
      <c r="N508" s="123" t="s">
        <v>120</v>
      </c>
      <c r="O508" s="66" t="s">
        <v>328</v>
      </c>
      <c r="P508" s="121"/>
      <c r="Q508" s="66"/>
      <c r="R508" s="121"/>
      <c r="S508" s="133">
        <f>M500</f>
        <v>0</v>
      </c>
      <c r="T508" s="120"/>
      <c r="U508" s="121" t="s">
        <v>242</v>
      </c>
      <c r="V508" s="133">
        <f t="shared" si="224"/>
        <v>0</v>
      </c>
      <c r="W508" s="133">
        <f>VLOOKUP(U508,Sheet1!$B$6:$C$45,2,FALSE)*V508</f>
        <v>0</v>
      </c>
      <c r="X508" s="141"/>
      <c r="Y508" s="121" t="s">
        <v>292</v>
      </c>
      <c r="Z508" s="146">
        <f>VLOOKUP(Takeoffs!Y508,Sheet1!$B$6:$C$124,2,FALSE)</f>
        <v>0</v>
      </c>
      <c r="AA508" s="146">
        <f t="shared" si="225"/>
        <v>0</v>
      </c>
      <c r="AB508" s="143">
        <f t="shared" si="226"/>
        <v>0</v>
      </c>
      <c r="AC508" s="133">
        <f t="shared" si="227"/>
        <v>0</v>
      </c>
      <c r="AD508" s="142">
        <v>1</v>
      </c>
      <c r="AE508" s="141"/>
      <c r="AF508" s="121" t="s">
        <v>292</v>
      </c>
      <c r="AG508" s="146">
        <f>VLOOKUP(Takeoffs!AF508,Sheet1!$B$6:$C$124,2,FALSE)</f>
        <v>0</v>
      </c>
      <c r="AH508" s="146">
        <f t="shared" si="228"/>
        <v>0</v>
      </c>
      <c r="AI508" s="143">
        <f t="shared" si="229"/>
        <v>0</v>
      </c>
      <c r="AJ508" s="133">
        <f t="shared" si="230"/>
        <v>0</v>
      </c>
      <c r="AK508" s="142">
        <f t="shared" si="232"/>
        <v>0</v>
      </c>
      <c r="AL508" s="141"/>
      <c r="AO508" s="286"/>
      <c r="AP508" s="284">
        <f t="shared" si="209"/>
        <v>0</v>
      </c>
      <c r="AQ508" s="281">
        <f t="shared" si="210"/>
        <v>0</v>
      </c>
      <c r="AR508" s="284">
        <f t="shared" si="211"/>
        <v>0</v>
      </c>
      <c r="AS508" s="281">
        <f t="shared" si="212"/>
        <v>0</v>
      </c>
      <c r="AT508" s="284">
        <f t="shared" si="213"/>
        <v>0</v>
      </c>
    </row>
    <row r="509" spans="1:97" s="114" customFormat="1" ht="30.9" x14ac:dyDescent="0.8">
      <c r="A509" s="262">
        <f>ROW()</f>
        <v>509</v>
      </c>
      <c r="C509" s="208"/>
      <c r="D509" s="208"/>
      <c r="E509" s="208"/>
      <c r="F509" s="208"/>
      <c r="G509" s="208"/>
      <c r="H509" s="208"/>
      <c r="J509" s="114" t="str">
        <f t="shared" si="231"/>
        <v/>
      </c>
      <c r="K509" s="114" t="str">
        <f>IF(COUNTBLANK(R509)&gt;0,"",CONCATENATE(R509," for ",N500))</f>
        <v/>
      </c>
      <c r="N509" s="123" t="s">
        <v>121</v>
      </c>
      <c r="O509" s="66"/>
      <c r="P509" s="121"/>
      <c r="Q509" s="66"/>
      <c r="R509" s="121"/>
      <c r="S509" s="133">
        <f>M500</f>
        <v>0</v>
      </c>
      <c r="T509" s="120"/>
      <c r="U509" s="121" t="s">
        <v>292</v>
      </c>
      <c r="V509" s="133">
        <f t="shared" si="224"/>
        <v>0</v>
      </c>
      <c r="W509" s="133">
        <f>VLOOKUP(U509,Sheet1!$B$6:$C$45,2,FALSE)*V509</f>
        <v>0</v>
      </c>
      <c r="X509" s="141"/>
      <c r="Y509" s="121" t="s">
        <v>292</v>
      </c>
      <c r="Z509" s="146">
        <f>VLOOKUP(Takeoffs!Y509,Sheet1!$B$6:$C$124,2,FALSE)</f>
        <v>0</v>
      </c>
      <c r="AA509" s="146">
        <f t="shared" si="225"/>
        <v>0</v>
      </c>
      <c r="AB509" s="143">
        <f t="shared" si="226"/>
        <v>0</v>
      </c>
      <c r="AC509" s="133">
        <f t="shared" si="227"/>
        <v>0</v>
      </c>
      <c r="AD509" s="142">
        <v>1</v>
      </c>
      <c r="AE509" s="141"/>
      <c r="AF509" s="121" t="s">
        <v>292</v>
      </c>
      <c r="AG509" s="146">
        <f>VLOOKUP(Takeoffs!AF509,Sheet1!$B$6:$C$124,2,FALSE)</f>
        <v>0</v>
      </c>
      <c r="AH509" s="146">
        <f t="shared" si="228"/>
        <v>0</v>
      </c>
      <c r="AI509" s="143">
        <f t="shared" si="229"/>
        <v>0</v>
      </c>
      <c r="AJ509" s="133">
        <f t="shared" si="230"/>
        <v>0</v>
      </c>
      <c r="AK509" s="142">
        <f t="shared" si="232"/>
        <v>0</v>
      </c>
      <c r="AL509" s="141"/>
      <c r="AO509" s="286"/>
      <c r="AP509" s="284">
        <f t="shared" si="209"/>
        <v>0</v>
      </c>
      <c r="AQ509" s="281">
        <f t="shared" si="210"/>
        <v>0</v>
      </c>
      <c r="AR509" s="284">
        <f t="shared" si="211"/>
        <v>0</v>
      </c>
      <c r="AS509" s="281">
        <f t="shared" si="212"/>
        <v>0</v>
      </c>
      <c r="AT509" s="284">
        <f t="shared" si="213"/>
        <v>0</v>
      </c>
    </row>
    <row r="510" spans="1:97" s="114" customFormat="1" ht="30.9" x14ac:dyDescent="0.8">
      <c r="A510" s="262">
        <f>ROW()</f>
        <v>510</v>
      </c>
      <c r="C510" s="208"/>
      <c r="D510" s="208"/>
      <c r="E510" s="208"/>
      <c r="F510" s="208"/>
      <c r="G510" s="208"/>
      <c r="H510" s="208"/>
      <c r="J510" s="114" t="str">
        <f t="shared" si="231"/>
        <v/>
      </c>
      <c r="K510" s="114" t="str">
        <f>IF(COUNTBLANK(R510)&gt;0,"",CONCATENATE(R510," for ",N500))</f>
        <v/>
      </c>
      <c r="N510" s="123" t="s">
        <v>122</v>
      </c>
      <c r="O510" s="66"/>
      <c r="P510" s="121"/>
      <c r="Q510" s="66"/>
      <c r="R510" s="121"/>
      <c r="S510" s="133">
        <f>M500</f>
        <v>0</v>
      </c>
      <c r="T510" s="120"/>
      <c r="U510" s="121" t="s">
        <v>292</v>
      </c>
      <c r="V510" s="133">
        <f t="shared" si="224"/>
        <v>0</v>
      </c>
      <c r="W510" s="133">
        <f>VLOOKUP(U510,Sheet1!$B$6:$C$45,2,FALSE)*V510</f>
        <v>0</v>
      </c>
      <c r="X510" s="141"/>
      <c r="Y510" s="121" t="s">
        <v>292</v>
      </c>
      <c r="Z510" s="146">
        <f>VLOOKUP(Takeoffs!Y510,Sheet1!$B$6:$C$124,2,FALSE)</f>
        <v>0</v>
      </c>
      <c r="AA510" s="146">
        <f t="shared" si="225"/>
        <v>0</v>
      </c>
      <c r="AB510" s="143">
        <f t="shared" si="226"/>
        <v>0</v>
      </c>
      <c r="AC510" s="133">
        <f t="shared" si="227"/>
        <v>0</v>
      </c>
      <c r="AD510" s="142">
        <v>1</v>
      </c>
      <c r="AE510" s="141"/>
      <c r="AF510" s="121" t="s">
        <v>292</v>
      </c>
      <c r="AG510" s="146">
        <f>VLOOKUP(Takeoffs!AF510,Sheet1!$B$6:$C$124,2,FALSE)</f>
        <v>0</v>
      </c>
      <c r="AH510" s="146">
        <f t="shared" si="228"/>
        <v>0</v>
      </c>
      <c r="AI510" s="143">
        <f t="shared" si="229"/>
        <v>0</v>
      </c>
      <c r="AJ510" s="133">
        <f t="shared" si="230"/>
        <v>0</v>
      </c>
      <c r="AK510" s="142">
        <f>T510</f>
        <v>0</v>
      </c>
      <c r="AL510" s="141"/>
      <c r="AO510" s="286"/>
      <c r="AP510" s="284">
        <f t="shared" si="209"/>
        <v>0</v>
      </c>
      <c r="AQ510" s="281">
        <f t="shared" si="210"/>
        <v>0</v>
      </c>
      <c r="AR510" s="284">
        <f t="shared" si="211"/>
        <v>0</v>
      </c>
      <c r="AS510" s="281">
        <f t="shared" si="212"/>
        <v>0</v>
      </c>
      <c r="AT510" s="284">
        <f t="shared" si="213"/>
        <v>0</v>
      </c>
    </row>
    <row r="511" spans="1:97" s="114" customFormat="1" ht="30.9" x14ac:dyDescent="0.8">
      <c r="A511" s="262">
        <f>ROW()</f>
        <v>511</v>
      </c>
      <c r="C511" s="208"/>
      <c r="D511" s="208"/>
      <c r="E511" s="208"/>
      <c r="F511" s="208"/>
      <c r="G511" s="208"/>
      <c r="H511" s="208"/>
      <c r="J511" s="114" t="str">
        <f t="shared" si="231"/>
        <v/>
      </c>
      <c r="K511" s="114" t="str">
        <f>IF(COUNTBLANK(R511)&gt;0,"",CONCATENATE(R511," for ",N500))</f>
        <v/>
      </c>
      <c r="N511" s="123" t="s">
        <v>123</v>
      </c>
      <c r="O511" s="66"/>
      <c r="P511" s="121"/>
      <c r="Q511" s="66"/>
      <c r="R511" s="121"/>
      <c r="S511" s="133">
        <f>M500</f>
        <v>0</v>
      </c>
      <c r="T511" s="120"/>
      <c r="U511" s="121" t="s">
        <v>292</v>
      </c>
      <c r="V511" s="133">
        <f t="shared" si="224"/>
        <v>0</v>
      </c>
      <c r="W511" s="133">
        <f>VLOOKUP(U511,Sheet1!$B$6:$C$45,2,FALSE)*V511</f>
        <v>0</v>
      </c>
      <c r="X511" s="141"/>
      <c r="Y511" s="121" t="s">
        <v>292</v>
      </c>
      <c r="Z511" s="146">
        <f>VLOOKUP(Takeoffs!Y511,Sheet1!$B$6:$C$124,2,FALSE)</f>
        <v>0</v>
      </c>
      <c r="AA511" s="146">
        <f t="shared" si="225"/>
        <v>0</v>
      </c>
      <c r="AB511" s="143">
        <f t="shared" si="226"/>
        <v>0</v>
      </c>
      <c r="AC511" s="133">
        <f t="shared" si="227"/>
        <v>0</v>
      </c>
      <c r="AD511" s="142">
        <v>1</v>
      </c>
      <c r="AE511" s="141"/>
      <c r="AF511" s="121" t="s">
        <v>292</v>
      </c>
      <c r="AG511" s="146">
        <f>VLOOKUP(Takeoffs!AF511,Sheet1!$B$6:$C$124,2,FALSE)</f>
        <v>0</v>
      </c>
      <c r="AH511" s="146">
        <f t="shared" si="228"/>
        <v>0</v>
      </c>
      <c r="AI511" s="143">
        <f t="shared" si="229"/>
        <v>0</v>
      </c>
      <c r="AJ511" s="133">
        <f t="shared" si="230"/>
        <v>0</v>
      </c>
      <c r="AK511" s="142">
        <v>0</v>
      </c>
      <c r="AL511" s="141"/>
      <c r="AO511" s="286"/>
      <c r="AP511" s="284">
        <f t="shared" si="209"/>
        <v>0</v>
      </c>
      <c r="AQ511" s="281">
        <f t="shared" si="210"/>
        <v>0</v>
      </c>
      <c r="AR511" s="284">
        <f t="shared" si="211"/>
        <v>0</v>
      </c>
      <c r="AS511" s="281">
        <f t="shared" si="212"/>
        <v>0</v>
      </c>
      <c r="AT511" s="284">
        <f t="shared" si="213"/>
        <v>0</v>
      </c>
    </row>
    <row r="512" spans="1:97" s="114" customFormat="1" ht="30.9" x14ac:dyDescent="0.8">
      <c r="A512" s="262">
        <f>ROW()</f>
        <v>512</v>
      </c>
      <c r="C512" s="208"/>
      <c r="D512" s="208"/>
      <c r="E512" s="208"/>
      <c r="F512" s="208"/>
      <c r="G512" s="208"/>
      <c r="H512" s="208"/>
      <c r="J512" s="114" t="str">
        <f t="shared" si="231"/>
        <v/>
      </c>
      <c r="K512" s="114" t="str">
        <f>IF(COUNTBLANK(R512)&gt;0,"",CONCATENATE(R512," for ",N500))</f>
        <v/>
      </c>
      <c r="N512" s="123" t="s">
        <v>124</v>
      </c>
      <c r="O512" s="66" t="s">
        <v>140</v>
      </c>
      <c r="P512" s="121"/>
      <c r="Q512" s="66"/>
      <c r="R512" s="121"/>
      <c r="S512" s="133">
        <f>M500</f>
        <v>0</v>
      </c>
      <c r="T512" s="120"/>
      <c r="U512" s="121" t="s">
        <v>292</v>
      </c>
      <c r="V512" s="133">
        <f t="shared" si="224"/>
        <v>0</v>
      </c>
      <c r="W512" s="133">
        <f>VLOOKUP(U512,Sheet1!$B$6:$C$45,2,FALSE)*V512</f>
        <v>0</v>
      </c>
      <c r="X512" s="141"/>
      <c r="Y512" s="121" t="s">
        <v>292</v>
      </c>
      <c r="Z512" s="146">
        <f>VLOOKUP(Takeoffs!Y512,Sheet1!$B$6:$C$124,2,FALSE)</f>
        <v>0</v>
      </c>
      <c r="AA512" s="146">
        <f t="shared" si="225"/>
        <v>0</v>
      </c>
      <c r="AB512" s="143">
        <f t="shared" si="226"/>
        <v>0</v>
      </c>
      <c r="AC512" s="133">
        <f t="shared" si="227"/>
        <v>0</v>
      </c>
      <c r="AD512" s="142">
        <v>1</v>
      </c>
      <c r="AE512" s="141"/>
      <c r="AF512" s="152" t="s">
        <v>418</v>
      </c>
      <c r="AG512" s="146">
        <f>VLOOKUP(Takeoffs!AF512,Sheet1!$B$6:$C$124,2,FALSE)</f>
        <v>0.33600000000000002</v>
      </c>
      <c r="AH512" s="146">
        <f t="shared" si="228"/>
        <v>0</v>
      </c>
      <c r="AI512" s="143">
        <f t="shared" si="229"/>
        <v>0</v>
      </c>
      <c r="AJ512" s="133">
        <f t="shared" si="230"/>
        <v>0</v>
      </c>
      <c r="AK512" s="142">
        <v>1</v>
      </c>
      <c r="AL512" s="141"/>
      <c r="AO512" s="286"/>
      <c r="AP512" s="284">
        <f t="shared" si="209"/>
        <v>0</v>
      </c>
      <c r="AQ512" s="281">
        <f t="shared" si="210"/>
        <v>0</v>
      </c>
      <c r="AR512" s="284">
        <f t="shared" si="211"/>
        <v>0</v>
      </c>
      <c r="AS512" s="281">
        <f t="shared" si="212"/>
        <v>0</v>
      </c>
      <c r="AT512" s="284">
        <f t="shared" si="213"/>
        <v>0</v>
      </c>
    </row>
    <row r="513" spans="1:97" s="114" customFormat="1" ht="30.9" x14ac:dyDescent="0.8">
      <c r="A513" s="262">
        <f>ROW()</f>
        <v>513</v>
      </c>
      <c r="C513" s="208"/>
      <c r="D513" s="208"/>
      <c r="E513" s="208"/>
      <c r="F513" s="208"/>
      <c r="G513" s="208"/>
      <c r="H513" s="208"/>
      <c r="J513" s="114" t="str">
        <f t="shared" si="231"/>
        <v/>
      </c>
      <c r="K513" s="114" t="str">
        <f>IF(COUNTBLANK(R513)&gt;0,"",CONCATENATE(R513," for ",N500))</f>
        <v/>
      </c>
      <c r="N513" s="123" t="s">
        <v>125</v>
      </c>
      <c r="O513" s="66" t="s">
        <v>312</v>
      </c>
      <c r="P513" s="121"/>
      <c r="Q513" s="66"/>
      <c r="R513" s="121"/>
      <c r="S513" s="133">
        <f>M500</f>
        <v>0</v>
      </c>
      <c r="T513" s="120"/>
      <c r="U513" s="121" t="s">
        <v>232</v>
      </c>
      <c r="V513" s="133">
        <f t="shared" si="224"/>
        <v>0</v>
      </c>
      <c r="W513" s="133">
        <f>VLOOKUP(U513,Sheet1!$B$6:$C$45,2,FALSE)*V513</f>
        <v>0</v>
      </c>
      <c r="X513" s="141"/>
      <c r="Y513" s="122" t="s">
        <v>1345</v>
      </c>
      <c r="Z513" s="146">
        <f>VLOOKUP(Takeoffs!Y513,Sheet1!$B$6:$C$124,2,FALSE)</f>
        <v>109.25999999999999</v>
      </c>
      <c r="AA513" s="146">
        <f t="shared" si="225"/>
        <v>0</v>
      </c>
      <c r="AB513" s="143">
        <f t="shared" si="226"/>
        <v>0</v>
      </c>
      <c r="AC513" s="133">
        <f t="shared" si="227"/>
        <v>0</v>
      </c>
      <c r="AD513" s="142">
        <v>1</v>
      </c>
      <c r="AE513" s="141"/>
      <c r="AF513" s="121" t="s">
        <v>292</v>
      </c>
      <c r="AG513" s="146">
        <f>VLOOKUP(Takeoffs!AF513,Sheet1!$B$6:$C$124,2,FALSE)</f>
        <v>0</v>
      </c>
      <c r="AH513" s="146">
        <f t="shared" si="228"/>
        <v>0</v>
      </c>
      <c r="AI513" s="143">
        <f t="shared" si="229"/>
        <v>0</v>
      </c>
      <c r="AJ513" s="133">
        <f t="shared" si="230"/>
        <v>0</v>
      </c>
      <c r="AK513" s="142">
        <f t="shared" ref="AK513:AK520" si="233">T513</f>
        <v>0</v>
      </c>
      <c r="AL513" s="141"/>
      <c r="AO513" s="286"/>
      <c r="AP513" s="284">
        <f t="shared" si="209"/>
        <v>0</v>
      </c>
      <c r="AQ513" s="281">
        <f t="shared" si="210"/>
        <v>0</v>
      </c>
      <c r="AR513" s="284">
        <f t="shared" si="211"/>
        <v>0</v>
      </c>
      <c r="AS513" s="281">
        <f t="shared" si="212"/>
        <v>0</v>
      </c>
      <c r="AT513" s="284">
        <f t="shared" si="213"/>
        <v>0</v>
      </c>
    </row>
    <row r="514" spans="1:97" s="114" customFormat="1" ht="30.9" x14ac:dyDescent="0.8">
      <c r="A514" s="262">
        <f>ROW()</f>
        <v>514</v>
      </c>
      <c r="C514" s="208"/>
      <c r="D514" s="208"/>
      <c r="E514" s="208"/>
      <c r="F514" s="208"/>
      <c r="G514" s="208"/>
      <c r="H514" s="208"/>
      <c r="J514" s="114" t="str">
        <f t="shared" si="231"/>
        <v/>
      </c>
      <c r="K514" s="114" t="str">
        <f>IF(COUNTBLANK(R514)&gt;0,"",CONCATENATE(R514," for ",N500))</f>
        <v/>
      </c>
      <c r="N514" s="123" t="s">
        <v>126</v>
      </c>
      <c r="O514" s="66" t="s">
        <v>650</v>
      </c>
      <c r="P514" s="121"/>
      <c r="Q514" s="66"/>
      <c r="R514" s="121"/>
      <c r="S514" s="133">
        <f>M500</f>
        <v>0</v>
      </c>
      <c r="T514" s="120"/>
      <c r="U514" s="121" t="s">
        <v>292</v>
      </c>
      <c r="V514" s="133">
        <f t="shared" si="224"/>
        <v>0</v>
      </c>
      <c r="W514" s="133">
        <f>VLOOKUP(U514,Sheet1!$B$6:$C$45,2,FALSE)*V514</f>
        <v>0</v>
      </c>
      <c r="X514" s="141"/>
      <c r="Y514" s="122" t="s">
        <v>326</v>
      </c>
      <c r="Z514" s="146">
        <f>VLOOKUP(Takeoffs!Y514,Sheet1!$B$6:$C$124,2,FALSE)</f>
        <v>29.04</v>
      </c>
      <c r="AA514" s="146">
        <f t="shared" si="225"/>
        <v>0</v>
      </c>
      <c r="AB514" s="143">
        <f t="shared" si="226"/>
        <v>0</v>
      </c>
      <c r="AC514" s="133">
        <f t="shared" si="227"/>
        <v>0</v>
      </c>
      <c r="AD514" s="142">
        <v>1</v>
      </c>
      <c r="AE514" s="141"/>
      <c r="AF514" s="121" t="s">
        <v>292</v>
      </c>
      <c r="AG514" s="146">
        <f>VLOOKUP(Takeoffs!AF514,Sheet1!$B$6:$C$124,2,FALSE)</f>
        <v>0</v>
      </c>
      <c r="AH514" s="146">
        <f t="shared" si="228"/>
        <v>0</v>
      </c>
      <c r="AI514" s="143">
        <f t="shared" si="229"/>
        <v>0</v>
      </c>
      <c r="AJ514" s="133">
        <f t="shared" si="230"/>
        <v>0</v>
      </c>
      <c r="AK514" s="142">
        <f t="shared" si="233"/>
        <v>0</v>
      </c>
      <c r="AL514" s="141"/>
      <c r="AO514" s="286"/>
      <c r="AP514" s="284">
        <f t="shared" si="209"/>
        <v>0</v>
      </c>
      <c r="AQ514" s="281">
        <f t="shared" si="210"/>
        <v>0</v>
      </c>
      <c r="AR514" s="284">
        <f t="shared" si="211"/>
        <v>0</v>
      </c>
      <c r="AS514" s="281">
        <f t="shared" si="212"/>
        <v>0</v>
      </c>
      <c r="AT514" s="284">
        <f t="shared" si="213"/>
        <v>0</v>
      </c>
    </row>
    <row r="515" spans="1:97" s="114" customFormat="1" ht="30.9" x14ac:dyDescent="0.8">
      <c r="A515" s="262">
        <f>ROW()</f>
        <v>515</v>
      </c>
      <c r="C515" s="208"/>
      <c r="D515" s="208"/>
      <c r="E515" s="208"/>
      <c r="F515" s="208"/>
      <c r="G515" s="208"/>
      <c r="H515" s="208"/>
      <c r="J515" s="114" t="str">
        <f t="shared" si="231"/>
        <v/>
      </c>
      <c r="K515" s="114" t="str">
        <f>IF(COUNTBLANK(R515)&gt;0,"",CONCATENATE(R515," for ",N500))</f>
        <v>run and fault lights for general fan with interlock to lighting circuit- from local power supply</v>
      </c>
      <c r="N515" s="123" t="s">
        <v>127</v>
      </c>
      <c r="O515" s="66" t="s">
        <v>337</v>
      </c>
      <c r="P515" s="121"/>
      <c r="Q515" s="66"/>
      <c r="R515" s="121" t="s">
        <v>331</v>
      </c>
      <c r="S515" s="133">
        <f>M500</f>
        <v>0</v>
      </c>
      <c r="T515" s="120"/>
      <c r="U515" s="121" t="s">
        <v>292</v>
      </c>
      <c r="V515" s="133">
        <f t="shared" si="224"/>
        <v>0</v>
      </c>
      <c r="W515" s="133">
        <f>VLOOKUP(U515,Sheet1!$B$6:$C$45,2,FALSE)*V515</f>
        <v>0</v>
      </c>
      <c r="X515" s="141"/>
      <c r="Y515" s="122" t="s">
        <v>280</v>
      </c>
      <c r="Z515" s="146">
        <f>VLOOKUP(Takeoffs!Y515,Sheet1!$B$6:$C$124,2,FALSE)</f>
        <v>19.2</v>
      </c>
      <c r="AA515" s="146">
        <f t="shared" si="225"/>
        <v>0</v>
      </c>
      <c r="AB515" s="143">
        <f t="shared" si="226"/>
        <v>0</v>
      </c>
      <c r="AC515" s="133">
        <f t="shared" si="227"/>
        <v>0</v>
      </c>
      <c r="AD515" s="142">
        <v>2</v>
      </c>
      <c r="AE515" s="141"/>
      <c r="AF515" s="121" t="s">
        <v>292</v>
      </c>
      <c r="AG515" s="146">
        <f>VLOOKUP(Takeoffs!AF515,Sheet1!$B$6:$C$124,2,FALSE)</f>
        <v>0</v>
      </c>
      <c r="AH515" s="146">
        <f t="shared" si="228"/>
        <v>0</v>
      </c>
      <c r="AI515" s="143">
        <f t="shared" si="229"/>
        <v>0</v>
      </c>
      <c r="AJ515" s="133">
        <f t="shared" si="230"/>
        <v>0</v>
      </c>
      <c r="AK515" s="142">
        <f t="shared" si="233"/>
        <v>0</v>
      </c>
      <c r="AL515" s="141"/>
      <c r="AO515" s="286"/>
      <c r="AP515" s="284">
        <f t="shared" si="209"/>
        <v>0</v>
      </c>
      <c r="AQ515" s="281">
        <f t="shared" si="210"/>
        <v>0</v>
      </c>
      <c r="AR515" s="284">
        <f t="shared" si="211"/>
        <v>0</v>
      </c>
      <c r="AS515" s="281">
        <f t="shared" si="212"/>
        <v>0</v>
      </c>
      <c r="AT515" s="284">
        <f t="shared" si="213"/>
        <v>0</v>
      </c>
    </row>
    <row r="516" spans="1:97" s="114" customFormat="1" ht="30.9" x14ac:dyDescent="0.8">
      <c r="A516" s="262">
        <f>ROW()</f>
        <v>516</v>
      </c>
      <c r="C516" s="208"/>
      <c r="D516" s="208"/>
      <c r="E516" s="208"/>
      <c r="F516" s="208"/>
      <c r="G516" s="208"/>
      <c r="H516" s="208"/>
      <c r="J516" s="114" t="str">
        <f t="shared" si="231"/>
        <v/>
      </c>
      <c r="K516" s="114" t="str">
        <f>IF(COUNTBLANK(R516)&gt;0,"",CONCATENATE(R516," for ",N500))</f>
        <v/>
      </c>
      <c r="N516" s="123" t="s">
        <v>128</v>
      </c>
      <c r="O516" s="66"/>
      <c r="P516" s="121"/>
      <c r="Q516" s="66"/>
      <c r="R516" s="121"/>
      <c r="S516" s="133">
        <f>M500</f>
        <v>0</v>
      </c>
      <c r="T516" s="120"/>
      <c r="U516" s="121" t="s">
        <v>292</v>
      </c>
      <c r="V516" s="133">
        <f t="shared" si="224"/>
        <v>0</v>
      </c>
      <c r="W516" s="133">
        <f>VLOOKUP(U516,Sheet1!$B$6:$C$45,2,FALSE)*V516</f>
        <v>0</v>
      </c>
      <c r="X516" s="141"/>
      <c r="Y516" s="121" t="s">
        <v>292</v>
      </c>
      <c r="Z516" s="146">
        <f>VLOOKUP(Takeoffs!Y516,Sheet1!$B$6:$C$124,2,FALSE)</f>
        <v>0</v>
      </c>
      <c r="AA516" s="146">
        <f t="shared" si="225"/>
        <v>0</v>
      </c>
      <c r="AB516" s="143">
        <f t="shared" si="226"/>
        <v>0</v>
      </c>
      <c r="AC516" s="133">
        <f t="shared" si="227"/>
        <v>0</v>
      </c>
      <c r="AD516" s="142">
        <v>1</v>
      </c>
      <c r="AE516" s="141"/>
      <c r="AF516" s="121" t="s">
        <v>292</v>
      </c>
      <c r="AG516" s="146">
        <f>VLOOKUP(Takeoffs!AF516,Sheet1!$B$6:$C$124,2,FALSE)</f>
        <v>0</v>
      </c>
      <c r="AH516" s="146">
        <f t="shared" si="228"/>
        <v>0</v>
      </c>
      <c r="AI516" s="143">
        <f t="shared" si="229"/>
        <v>0</v>
      </c>
      <c r="AJ516" s="133">
        <f t="shared" si="230"/>
        <v>0</v>
      </c>
      <c r="AK516" s="142">
        <f t="shared" si="233"/>
        <v>0</v>
      </c>
      <c r="AL516" s="141"/>
      <c r="AO516" s="286"/>
      <c r="AP516" s="284">
        <f t="shared" si="209"/>
        <v>0</v>
      </c>
      <c r="AQ516" s="281">
        <f t="shared" si="210"/>
        <v>0</v>
      </c>
      <c r="AR516" s="284">
        <f t="shared" si="211"/>
        <v>0</v>
      </c>
      <c r="AS516" s="281">
        <f t="shared" si="212"/>
        <v>0</v>
      </c>
      <c r="AT516" s="284">
        <f t="shared" si="213"/>
        <v>0</v>
      </c>
    </row>
    <row r="517" spans="1:97" s="114" customFormat="1" ht="30.9" x14ac:dyDescent="0.8">
      <c r="A517" s="262">
        <f>ROW()</f>
        <v>517</v>
      </c>
      <c r="C517" s="208"/>
      <c r="D517" s="208"/>
      <c r="E517" s="208"/>
      <c r="F517" s="208"/>
      <c r="G517" s="208"/>
      <c r="H517" s="208"/>
      <c r="J517" s="114" t="str">
        <f t="shared" si="231"/>
        <v/>
      </c>
      <c r="K517" s="114" t="str">
        <f>IF(COUNTBLANK(R517)&gt;0,"",CONCATENATE(R517," for ",N500))</f>
        <v>Auto/Off/On switch for general fan with interlock to lighting circuit- from local power supply</v>
      </c>
      <c r="N517" s="123" t="s">
        <v>129</v>
      </c>
      <c r="O517" s="66" t="s">
        <v>329</v>
      </c>
      <c r="P517" s="121"/>
      <c r="Q517" s="66"/>
      <c r="R517" s="121" t="s">
        <v>304</v>
      </c>
      <c r="S517" s="133">
        <f>M500</f>
        <v>0</v>
      </c>
      <c r="T517" s="120"/>
      <c r="U517" s="121" t="s">
        <v>292</v>
      </c>
      <c r="V517" s="133">
        <f t="shared" si="224"/>
        <v>0</v>
      </c>
      <c r="W517" s="133">
        <f>VLOOKUP(U517,Sheet1!$B$6:$C$45,2,FALSE)*V517</f>
        <v>0</v>
      </c>
      <c r="X517" s="141"/>
      <c r="Y517" s="122" t="s">
        <v>277</v>
      </c>
      <c r="Z517" s="146">
        <f>VLOOKUP(Takeoffs!Y517,Sheet1!$B$6:$C$124,2,FALSE)</f>
        <v>69.540000000000006</v>
      </c>
      <c r="AA517" s="146">
        <f t="shared" si="225"/>
        <v>0</v>
      </c>
      <c r="AB517" s="143">
        <f t="shared" si="226"/>
        <v>0</v>
      </c>
      <c r="AC517" s="133">
        <f t="shared" si="227"/>
        <v>0</v>
      </c>
      <c r="AD517" s="142">
        <v>1</v>
      </c>
      <c r="AE517" s="141"/>
      <c r="AF517" s="121" t="s">
        <v>292</v>
      </c>
      <c r="AG517" s="146">
        <f>VLOOKUP(Takeoffs!AF517,Sheet1!$B$6:$C$124,2,FALSE)</f>
        <v>0</v>
      </c>
      <c r="AH517" s="146">
        <f t="shared" si="228"/>
        <v>0</v>
      </c>
      <c r="AI517" s="143">
        <f t="shared" si="229"/>
        <v>0</v>
      </c>
      <c r="AJ517" s="133">
        <f t="shared" si="230"/>
        <v>0</v>
      </c>
      <c r="AK517" s="142">
        <f t="shared" si="233"/>
        <v>0</v>
      </c>
      <c r="AL517" s="141"/>
      <c r="AO517" s="286"/>
      <c r="AP517" s="284">
        <f t="shared" si="209"/>
        <v>0</v>
      </c>
      <c r="AQ517" s="281">
        <f t="shared" si="210"/>
        <v>0</v>
      </c>
      <c r="AR517" s="284">
        <f t="shared" si="211"/>
        <v>0</v>
      </c>
      <c r="AS517" s="281">
        <f t="shared" si="212"/>
        <v>0</v>
      </c>
      <c r="AT517" s="284">
        <f t="shared" si="213"/>
        <v>0</v>
      </c>
    </row>
    <row r="518" spans="1:97" s="114" customFormat="1" ht="30.9" x14ac:dyDescent="0.8">
      <c r="A518" s="262">
        <f>ROW()</f>
        <v>518</v>
      </c>
      <c r="C518" s="208"/>
      <c r="D518" s="208"/>
      <c r="E518" s="208"/>
      <c r="F518" s="208"/>
      <c r="G518" s="208"/>
      <c r="H518" s="208"/>
      <c r="J518" s="114" t="str">
        <f t="shared" si="231"/>
        <v/>
      </c>
      <c r="K518" s="114" t="str">
        <f>IF(COUNTBLANK(R518)&gt;0,"",CONCATENATE(R518," for ",N500))</f>
        <v/>
      </c>
      <c r="N518" s="123" t="s">
        <v>130</v>
      </c>
      <c r="O518" s="66" t="s">
        <v>338</v>
      </c>
      <c r="P518" s="121"/>
      <c r="Q518" s="66"/>
      <c r="R518" s="121"/>
      <c r="S518" s="133">
        <f>M500</f>
        <v>0</v>
      </c>
      <c r="T518" s="120"/>
      <c r="U518" s="121" t="s">
        <v>292</v>
      </c>
      <c r="V518" s="133">
        <f t="shared" si="224"/>
        <v>0</v>
      </c>
      <c r="W518" s="133">
        <f>VLOOKUP(U518,Sheet1!$B$6:$C$45,2,FALSE)*V518</f>
        <v>0</v>
      </c>
      <c r="X518" s="141"/>
      <c r="Y518" s="122" t="s">
        <v>333</v>
      </c>
      <c r="Z518" s="146">
        <f>VLOOKUP(Takeoffs!Y518,Sheet1!$B$6:$C$124,2,FALSE)</f>
        <v>60</v>
      </c>
      <c r="AA518" s="146">
        <f t="shared" si="225"/>
        <v>0</v>
      </c>
      <c r="AB518" s="143">
        <f t="shared" si="226"/>
        <v>0</v>
      </c>
      <c r="AC518" s="133">
        <f t="shared" si="227"/>
        <v>0</v>
      </c>
      <c r="AD518" s="142">
        <v>1</v>
      </c>
      <c r="AE518" s="141"/>
      <c r="AF518" s="121" t="s">
        <v>292</v>
      </c>
      <c r="AG518" s="146">
        <f>VLOOKUP(Takeoffs!AF518,Sheet1!$B$6:$C$124,2,FALSE)</f>
        <v>0</v>
      </c>
      <c r="AH518" s="146">
        <f t="shared" si="228"/>
        <v>0</v>
      </c>
      <c r="AI518" s="143">
        <f t="shared" si="229"/>
        <v>0</v>
      </c>
      <c r="AJ518" s="133">
        <f t="shared" si="230"/>
        <v>0</v>
      </c>
      <c r="AK518" s="142">
        <f t="shared" si="233"/>
        <v>0</v>
      </c>
      <c r="AL518" s="141"/>
      <c r="AO518" s="286"/>
      <c r="AP518" s="284">
        <f t="shared" si="209"/>
        <v>0</v>
      </c>
      <c r="AQ518" s="281">
        <f t="shared" si="210"/>
        <v>0</v>
      </c>
      <c r="AR518" s="284">
        <f t="shared" si="211"/>
        <v>0</v>
      </c>
      <c r="AS518" s="281">
        <f t="shared" si="212"/>
        <v>0</v>
      </c>
      <c r="AT518" s="284">
        <f t="shared" si="213"/>
        <v>0</v>
      </c>
    </row>
    <row r="519" spans="1:97" s="114" customFormat="1" ht="30.9" x14ac:dyDescent="0.8">
      <c r="A519" s="262">
        <f>ROW()</f>
        <v>519</v>
      </c>
      <c r="C519" s="208"/>
      <c r="D519" s="208"/>
      <c r="E519" s="208"/>
      <c r="F519" s="208"/>
      <c r="G519" s="208"/>
      <c r="H519" s="208"/>
      <c r="J519" s="114" t="str">
        <f t="shared" si="231"/>
        <v/>
      </c>
      <c r="K519" s="114" t="str">
        <f>IF(COUNTBLANK(R519)&gt;0,"",CONCATENATE(R519," for ",N500))</f>
        <v/>
      </c>
      <c r="N519" s="123" t="s">
        <v>131</v>
      </c>
      <c r="O519" s="66" t="s">
        <v>407</v>
      </c>
      <c r="P519" s="121"/>
      <c r="Q519" s="66"/>
      <c r="R519" s="121"/>
      <c r="S519" s="133">
        <f>M500</f>
        <v>0</v>
      </c>
      <c r="T519" s="120"/>
      <c r="U519" s="121" t="s">
        <v>292</v>
      </c>
      <c r="V519" s="133">
        <f t="shared" si="224"/>
        <v>0</v>
      </c>
      <c r="W519" s="133">
        <f>VLOOKUP(U519,Sheet1!$B$6:$C$45,2,FALSE)*V519</f>
        <v>0</v>
      </c>
      <c r="X519" s="141"/>
      <c r="Y519" s="121" t="s">
        <v>274</v>
      </c>
      <c r="Z519" s="146">
        <f>VLOOKUP(Takeoffs!Y519,Sheet1!$B$6:$C$124,2,FALSE)</f>
        <v>360</v>
      </c>
      <c r="AA519" s="146">
        <f t="shared" si="225"/>
        <v>0</v>
      </c>
      <c r="AB519" s="143">
        <f t="shared" si="226"/>
        <v>0</v>
      </c>
      <c r="AC519" s="133">
        <f t="shared" si="227"/>
        <v>0</v>
      </c>
      <c r="AD519" s="142">
        <v>1</v>
      </c>
      <c r="AE519" s="141"/>
      <c r="AF519" s="121" t="s">
        <v>292</v>
      </c>
      <c r="AG519" s="146">
        <f>VLOOKUP(Takeoffs!AF519,Sheet1!$B$6:$C$124,2,FALSE)</f>
        <v>0</v>
      </c>
      <c r="AH519" s="146">
        <f t="shared" si="228"/>
        <v>0</v>
      </c>
      <c r="AI519" s="143">
        <f t="shared" si="229"/>
        <v>0</v>
      </c>
      <c r="AJ519" s="133">
        <f t="shared" si="230"/>
        <v>0</v>
      </c>
      <c r="AK519" s="142">
        <f t="shared" si="233"/>
        <v>0</v>
      </c>
      <c r="AL519" s="141"/>
      <c r="AO519" s="286"/>
      <c r="AP519" s="284">
        <f t="shared" si="209"/>
        <v>0</v>
      </c>
      <c r="AQ519" s="281">
        <f t="shared" si="210"/>
        <v>0</v>
      </c>
      <c r="AR519" s="284">
        <f t="shared" si="211"/>
        <v>0</v>
      </c>
      <c r="AS519" s="281">
        <f t="shared" si="212"/>
        <v>0</v>
      </c>
      <c r="AT519" s="284">
        <f t="shared" si="213"/>
        <v>0</v>
      </c>
    </row>
    <row r="520" spans="1:97" s="114" customFormat="1" ht="30.9" x14ac:dyDescent="0.8">
      <c r="A520" s="262">
        <f>ROW()</f>
        <v>520</v>
      </c>
      <c r="C520" s="208"/>
      <c r="D520" s="208"/>
      <c r="E520" s="208"/>
      <c r="F520" s="208"/>
      <c r="G520" s="208"/>
      <c r="H520" s="208"/>
      <c r="J520" s="114" t="str">
        <f t="shared" si="231"/>
        <v/>
      </c>
      <c r="K520" s="114" t="str">
        <f>IF(COUNTBLANK(R520)&gt;0,"",CONCATENATE(R520," for ",N500))</f>
        <v/>
      </c>
      <c r="N520" s="123" t="s">
        <v>132</v>
      </c>
      <c r="O520" s="66" t="s">
        <v>408</v>
      </c>
      <c r="P520" s="121"/>
      <c r="Q520" s="66"/>
      <c r="R520" s="121"/>
      <c r="S520" s="133">
        <f>M500</f>
        <v>0</v>
      </c>
      <c r="T520" s="120"/>
      <c r="U520" s="121" t="s">
        <v>362</v>
      </c>
      <c r="V520" s="133">
        <f t="shared" si="224"/>
        <v>0</v>
      </c>
      <c r="W520" s="133">
        <f>VLOOKUP(U520,Sheet1!$B$6:$C$45,2,FALSE)*V520</f>
        <v>0</v>
      </c>
      <c r="X520" s="141"/>
      <c r="Y520" s="121" t="s">
        <v>292</v>
      </c>
      <c r="Z520" s="146">
        <f>VLOOKUP(Takeoffs!Y520,Sheet1!$B$6:$C$124,2,FALSE)</f>
        <v>0</v>
      </c>
      <c r="AA520" s="146">
        <f t="shared" si="225"/>
        <v>0</v>
      </c>
      <c r="AB520" s="143">
        <f t="shared" si="226"/>
        <v>0</v>
      </c>
      <c r="AC520" s="133">
        <f t="shared" si="227"/>
        <v>0</v>
      </c>
      <c r="AD520" s="142">
        <v>1</v>
      </c>
      <c r="AE520" s="141"/>
      <c r="AF520" s="121" t="s">
        <v>292</v>
      </c>
      <c r="AG520" s="146">
        <f>VLOOKUP(Takeoffs!AF520,Sheet1!$B$6:$C$124,2,FALSE)</f>
        <v>0</v>
      </c>
      <c r="AH520" s="146">
        <f t="shared" si="228"/>
        <v>0</v>
      </c>
      <c r="AI520" s="143">
        <f t="shared" si="229"/>
        <v>0</v>
      </c>
      <c r="AJ520" s="133">
        <f t="shared" si="230"/>
        <v>0</v>
      </c>
      <c r="AK520" s="142">
        <f t="shared" si="233"/>
        <v>0</v>
      </c>
      <c r="AL520" s="141"/>
      <c r="AO520" s="286"/>
      <c r="AP520" s="284">
        <f t="shared" si="209"/>
        <v>0</v>
      </c>
      <c r="AQ520" s="281">
        <f t="shared" si="210"/>
        <v>0</v>
      </c>
      <c r="AR520" s="284">
        <f t="shared" si="211"/>
        <v>0</v>
      </c>
      <c r="AS520" s="281">
        <f t="shared" si="212"/>
        <v>0</v>
      </c>
      <c r="AT520" s="284">
        <f t="shared" si="213"/>
        <v>0</v>
      </c>
    </row>
    <row r="521" spans="1:97" s="128" customFormat="1" ht="31.5" customHeight="1" x14ac:dyDescent="0.8">
      <c r="A521" s="262">
        <f>ROW()</f>
        <v>521</v>
      </c>
      <c r="C521" s="212"/>
      <c r="D521" s="212"/>
      <c r="E521" s="212"/>
      <c r="F521" s="212"/>
      <c r="G521" s="212"/>
      <c r="H521" s="212"/>
      <c r="J521" s="128" t="s">
        <v>377</v>
      </c>
      <c r="L521" s="128" t="s">
        <v>378</v>
      </c>
      <c r="N521" s="129"/>
      <c r="O521" s="130" t="s">
        <v>357</v>
      </c>
      <c r="P521" s="131">
        <f>V521+AA521+AH521</f>
        <v>0</v>
      </c>
      <c r="Q521" s="131"/>
      <c r="R521" s="131"/>
      <c r="S521" s="130"/>
      <c r="T521" s="127"/>
      <c r="U521" s="126" t="s">
        <v>351</v>
      </c>
      <c r="V521" s="127">
        <f>W521*80</f>
        <v>0</v>
      </c>
      <c r="W521" s="147">
        <f>SUM(W500:W520)</f>
        <v>0</v>
      </c>
      <c r="X521" s="148"/>
      <c r="Y521" s="127" t="s">
        <v>352</v>
      </c>
      <c r="Z521" s="116"/>
      <c r="AA521" s="116">
        <f>SUM(AA500:AA520)</f>
        <v>0</v>
      </c>
      <c r="AB521" s="149"/>
      <c r="AC521" s="149"/>
      <c r="AD521" s="149"/>
      <c r="AE521" s="149"/>
      <c r="AF521" s="127" t="s">
        <v>356</v>
      </c>
      <c r="AG521" s="116"/>
      <c r="AH521" s="116">
        <f>SUM(AH500:AH520)</f>
        <v>0</v>
      </c>
      <c r="AI521" s="149"/>
      <c r="AJ521" s="149"/>
      <c r="AK521" s="149"/>
      <c r="AL521" s="149"/>
      <c r="AM521" s="150">
        <f>P521</f>
        <v>0</v>
      </c>
      <c r="AO521" s="286"/>
      <c r="AP521" s="284">
        <f t="shared" si="209"/>
        <v>0</v>
      </c>
      <c r="AQ521" s="281">
        <f t="shared" si="210"/>
        <v>0</v>
      </c>
      <c r="AR521" s="284">
        <f t="shared" si="211"/>
        <v>0</v>
      </c>
      <c r="AS521" s="281">
        <f t="shared" si="212"/>
        <v>0</v>
      </c>
      <c r="AT521" s="284">
        <f t="shared" si="213"/>
        <v>0</v>
      </c>
    </row>
    <row r="522" spans="1:97" s="234" customFormat="1" ht="185.15" x14ac:dyDescent="0.8">
      <c r="A522" s="262">
        <f>ROW()</f>
        <v>522</v>
      </c>
      <c r="B522" s="234" t="s">
        <v>491</v>
      </c>
      <c r="C522" s="217" t="str">
        <f>N500</f>
        <v>general fan with interlock to lighting circuit- from local power supply</v>
      </c>
      <c r="D522" s="260" t="str">
        <f>IF(B522="Shopping List",IF(ISNUMBER(SEARCH("MSSB",C522)),"MSSB",IF(ISNUMBER(SEARCH("local",C522)),"LOCAL","")))</f>
        <v>LOCAL</v>
      </c>
      <c r="E522" s="238"/>
      <c r="F522" s="217"/>
      <c r="G522" s="217"/>
      <c r="H522" s="245"/>
      <c r="I522" s="270"/>
      <c r="J522" s="241" t="str">
        <f>CONCATENATE(O500," ",L500, " (",M500,") ",N500,".", IF(M500&gt;1," Each "," This "),"includes supply and install of ",O501,O502,O503,O504,O505,O506,O507,O508,O509,O510,O511,O512,O513,O514,O515,O516,O517,O518,O519,O520,J501,J502,J503,J504,J505,J506,J507,J508,J509,J510,J511,J512,J513,J514,J515,J516,J517,J518,J519,J520)</f>
        <v xml:space="preserve">Electrical power supply and controls to Zero (0) general fan with interlock to lighting circuit- from local power supply. This includes supply and install of power and controls. Power for system includes: cabling to fan and control panel (from Builder's Electrician's isolator) and local isolator. Controls for system includes: controls cabling, contactors/relays, Current switch an interlock with lighting circuit ( note current switch ensures clear demarcation between trades), run and fault lights, Auto/Off/On switch, controls enclosure, trefolyte labelling, and commissioning/testing. Coordination Note: - Builders electrician: Please refer to our exclusions relating to local power supply </v>
      </c>
      <c r="K522" s="246">
        <f>P521</f>
        <v>0</v>
      </c>
      <c r="L522" s="234" t="str">
        <f>CONCATENATE(Q501,Q502,Q503,Q504,Q505,Q506,Q507,Q508,Q509,Q510,Q511,Q512,Q513,Q514,Q515,Q516,Q517,Q518,Q519,Q520,)</f>
        <v xml:space="preserve">local power supply </v>
      </c>
      <c r="M522" s="166" t="s">
        <v>367</v>
      </c>
      <c r="N522" s="160" t="str">
        <f>N500</f>
        <v>general fan with interlock to lighting circuit- from local power supply</v>
      </c>
      <c r="O522" s="160" t="s">
        <v>365</v>
      </c>
      <c r="P522" s="82" t="e">
        <f>P521/M500</f>
        <v>#DIV/0!</v>
      </c>
      <c r="Q522" s="161"/>
      <c r="R522" s="161"/>
      <c r="S522" s="160"/>
      <c r="T522" s="161"/>
      <c r="U522" s="503" t="s">
        <v>366</v>
      </c>
      <c r="V522" s="503"/>
      <c r="W522" s="162" t="e">
        <f>W521/M500</f>
        <v>#DIV/0!</v>
      </c>
      <c r="X522" s="163"/>
      <c r="Y522" s="501" t="s">
        <v>365</v>
      </c>
      <c r="Z522" s="501"/>
      <c r="AA522" s="164" t="e">
        <f>AA521/M500</f>
        <v>#DIV/0!</v>
      </c>
      <c r="AB522" s="161"/>
      <c r="AC522" s="161"/>
      <c r="AD522" s="161"/>
      <c r="AE522" s="161"/>
      <c r="AF522" s="501" t="s">
        <v>365</v>
      </c>
      <c r="AG522" s="501"/>
      <c r="AH522" s="164" t="e">
        <f>AH521/M500</f>
        <v>#DIV/0!</v>
      </c>
      <c r="AI522" s="161"/>
      <c r="AJ522" s="161"/>
      <c r="AK522" s="161"/>
      <c r="AL522" s="247"/>
      <c r="AM522" s="257"/>
      <c r="AN522" s="236">
        <f>K522*$D$9</f>
        <v>0</v>
      </c>
      <c r="AO522" s="286"/>
      <c r="AP522" s="284">
        <f t="shared" si="209"/>
        <v>0</v>
      </c>
      <c r="AQ522" s="281">
        <f t="shared" si="210"/>
        <v>0</v>
      </c>
      <c r="AR522" s="284">
        <f t="shared" si="211"/>
        <v>0</v>
      </c>
      <c r="AS522" s="281">
        <f t="shared" si="212"/>
        <v>0</v>
      </c>
      <c r="AT522" s="284">
        <f t="shared" si="213"/>
        <v>0</v>
      </c>
      <c r="AU522" s="117"/>
      <c r="AV522" s="117"/>
      <c r="AW522" s="117"/>
      <c r="AX522" s="117"/>
      <c r="AY522" s="117"/>
      <c r="AZ522" s="117"/>
      <c r="BA522" s="117"/>
      <c r="BB522" s="117"/>
      <c r="BC522" s="117"/>
      <c r="BD522" s="117"/>
      <c r="BE522" s="117"/>
      <c r="BF522" s="117"/>
      <c r="BG522" s="117"/>
      <c r="BH522" s="117"/>
      <c r="BI522" s="117"/>
      <c r="BJ522" s="117"/>
      <c r="BK522" s="117"/>
      <c r="BL522" s="117"/>
      <c r="BM522" s="117"/>
      <c r="BN522" s="117"/>
      <c r="BO522" s="117"/>
      <c r="BP522" s="117"/>
      <c r="BQ522" s="117"/>
      <c r="BR522" s="117"/>
      <c r="BS522" s="117"/>
      <c r="BT522" s="117"/>
      <c r="BU522" s="117"/>
      <c r="BV522" s="117"/>
      <c r="BW522" s="117"/>
      <c r="BX522" s="117"/>
      <c r="BY522" s="117"/>
      <c r="BZ522" s="117"/>
      <c r="CA522" s="117"/>
      <c r="CB522" s="117"/>
      <c r="CC522" s="117"/>
      <c r="CD522" s="117"/>
      <c r="CE522" s="117"/>
      <c r="CF522" s="117"/>
      <c r="CG522" s="117"/>
      <c r="CH522" s="117"/>
      <c r="CI522" s="117"/>
      <c r="CJ522" s="117"/>
      <c r="CK522" s="117"/>
      <c r="CL522" s="117"/>
      <c r="CM522" s="117"/>
      <c r="CN522" s="117"/>
      <c r="CO522" s="117"/>
      <c r="CP522" s="117"/>
      <c r="CQ522" s="117"/>
      <c r="CR522" s="117"/>
      <c r="CS522" s="117"/>
    </row>
    <row r="523" spans="1:97" s="116" customFormat="1" ht="192.75" customHeight="1" x14ac:dyDescent="0.8">
      <c r="A523" s="262">
        <f>ROW()</f>
        <v>523</v>
      </c>
      <c r="C523" s="211"/>
      <c r="D523" s="211"/>
      <c r="E523" s="211"/>
      <c r="F523" s="211"/>
      <c r="G523" s="211"/>
      <c r="H523" s="211"/>
      <c r="K523" s="116" t="s">
        <v>452</v>
      </c>
      <c r="M523" s="116" t="s">
        <v>107</v>
      </c>
      <c r="N523" s="116" t="s">
        <v>108</v>
      </c>
      <c r="O523" s="170" t="s">
        <v>386</v>
      </c>
      <c r="P523" s="502" t="s">
        <v>375</v>
      </c>
      <c r="Q523" s="502"/>
      <c r="R523" s="101" t="s">
        <v>452</v>
      </c>
      <c r="S523" s="116" t="s">
        <v>0</v>
      </c>
      <c r="T523" s="118"/>
      <c r="U523" s="116" t="s">
        <v>287</v>
      </c>
      <c r="V523" s="116" t="s">
        <v>288</v>
      </c>
      <c r="W523" s="116" t="s">
        <v>291</v>
      </c>
      <c r="X523" s="140"/>
      <c r="Y523" s="116" t="s">
        <v>289</v>
      </c>
      <c r="Z523" s="116" t="s">
        <v>354</v>
      </c>
      <c r="AA523" s="116" t="s">
        <v>355</v>
      </c>
      <c r="AB523" s="116" t="s">
        <v>317</v>
      </c>
      <c r="AC523" s="116" t="s">
        <v>318</v>
      </c>
      <c r="AD523" s="116" t="s">
        <v>316</v>
      </c>
      <c r="AE523" s="140"/>
      <c r="AF523" s="116" t="s">
        <v>293</v>
      </c>
      <c r="AG523" s="116" t="s">
        <v>354</v>
      </c>
      <c r="AH523" s="116" t="s">
        <v>355</v>
      </c>
      <c r="AI523" s="116" t="s">
        <v>296</v>
      </c>
      <c r="AJ523" s="116" t="s">
        <v>294</v>
      </c>
      <c r="AK523" s="116" t="s">
        <v>295</v>
      </c>
      <c r="AL523" s="140"/>
      <c r="AO523" s="288"/>
      <c r="AP523" s="284">
        <f t="shared" si="209"/>
        <v>0</v>
      </c>
      <c r="AQ523" s="281">
        <f t="shared" si="210"/>
        <v>0</v>
      </c>
      <c r="AR523" s="284">
        <f t="shared" si="211"/>
        <v>0</v>
      </c>
      <c r="AS523" s="281">
        <f t="shared" si="212"/>
        <v>0</v>
      </c>
      <c r="AT523" s="284">
        <f t="shared" si="213"/>
        <v>0</v>
      </c>
    </row>
    <row r="524" spans="1:97" s="114" customFormat="1" ht="40.5" customHeight="1" x14ac:dyDescent="0.8">
      <c r="A524" s="262">
        <f>ROW()</f>
        <v>524</v>
      </c>
      <c r="C524" s="208"/>
      <c r="D524" s="208"/>
      <c r="E524" s="208"/>
      <c r="F524" s="208"/>
      <c r="G524" s="208"/>
      <c r="H524" s="208"/>
      <c r="L524" s="124" t="str">
        <f>VLOOKUP(M524,Sheet2!$D$2:$E$1024,2,FALSE)</f>
        <v>Zero</v>
      </c>
      <c r="M524" s="121">
        <f>I546</f>
        <v>0</v>
      </c>
      <c r="N524" s="132" t="s">
        <v>540</v>
      </c>
      <c r="O524" s="121" t="s">
        <v>347</v>
      </c>
      <c r="P524" s="169" t="s">
        <v>379</v>
      </c>
      <c r="Q524" s="169" t="s">
        <v>375</v>
      </c>
      <c r="R524" s="169"/>
      <c r="S524" s="133">
        <f>M524</f>
        <v>0</v>
      </c>
      <c r="T524" s="119"/>
      <c r="U524" s="121" t="s">
        <v>292</v>
      </c>
      <c r="V524" s="133">
        <f>S524</f>
        <v>0</v>
      </c>
      <c r="W524" s="133">
        <f>VLOOKUP(U524,Sheet1!$B$6:$C$45,2,FALSE)*V524</f>
        <v>0</v>
      </c>
      <c r="X524" s="141"/>
      <c r="Y524" s="121" t="s">
        <v>292</v>
      </c>
      <c r="Z524" s="146">
        <f>VLOOKUP(Takeoffs!Y524,Sheet1!$B$6:$C$124,2,FALSE)</f>
        <v>0</v>
      </c>
      <c r="AA524" s="146">
        <f>Z524*AB524</f>
        <v>0</v>
      </c>
      <c r="AB524" s="143">
        <f>AD524*AC524</f>
        <v>0</v>
      </c>
      <c r="AC524" s="133">
        <f>S524</f>
        <v>0</v>
      </c>
      <c r="AD524" s="142">
        <v>1</v>
      </c>
      <c r="AE524" s="141"/>
      <c r="AF524" s="121" t="s">
        <v>292</v>
      </c>
      <c r="AG524" s="146">
        <f>VLOOKUP(Takeoffs!AF524,Sheet1!$B$6:$C$124,2,FALSE)</f>
        <v>0</v>
      </c>
      <c r="AH524" s="146">
        <f>AG524*AI524</f>
        <v>0</v>
      </c>
      <c r="AI524" s="143">
        <f>AK524*AJ524</f>
        <v>0</v>
      </c>
      <c r="AJ524" s="133">
        <f>S524</f>
        <v>0</v>
      </c>
      <c r="AK524" s="142">
        <f>T524</f>
        <v>0</v>
      </c>
      <c r="AL524" s="141"/>
      <c r="AO524" s="286"/>
      <c r="AP524" s="284">
        <f t="shared" si="209"/>
        <v>0</v>
      </c>
      <c r="AQ524" s="281">
        <f t="shared" si="210"/>
        <v>0</v>
      </c>
      <c r="AR524" s="284">
        <f t="shared" si="211"/>
        <v>0</v>
      </c>
      <c r="AS524" s="281">
        <f t="shared" si="212"/>
        <v>0</v>
      </c>
      <c r="AT524" s="284">
        <f t="shared" si="213"/>
        <v>0</v>
      </c>
    </row>
    <row r="525" spans="1:97" s="114" customFormat="1" ht="30.9" x14ac:dyDescent="0.8">
      <c r="A525" s="262">
        <f>ROW()</f>
        <v>525</v>
      </c>
      <c r="C525" s="208"/>
      <c r="D525" s="208"/>
      <c r="E525" s="208"/>
      <c r="F525" s="208"/>
      <c r="G525" s="208"/>
      <c r="H525" s="208"/>
      <c r="J525" s="114" t="str">
        <f>IF(COUNTBLANK(Q525)&gt;0,"",CONCATENATE("Coordination Note: - ",P525,": Please refer to our exclusions relating to ",Q525))</f>
        <v/>
      </c>
      <c r="K525" s="114" t="str">
        <f>IF(COUNTBLANK(R525)&gt;0,"",CONCATENATE(R525," for ",N524))</f>
        <v/>
      </c>
      <c r="M525" s="117"/>
      <c r="N525" s="123" t="s">
        <v>113</v>
      </c>
      <c r="O525" s="66" t="s">
        <v>340</v>
      </c>
      <c r="P525" s="121"/>
      <c r="Q525" s="66"/>
      <c r="R525" s="121"/>
      <c r="S525" s="133">
        <f>M524</f>
        <v>0</v>
      </c>
      <c r="T525" s="120"/>
      <c r="U525" s="121" t="s">
        <v>233</v>
      </c>
      <c r="V525" s="133">
        <f t="shared" ref="V525:V544" si="234">S525</f>
        <v>0</v>
      </c>
      <c r="W525" s="133">
        <f>VLOOKUP(U525,Sheet1!$B$6:$C$45,2,FALSE)*V525</f>
        <v>0</v>
      </c>
      <c r="X525" s="141"/>
      <c r="Y525" s="121" t="s">
        <v>292</v>
      </c>
      <c r="Z525" s="146">
        <f>VLOOKUP(Takeoffs!Y525,Sheet1!$B$6:$C$124,2,FALSE)</f>
        <v>0</v>
      </c>
      <c r="AA525" s="146">
        <f t="shared" ref="AA525:AA544" si="235">Z525*AB525</f>
        <v>0</v>
      </c>
      <c r="AB525" s="143">
        <f t="shared" ref="AB525:AB544" si="236">AD525*AC525</f>
        <v>0</v>
      </c>
      <c r="AC525" s="133">
        <f t="shared" ref="AC525:AC544" si="237">S525</f>
        <v>0</v>
      </c>
      <c r="AD525" s="142">
        <v>1</v>
      </c>
      <c r="AE525" s="141"/>
      <c r="AF525" s="121" t="s">
        <v>292</v>
      </c>
      <c r="AG525" s="146">
        <f>VLOOKUP(Takeoffs!AF525,Sheet1!$B$6:$C$124,2,FALSE)</f>
        <v>0</v>
      </c>
      <c r="AH525" s="146">
        <f t="shared" ref="AH525:AH544" si="238">AG525*AI525</f>
        <v>0</v>
      </c>
      <c r="AI525" s="143">
        <f t="shared" ref="AI525:AI544" si="239">AK525*AJ525</f>
        <v>0</v>
      </c>
      <c r="AJ525" s="133">
        <f t="shared" ref="AJ525:AJ544" si="240">S525</f>
        <v>0</v>
      </c>
      <c r="AK525" s="142">
        <f>T525</f>
        <v>0</v>
      </c>
      <c r="AL525" s="141"/>
      <c r="AO525" s="286"/>
      <c r="AP525" s="284">
        <f t="shared" si="209"/>
        <v>0</v>
      </c>
      <c r="AQ525" s="281">
        <f t="shared" si="210"/>
        <v>0</v>
      </c>
      <c r="AR525" s="284">
        <f t="shared" si="211"/>
        <v>0</v>
      </c>
      <c r="AS525" s="281">
        <f t="shared" si="212"/>
        <v>0</v>
      </c>
      <c r="AT525" s="284">
        <f t="shared" si="213"/>
        <v>0</v>
      </c>
    </row>
    <row r="526" spans="1:97" s="114" customFormat="1" ht="30.9" x14ac:dyDescent="0.8">
      <c r="A526" s="262">
        <f>ROW()</f>
        <v>526</v>
      </c>
      <c r="C526" s="208"/>
      <c r="D526" s="208"/>
      <c r="E526" s="208"/>
      <c r="F526" s="208"/>
      <c r="G526" s="208"/>
      <c r="H526" s="208"/>
      <c r="J526" s="114" t="str">
        <f t="shared" ref="J526:J544" si="241">IF(COUNTBLANK(Q526)&gt;0,"",CONCATENATE("Coordination Note: - ",P526,": Please refer to our exclusions relating to ",Q526))</f>
        <v xml:space="preserve">Coordination Note: - Builders electrician: Please refer to our exclusions relating to local power supply </v>
      </c>
      <c r="K526" s="114" t="str">
        <f>IF(COUNTBLANK(R526)&gt;0,"",CONCATENATE(R526," for ",N524))</f>
        <v/>
      </c>
      <c r="M526" s="117"/>
      <c r="N526" s="123" t="s">
        <v>114</v>
      </c>
      <c r="O526" s="66" t="s">
        <v>441</v>
      </c>
      <c r="P526" s="121" t="s">
        <v>539</v>
      </c>
      <c r="Q526" s="66" t="s">
        <v>687</v>
      </c>
      <c r="R526" s="121"/>
      <c r="S526" s="133">
        <f>M524</f>
        <v>0</v>
      </c>
      <c r="T526" s="120"/>
      <c r="U526" s="121" t="s">
        <v>361</v>
      </c>
      <c r="V526" s="133">
        <f t="shared" si="234"/>
        <v>0</v>
      </c>
      <c r="W526" s="133">
        <f>VLOOKUP(U526,Sheet1!$B$6:$C$45,2,FALSE)*V526</f>
        <v>0</v>
      </c>
      <c r="X526" s="141"/>
      <c r="Y526" s="121" t="s">
        <v>292</v>
      </c>
      <c r="Z526" s="146">
        <f>VLOOKUP(Takeoffs!Y526,Sheet1!$B$6:$C$124,2,FALSE)</f>
        <v>0</v>
      </c>
      <c r="AA526" s="146">
        <f t="shared" si="235"/>
        <v>0</v>
      </c>
      <c r="AB526" s="143">
        <f t="shared" si="236"/>
        <v>0</v>
      </c>
      <c r="AC526" s="133">
        <f t="shared" si="237"/>
        <v>0</v>
      </c>
      <c r="AD526" s="142">
        <v>1</v>
      </c>
      <c r="AE526" s="141"/>
      <c r="AF526" s="122" t="s">
        <v>268</v>
      </c>
      <c r="AG526" s="146">
        <f>VLOOKUP(Takeoffs!AF526,Sheet1!$B$6:$C$124,2,FALSE)</f>
        <v>1.02</v>
      </c>
      <c r="AH526" s="146">
        <f t="shared" si="238"/>
        <v>0</v>
      </c>
      <c r="AI526" s="143">
        <f t="shared" si="239"/>
        <v>0</v>
      </c>
      <c r="AJ526" s="133">
        <f t="shared" si="240"/>
        <v>0</v>
      </c>
      <c r="AK526" s="142">
        <v>5</v>
      </c>
      <c r="AL526" s="141"/>
      <c r="AO526" s="286"/>
      <c r="AP526" s="284">
        <f t="shared" si="209"/>
        <v>0</v>
      </c>
      <c r="AQ526" s="281">
        <f t="shared" si="210"/>
        <v>0</v>
      </c>
      <c r="AR526" s="284">
        <f t="shared" si="211"/>
        <v>0</v>
      </c>
      <c r="AS526" s="281">
        <f t="shared" si="212"/>
        <v>0</v>
      </c>
      <c r="AT526" s="284">
        <f t="shared" si="213"/>
        <v>0</v>
      </c>
    </row>
    <row r="527" spans="1:97" s="114" customFormat="1" ht="30.9" x14ac:dyDescent="0.8">
      <c r="A527" s="262">
        <f>ROW()</f>
        <v>527</v>
      </c>
      <c r="C527" s="208"/>
      <c r="D527" s="208"/>
      <c r="E527" s="208"/>
      <c r="F527" s="208"/>
      <c r="G527" s="208"/>
      <c r="H527" s="208"/>
      <c r="J527" s="114" t="str">
        <f t="shared" si="241"/>
        <v/>
      </c>
      <c r="K527" s="114" t="str">
        <f>IF(COUNTBLANK(R527)&gt;0,"",CONCATENATE(R527," for ",N524))</f>
        <v/>
      </c>
      <c r="M527" s="117"/>
      <c r="N527" s="123" t="s">
        <v>115</v>
      </c>
      <c r="O527" s="66" t="s">
        <v>406</v>
      </c>
      <c r="P527" s="121"/>
      <c r="Q527" s="66"/>
      <c r="R527" s="121"/>
      <c r="S527" s="133">
        <f>M524</f>
        <v>0</v>
      </c>
      <c r="T527" s="120"/>
      <c r="U527" s="121" t="s">
        <v>292</v>
      </c>
      <c r="V527" s="133">
        <f t="shared" si="234"/>
        <v>0</v>
      </c>
      <c r="W527" s="133">
        <f>VLOOKUP(U527,Sheet1!$B$6:$C$45,2,FALSE)*V527</f>
        <v>0</v>
      </c>
      <c r="X527" s="141"/>
      <c r="Y527" s="122" t="s">
        <v>247</v>
      </c>
      <c r="Z527" s="146">
        <f>VLOOKUP(Takeoffs!Y527,Sheet1!$B$6:$C$124,2,FALSE)</f>
        <v>23.76</v>
      </c>
      <c r="AA527" s="146">
        <f t="shared" si="235"/>
        <v>0</v>
      </c>
      <c r="AB527" s="143">
        <f t="shared" si="236"/>
        <v>0</v>
      </c>
      <c r="AC527" s="133">
        <f t="shared" si="237"/>
        <v>0</v>
      </c>
      <c r="AD527" s="142">
        <v>1</v>
      </c>
      <c r="AE527" s="141"/>
      <c r="AF527" s="121" t="s">
        <v>292</v>
      </c>
      <c r="AG527" s="146">
        <f>VLOOKUP(Takeoffs!AF527,Sheet1!$B$6:$C$124,2,FALSE)</f>
        <v>0</v>
      </c>
      <c r="AH527" s="146">
        <f t="shared" si="238"/>
        <v>0</v>
      </c>
      <c r="AI527" s="143">
        <f t="shared" si="239"/>
        <v>0</v>
      </c>
      <c r="AJ527" s="133">
        <f t="shared" si="240"/>
        <v>0</v>
      </c>
      <c r="AK527" s="142">
        <f t="shared" ref="AK527:AK533" si="242">T527</f>
        <v>0</v>
      </c>
      <c r="AL527" s="141"/>
      <c r="AO527" s="286"/>
      <c r="AP527" s="284">
        <f t="shared" si="209"/>
        <v>0</v>
      </c>
      <c r="AQ527" s="281">
        <f t="shared" si="210"/>
        <v>0</v>
      </c>
      <c r="AR527" s="284">
        <f t="shared" si="211"/>
        <v>0</v>
      </c>
      <c r="AS527" s="281">
        <f t="shared" si="212"/>
        <v>0</v>
      </c>
      <c r="AT527" s="284">
        <f t="shared" si="213"/>
        <v>0</v>
      </c>
    </row>
    <row r="528" spans="1:97" s="114" customFormat="1" ht="30.9" x14ac:dyDescent="0.8">
      <c r="A528" s="262">
        <f>ROW()</f>
        <v>528</v>
      </c>
      <c r="C528" s="208"/>
      <c r="D528" s="208"/>
      <c r="E528" s="208"/>
      <c r="F528" s="208"/>
      <c r="G528" s="208"/>
      <c r="H528" s="208"/>
      <c r="J528" s="114" t="str">
        <f t="shared" si="241"/>
        <v/>
      </c>
      <c r="K528" s="114" t="str">
        <f>IF(COUNTBLANK(R528)&gt;0,"",CONCATENATE(R528," for ",N524))</f>
        <v/>
      </c>
      <c r="M528" s="117"/>
      <c r="N528" s="123" t="s">
        <v>116</v>
      </c>
      <c r="O528" s="66"/>
      <c r="P528" s="121"/>
      <c r="Q528" s="66"/>
      <c r="R528" s="121"/>
      <c r="S528" s="133">
        <f>M524</f>
        <v>0</v>
      </c>
      <c r="T528" s="120"/>
      <c r="U528" s="121" t="s">
        <v>292</v>
      </c>
      <c r="V528" s="133">
        <f t="shared" si="234"/>
        <v>0</v>
      </c>
      <c r="W528" s="133">
        <f>VLOOKUP(U528,Sheet1!$B$6:$C$45,2,FALSE)*V528</f>
        <v>0</v>
      </c>
      <c r="X528" s="141"/>
      <c r="Y528" s="121" t="s">
        <v>292</v>
      </c>
      <c r="Z528" s="146">
        <f>VLOOKUP(Takeoffs!Y528,Sheet1!$B$6:$C$124,2,FALSE)</f>
        <v>0</v>
      </c>
      <c r="AA528" s="146">
        <f t="shared" si="235"/>
        <v>0</v>
      </c>
      <c r="AB528" s="143">
        <f t="shared" si="236"/>
        <v>0</v>
      </c>
      <c r="AC528" s="133">
        <f t="shared" si="237"/>
        <v>0</v>
      </c>
      <c r="AD528" s="142">
        <v>1</v>
      </c>
      <c r="AE528" s="141"/>
      <c r="AF528" s="121" t="s">
        <v>292</v>
      </c>
      <c r="AG528" s="146">
        <f>VLOOKUP(Takeoffs!AF528,Sheet1!$B$6:$C$124,2,FALSE)</f>
        <v>0</v>
      </c>
      <c r="AH528" s="146">
        <f t="shared" si="238"/>
        <v>0</v>
      </c>
      <c r="AI528" s="143">
        <f t="shared" si="239"/>
        <v>0</v>
      </c>
      <c r="AJ528" s="133">
        <f t="shared" si="240"/>
        <v>0</v>
      </c>
      <c r="AK528" s="142">
        <f t="shared" si="242"/>
        <v>0</v>
      </c>
      <c r="AL528" s="141"/>
      <c r="AO528" s="286"/>
      <c r="AP528" s="284">
        <f t="shared" si="209"/>
        <v>0</v>
      </c>
      <c r="AQ528" s="281">
        <f t="shared" si="210"/>
        <v>0</v>
      </c>
      <c r="AR528" s="284">
        <f t="shared" si="211"/>
        <v>0</v>
      </c>
      <c r="AS528" s="281">
        <f t="shared" si="212"/>
        <v>0</v>
      </c>
      <c r="AT528" s="284">
        <f t="shared" si="213"/>
        <v>0</v>
      </c>
    </row>
    <row r="529" spans="1:46" s="114" customFormat="1" ht="30.9" x14ac:dyDescent="0.8">
      <c r="A529" s="262">
        <f>ROW()</f>
        <v>529</v>
      </c>
      <c r="C529" s="208"/>
      <c r="D529" s="208"/>
      <c r="E529" s="208"/>
      <c r="F529" s="208"/>
      <c r="G529" s="208"/>
      <c r="H529" s="208"/>
      <c r="J529" s="114" t="str">
        <f t="shared" si="241"/>
        <v/>
      </c>
      <c r="K529" s="114" t="str">
        <f>IF(COUNTBLANK(R529)&gt;0,"",CONCATENATE(R529," for ",N524))</f>
        <v/>
      </c>
      <c r="M529" s="117"/>
      <c r="N529" s="123" t="s">
        <v>117</v>
      </c>
      <c r="O529" s="66"/>
      <c r="P529" s="121"/>
      <c r="Q529" s="66"/>
      <c r="R529" s="121"/>
      <c r="S529" s="133">
        <f>M524</f>
        <v>0</v>
      </c>
      <c r="T529" s="120"/>
      <c r="U529" s="121" t="s">
        <v>292</v>
      </c>
      <c r="V529" s="133">
        <f t="shared" si="234"/>
        <v>0</v>
      </c>
      <c r="W529" s="133">
        <f>VLOOKUP(U529,Sheet1!$B$6:$C$45,2,FALSE)*V529</f>
        <v>0</v>
      </c>
      <c r="X529" s="141"/>
      <c r="Y529" s="121" t="s">
        <v>292</v>
      </c>
      <c r="Z529" s="146">
        <f>VLOOKUP(Takeoffs!Y529,Sheet1!$B$6:$C$124,2,FALSE)</f>
        <v>0</v>
      </c>
      <c r="AA529" s="146">
        <f t="shared" si="235"/>
        <v>0</v>
      </c>
      <c r="AB529" s="143">
        <f t="shared" si="236"/>
        <v>0</v>
      </c>
      <c r="AC529" s="133">
        <f t="shared" si="237"/>
        <v>0</v>
      </c>
      <c r="AD529" s="142">
        <v>1</v>
      </c>
      <c r="AE529" s="141"/>
      <c r="AF529" s="121" t="s">
        <v>292</v>
      </c>
      <c r="AG529" s="146">
        <f>VLOOKUP(Takeoffs!AF529,Sheet1!$B$6:$C$124,2,FALSE)</f>
        <v>0</v>
      </c>
      <c r="AH529" s="146">
        <f t="shared" si="238"/>
        <v>0</v>
      </c>
      <c r="AI529" s="143">
        <f t="shared" si="239"/>
        <v>0</v>
      </c>
      <c r="AJ529" s="133">
        <f t="shared" si="240"/>
        <v>0</v>
      </c>
      <c r="AK529" s="142">
        <f t="shared" si="242"/>
        <v>0</v>
      </c>
      <c r="AL529" s="141"/>
      <c r="AO529" s="286"/>
      <c r="AP529" s="284">
        <f t="shared" si="209"/>
        <v>0</v>
      </c>
      <c r="AQ529" s="281">
        <f t="shared" si="210"/>
        <v>0</v>
      </c>
      <c r="AR529" s="284">
        <f t="shared" si="211"/>
        <v>0</v>
      </c>
      <c r="AS529" s="281">
        <f t="shared" si="212"/>
        <v>0</v>
      </c>
      <c r="AT529" s="284">
        <f t="shared" si="213"/>
        <v>0</v>
      </c>
    </row>
    <row r="530" spans="1:46" s="114" customFormat="1" ht="30.9" x14ac:dyDescent="0.8">
      <c r="A530" s="262">
        <f>ROW()</f>
        <v>530</v>
      </c>
      <c r="C530" s="208"/>
      <c r="D530" s="208"/>
      <c r="E530" s="208"/>
      <c r="F530" s="208"/>
      <c r="G530" s="208"/>
      <c r="H530" s="208"/>
      <c r="J530" s="114" t="str">
        <f t="shared" si="241"/>
        <v/>
      </c>
      <c r="K530" s="114" t="str">
        <f>IF(COUNTBLANK(R530)&gt;0,"",CONCATENATE(R530," for ",N524))</f>
        <v/>
      </c>
      <c r="M530" s="117"/>
      <c r="N530" s="123" t="s">
        <v>118</v>
      </c>
      <c r="O530" s="66"/>
      <c r="P530" s="121"/>
      <c r="Q530" s="66"/>
      <c r="R530" s="121"/>
      <c r="S530" s="133">
        <f>M524</f>
        <v>0</v>
      </c>
      <c r="T530" s="120"/>
      <c r="U530" s="121" t="s">
        <v>292</v>
      </c>
      <c r="V530" s="133">
        <f t="shared" si="234"/>
        <v>0</v>
      </c>
      <c r="W530" s="133">
        <f>VLOOKUP(U530,Sheet1!$B$6:$C$45,2,FALSE)*V530</f>
        <v>0</v>
      </c>
      <c r="X530" s="141"/>
      <c r="Y530" s="121" t="s">
        <v>292</v>
      </c>
      <c r="Z530" s="146">
        <f>VLOOKUP(Takeoffs!Y530,Sheet1!$B$6:$C$124,2,FALSE)</f>
        <v>0</v>
      </c>
      <c r="AA530" s="146">
        <f t="shared" si="235"/>
        <v>0</v>
      </c>
      <c r="AB530" s="143">
        <f t="shared" si="236"/>
        <v>0</v>
      </c>
      <c r="AC530" s="133">
        <f t="shared" si="237"/>
        <v>0</v>
      </c>
      <c r="AD530" s="142">
        <v>1</v>
      </c>
      <c r="AE530" s="141"/>
      <c r="AF530" s="121" t="s">
        <v>292</v>
      </c>
      <c r="AG530" s="146">
        <f>VLOOKUP(Takeoffs!AF530,Sheet1!$B$6:$C$124,2,FALSE)</f>
        <v>0</v>
      </c>
      <c r="AH530" s="146">
        <f t="shared" si="238"/>
        <v>0</v>
      </c>
      <c r="AI530" s="143">
        <f t="shared" si="239"/>
        <v>0</v>
      </c>
      <c r="AJ530" s="133">
        <f t="shared" si="240"/>
        <v>0</v>
      </c>
      <c r="AK530" s="142">
        <f t="shared" si="242"/>
        <v>0</v>
      </c>
      <c r="AL530" s="141"/>
      <c r="AO530" s="286"/>
      <c r="AP530" s="284">
        <f t="shared" si="209"/>
        <v>0</v>
      </c>
      <c r="AQ530" s="281">
        <f t="shared" si="210"/>
        <v>0</v>
      </c>
      <c r="AR530" s="284">
        <f t="shared" si="211"/>
        <v>0</v>
      </c>
      <c r="AS530" s="281">
        <f t="shared" si="212"/>
        <v>0</v>
      </c>
      <c r="AT530" s="284">
        <f t="shared" si="213"/>
        <v>0</v>
      </c>
    </row>
    <row r="531" spans="1:46" s="114" customFormat="1" ht="30.9" x14ac:dyDescent="0.8">
      <c r="A531" s="262">
        <f>ROW()</f>
        <v>531</v>
      </c>
      <c r="C531" s="208"/>
      <c r="D531" s="208"/>
      <c r="E531" s="208"/>
      <c r="F531" s="208"/>
      <c r="G531" s="208"/>
      <c r="H531" s="208"/>
      <c r="J531" s="114" t="str">
        <f t="shared" si="241"/>
        <v/>
      </c>
      <c r="K531" s="114" t="str">
        <f>IF(COUNTBLANK(R531)&gt;0,"",CONCATENATE(R531," for ",N524))</f>
        <v/>
      </c>
      <c r="N531" s="123" t="s">
        <v>119</v>
      </c>
      <c r="O531" s="66"/>
      <c r="P531" s="121"/>
      <c r="Q531" s="66"/>
      <c r="R531" s="121"/>
      <c r="S531" s="133">
        <f>M524</f>
        <v>0</v>
      </c>
      <c r="T531" s="120"/>
      <c r="U531" s="121" t="s">
        <v>292</v>
      </c>
      <c r="V531" s="133">
        <f t="shared" si="234"/>
        <v>0</v>
      </c>
      <c r="W531" s="133">
        <f>VLOOKUP(U531,Sheet1!$B$6:$C$45,2,FALSE)*V531</f>
        <v>0</v>
      </c>
      <c r="X531" s="141"/>
      <c r="Y531" s="121" t="s">
        <v>292</v>
      </c>
      <c r="Z531" s="146">
        <f>VLOOKUP(Takeoffs!Y531,Sheet1!$B$6:$C$124,2,FALSE)</f>
        <v>0</v>
      </c>
      <c r="AA531" s="146">
        <f t="shared" si="235"/>
        <v>0</v>
      </c>
      <c r="AB531" s="143">
        <f t="shared" si="236"/>
        <v>0</v>
      </c>
      <c r="AC531" s="133">
        <f t="shared" si="237"/>
        <v>0</v>
      </c>
      <c r="AD531" s="142">
        <v>1</v>
      </c>
      <c r="AE531" s="141"/>
      <c r="AF531" s="121" t="s">
        <v>292</v>
      </c>
      <c r="AG531" s="146">
        <f>VLOOKUP(Takeoffs!AF531,Sheet1!$B$6:$C$124,2,FALSE)</f>
        <v>0</v>
      </c>
      <c r="AH531" s="146">
        <f t="shared" si="238"/>
        <v>0</v>
      </c>
      <c r="AI531" s="143">
        <f t="shared" si="239"/>
        <v>0</v>
      </c>
      <c r="AJ531" s="133">
        <f t="shared" si="240"/>
        <v>0</v>
      </c>
      <c r="AK531" s="142">
        <f t="shared" si="242"/>
        <v>0</v>
      </c>
      <c r="AL531" s="141"/>
      <c r="AO531" s="286"/>
      <c r="AP531" s="284">
        <f t="shared" si="209"/>
        <v>0</v>
      </c>
      <c r="AQ531" s="281">
        <f t="shared" si="210"/>
        <v>0</v>
      </c>
      <c r="AR531" s="284">
        <f t="shared" si="211"/>
        <v>0</v>
      </c>
      <c r="AS531" s="281">
        <f t="shared" si="212"/>
        <v>0</v>
      </c>
      <c r="AT531" s="284">
        <f t="shared" si="213"/>
        <v>0</v>
      </c>
    </row>
    <row r="532" spans="1:46" s="114" customFormat="1" ht="30.9" x14ac:dyDescent="0.8">
      <c r="A532" s="262">
        <f>ROW()</f>
        <v>532</v>
      </c>
      <c r="C532" s="208"/>
      <c r="D532" s="208"/>
      <c r="E532" s="208"/>
      <c r="F532" s="208"/>
      <c r="G532" s="208"/>
      <c r="H532" s="208"/>
      <c r="J532" s="114" t="str">
        <f t="shared" si="241"/>
        <v/>
      </c>
      <c r="K532" s="114" t="str">
        <f>IF(COUNTBLANK(R532)&gt;0,"",CONCATENATE(R532," for ",N524))</f>
        <v/>
      </c>
      <c r="N532" s="123" t="s">
        <v>120</v>
      </c>
      <c r="O532" s="66" t="s">
        <v>328</v>
      </c>
      <c r="P532" s="121"/>
      <c r="Q532" s="66"/>
      <c r="R532" s="121"/>
      <c r="S532" s="133">
        <f>M524</f>
        <v>0</v>
      </c>
      <c r="T532" s="120"/>
      <c r="U532" s="121" t="s">
        <v>242</v>
      </c>
      <c r="V532" s="133">
        <f t="shared" si="234"/>
        <v>0</v>
      </c>
      <c r="W532" s="133">
        <f>VLOOKUP(U532,Sheet1!$B$6:$C$45,2,FALSE)*V532</f>
        <v>0</v>
      </c>
      <c r="X532" s="141"/>
      <c r="Y532" s="121" t="s">
        <v>292</v>
      </c>
      <c r="Z532" s="146">
        <f>VLOOKUP(Takeoffs!Y532,Sheet1!$B$6:$C$124,2,FALSE)</f>
        <v>0</v>
      </c>
      <c r="AA532" s="146">
        <f t="shared" si="235"/>
        <v>0</v>
      </c>
      <c r="AB532" s="143">
        <f t="shared" si="236"/>
        <v>0</v>
      </c>
      <c r="AC532" s="133">
        <f t="shared" si="237"/>
        <v>0</v>
      </c>
      <c r="AD532" s="142">
        <v>1</v>
      </c>
      <c r="AE532" s="141"/>
      <c r="AF532" s="121" t="s">
        <v>292</v>
      </c>
      <c r="AG532" s="146">
        <f>VLOOKUP(Takeoffs!AF532,Sheet1!$B$6:$C$124,2,FALSE)</f>
        <v>0</v>
      </c>
      <c r="AH532" s="146">
        <f t="shared" si="238"/>
        <v>0</v>
      </c>
      <c r="AI532" s="143">
        <f t="shared" si="239"/>
        <v>0</v>
      </c>
      <c r="AJ532" s="133">
        <f t="shared" si="240"/>
        <v>0</v>
      </c>
      <c r="AK532" s="142">
        <f t="shared" si="242"/>
        <v>0</v>
      </c>
      <c r="AL532" s="141"/>
      <c r="AO532" s="286"/>
      <c r="AP532" s="284">
        <f t="shared" ref="AP532:AP595" si="243">IF(AND(I532&gt;0, ISNUMBER(I532)),I532*P532,0)</f>
        <v>0</v>
      </c>
      <c r="AQ532" s="281">
        <f t="shared" ref="AQ532:AQ595" si="244">IF(AND(I532&gt;0, ISNUMBER(I532)),I532*W532*80,0)</f>
        <v>0</v>
      </c>
      <c r="AR532" s="284">
        <f t="shared" ref="AR532:AR595" si="245">IF(AND(I532&gt;0, ISNUMBER(I532)),I532*AA532,0)</f>
        <v>0</v>
      </c>
      <c r="AS532" s="281">
        <f t="shared" ref="AS532:AS595" si="246">IF(AND(I532&gt;0, ISNUMBER(I532)),I532*AH532,0)</f>
        <v>0</v>
      </c>
      <c r="AT532" s="284">
        <f t="shared" ref="AT532:AT595" si="247">IF(AND(I532&gt;0, ISNUMBER(I532)),I532*(AP532-(AQ532+AR532+AS532)),0)</f>
        <v>0</v>
      </c>
    </row>
    <row r="533" spans="1:46" s="114" customFormat="1" ht="30.9" x14ac:dyDescent="0.8">
      <c r="A533" s="262">
        <f>ROW()</f>
        <v>533</v>
      </c>
      <c r="C533" s="208"/>
      <c r="D533" s="208"/>
      <c r="E533" s="208"/>
      <c r="F533" s="208"/>
      <c r="G533" s="208"/>
      <c r="H533" s="208"/>
      <c r="J533" s="114" t="str">
        <f t="shared" si="241"/>
        <v/>
      </c>
      <c r="K533" s="114" t="str">
        <f>IF(COUNTBLANK(R533)&gt;0,"",CONCATENATE(R533," for ",N524))</f>
        <v/>
      </c>
      <c r="N533" s="123" t="s">
        <v>121</v>
      </c>
      <c r="O533" s="66"/>
      <c r="P533" s="121"/>
      <c r="Q533" s="66"/>
      <c r="R533" s="121"/>
      <c r="S533" s="133">
        <f>M524</f>
        <v>0</v>
      </c>
      <c r="T533" s="120"/>
      <c r="U533" s="121" t="s">
        <v>292</v>
      </c>
      <c r="V533" s="133">
        <f t="shared" si="234"/>
        <v>0</v>
      </c>
      <c r="W533" s="133">
        <f>VLOOKUP(U533,Sheet1!$B$6:$C$45,2,FALSE)*V533</f>
        <v>0</v>
      </c>
      <c r="X533" s="141"/>
      <c r="Y533" s="121" t="s">
        <v>292</v>
      </c>
      <c r="Z533" s="146">
        <f>VLOOKUP(Takeoffs!Y533,Sheet1!$B$6:$C$124,2,FALSE)</f>
        <v>0</v>
      </c>
      <c r="AA533" s="146">
        <f t="shared" si="235"/>
        <v>0</v>
      </c>
      <c r="AB533" s="143">
        <f t="shared" si="236"/>
        <v>0</v>
      </c>
      <c r="AC533" s="133">
        <f t="shared" si="237"/>
        <v>0</v>
      </c>
      <c r="AD533" s="142">
        <v>1</v>
      </c>
      <c r="AE533" s="141"/>
      <c r="AF533" s="121" t="s">
        <v>292</v>
      </c>
      <c r="AG533" s="146">
        <f>VLOOKUP(Takeoffs!AF533,Sheet1!$B$6:$C$124,2,FALSE)</f>
        <v>0</v>
      </c>
      <c r="AH533" s="146">
        <f t="shared" si="238"/>
        <v>0</v>
      </c>
      <c r="AI533" s="143">
        <f t="shared" si="239"/>
        <v>0</v>
      </c>
      <c r="AJ533" s="133">
        <f t="shared" si="240"/>
        <v>0</v>
      </c>
      <c r="AK533" s="142">
        <f t="shared" si="242"/>
        <v>0</v>
      </c>
      <c r="AL533" s="141"/>
      <c r="AO533" s="286"/>
      <c r="AP533" s="284">
        <f t="shared" si="243"/>
        <v>0</v>
      </c>
      <c r="AQ533" s="281">
        <f t="shared" si="244"/>
        <v>0</v>
      </c>
      <c r="AR533" s="284">
        <f t="shared" si="245"/>
        <v>0</v>
      </c>
      <c r="AS533" s="281">
        <f t="shared" si="246"/>
        <v>0</v>
      </c>
      <c r="AT533" s="284">
        <f t="shared" si="247"/>
        <v>0</v>
      </c>
    </row>
    <row r="534" spans="1:46" s="114" customFormat="1" ht="30.9" x14ac:dyDescent="0.8">
      <c r="A534" s="262">
        <f>ROW()</f>
        <v>534</v>
      </c>
      <c r="C534" s="208"/>
      <c r="D534" s="208"/>
      <c r="E534" s="208"/>
      <c r="F534" s="208"/>
      <c r="G534" s="208"/>
      <c r="H534" s="208"/>
      <c r="J534" s="114" t="str">
        <f t="shared" si="241"/>
        <v/>
      </c>
      <c r="K534" s="114" t="str">
        <f>IF(COUNTBLANK(R534)&gt;0,"",CONCATENATE(R534," for ",N524))</f>
        <v/>
      </c>
      <c r="N534" s="123" t="s">
        <v>122</v>
      </c>
      <c r="O534" s="66"/>
      <c r="P534" s="121"/>
      <c r="Q534" s="66"/>
      <c r="R534" s="121"/>
      <c r="S534" s="133">
        <f>M524</f>
        <v>0</v>
      </c>
      <c r="T534" s="120"/>
      <c r="U534" s="121" t="s">
        <v>292</v>
      </c>
      <c r="V534" s="133">
        <f t="shared" si="234"/>
        <v>0</v>
      </c>
      <c r="W534" s="133">
        <f>VLOOKUP(U534,Sheet1!$B$6:$C$45,2,FALSE)*V534</f>
        <v>0</v>
      </c>
      <c r="X534" s="141"/>
      <c r="Y534" s="121" t="s">
        <v>292</v>
      </c>
      <c r="Z534" s="146">
        <f>VLOOKUP(Takeoffs!Y534,Sheet1!$B$6:$C$124,2,FALSE)</f>
        <v>0</v>
      </c>
      <c r="AA534" s="146">
        <f t="shared" si="235"/>
        <v>0</v>
      </c>
      <c r="AB534" s="143">
        <f t="shared" si="236"/>
        <v>0</v>
      </c>
      <c r="AC534" s="133">
        <f t="shared" si="237"/>
        <v>0</v>
      </c>
      <c r="AD534" s="142">
        <v>1</v>
      </c>
      <c r="AE534" s="141"/>
      <c r="AF534" s="121" t="s">
        <v>292</v>
      </c>
      <c r="AG534" s="146">
        <f>VLOOKUP(Takeoffs!AF534,Sheet1!$B$6:$C$124,2,FALSE)</f>
        <v>0</v>
      </c>
      <c r="AH534" s="146">
        <f t="shared" si="238"/>
        <v>0</v>
      </c>
      <c r="AI534" s="143">
        <f t="shared" si="239"/>
        <v>0</v>
      </c>
      <c r="AJ534" s="133">
        <f t="shared" si="240"/>
        <v>0</v>
      </c>
      <c r="AK534" s="142">
        <f>T534</f>
        <v>0</v>
      </c>
      <c r="AL534" s="141"/>
      <c r="AO534" s="286"/>
      <c r="AP534" s="284">
        <f t="shared" si="243"/>
        <v>0</v>
      </c>
      <c r="AQ534" s="281">
        <f t="shared" si="244"/>
        <v>0</v>
      </c>
      <c r="AR534" s="284">
        <f t="shared" si="245"/>
        <v>0</v>
      </c>
      <c r="AS534" s="281">
        <f t="shared" si="246"/>
        <v>0</v>
      </c>
      <c r="AT534" s="284">
        <f t="shared" si="247"/>
        <v>0</v>
      </c>
    </row>
    <row r="535" spans="1:46" s="114" customFormat="1" ht="30.9" x14ac:dyDescent="0.8">
      <c r="A535" s="262">
        <f>ROW()</f>
        <v>535</v>
      </c>
      <c r="C535" s="208"/>
      <c r="D535" s="208"/>
      <c r="E535" s="208"/>
      <c r="F535" s="208"/>
      <c r="G535" s="208"/>
      <c r="H535" s="208"/>
      <c r="J535" s="114" t="str">
        <f t="shared" si="241"/>
        <v/>
      </c>
      <c r="K535" s="114" t="str">
        <f>IF(COUNTBLANK(R535)&gt;0,"",CONCATENATE(R535," for ",N524))</f>
        <v/>
      </c>
      <c r="N535" s="123" t="s">
        <v>123</v>
      </c>
      <c r="O535" s="66"/>
      <c r="P535" s="121"/>
      <c r="Q535" s="66"/>
      <c r="R535" s="121"/>
      <c r="S535" s="133">
        <f>M524</f>
        <v>0</v>
      </c>
      <c r="T535" s="120"/>
      <c r="U535" s="121" t="s">
        <v>292</v>
      </c>
      <c r="V535" s="133">
        <f t="shared" si="234"/>
        <v>0</v>
      </c>
      <c r="W535" s="133">
        <f>VLOOKUP(U535,Sheet1!$B$6:$C$45,2,FALSE)*V535</f>
        <v>0</v>
      </c>
      <c r="X535" s="141"/>
      <c r="Y535" s="121" t="s">
        <v>292</v>
      </c>
      <c r="Z535" s="146">
        <f>VLOOKUP(Takeoffs!Y535,Sheet1!$B$6:$C$124,2,FALSE)</f>
        <v>0</v>
      </c>
      <c r="AA535" s="146">
        <f t="shared" si="235"/>
        <v>0</v>
      </c>
      <c r="AB535" s="143">
        <f t="shared" si="236"/>
        <v>0</v>
      </c>
      <c r="AC535" s="133">
        <f t="shared" si="237"/>
        <v>0</v>
      </c>
      <c r="AD535" s="142">
        <v>1</v>
      </c>
      <c r="AE535" s="141"/>
      <c r="AF535" s="121" t="s">
        <v>292</v>
      </c>
      <c r="AG535" s="146">
        <f>VLOOKUP(Takeoffs!AF535,Sheet1!$B$6:$C$124,2,FALSE)</f>
        <v>0</v>
      </c>
      <c r="AH535" s="146">
        <f t="shared" si="238"/>
        <v>0</v>
      </c>
      <c r="AI535" s="143">
        <f t="shared" si="239"/>
        <v>0</v>
      </c>
      <c r="AJ535" s="133">
        <f t="shared" si="240"/>
        <v>0</v>
      </c>
      <c r="AK535" s="142">
        <v>0</v>
      </c>
      <c r="AL535" s="141"/>
      <c r="AO535" s="286"/>
      <c r="AP535" s="284">
        <f t="shared" si="243"/>
        <v>0</v>
      </c>
      <c r="AQ535" s="281">
        <f t="shared" si="244"/>
        <v>0</v>
      </c>
      <c r="AR535" s="284">
        <f t="shared" si="245"/>
        <v>0</v>
      </c>
      <c r="AS535" s="281">
        <f t="shared" si="246"/>
        <v>0</v>
      </c>
      <c r="AT535" s="284">
        <f t="shared" si="247"/>
        <v>0</v>
      </c>
    </row>
    <row r="536" spans="1:46" s="114" customFormat="1" ht="30.9" x14ac:dyDescent="0.8">
      <c r="A536" s="262">
        <f>ROW()</f>
        <v>536</v>
      </c>
      <c r="C536" s="208"/>
      <c r="D536" s="208"/>
      <c r="E536" s="208"/>
      <c r="F536" s="208"/>
      <c r="G536" s="208"/>
      <c r="H536" s="208"/>
      <c r="J536" s="114" t="str">
        <f t="shared" si="241"/>
        <v/>
      </c>
      <c r="K536" s="114" t="str">
        <f>IF(COUNTBLANK(R536)&gt;0,"",CONCATENATE(R536," for ",N524))</f>
        <v/>
      </c>
      <c r="N536" s="123" t="s">
        <v>124</v>
      </c>
      <c r="O536" s="66" t="s">
        <v>140</v>
      </c>
      <c r="P536" s="121"/>
      <c r="Q536" s="66"/>
      <c r="R536" s="121"/>
      <c r="S536" s="133">
        <f>M524</f>
        <v>0</v>
      </c>
      <c r="T536" s="120"/>
      <c r="U536" s="121" t="s">
        <v>292</v>
      </c>
      <c r="V536" s="133">
        <f t="shared" si="234"/>
        <v>0</v>
      </c>
      <c r="W536" s="133">
        <f>VLOOKUP(U536,Sheet1!$B$6:$C$45,2,FALSE)*V536</f>
        <v>0</v>
      </c>
      <c r="X536" s="141"/>
      <c r="Y536" s="121" t="s">
        <v>292</v>
      </c>
      <c r="Z536" s="146">
        <f>VLOOKUP(Takeoffs!Y536,Sheet1!$B$6:$C$124,2,FALSE)</f>
        <v>0</v>
      </c>
      <c r="AA536" s="146">
        <f t="shared" si="235"/>
        <v>0</v>
      </c>
      <c r="AB536" s="143">
        <f t="shared" si="236"/>
        <v>0</v>
      </c>
      <c r="AC536" s="133">
        <f t="shared" si="237"/>
        <v>0</v>
      </c>
      <c r="AD536" s="142">
        <v>1</v>
      </c>
      <c r="AE536" s="141"/>
      <c r="AF536" s="152" t="s">
        <v>418</v>
      </c>
      <c r="AG536" s="146">
        <f>VLOOKUP(Takeoffs!AF536,Sheet1!$B$6:$C$124,2,FALSE)</f>
        <v>0.33600000000000002</v>
      </c>
      <c r="AH536" s="146">
        <f t="shared" si="238"/>
        <v>0</v>
      </c>
      <c r="AI536" s="143">
        <f t="shared" si="239"/>
        <v>0</v>
      </c>
      <c r="AJ536" s="133">
        <f t="shared" si="240"/>
        <v>0</v>
      </c>
      <c r="AK536" s="142">
        <v>1</v>
      </c>
      <c r="AL536" s="141"/>
      <c r="AO536" s="286"/>
      <c r="AP536" s="284">
        <f t="shared" si="243"/>
        <v>0</v>
      </c>
      <c r="AQ536" s="281">
        <f t="shared" si="244"/>
        <v>0</v>
      </c>
      <c r="AR536" s="284">
        <f t="shared" si="245"/>
        <v>0</v>
      </c>
      <c r="AS536" s="281">
        <f t="shared" si="246"/>
        <v>0</v>
      </c>
      <c r="AT536" s="284">
        <f t="shared" si="247"/>
        <v>0</v>
      </c>
    </row>
    <row r="537" spans="1:46" s="114" customFormat="1" ht="30.9" x14ac:dyDescent="0.8">
      <c r="A537" s="262">
        <f>ROW()</f>
        <v>537</v>
      </c>
      <c r="C537" s="208"/>
      <c r="D537" s="208"/>
      <c r="E537" s="208"/>
      <c r="F537" s="208"/>
      <c r="G537" s="208"/>
      <c r="H537" s="208"/>
      <c r="J537" s="114" t="str">
        <f t="shared" si="241"/>
        <v/>
      </c>
      <c r="K537" s="114" t="str">
        <f>IF(COUNTBLANK(R537)&gt;0,"",CONCATENATE(R537," for ",N524))</f>
        <v/>
      </c>
      <c r="N537" s="123" t="s">
        <v>125</v>
      </c>
      <c r="O537" s="66" t="s">
        <v>312</v>
      </c>
      <c r="P537" s="121"/>
      <c r="Q537" s="66"/>
      <c r="R537" s="121"/>
      <c r="S537" s="133">
        <f>M524</f>
        <v>0</v>
      </c>
      <c r="T537" s="120"/>
      <c r="U537" s="121" t="s">
        <v>232</v>
      </c>
      <c r="V537" s="133">
        <f t="shared" si="234"/>
        <v>0</v>
      </c>
      <c r="W537" s="133">
        <f>VLOOKUP(U537,Sheet1!$B$6:$C$45,2,FALSE)*V537</f>
        <v>0</v>
      </c>
      <c r="X537" s="141"/>
      <c r="Y537" s="122" t="s">
        <v>1345</v>
      </c>
      <c r="Z537" s="146">
        <f>VLOOKUP(Takeoffs!Y537,Sheet1!$B$6:$C$124,2,FALSE)</f>
        <v>109.25999999999999</v>
      </c>
      <c r="AA537" s="146">
        <f t="shared" si="235"/>
        <v>0</v>
      </c>
      <c r="AB537" s="143">
        <f t="shared" si="236"/>
        <v>0</v>
      </c>
      <c r="AC537" s="133">
        <f t="shared" si="237"/>
        <v>0</v>
      </c>
      <c r="AD537" s="142">
        <v>1</v>
      </c>
      <c r="AE537" s="141"/>
      <c r="AF537" s="121" t="s">
        <v>292</v>
      </c>
      <c r="AG537" s="146">
        <f>VLOOKUP(Takeoffs!AF537,Sheet1!$B$6:$C$124,2,FALSE)</f>
        <v>0</v>
      </c>
      <c r="AH537" s="146">
        <f t="shared" si="238"/>
        <v>0</v>
      </c>
      <c r="AI537" s="143">
        <f t="shared" si="239"/>
        <v>0</v>
      </c>
      <c r="AJ537" s="133">
        <f t="shared" si="240"/>
        <v>0</v>
      </c>
      <c r="AK537" s="142">
        <f t="shared" ref="AK537:AK544" si="248">T537</f>
        <v>0</v>
      </c>
      <c r="AL537" s="141"/>
      <c r="AO537" s="286"/>
      <c r="AP537" s="284">
        <f t="shared" si="243"/>
        <v>0</v>
      </c>
      <c r="AQ537" s="281">
        <f t="shared" si="244"/>
        <v>0</v>
      </c>
      <c r="AR537" s="284">
        <f t="shared" si="245"/>
        <v>0</v>
      </c>
      <c r="AS537" s="281">
        <f t="shared" si="246"/>
        <v>0</v>
      </c>
      <c r="AT537" s="284">
        <f t="shared" si="247"/>
        <v>0</v>
      </c>
    </row>
    <row r="538" spans="1:46" s="114" customFormat="1" ht="30.9" x14ac:dyDescent="0.8">
      <c r="A538" s="262">
        <f>ROW()</f>
        <v>538</v>
      </c>
      <c r="C538" s="208"/>
      <c r="D538" s="208"/>
      <c r="E538" s="208"/>
      <c r="F538" s="208"/>
      <c r="G538" s="208"/>
      <c r="H538" s="208"/>
      <c r="J538" s="114" t="str">
        <f t="shared" si="241"/>
        <v/>
      </c>
      <c r="K538" s="114" t="str">
        <f>IF(COUNTBLANK(R538)&gt;0,"",CONCATENATE(R538," for ",N524))</f>
        <v/>
      </c>
      <c r="N538" s="123" t="s">
        <v>126</v>
      </c>
      <c r="O538" s="66" t="s">
        <v>541</v>
      </c>
      <c r="P538" s="121"/>
      <c r="Q538" s="66"/>
      <c r="R538" s="121"/>
      <c r="S538" s="133">
        <f>M524</f>
        <v>0</v>
      </c>
      <c r="T538" s="120"/>
      <c r="U538" s="121" t="s">
        <v>292</v>
      </c>
      <c r="V538" s="133">
        <f t="shared" si="234"/>
        <v>0</v>
      </c>
      <c r="W538" s="133">
        <f>VLOOKUP(U538,Sheet1!$B$6:$C$45,2,FALSE)*V538</f>
        <v>0</v>
      </c>
      <c r="X538" s="141"/>
      <c r="Y538" s="122" t="s">
        <v>326</v>
      </c>
      <c r="Z538" s="146">
        <f>VLOOKUP(Takeoffs!Y538,Sheet1!$B$6:$C$124,2,FALSE)</f>
        <v>29.04</v>
      </c>
      <c r="AA538" s="146">
        <f t="shared" si="235"/>
        <v>0</v>
      </c>
      <c r="AB538" s="143">
        <f t="shared" si="236"/>
        <v>0</v>
      </c>
      <c r="AC538" s="133">
        <f t="shared" si="237"/>
        <v>0</v>
      </c>
      <c r="AD538" s="142">
        <v>1</v>
      </c>
      <c r="AE538" s="141"/>
      <c r="AF538" s="121" t="s">
        <v>292</v>
      </c>
      <c r="AG538" s="146">
        <f>VLOOKUP(Takeoffs!AF538,Sheet1!$B$6:$C$124,2,FALSE)</f>
        <v>0</v>
      </c>
      <c r="AH538" s="146">
        <f t="shared" si="238"/>
        <v>0</v>
      </c>
      <c r="AI538" s="143">
        <f t="shared" si="239"/>
        <v>0</v>
      </c>
      <c r="AJ538" s="133">
        <f t="shared" si="240"/>
        <v>0</v>
      </c>
      <c r="AK538" s="142">
        <f t="shared" si="248"/>
        <v>0</v>
      </c>
      <c r="AL538" s="141"/>
      <c r="AO538" s="286"/>
      <c r="AP538" s="284">
        <f t="shared" si="243"/>
        <v>0</v>
      </c>
      <c r="AQ538" s="281">
        <f t="shared" si="244"/>
        <v>0</v>
      </c>
      <c r="AR538" s="284">
        <f t="shared" si="245"/>
        <v>0</v>
      </c>
      <c r="AS538" s="281">
        <f t="shared" si="246"/>
        <v>0</v>
      </c>
      <c r="AT538" s="284">
        <f t="shared" si="247"/>
        <v>0</v>
      </c>
    </row>
    <row r="539" spans="1:46" s="114" customFormat="1" ht="30.9" x14ac:dyDescent="0.8">
      <c r="A539" s="262">
        <f>ROW()</f>
        <v>539</v>
      </c>
      <c r="C539" s="208"/>
      <c r="D539" s="208"/>
      <c r="E539" s="208"/>
      <c r="F539" s="208"/>
      <c r="G539" s="208"/>
      <c r="H539" s="208"/>
      <c r="J539" s="114" t="str">
        <f t="shared" si="241"/>
        <v/>
      </c>
      <c r="K539" s="114" t="str">
        <f>IF(COUNTBLANK(R539)&gt;0,"",CONCATENATE(R539," for ",N524))</f>
        <v>run and fault lights for general fan with interlock - from local power supply</v>
      </c>
      <c r="N539" s="123" t="s">
        <v>127</v>
      </c>
      <c r="O539" s="66" t="s">
        <v>337</v>
      </c>
      <c r="P539" s="121"/>
      <c r="Q539" s="66"/>
      <c r="R539" s="121" t="s">
        <v>331</v>
      </c>
      <c r="S539" s="133">
        <f>M524</f>
        <v>0</v>
      </c>
      <c r="T539" s="120"/>
      <c r="U539" s="121" t="s">
        <v>292</v>
      </c>
      <c r="V539" s="133">
        <f t="shared" si="234"/>
        <v>0</v>
      </c>
      <c r="W539" s="133">
        <f>VLOOKUP(U539,Sheet1!$B$6:$C$45,2,FALSE)*V539</f>
        <v>0</v>
      </c>
      <c r="X539" s="141"/>
      <c r="Y539" s="122" t="s">
        <v>280</v>
      </c>
      <c r="Z539" s="146">
        <f>VLOOKUP(Takeoffs!Y539,Sheet1!$B$6:$C$124,2,FALSE)</f>
        <v>19.2</v>
      </c>
      <c r="AA539" s="146">
        <f t="shared" si="235"/>
        <v>0</v>
      </c>
      <c r="AB539" s="143">
        <f t="shared" si="236"/>
        <v>0</v>
      </c>
      <c r="AC539" s="133">
        <f t="shared" si="237"/>
        <v>0</v>
      </c>
      <c r="AD539" s="142">
        <v>2</v>
      </c>
      <c r="AE539" s="141"/>
      <c r="AF539" s="121" t="s">
        <v>292</v>
      </c>
      <c r="AG539" s="146">
        <f>VLOOKUP(Takeoffs!AF539,Sheet1!$B$6:$C$124,2,FALSE)</f>
        <v>0</v>
      </c>
      <c r="AH539" s="146">
        <f t="shared" si="238"/>
        <v>0</v>
      </c>
      <c r="AI539" s="143">
        <f t="shared" si="239"/>
        <v>0</v>
      </c>
      <c r="AJ539" s="133">
        <f t="shared" si="240"/>
        <v>0</v>
      </c>
      <c r="AK539" s="142">
        <f t="shared" si="248"/>
        <v>0</v>
      </c>
      <c r="AL539" s="141"/>
      <c r="AO539" s="286"/>
      <c r="AP539" s="284">
        <f t="shared" si="243"/>
        <v>0</v>
      </c>
      <c r="AQ539" s="281">
        <f t="shared" si="244"/>
        <v>0</v>
      </c>
      <c r="AR539" s="284">
        <f t="shared" si="245"/>
        <v>0</v>
      </c>
      <c r="AS539" s="281">
        <f t="shared" si="246"/>
        <v>0</v>
      </c>
      <c r="AT539" s="284">
        <f t="shared" si="247"/>
        <v>0</v>
      </c>
    </row>
    <row r="540" spans="1:46" s="114" customFormat="1" ht="30.9" x14ac:dyDescent="0.8">
      <c r="A540" s="262">
        <f>ROW()</f>
        <v>540</v>
      </c>
      <c r="C540" s="208"/>
      <c r="D540" s="208"/>
      <c r="E540" s="208"/>
      <c r="F540" s="208"/>
      <c r="G540" s="208"/>
      <c r="H540" s="208"/>
      <c r="J540" s="114" t="str">
        <f t="shared" si="241"/>
        <v/>
      </c>
      <c r="K540" s="114" t="str">
        <f>IF(COUNTBLANK(R540)&gt;0,"",CONCATENATE(R540," for ",N524))</f>
        <v/>
      </c>
      <c r="N540" s="123" t="s">
        <v>128</v>
      </c>
      <c r="O540" s="66"/>
      <c r="P540" s="121"/>
      <c r="Q540" s="66"/>
      <c r="R540" s="121"/>
      <c r="S540" s="133">
        <f>M524</f>
        <v>0</v>
      </c>
      <c r="T540" s="120"/>
      <c r="U540" s="121" t="s">
        <v>292</v>
      </c>
      <c r="V540" s="133">
        <f t="shared" si="234"/>
        <v>0</v>
      </c>
      <c r="W540" s="133">
        <f>VLOOKUP(U540,Sheet1!$B$6:$C$45,2,FALSE)*V540</f>
        <v>0</v>
      </c>
      <c r="X540" s="141"/>
      <c r="Y540" s="121" t="s">
        <v>292</v>
      </c>
      <c r="Z540" s="146">
        <f>VLOOKUP(Takeoffs!Y540,Sheet1!$B$6:$C$124,2,FALSE)</f>
        <v>0</v>
      </c>
      <c r="AA540" s="146">
        <f t="shared" si="235"/>
        <v>0</v>
      </c>
      <c r="AB540" s="143">
        <f t="shared" si="236"/>
        <v>0</v>
      </c>
      <c r="AC540" s="133">
        <f t="shared" si="237"/>
        <v>0</v>
      </c>
      <c r="AD540" s="142">
        <v>1</v>
      </c>
      <c r="AE540" s="141"/>
      <c r="AF540" s="121" t="s">
        <v>292</v>
      </c>
      <c r="AG540" s="146">
        <f>VLOOKUP(Takeoffs!AF540,Sheet1!$B$6:$C$124,2,FALSE)</f>
        <v>0</v>
      </c>
      <c r="AH540" s="146">
        <f t="shared" si="238"/>
        <v>0</v>
      </c>
      <c r="AI540" s="143">
        <f t="shared" si="239"/>
        <v>0</v>
      </c>
      <c r="AJ540" s="133">
        <f t="shared" si="240"/>
        <v>0</v>
      </c>
      <c r="AK540" s="142">
        <f t="shared" si="248"/>
        <v>0</v>
      </c>
      <c r="AL540" s="141"/>
      <c r="AO540" s="286"/>
      <c r="AP540" s="284">
        <f t="shared" si="243"/>
        <v>0</v>
      </c>
      <c r="AQ540" s="281">
        <f t="shared" si="244"/>
        <v>0</v>
      </c>
      <c r="AR540" s="284">
        <f t="shared" si="245"/>
        <v>0</v>
      </c>
      <c r="AS540" s="281">
        <f t="shared" si="246"/>
        <v>0</v>
      </c>
      <c r="AT540" s="284">
        <f t="shared" si="247"/>
        <v>0</v>
      </c>
    </row>
    <row r="541" spans="1:46" s="114" customFormat="1" ht="30.9" x14ac:dyDescent="0.8">
      <c r="A541" s="262">
        <f>ROW()</f>
        <v>541</v>
      </c>
      <c r="C541" s="208"/>
      <c r="D541" s="208"/>
      <c r="E541" s="208"/>
      <c r="F541" s="208"/>
      <c r="G541" s="208"/>
      <c r="H541" s="208"/>
      <c r="J541" s="114" t="str">
        <f t="shared" si="241"/>
        <v/>
      </c>
      <c r="K541" s="114" t="str">
        <f>IF(COUNTBLANK(R541)&gt;0,"",CONCATENATE(R541," for ",N524))</f>
        <v>Auto/Off/On switch for general fan with interlock - from local power supply</v>
      </c>
      <c r="N541" s="123" t="s">
        <v>129</v>
      </c>
      <c r="O541" s="66" t="s">
        <v>329</v>
      </c>
      <c r="P541" s="121"/>
      <c r="Q541" s="66"/>
      <c r="R541" s="121" t="s">
        <v>304</v>
      </c>
      <c r="S541" s="133">
        <f>M524</f>
        <v>0</v>
      </c>
      <c r="T541" s="120"/>
      <c r="U541" s="121" t="s">
        <v>292</v>
      </c>
      <c r="V541" s="133">
        <f t="shared" si="234"/>
        <v>0</v>
      </c>
      <c r="W541" s="133">
        <f>VLOOKUP(U541,Sheet1!$B$6:$C$45,2,FALSE)*V541</f>
        <v>0</v>
      </c>
      <c r="X541" s="141"/>
      <c r="Y541" s="122" t="s">
        <v>277</v>
      </c>
      <c r="Z541" s="146">
        <f>VLOOKUP(Takeoffs!Y541,Sheet1!$B$6:$C$124,2,FALSE)</f>
        <v>69.540000000000006</v>
      </c>
      <c r="AA541" s="146">
        <f t="shared" si="235"/>
        <v>0</v>
      </c>
      <c r="AB541" s="143">
        <f t="shared" si="236"/>
        <v>0</v>
      </c>
      <c r="AC541" s="133">
        <f t="shared" si="237"/>
        <v>0</v>
      </c>
      <c r="AD541" s="142">
        <v>1</v>
      </c>
      <c r="AE541" s="141"/>
      <c r="AF541" s="121" t="s">
        <v>292</v>
      </c>
      <c r="AG541" s="146">
        <f>VLOOKUP(Takeoffs!AF541,Sheet1!$B$6:$C$124,2,FALSE)</f>
        <v>0</v>
      </c>
      <c r="AH541" s="146">
        <f t="shared" si="238"/>
        <v>0</v>
      </c>
      <c r="AI541" s="143">
        <f t="shared" si="239"/>
        <v>0</v>
      </c>
      <c r="AJ541" s="133">
        <f t="shared" si="240"/>
        <v>0</v>
      </c>
      <c r="AK541" s="142">
        <f t="shared" si="248"/>
        <v>0</v>
      </c>
      <c r="AL541" s="141"/>
      <c r="AO541" s="286"/>
      <c r="AP541" s="284">
        <f t="shared" si="243"/>
        <v>0</v>
      </c>
      <c r="AQ541" s="281">
        <f t="shared" si="244"/>
        <v>0</v>
      </c>
      <c r="AR541" s="284">
        <f t="shared" si="245"/>
        <v>0</v>
      </c>
      <c r="AS541" s="281">
        <f t="shared" si="246"/>
        <v>0</v>
      </c>
      <c r="AT541" s="284">
        <f t="shared" si="247"/>
        <v>0</v>
      </c>
    </row>
    <row r="542" spans="1:46" s="114" customFormat="1" ht="30.9" x14ac:dyDescent="0.8">
      <c r="A542" s="262">
        <f>ROW()</f>
        <v>542</v>
      </c>
      <c r="C542" s="208"/>
      <c r="D542" s="208"/>
      <c r="E542" s="208"/>
      <c r="F542" s="208"/>
      <c r="G542" s="208"/>
      <c r="H542" s="208"/>
      <c r="J542" s="114" t="str">
        <f t="shared" si="241"/>
        <v/>
      </c>
      <c r="K542" s="114" t="str">
        <f>IF(COUNTBLANK(R542)&gt;0,"",CONCATENATE(R542," for ",N524))</f>
        <v/>
      </c>
      <c r="N542" s="123" t="s">
        <v>130</v>
      </c>
      <c r="O542" s="66" t="s">
        <v>338</v>
      </c>
      <c r="P542" s="121"/>
      <c r="Q542" s="66"/>
      <c r="R542" s="121"/>
      <c r="S542" s="133">
        <f>M524</f>
        <v>0</v>
      </c>
      <c r="T542" s="120"/>
      <c r="U542" s="121" t="s">
        <v>292</v>
      </c>
      <c r="V542" s="133">
        <f t="shared" si="234"/>
        <v>0</v>
      </c>
      <c r="W542" s="133">
        <f>VLOOKUP(U542,Sheet1!$B$6:$C$45,2,FALSE)*V542</f>
        <v>0</v>
      </c>
      <c r="X542" s="141"/>
      <c r="Y542" s="122" t="s">
        <v>333</v>
      </c>
      <c r="Z542" s="146">
        <f>VLOOKUP(Takeoffs!Y542,Sheet1!$B$6:$C$124,2,FALSE)</f>
        <v>60</v>
      </c>
      <c r="AA542" s="146">
        <f t="shared" si="235"/>
        <v>0</v>
      </c>
      <c r="AB542" s="143">
        <f t="shared" si="236"/>
        <v>0</v>
      </c>
      <c r="AC542" s="133">
        <f t="shared" si="237"/>
        <v>0</v>
      </c>
      <c r="AD542" s="142">
        <v>1</v>
      </c>
      <c r="AE542" s="141"/>
      <c r="AF542" s="121" t="s">
        <v>292</v>
      </c>
      <c r="AG542" s="146">
        <f>VLOOKUP(Takeoffs!AF542,Sheet1!$B$6:$C$124,2,FALSE)</f>
        <v>0</v>
      </c>
      <c r="AH542" s="146">
        <f t="shared" si="238"/>
        <v>0</v>
      </c>
      <c r="AI542" s="143">
        <f t="shared" si="239"/>
        <v>0</v>
      </c>
      <c r="AJ542" s="133">
        <f t="shared" si="240"/>
        <v>0</v>
      </c>
      <c r="AK542" s="142">
        <f t="shared" si="248"/>
        <v>0</v>
      </c>
      <c r="AL542" s="141"/>
      <c r="AO542" s="286"/>
      <c r="AP542" s="284">
        <f t="shared" si="243"/>
        <v>0</v>
      </c>
      <c r="AQ542" s="281">
        <f t="shared" si="244"/>
        <v>0</v>
      </c>
      <c r="AR542" s="284">
        <f t="shared" si="245"/>
        <v>0</v>
      </c>
      <c r="AS542" s="281">
        <f t="shared" si="246"/>
        <v>0</v>
      </c>
      <c r="AT542" s="284">
        <f t="shared" si="247"/>
        <v>0</v>
      </c>
    </row>
    <row r="543" spans="1:46" s="114" customFormat="1" ht="30.9" x14ac:dyDescent="0.8">
      <c r="A543" s="262">
        <f>ROW()</f>
        <v>543</v>
      </c>
      <c r="C543" s="208"/>
      <c r="D543" s="208"/>
      <c r="E543" s="208"/>
      <c r="F543" s="208"/>
      <c r="G543" s="208"/>
      <c r="H543" s="208"/>
      <c r="J543" s="114" t="str">
        <f t="shared" si="241"/>
        <v/>
      </c>
      <c r="K543" s="114" t="str">
        <f>IF(COUNTBLANK(R543)&gt;0,"",CONCATENATE(R543," for ",N524))</f>
        <v/>
      </c>
      <c r="N543" s="123" t="s">
        <v>131</v>
      </c>
      <c r="O543" s="66" t="s">
        <v>407</v>
      </c>
      <c r="P543" s="121"/>
      <c r="Q543" s="66"/>
      <c r="R543" s="121"/>
      <c r="S543" s="133">
        <f>M524</f>
        <v>0</v>
      </c>
      <c r="T543" s="120"/>
      <c r="U543" s="121" t="s">
        <v>292</v>
      </c>
      <c r="V543" s="133">
        <f t="shared" si="234"/>
        <v>0</v>
      </c>
      <c r="W543" s="133">
        <f>VLOOKUP(U543,Sheet1!$B$6:$C$45,2,FALSE)*V543</f>
        <v>0</v>
      </c>
      <c r="X543" s="141"/>
      <c r="Y543" s="121" t="s">
        <v>274</v>
      </c>
      <c r="Z543" s="146">
        <f>VLOOKUP(Takeoffs!Y543,Sheet1!$B$6:$C$124,2,FALSE)</f>
        <v>360</v>
      </c>
      <c r="AA543" s="146">
        <f t="shared" si="235"/>
        <v>0</v>
      </c>
      <c r="AB543" s="143">
        <f t="shared" si="236"/>
        <v>0</v>
      </c>
      <c r="AC543" s="133">
        <f t="shared" si="237"/>
        <v>0</v>
      </c>
      <c r="AD543" s="142">
        <v>1</v>
      </c>
      <c r="AE543" s="141"/>
      <c r="AF543" s="121" t="s">
        <v>292</v>
      </c>
      <c r="AG543" s="146">
        <f>VLOOKUP(Takeoffs!AF543,Sheet1!$B$6:$C$124,2,FALSE)</f>
        <v>0</v>
      </c>
      <c r="AH543" s="146">
        <f t="shared" si="238"/>
        <v>0</v>
      </c>
      <c r="AI543" s="143">
        <f t="shared" si="239"/>
        <v>0</v>
      </c>
      <c r="AJ543" s="133">
        <f t="shared" si="240"/>
        <v>0</v>
      </c>
      <c r="AK543" s="142">
        <f t="shared" si="248"/>
        <v>0</v>
      </c>
      <c r="AL543" s="141"/>
      <c r="AO543" s="286"/>
      <c r="AP543" s="284">
        <f t="shared" si="243"/>
        <v>0</v>
      </c>
      <c r="AQ543" s="281">
        <f t="shared" si="244"/>
        <v>0</v>
      </c>
      <c r="AR543" s="284">
        <f t="shared" si="245"/>
        <v>0</v>
      </c>
      <c r="AS543" s="281">
        <f t="shared" si="246"/>
        <v>0</v>
      </c>
      <c r="AT543" s="284">
        <f t="shared" si="247"/>
        <v>0</v>
      </c>
    </row>
    <row r="544" spans="1:46" s="114" customFormat="1" ht="30.9" x14ac:dyDescent="0.8">
      <c r="A544" s="262">
        <f>ROW()</f>
        <v>544</v>
      </c>
      <c r="C544" s="208"/>
      <c r="D544" s="208"/>
      <c r="E544" s="208"/>
      <c r="F544" s="208"/>
      <c r="G544" s="208"/>
      <c r="H544" s="208"/>
      <c r="J544" s="114" t="str">
        <f t="shared" si="241"/>
        <v/>
      </c>
      <c r="K544" s="114" t="str">
        <f>IF(COUNTBLANK(R544)&gt;0,"",CONCATENATE(R544," for ",N524))</f>
        <v/>
      </c>
      <c r="N544" s="123" t="s">
        <v>132</v>
      </c>
      <c r="O544" s="66" t="s">
        <v>408</v>
      </c>
      <c r="P544" s="121"/>
      <c r="Q544" s="66"/>
      <c r="R544" s="121"/>
      <c r="S544" s="133">
        <f>M524</f>
        <v>0</v>
      </c>
      <c r="T544" s="120"/>
      <c r="U544" s="121" t="s">
        <v>362</v>
      </c>
      <c r="V544" s="133">
        <f t="shared" si="234"/>
        <v>0</v>
      </c>
      <c r="W544" s="133">
        <f>VLOOKUP(U544,Sheet1!$B$6:$C$45,2,FALSE)*V544</f>
        <v>0</v>
      </c>
      <c r="X544" s="141"/>
      <c r="Y544" s="121" t="s">
        <v>292</v>
      </c>
      <c r="Z544" s="146">
        <f>VLOOKUP(Takeoffs!Y544,Sheet1!$B$6:$C$124,2,FALSE)</f>
        <v>0</v>
      </c>
      <c r="AA544" s="146">
        <f t="shared" si="235"/>
        <v>0</v>
      </c>
      <c r="AB544" s="143">
        <f t="shared" si="236"/>
        <v>0</v>
      </c>
      <c r="AC544" s="133">
        <f t="shared" si="237"/>
        <v>0</v>
      </c>
      <c r="AD544" s="142">
        <v>1</v>
      </c>
      <c r="AE544" s="141"/>
      <c r="AF544" s="121" t="s">
        <v>292</v>
      </c>
      <c r="AG544" s="146">
        <f>VLOOKUP(Takeoffs!AF544,Sheet1!$B$6:$C$124,2,FALSE)</f>
        <v>0</v>
      </c>
      <c r="AH544" s="146">
        <f t="shared" si="238"/>
        <v>0</v>
      </c>
      <c r="AI544" s="143">
        <f t="shared" si="239"/>
        <v>0</v>
      </c>
      <c r="AJ544" s="133">
        <f t="shared" si="240"/>
        <v>0</v>
      </c>
      <c r="AK544" s="142">
        <f t="shared" si="248"/>
        <v>0</v>
      </c>
      <c r="AL544" s="141"/>
      <c r="AO544" s="286"/>
      <c r="AP544" s="284">
        <f t="shared" si="243"/>
        <v>0</v>
      </c>
      <c r="AQ544" s="281">
        <f t="shared" si="244"/>
        <v>0</v>
      </c>
      <c r="AR544" s="284">
        <f t="shared" si="245"/>
        <v>0</v>
      </c>
      <c r="AS544" s="281">
        <f t="shared" si="246"/>
        <v>0</v>
      </c>
      <c r="AT544" s="284">
        <f t="shared" si="247"/>
        <v>0</v>
      </c>
    </row>
    <row r="545" spans="1:97" s="128" customFormat="1" ht="31.5" customHeight="1" x14ac:dyDescent="0.8">
      <c r="A545" s="262">
        <f>ROW()</f>
        <v>545</v>
      </c>
      <c r="C545" s="212"/>
      <c r="D545" s="212"/>
      <c r="E545" s="212"/>
      <c r="F545" s="212"/>
      <c r="G545" s="212"/>
      <c r="H545" s="212"/>
      <c r="J545" s="128" t="s">
        <v>377</v>
      </c>
      <c r="L545" s="128" t="s">
        <v>378</v>
      </c>
      <c r="N545" s="129"/>
      <c r="O545" s="130" t="s">
        <v>357</v>
      </c>
      <c r="P545" s="131">
        <f>V545+AA545+AH545</f>
        <v>0</v>
      </c>
      <c r="Q545" s="131"/>
      <c r="R545" s="131"/>
      <c r="S545" s="130"/>
      <c r="T545" s="127"/>
      <c r="U545" s="126" t="s">
        <v>351</v>
      </c>
      <c r="V545" s="127">
        <f>W545*80</f>
        <v>0</v>
      </c>
      <c r="W545" s="147">
        <f>SUM(W524:W544)</f>
        <v>0</v>
      </c>
      <c r="X545" s="148"/>
      <c r="Y545" s="127" t="s">
        <v>352</v>
      </c>
      <c r="Z545" s="116"/>
      <c r="AA545" s="116">
        <f>SUM(AA524:AA544)</f>
        <v>0</v>
      </c>
      <c r="AB545" s="149"/>
      <c r="AC545" s="149"/>
      <c r="AD545" s="149"/>
      <c r="AE545" s="149"/>
      <c r="AF545" s="127" t="s">
        <v>356</v>
      </c>
      <c r="AG545" s="116"/>
      <c r="AH545" s="116">
        <f>SUM(AH524:AH544)</f>
        <v>0</v>
      </c>
      <c r="AI545" s="149"/>
      <c r="AJ545" s="149"/>
      <c r="AK545" s="149"/>
      <c r="AL545" s="149"/>
      <c r="AM545" s="150">
        <f>P545</f>
        <v>0</v>
      </c>
      <c r="AO545" s="286"/>
      <c r="AP545" s="284">
        <f t="shared" si="243"/>
        <v>0</v>
      </c>
      <c r="AQ545" s="281">
        <f t="shared" si="244"/>
        <v>0</v>
      </c>
      <c r="AR545" s="284">
        <f t="shared" si="245"/>
        <v>0</v>
      </c>
      <c r="AS545" s="281">
        <f t="shared" si="246"/>
        <v>0</v>
      </c>
      <c r="AT545" s="284">
        <f t="shared" si="247"/>
        <v>0</v>
      </c>
    </row>
    <row r="546" spans="1:97" s="234" customFormat="1" ht="154.30000000000001" x14ac:dyDescent="0.8">
      <c r="A546" s="262">
        <f>ROW()</f>
        <v>546</v>
      </c>
      <c r="B546" s="234" t="s">
        <v>491</v>
      </c>
      <c r="C546" s="217" t="str">
        <f>N524</f>
        <v>general fan with interlock - from local power supply</v>
      </c>
      <c r="D546" s="260" t="str">
        <f>IF(B546="Shopping List",IF(ISNUMBER(SEARCH("MSSB",C546)),"MSSB",IF(ISNUMBER(SEARCH("local",C546)),"LOCAL","")))</f>
        <v>LOCAL</v>
      </c>
      <c r="E546" s="238"/>
      <c r="F546" s="217"/>
      <c r="G546" s="217"/>
      <c r="H546" s="245"/>
      <c r="I546" s="270"/>
      <c r="J546" s="241" t="str">
        <f>CONCATENATE(O524," ",L524, " (",M524,") ",N524,".", IF(M524&gt;1," Each "," This "),"includes supply and install of ",O525,O526,O527,O528,O529,O530,O531,O532,O533,O534,O535,O536,O537,O538,O539,O540,O541,O542,O543,O544,J525,J526,J527,J528,J529,J530,J531,J532,J533,J534,J535,J536,J537,J538,J539,J540,J541,J542,J543,J544)</f>
        <v xml:space="preserve">Electrical power supply and controls to Zero (0) general fan with interlock - from local power supply. This includes supply and install of power and controls. Power for system includes: cabling to fan and control panel (from Builder's Electrician's isolator) and local isolator. Controls for system includes: controls cabling, contactors/relays, interlock with associated system, run and fault lights, Auto/Off/On switch, controls enclosure, trefolyte labelling, and commissioning/testing. Coordination Note: - Builders electrician: Please refer to our exclusions relating to local power supply </v>
      </c>
      <c r="K546" s="246">
        <f>P545</f>
        <v>0</v>
      </c>
      <c r="L546" s="234" t="str">
        <f>CONCATENATE(Q525,Q526,Q527,Q528,Q529,Q530,Q531,Q532,Q533,Q534,Q535,Q536,Q537,Q538,Q539,Q540,Q541,Q542,Q543,Q544,)</f>
        <v xml:space="preserve">local power supply </v>
      </c>
      <c r="M546" s="166" t="s">
        <v>367</v>
      </c>
      <c r="N546" s="160" t="str">
        <f>N524</f>
        <v>general fan with interlock - from local power supply</v>
      </c>
      <c r="O546" s="160" t="s">
        <v>365</v>
      </c>
      <c r="P546" s="82" t="e">
        <f>P545/M524</f>
        <v>#DIV/0!</v>
      </c>
      <c r="Q546" s="161"/>
      <c r="R546" s="161"/>
      <c r="S546" s="160"/>
      <c r="T546" s="161"/>
      <c r="U546" s="503" t="s">
        <v>366</v>
      </c>
      <c r="V546" s="503"/>
      <c r="W546" s="162" t="e">
        <f>W545/M524</f>
        <v>#DIV/0!</v>
      </c>
      <c r="X546" s="163"/>
      <c r="Y546" s="501" t="s">
        <v>365</v>
      </c>
      <c r="Z546" s="501"/>
      <c r="AA546" s="164" t="e">
        <f>AA545/M524</f>
        <v>#DIV/0!</v>
      </c>
      <c r="AB546" s="161"/>
      <c r="AC546" s="161"/>
      <c r="AD546" s="161"/>
      <c r="AE546" s="161"/>
      <c r="AF546" s="501" t="s">
        <v>365</v>
      </c>
      <c r="AG546" s="501"/>
      <c r="AH546" s="164" t="e">
        <f>AH545/M524</f>
        <v>#DIV/0!</v>
      </c>
      <c r="AI546" s="161"/>
      <c r="AJ546" s="161"/>
      <c r="AK546" s="161"/>
      <c r="AL546" s="247"/>
      <c r="AM546" s="257"/>
      <c r="AN546" s="236">
        <f>K546*$D$9</f>
        <v>0</v>
      </c>
      <c r="AO546" s="286"/>
      <c r="AP546" s="284">
        <f t="shared" si="243"/>
        <v>0</v>
      </c>
      <c r="AQ546" s="281">
        <f t="shared" si="244"/>
        <v>0</v>
      </c>
      <c r="AR546" s="284">
        <f t="shared" si="245"/>
        <v>0</v>
      </c>
      <c r="AS546" s="281">
        <f t="shared" si="246"/>
        <v>0</v>
      </c>
      <c r="AT546" s="284">
        <f t="shared" si="247"/>
        <v>0</v>
      </c>
      <c r="AU546" s="117"/>
      <c r="AV546" s="117"/>
      <c r="AW546" s="117"/>
      <c r="AX546" s="117"/>
      <c r="AY546" s="117"/>
      <c r="AZ546" s="117"/>
      <c r="BA546" s="117"/>
      <c r="BB546" s="117"/>
      <c r="BC546" s="117"/>
      <c r="BD546" s="117"/>
      <c r="BE546" s="117"/>
      <c r="BF546" s="117"/>
      <c r="BG546" s="117"/>
      <c r="BH546" s="117"/>
      <c r="BI546" s="117"/>
      <c r="BJ546" s="117"/>
      <c r="BK546" s="117"/>
      <c r="BL546" s="117"/>
      <c r="BM546" s="117"/>
      <c r="BN546" s="117"/>
      <c r="BO546" s="117"/>
      <c r="BP546" s="117"/>
      <c r="BQ546" s="117"/>
      <c r="BR546" s="117"/>
      <c r="BS546" s="117"/>
      <c r="BT546" s="117"/>
      <c r="BU546" s="117"/>
      <c r="BV546" s="117"/>
      <c r="BW546" s="117"/>
      <c r="BX546" s="117"/>
      <c r="BY546" s="117"/>
      <c r="BZ546" s="117"/>
      <c r="CA546" s="117"/>
      <c r="CB546" s="117"/>
      <c r="CC546" s="117"/>
      <c r="CD546" s="117"/>
      <c r="CE546" s="117"/>
      <c r="CF546" s="117"/>
      <c r="CG546" s="117"/>
      <c r="CH546" s="117"/>
      <c r="CI546" s="117"/>
      <c r="CJ546" s="117"/>
      <c r="CK546" s="117"/>
      <c r="CL546" s="117"/>
      <c r="CM546" s="117"/>
      <c r="CN546" s="117"/>
      <c r="CO546" s="117"/>
      <c r="CP546" s="117"/>
      <c r="CQ546" s="117"/>
      <c r="CR546" s="117"/>
      <c r="CS546" s="117"/>
    </row>
    <row r="547" spans="1:97" s="2" customFormat="1" ht="192.75" customHeight="1" x14ac:dyDescent="0.8">
      <c r="A547" s="262">
        <f>ROW()</f>
        <v>547</v>
      </c>
      <c r="B547" s="116"/>
      <c r="C547" s="211"/>
      <c r="D547" s="211"/>
      <c r="E547" s="211"/>
      <c r="F547" s="211"/>
      <c r="G547" s="211"/>
      <c r="H547" s="211"/>
      <c r="I547" s="116"/>
      <c r="K547" s="2" t="s">
        <v>452</v>
      </c>
      <c r="M547" s="2" t="s">
        <v>107</v>
      </c>
      <c r="N547" s="2" t="s">
        <v>108</v>
      </c>
      <c r="O547" s="97" t="s">
        <v>386</v>
      </c>
      <c r="P547" s="502" t="s">
        <v>375</v>
      </c>
      <c r="Q547" s="502"/>
      <c r="R547" s="101" t="s">
        <v>452</v>
      </c>
      <c r="S547" s="2" t="s">
        <v>0</v>
      </c>
      <c r="T547" s="9"/>
      <c r="U547" s="2" t="s">
        <v>287</v>
      </c>
      <c r="V547" s="2" t="s">
        <v>288</v>
      </c>
      <c r="W547" s="2" t="s">
        <v>291</v>
      </c>
      <c r="X547" s="58"/>
      <c r="Y547" s="2" t="s">
        <v>289</v>
      </c>
      <c r="Z547" s="2" t="s">
        <v>354</v>
      </c>
      <c r="AA547" s="2" t="s">
        <v>355</v>
      </c>
      <c r="AB547" s="2" t="s">
        <v>317</v>
      </c>
      <c r="AC547" s="2" t="s">
        <v>318</v>
      </c>
      <c r="AD547" s="2" t="s">
        <v>316</v>
      </c>
      <c r="AE547" s="58"/>
      <c r="AF547" s="2" t="s">
        <v>293</v>
      </c>
      <c r="AG547" s="2" t="s">
        <v>354</v>
      </c>
      <c r="AH547" s="2" t="s">
        <v>355</v>
      </c>
      <c r="AI547" s="2" t="s">
        <v>296</v>
      </c>
      <c r="AJ547" s="2" t="s">
        <v>294</v>
      </c>
      <c r="AK547" s="2" t="s">
        <v>295</v>
      </c>
      <c r="AL547" s="58"/>
      <c r="AO547" s="288"/>
      <c r="AP547" s="284">
        <f t="shared" si="243"/>
        <v>0</v>
      </c>
      <c r="AQ547" s="281">
        <f t="shared" si="244"/>
        <v>0</v>
      </c>
      <c r="AR547" s="284">
        <f t="shared" si="245"/>
        <v>0</v>
      </c>
      <c r="AS547" s="281">
        <f t="shared" si="246"/>
        <v>0</v>
      </c>
      <c r="AT547" s="284">
        <f t="shared" si="247"/>
        <v>0</v>
      </c>
    </row>
    <row r="548" spans="1:97" s="32" customFormat="1" ht="40.5" customHeight="1" x14ac:dyDescent="0.8">
      <c r="A548" s="262">
        <f>ROW()</f>
        <v>548</v>
      </c>
      <c r="B548" s="114"/>
      <c r="C548" s="208"/>
      <c r="D548" s="208"/>
      <c r="E548" s="208"/>
      <c r="F548" s="208"/>
      <c r="G548" s="208"/>
      <c r="H548" s="208"/>
      <c r="I548" s="114"/>
      <c r="L548" s="16" t="str">
        <f>VLOOKUP(M548,Sheet2!$D$2:$E$1024,2,FALSE)</f>
        <v>Zero</v>
      </c>
      <c r="M548" s="121">
        <f>I570</f>
        <v>0</v>
      </c>
      <c r="N548" s="27" t="s">
        <v>346</v>
      </c>
      <c r="O548" s="12" t="s">
        <v>347</v>
      </c>
      <c r="P548" s="96" t="s">
        <v>379</v>
      </c>
      <c r="Q548" s="96" t="s">
        <v>375</v>
      </c>
      <c r="R548" s="96"/>
      <c r="S548" s="28">
        <f>M548</f>
        <v>0</v>
      </c>
      <c r="T548" s="10"/>
      <c r="U548" s="12" t="s">
        <v>292</v>
      </c>
      <c r="V548" s="28">
        <f>S548</f>
        <v>0</v>
      </c>
      <c r="W548" s="28">
        <f>VLOOKUP(U548,Sheet1!$B$6:$C$45,2,FALSE)*V548</f>
        <v>0</v>
      </c>
      <c r="X548" s="59"/>
      <c r="Y548" s="12" t="s">
        <v>292</v>
      </c>
      <c r="Z548" s="68">
        <f>VLOOKUP(Takeoffs!Y548,Sheet1!$B$6:$C$124,2,FALSE)</f>
        <v>0</v>
      </c>
      <c r="AA548" s="68">
        <f>Z548*AB548</f>
        <v>0</v>
      </c>
      <c r="AB548" s="63">
        <f>AD548*AC548</f>
        <v>0</v>
      </c>
      <c r="AC548" s="28">
        <f>S548</f>
        <v>0</v>
      </c>
      <c r="AD548" s="61">
        <v>1</v>
      </c>
      <c r="AE548" s="59"/>
      <c r="AF548" s="12" t="s">
        <v>292</v>
      </c>
      <c r="AG548" s="68">
        <f>VLOOKUP(Takeoffs!AF548,Sheet1!$B$6:$C$124,2,FALSE)</f>
        <v>0</v>
      </c>
      <c r="AH548" s="68">
        <f>AG548*AI548</f>
        <v>0</v>
      </c>
      <c r="AI548" s="63">
        <f>AK548*AJ548</f>
        <v>0</v>
      </c>
      <c r="AJ548" s="28">
        <f>S548</f>
        <v>0</v>
      </c>
      <c r="AK548" s="61">
        <f>T548</f>
        <v>0</v>
      </c>
      <c r="AL548" s="59"/>
      <c r="AO548" s="286"/>
      <c r="AP548" s="284">
        <f t="shared" si="243"/>
        <v>0</v>
      </c>
      <c r="AQ548" s="281">
        <f t="shared" si="244"/>
        <v>0</v>
      </c>
      <c r="AR548" s="284">
        <f t="shared" si="245"/>
        <v>0</v>
      </c>
      <c r="AS548" s="281">
        <f t="shared" si="246"/>
        <v>0</v>
      </c>
      <c r="AT548" s="284">
        <f t="shared" si="247"/>
        <v>0</v>
      </c>
    </row>
    <row r="549" spans="1:97" s="32" customFormat="1" ht="30.9" x14ac:dyDescent="0.8">
      <c r="A549" s="262">
        <f>ROW()</f>
        <v>549</v>
      </c>
      <c r="B549" s="114"/>
      <c r="C549" s="208"/>
      <c r="D549" s="208"/>
      <c r="E549" s="208"/>
      <c r="F549" s="208"/>
      <c r="G549" s="208"/>
      <c r="H549" s="208"/>
      <c r="I549" s="114"/>
      <c r="J549" s="32" t="str">
        <f>IF(COUNTBLANK(Q549)&gt;0,"",CONCATENATE("Coordination Note: - ",P549,": Please refer to our exclusions relating to ",Q549))</f>
        <v/>
      </c>
      <c r="K549" s="32" t="str">
        <f>IF(COUNTBLANK(R549)&gt;0,"",CONCATENATE(R549," for ",N548))</f>
        <v/>
      </c>
      <c r="M549" s="38"/>
      <c r="N549" s="15" t="s">
        <v>113</v>
      </c>
      <c r="O549" s="66" t="s">
        <v>340</v>
      </c>
      <c r="P549" s="12"/>
      <c r="Q549" s="66"/>
      <c r="R549" s="12"/>
      <c r="S549" s="28">
        <f>M548</f>
        <v>0</v>
      </c>
      <c r="T549" s="11"/>
      <c r="U549" s="12" t="s">
        <v>233</v>
      </c>
      <c r="V549" s="28">
        <f t="shared" ref="V549:V568" si="249">S549</f>
        <v>0</v>
      </c>
      <c r="W549" s="28">
        <f>VLOOKUP(U549,Sheet1!$B$6:$C$45,2,FALSE)*V549</f>
        <v>0</v>
      </c>
      <c r="X549" s="59"/>
      <c r="Y549" s="12" t="s">
        <v>292</v>
      </c>
      <c r="Z549" s="68">
        <f>VLOOKUP(Takeoffs!Y549,Sheet1!$B$6:$C$124,2,FALSE)</f>
        <v>0</v>
      </c>
      <c r="AA549" s="68">
        <f t="shared" ref="AA549:AA568" si="250">Z549*AB549</f>
        <v>0</v>
      </c>
      <c r="AB549" s="63">
        <f t="shared" ref="AB549:AB568" si="251">AD549*AC549</f>
        <v>0</v>
      </c>
      <c r="AC549" s="28">
        <f>S549</f>
        <v>0</v>
      </c>
      <c r="AD549" s="61">
        <v>1</v>
      </c>
      <c r="AE549" s="59"/>
      <c r="AF549" s="12" t="s">
        <v>292</v>
      </c>
      <c r="AG549" s="68">
        <f>VLOOKUP(Takeoffs!AF549,Sheet1!$B$6:$C$124,2,FALSE)</f>
        <v>0</v>
      </c>
      <c r="AH549" s="68">
        <f t="shared" ref="AH549:AH568" si="252">AG549*AI549</f>
        <v>0</v>
      </c>
      <c r="AI549" s="63">
        <f t="shared" ref="AI549:AI568" si="253">AK549*AJ549</f>
        <v>0</v>
      </c>
      <c r="AJ549" s="28">
        <f t="shared" ref="AJ549:AJ568" si="254">S549</f>
        <v>0</v>
      </c>
      <c r="AK549" s="61">
        <f>T549</f>
        <v>0</v>
      </c>
      <c r="AL549" s="59"/>
      <c r="AO549" s="286"/>
      <c r="AP549" s="284">
        <f t="shared" si="243"/>
        <v>0</v>
      </c>
      <c r="AQ549" s="281">
        <f t="shared" si="244"/>
        <v>0</v>
      </c>
      <c r="AR549" s="284">
        <f t="shared" si="245"/>
        <v>0</v>
      </c>
      <c r="AS549" s="281">
        <f t="shared" si="246"/>
        <v>0</v>
      </c>
      <c r="AT549" s="284">
        <f t="shared" si="247"/>
        <v>0</v>
      </c>
    </row>
    <row r="550" spans="1:97" s="32" customFormat="1" ht="30.9" x14ac:dyDescent="0.8">
      <c r="A550" s="262">
        <f>ROW()</f>
        <v>550</v>
      </c>
      <c r="B550" s="114"/>
      <c r="C550" s="208"/>
      <c r="D550" s="208"/>
      <c r="E550" s="208"/>
      <c r="F550" s="208"/>
      <c r="G550" s="208"/>
      <c r="H550" s="208"/>
      <c r="I550" s="114"/>
      <c r="J550" s="32" t="str">
        <f t="shared" ref="J550:J568" si="255">IF(COUNTBLANK(Q550)&gt;0,"",CONCATENATE("Coordination Note: - ",P550,": Please refer to our exclusions relating to ",Q550))</f>
        <v xml:space="preserve">Coordination Note: - Builders electrician: Please refer to our exclusions relating to local power supply </v>
      </c>
      <c r="K550" s="32" t="str">
        <f>IF(COUNTBLANK(R550)&gt;0,"",CONCATENATE(R550," for ",N548))</f>
        <v/>
      </c>
      <c r="M550" s="38"/>
      <c r="N550" s="15" t="s">
        <v>114</v>
      </c>
      <c r="O550" s="66" t="s">
        <v>441</v>
      </c>
      <c r="P550" s="121" t="s">
        <v>539</v>
      </c>
      <c r="Q550" s="66" t="s">
        <v>687</v>
      </c>
      <c r="R550" s="12"/>
      <c r="S550" s="28">
        <f>M548</f>
        <v>0</v>
      </c>
      <c r="T550" s="11"/>
      <c r="U550" s="12" t="s">
        <v>361</v>
      </c>
      <c r="V550" s="28">
        <f t="shared" si="249"/>
        <v>0</v>
      </c>
      <c r="W550" s="28">
        <f>VLOOKUP(U550,Sheet1!$B$6:$C$45,2,FALSE)*V550</f>
        <v>0</v>
      </c>
      <c r="X550" s="59"/>
      <c r="Y550" s="12" t="s">
        <v>292</v>
      </c>
      <c r="Z550" s="68">
        <f>VLOOKUP(Takeoffs!Y550,Sheet1!$B$6:$C$124,2,FALSE)</f>
        <v>0</v>
      </c>
      <c r="AA550" s="68">
        <f t="shared" si="250"/>
        <v>0</v>
      </c>
      <c r="AB550" s="63">
        <f t="shared" si="251"/>
        <v>0</v>
      </c>
      <c r="AC550" s="28">
        <f>S550</f>
        <v>0</v>
      </c>
      <c r="AD550" s="61">
        <v>1</v>
      </c>
      <c r="AE550" s="59"/>
      <c r="AF550" s="13" t="s">
        <v>268</v>
      </c>
      <c r="AG550" s="68">
        <f>VLOOKUP(Takeoffs!AF550,Sheet1!$B$6:$C$124,2,FALSE)</f>
        <v>1.02</v>
      </c>
      <c r="AH550" s="68">
        <f t="shared" si="252"/>
        <v>0</v>
      </c>
      <c r="AI550" s="63">
        <f t="shared" si="253"/>
        <v>0</v>
      </c>
      <c r="AJ550" s="28">
        <f t="shared" si="254"/>
        <v>0</v>
      </c>
      <c r="AK550" s="61">
        <v>5</v>
      </c>
      <c r="AL550" s="59"/>
      <c r="AO550" s="286"/>
      <c r="AP550" s="284">
        <f t="shared" si="243"/>
        <v>0</v>
      </c>
      <c r="AQ550" s="281">
        <f t="shared" si="244"/>
        <v>0</v>
      </c>
      <c r="AR550" s="284">
        <f t="shared" si="245"/>
        <v>0</v>
      </c>
      <c r="AS550" s="281">
        <f t="shared" si="246"/>
        <v>0</v>
      </c>
      <c r="AT550" s="284">
        <f t="shared" si="247"/>
        <v>0</v>
      </c>
    </row>
    <row r="551" spans="1:97" s="32" customFormat="1" ht="30.9" x14ac:dyDescent="0.8">
      <c r="A551" s="262">
        <f>ROW()</f>
        <v>551</v>
      </c>
      <c r="B551" s="114"/>
      <c r="C551" s="208"/>
      <c r="D551" s="208"/>
      <c r="E551" s="208"/>
      <c r="F551" s="208"/>
      <c r="G551" s="208"/>
      <c r="H551" s="208"/>
      <c r="I551" s="114"/>
      <c r="J551" s="32" t="str">
        <f t="shared" si="255"/>
        <v/>
      </c>
      <c r="K551" s="32" t="str">
        <f>IF(COUNTBLANK(R551)&gt;0,"",CONCATENATE(R551," for ",N548))</f>
        <v/>
      </c>
      <c r="M551" s="38"/>
      <c r="N551" s="15" t="s">
        <v>115</v>
      </c>
      <c r="O551" s="66" t="s">
        <v>406</v>
      </c>
      <c r="P551" s="12"/>
      <c r="Q551" s="66"/>
      <c r="R551" s="12"/>
      <c r="S551" s="28">
        <f>M548</f>
        <v>0</v>
      </c>
      <c r="T551" s="11"/>
      <c r="U551" s="12" t="s">
        <v>292</v>
      </c>
      <c r="V551" s="28">
        <f t="shared" si="249"/>
        <v>0</v>
      </c>
      <c r="W551" s="28">
        <f>VLOOKUP(U551,Sheet1!$B$6:$C$45,2,FALSE)*V551</f>
        <v>0</v>
      </c>
      <c r="X551" s="59"/>
      <c r="Y551" s="13" t="s">
        <v>247</v>
      </c>
      <c r="Z551" s="68">
        <f>VLOOKUP(Takeoffs!Y551,Sheet1!$B$6:$C$124,2,FALSE)</f>
        <v>23.76</v>
      </c>
      <c r="AA551" s="68">
        <f t="shared" si="250"/>
        <v>0</v>
      </c>
      <c r="AB551" s="63">
        <f t="shared" si="251"/>
        <v>0</v>
      </c>
      <c r="AC551" s="28">
        <f t="shared" ref="AC551:AC568" si="256">S551</f>
        <v>0</v>
      </c>
      <c r="AD551" s="61">
        <v>1</v>
      </c>
      <c r="AE551" s="59"/>
      <c r="AF551" s="12" t="s">
        <v>292</v>
      </c>
      <c r="AG551" s="68">
        <f>VLOOKUP(Takeoffs!AF551,Sheet1!$B$6:$C$124,2,FALSE)</f>
        <v>0</v>
      </c>
      <c r="AH551" s="68">
        <f t="shared" si="252"/>
        <v>0</v>
      </c>
      <c r="AI551" s="63">
        <f t="shared" si="253"/>
        <v>0</v>
      </c>
      <c r="AJ551" s="28">
        <f t="shared" si="254"/>
        <v>0</v>
      </c>
      <c r="AK551" s="61">
        <f t="shared" ref="AK551:AK557" si="257">T551</f>
        <v>0</v>
      </c>
      <c r="AL551" s="59"/>
      <c r="AO551" s="286"/>
      <c r="AP551" s="284">
        <f t="shared" si="243"/>
        <v>0</v>
      </c>
      <c r="AQ551" s="281">
        <f t="shared" si="244"/>
        <v>0</v>
      </c>
      <c r="AR551" s="284">
        <f t="shared" si="245"/>
        <v>0</v>
      </c>
      <c r="AS551" s="281">
        <f t="shared" si="246"/>
        <v>0</v>
      </c>
      <c r="AT551" s="284">
        <f t="shared" si="247"/>
        <v>0</v>
      </c>
    </row>
    <row r="552" spans="1:97" s="32" customFormat="1" ht="30.9" x14ac:dyDescent="0.8">
      <c r="A552" s="262">
        <f>ROW()</f>
        <v>552</v>
      </c>
      <c r="B552" s="114"/>
      <c r="C552" s="208"/>
      <c r="D552" s="208"/>
      <c r="E552" s="208"/>
      <c r="F552" s="208"/>
      <c r="G552" s="208"/>
      <c r="H552" s="208"/>
      <c r="I552" s="114"/>
      <c r="J552" s="32" t="str">
        <f t="shared" si="255"/>
        <v/>
      </c>
      <c r="K552" s="32" t="str">
        <f>IF(COUNTBLANK(R552)&gt;0,"",CONCATENATE(R552," for ",N548))</f>
        <v/>
      </c>
      <c r="M552" s="38"/>
      <c r="N552" s="15" t="s">
        <v>116</v>
      </c>
      <c r="O552" s="66"/>
      <c r="P552" s="12"/>
      <c r="Q552" s="66"/>
      <c r="R552" s="12"/>
      <c r="S552" s="28">
        <f>M548</f>
        <v>0</v>
      </c>
      <c r="T552" s="11"/>
      <c r="U552" s="12" t="s">
        <v>292</v>
      </c>
      <c r="V552" s="28">
        <f t="shared" si="249"/>
        <v>0</v>
      </c>
      <c r="W552" s="28">
        <f>VLOOKUP(U552,Sheet1!$B$6:$C$45,2,FALSE)*V552</f>
        <v>0</v>
      </c>
      <c r="X552" s="59"/>
      <c r="Y552" s="12" t="s">
        <v>292</v>
      </c>
      <c r="Z552" s="68">
        <f>VLOOKUP(Takeoffs!Y552,Sheet1!$B$6:$C$124,2,FALSE)</f>
        <v>0</v>
      </c>
      <c r="AA552" s="68">
        <f t="shared" si="250"/>
        <v>0</v>
      </c>
      <c r="AB552" s="63">
        <f t="shared" si="251"/>
        <v>0</v>
      </c>
      <c r="AC552" s="28">
        <f t="shared" si="256"/>
        <v>0</v>
      </c>
      <c r="AD552" s="61">
        <v>1</v>
      </c>
      <c r="AE552" s="59"/>
      <c r="AF552" s="12" t="s">
        <v>292</v>
      </c>
      <c r="AG552" s="68">
        <f>VLOOKUP(Takeoffs!AF552,Sheet1!$B$6:$C$124,2,FALSE)</f>
        <v>0</v>
      </c>
      <c r="AH552" s="68">
        <f t="shared" si="252"/>
        <v>0</v>
      </c>
      <c r="AI552" s="63">
        <f t="shared" si="253"/>
        <v>0</v>
      </c>
      <c r="AJ552" s="28">
        <f t="shared" si="254"/>
        <v>0</v>
      </c>
      <c r="AK552" s="61">
        <f t="shared" si="257"/>
        <v>0</v>
      </c>
      <c r="AL552" s="59"/>
      <c r="AO552" s="286"/>
      <c r="AP552" s="284">
        <f t="shared" si="243"/>
        <v>0</v>
      </c>
      <c r="AQ552" s="281">
        <f t="shared" si="244"/>
        <v>0</v>
      </c>
      <c r="AR552" s="284">
        <f t="shared" si="245"/>
        <v>0</v>
      </c>
      <c r="AS552" s="281">
        <f t="shared" si="246"/>
        <v>0</v>
      </c>
      <c r="AT552" s="284">
        <f t="shared" si="247"/>
        <v>0</v>
      </c>
    </row>
    <row r="553" spans="1:97" s="32" customFormat="1" ht="30.9" x14ac:dyDescent="0.8">
      <c r="A553" s="262">
        <f>ROW()</f>
        <v>553</v>
      </c>
      <c r="B553" s="114"/>
      <c r="C553" s="208"/>
      <c r="D553" s="208"/>
      <c r="E553" s="208"/>
      <c r="F553" s="208"/>
      <c r="G553" s="208"/>
      <c r="H553" s="208"/>
      <c r="I553" s="114"/>
      <c r="J553" s="32" t="str">
        <f t="shared" si="255"/>
        <v/>
      </c>
      <c r="K553" s="32" t="str">
        <f>IF(COUNTBLANK(R553)&gt;0,"",CONCATENATE(R553," for ",N548))</f>
        <v/>
      </c>
      <c r="M553" s="38"/>
      <c r="N553" s="15" t="s">
        <v>117</v>
      </c>
      <c r="O553" s="66"/>
      <c r="P553" s="12"/>
      <c r="Q553" s="66"/>
      <c r="R553" s="12"/>
      <c r="S553" s="28">
        <f>M548</f>
        <v>0</v>
      </c>
      <c r="T553" s="11"/>
      <c r="U553" s="12" t="s">
        <v>292</v>
      </c>
      <c r="V553" s="28">
        <f t="shared" si="249"/>
        <v>0</v>
      </c>
      <c r="W553" s="28">
        <f>VLOOKUP(U553,Sheet1!$B$6:$C$45,2,FALSE)*V553</f>
        <v>0</v>
      </c>
      <c r="X553" s="59"/>
      <c r="Y553" s="12" t="s">
        <v>292</v>
      </c>
      <c r="Z553" s="68">
        <f>VLOOKUP(Takeoffs!Y553,Sheet1!$B$6:$C$124,2,FALSE)</f>
        <v>0</v>
      </c>
      <c r="AA553" s="68">
        <f t="shared" si="250"/>
        <v>0</v>
      </c>
      <c r="AB553" s="63">
        <f t="shared" si="251"/>
        <v>0</v>
      </c>
      <c r="AC553" s="28">
        <f t="shared" si="256"/>
        <v>0</v>
      </c>
      <c r="AD553" s="61">
        <v>1</v>
      </c>
      <c r="AE553" s="59"/>
      <c r="AF553" s="12" t="s">
        <v>292</v>
      </c>
      <c r="AG553" s="68">
        <f>VLOOKUP(Takeoffs!AF553,Sheet1!$B$6:$C$124,2,FALSE)</f>
        <v>0</v>
      </c>
      <c r="AH553" s="68">
        <f t="shared" si="252"/>
        <v>0</v>
      </c>
      <c r="AI553" s="63">
        <f t="shared" si="253"/>
        <v>0</v>
      </c>
      <c r="AJ553" s="28">
        <f t="shared" si="254"/>
        <v>0</v>
      </c>
      <c r="AK553" s="61">
        <f t="shared" si="257"/>
        <v>0</v>
      </c>
      <c r="AL553" s="59"/>
      <c r="AO553" s="286"/>
      <c r="AP553" s="284">
        <f t="shared" si="243"/>
        <v>0</v>
      </c>
      <c r="AQ553" s="281">
        <f t="shared" si="244"/>
        <v>0</v>
      </c>
      <c r="AR553" s="284">
        <f t="shared" si="245"/>
        <v>0</v>
      </c>
      <c r="AS553" s="281">
        <f t="shared" si="246"/>
        <v>0</v>
      </c>
      <c r="AT553" s="284">
        <f t="shared" si="247"/>
        <v>0</v>
      </c>
    </row>
    <row r="554" spans="1:97" s="32" customFormat="1" ht="30.9" x14ac:dyDescent="0.8">
      <c r="A554" s="262">
        <f>ROW()</f>
        <v>554</v>
      </c>
      <c r="B554" s="114"/>
      <c r="C554" s="208"/>
      <c r="D554" s="208"/>
      <c r="E554" s="208"/>
      <c r="F554" s="208"/>
      <c r="G554" s="208"/>
      <c r="H554" s="208"/>
      <c r="I554" s="114"/>
      <c r="J554" s="32" t="str">
        <f t="shared" si="255"/>
        <v/>
      </c>
      <c r="K554" s="32" t="str">
        <f>IF(COUNTBLANK(R554)&gt;0,"",CONCATENATE(R554," for ",N548))</f>
        <v/>
      </c>
      <c r="M554" s="38"/>
      <c r="N554" s="15" t="s">
        <v>118</v>
      </c>
      <c r="O554" s="66"/>
      <c r="P554" s="12"/>
      <c r="Q554" s="66"/>
      <c r="R554" s="12"/>
      <c r="S554" s="28">
        <f>M548</f>
        <v>0</v>
      </c>
      <c r="T554" s="11"/>
      <c r="U554" s="12" t="s">
        <v>292</v>
      </c>
      <c r="V554" s="28">
        <f t="shared" si="249"/>
        <v>0</v>
      </c>
      <c r="W554" s="28">
        <f>VLOOKUP(U554,Sheet1!$B$6:$C$45,2,FALSE)*V554</f>
        <v>0</v>
      </c>
      <c r="X554" s="59"/>
      <c r="Y554" s="12" t="s">
        <v>292</v>
      </c>
      <c r="Z554" s="68">
        <f>VLOOKUP(Takeoffs!Y554,Sheet1!$B$6:$C$124,2,FALSE)</f>
        <v>0</v>
      </c>
      <c r="AA554" s="68">
        <f t="shared" si="250"/>
        <v>0</v>
      </c>
      <c r="AB554" s="63">
        <f t="shared" si="251"/>
        <v>0</v>
      </c>
      <c r="AC554" s="28">
        <f t="shared" si="256"/>
        <v>0</v>
      </c>
      <c r="AD554" s="61">
        <v>1</v>
      </c>
      <c r="AE554" s="59"/>
      <c r="AF554" s="12" t="s">
        <v>292</v>
      </c>
      <c r="AG554" s="68">
        <f>VLOOKUP(Takeoffs!AF554,Sheet1!$B$6:$C$124,2,FALSE)</f>
        <v>0</v>
      </c>
      <c r="AH554" s="68">
        <f t="shared" si="252"/>
        <v>0</v>
      </c>
      <c r="AI554" s="63">
        <f t="shared" si="253"/>
        <v>0</v>
      </c>
      <c r="AJ554" s="28">
        <f t="shared" si="254"/>
        <v>0</v>
      </c>
      <c r="AK554" s="61">
        <f t="shared" si="257"/>
        <v>0</v>
      </c>
      <c r="AL554" s="59"/>
      <c r="AO554" s="286"/>
      <c r="AP554" s="284">
        <f t="shared" si="243"/>
        <v>0</v>
      </c>
      <c r="AQ554" s="281">
        <f t="shared" si="244"/>
        <v>0</v>
      </c>
      <c r="AR554" s="284">
        <f t="shared" si="245"/>
        <v>0</v>
      </c>
      <c r="AS554" s="281">
        <f t="shared" si="246"/>
        <v>0</v>
      </c>
      <c r="AT554" s="284">
        <f t="shared" si="247"/>
        <v>0</v>
      </c>
    </row>
    <row r="555" spans="1:97" s="32" customFormat="1" ht="30.9" x14ac:dyDescent="0.8">
      <c r="A555" s="262">
        <f>ROW()</f>
        <v>555</v>
      </c>
      <c r="B555" s="114"/>
      <c r="C555" s="208"/>
      <c r="D555" s="208"/>
      <c r="E555" s="208"/>
      <c r="F555" s="208"/>
      <c r="G555" s="208"/>
      <c r="H555" s="208"/>
      <c r="I555" s="114"/>
      <c r="J555" s="32" t="str">
        <f t="shared" si="255"/>
        <v/>
      </c>
      <c r="K555" s="32" t="str">
        <f>IF(COUNTBLANK(R555)&gt;0,"",CONCATENATE(R555," for ",N548))</f>
        <v/>
      </c>
      <c r="N555" s="15" t="s">
        <v>119</v>
      </c>
      <c r="O555" s="66"/>
      <c r="P555" s="12"/>
      <c r="Q555" s="66"/>
      <c r="R555" s="12"/>
      <c r="S555" s="28">
        <f>M548</f>
        <v>0</v>
      </c>
      <c r="T555" s="11"/>
      <c r="U555" s="12" t="s">
        <v>292</v>
      </c>
      <c r="V555" s="28">
        <f t="shared" si="249"/>
        <v>0</v>
      </c>
      <c r="W555" s="28">
        <f>VLOOKUP(U555,Sheet1!$B$6:$C$45,2,FALSE)*V555</f>
        <v>0</v>
      </c>
      <c r="X555" s="59"/>
      <c r="Y555" s="12" t="s">
        <v>292</v>
      </c>
      <c r="Z555" s="68">
        <f>VLOOKUP(Takeoffs!Y555,Sheet1!$B$6:$C$124,2,FALSE)</f>
        <v>0</v>
      </c>
      <c r="AA555" s="68">
        <f t="shared" si="250"/>
        <v>0</v>
      </c>
      <c r="AB555" s="63">
        <f t="shared" si="251"/>
        <v>0</v>
      </c>
      <c r="AC555" s="28">
        <f t="shared" si="256"/>
        <v>0</v>
      </c>
      <c r="AD555" s="61">
        <v>1</v>
      </c>
      <c r="AE555" s="59"/>
      <c r="AF555" s="12" t="s">
        <v>292</v>
      </c>
      <c r="AG555" s="68">
        <f>VLOOKUP(Takeoffs!AF555,Sheet1!$B$6:$C$124,2,FALSE)</f>
        <v>0</v>
      </c>
      <c r="AH555" s="68">
        <f t="shared" si="252"/>
        <v>0</v>
      </c>
      <c r="AI555" s="63">
        <f t="shared" si="253"/>
        <v>0</v>
      </c>
      <c r="AJ555" s="28">
        <f t="shared" si="254"/>
        <v>0</v>
      </c>
      <c r="AK555" s="61">
        <f t="shared" si="257"/>
        <v>0</v>
      </c>
      <c r="AL555" s="59"/>
      <c r="AO555" s="286"/>
      <c r="AP555" s="284">
        <f t="shared" si="243"/>
        <v>0</v>
      </c>
      <c r="AQ555" s="281">
        <f t="shared" si="244"/>
        <v>0</v>
      </c>
      <c r="AR555" s="284">
        <f t="shared" si="245"/>
        <v>0</v>
      </c>
      <c r="AS555" s="281">
        <f t="shared" si="246"/>
        <v>0</v>
      </c>
      <c r="AT555" s="284">
        <f t="shared" si="247"/>
        <v>0</v>
      </c>
    </row>
    <row r="556" spans="1:97" s="32" customFormat="1" ht="30.9" x14ac:dyDescent="0.8">
      <c r="A556" s="262">
        <f>ROW()</f>
        <v>556</v>
      </c>
      <c r="B556" s="114"/>
      <c r="C556" s="208"/>
      <c r="D556" s="208"/>
      <c r="E556" s="208"/>
      <c r="F556" s="208"/>
      <c r="G556" s="208"/>
      <c r="H556" s="208"/>
      <c r="I556" s="114"/>
      <c r="J556" s="32" t="str">
        <f t="shared" si="255"/>
        <v/>
      </c>
      <c r="K556" s="32" t="str">
        <f>IF(COUNTBLANK(R556)&gt;0,"",CONCATENATE(R556," for ",N548))</f>
        <v/>
      </c>
      <c r="N556" s="15" t="s">
        <v>120</v>
      </c>
      <c r="O556" s="66" t="s">
        <v>328</v>
      </c>
      <c r="P556" s="12"/>
      <c r="Q556" s="66"/>
      <c r="R556" s="12"/>
      <c r="S556" s="28">
        <f>M548</f>
        <v>0</v>
      </c>
      <c r="T556" s="11"/>
      <c r="U556" s="12" t="s">
        <v>242</v>
      </c>
      <c r="V556" s="28">
        <f t="shared" si="249"/>
        <v>0</v>
      </c>
      <c r="W556" s="28">
        <f>VLOOKUP(U556,Sheet1!$B$6:$C$45,2,FALSE)*V556</f>
        <v>0</v>
      </c>
      <c r="X556" s="59"/>
      <c r="Y556" s="12" t="s">
        <v>292</v>
      </c>
      <c r="Z556" s="68">
        <f>VLOOKUP(Takeoffs!Y556,Sheet1!$B$6:$C$124,2,FALSE)</f>
        <v>0</v>
      </c>
      <c r="AA556" s="68">
        <f t="shared" si="250"/>
        <v>0</v>
      </c>
      <c r="AB556" s="63">
        <f t="shared" si="251"/>
        <v>0</v>
      </c>
      <c r="AC556" s="28">
        <f t="shared" si="256"/>
        <v>0</v>
      </c>
      <c r="AD556" s="61">
        <v>1</v>
      </c>
      <c r="AE556" s="59"/>
      <c r="AF556" s="12" t="s">
        <v>292</v>
      </c>
      <c r="AG556" s="68">
        <f>VLOOKUP(Takeoffs!AF556,Sheet1!$B$6:$C$124,2,FALSE)</f>
        <v>0</v>
      </c>
      <c r="AH556" s="68">
        <f t="shared" si="252"/>
        <v>0</v>
      </c>
      <c r="AI556" s="63">
        <f t="shared" si="253"/>
        <v>0</v>
      </c>
      <c r="AJ556" s="28">
        <f t="shared" si="254"/>
        <v>0</v>
      </c>
      <c r="AK556" s="61">
        <f t="shared" si="257"/>
        <v>0</v>
      </c>
      <c r="AL556" s="59"/>
      <c r="AO556" s="286"/>
      <c r="AP556" s="284">
        <f t="shared" si="243"/>
        <v>0</v>
      </c>
      <c r="AQ556" s="281">
        <f t="shared" si="244"/>
        <v>0</v>
      </c>
      <c r="AR556" s="284">
        <f t="shared" si="245"/>
        <v>0</v>
      </c>
      <c r="AS556" s="281">
        <f t="shared" si="246"/>
        <v>0</v>
      </c>
      <c r="AT556" s="284">
        <f t="shared" si="247"/>
        <v>0</v>
      </c>
    </row>
    <row r="557" spans="1:97" s="32" customFormat="1" ht="30.9" x14ac:dyDescent="0.8">
      <c r="A557" s="262">
        <f>ROW()</f>
        <v>557</v>
      </c>
      <c r="B557" s="114"/>
      <c r="C557" s="208"/>
      <c r="D557" s="208"/>
      <c r="E557" s="208"/>
      <c r="F557" s="208"/>
      <c r="G557" s="208"/>
      <c r="H557" s="208"/>
      <c r="I557" s="114"/>
      <c r="J557" s="32" t="str">
        <f t="shared" si="255"/>
        <v/>
      </c>
      <c r="K557" s="32" t="str">
        <f>IF(COUNTBLANK(R557)&gt;0,"",CONCATENATE(R557," for ",N548))</f>
        <v/>
      </c>
      <c r="N557" s="15" t="s">
        <v>121</v>
      </c>
      <c r="O557" s="66"/>
      <c r="P557" s="12"/>
      <c r="Q557" s="66"/>
      <c r="R557" s="12"/>
      <c r="S557" s="28">
        <f>M548</f>
        <v>0</v>
      </c>
      <c r="T557" s="11"/>
      <c r="U557" s="12" t="s">
        <v>292</v>
      </c>
      <c r="V557" s="28">
        <f t="shared" si="249"/>
        <v>0</v>
      </c>
      <c r="W557" s="28">
        <f>VLOOKUP(U557,Sheet1!$B$6:$C$45,2,FALSE)*V557</f>
        <v>0</v>
      </c>
      <c r="X557" s="59"/>
      <c r="Y557" s="12" t="s">
        <v>292</v>
      </c>
      <c r="Z557" s="68">
        <f>VLOOKUP(Takeoffs!Y557,Sheet1!$B$6:$C$124,2,FALSE)</f>
        <v>0</v>
      </c>
      <c r="AA557" s="68">
        <f t="shared" si="250"/>
        <v>0</v>
      </c>
      <c r="AB557" s="63">
        <f t="shared" si="251"/>
        <v>0</v>
      </c>
      <c r="AC557" s="28">
        <f t="shared" si="256"/>
        <v>0</v>
      </c>
      <c r="AD557" s="61">
        <v>1</v>
      </c>
      <c r="AE557" s="59"/>
      <c r="AF557" s="12" t="s">
        <v>292</v>
      </c>
      <c r="AG557" s="68">
        <f>VLOOKUP(Takeoffs!AF557,Sheet1!$B$6:$C$124,2,FALSE)</f>
        <v>0</v>
      </c>
      <c r="AH557" s="68">
        <f t="shared" si="252"/>
        <v>0</v>
      </c>
      <c r="AI557" s="63">
        <f t="shared" si="253"/>
        <v>0</v>
      </c>
      <c r="AJ557" s="28">
        <f t="shared" si="254"/>
        <v>0</v>
      </c>
      <c r="AK557" s="61">
        <f t="shared" si="257"/>
        <v>0</v>
      </c>
      <c r="AL557" s="59"/>
      <c r="AO557" s="286"/>
      <c r="AP557" s="284">
        <f t="shared" si="243"/>
        <v>0</v>
      </c>
      <c r="AQ557" s="281">
        <f t="shared" si="244"/>
        <v>0</v>
      </c>
      <c r="AR557" s="284">
        <f t="shared" si="245"/>
        <v>0</v>
      </c>
      <c r="AS557" s="281">
        <f t="shared" si="246"/>
        <v>0</v>
      </c>
      <c r="AT557" s="284">
        <f t="shared" si="247"/>
        <v>0</v>
      </c>
    </row>
    <row r="558" spans="1:97" s="32" customFormat="1" ht="30.9" x14ac:dyDescent="0.8">
      <c r="A558" s="262">
        <f>ROW()</f>
        <v>558</v>
      </c>
      <c r="B558" s="114"/>
      <c r="C558" s="208"/>
      <c r="D558" s="208"/>
      <c r="E558" s="208"/>
      <c r="F558" s="208"/>
      <c r="G558" s="208"/>
      <c r="H558" s="208"/>
      <c r="I558" s="114"/>
      <c r="J558" s="32" t="str">
        <f t="shared" si="255"/>
        <v/>
      </c>
      <c r="K558" s="32" t="str">
        <f>IF(COUNTBLANK(R558)&gt;0,"",CONCATENATE(R558," for ",N548))</f>
        <v/>
      </c>
      <c r="N558" s="15" t="s">
        <v>122</v>
      </c>
      <c r="O558" s="66"/>
      <c r="P558" s="12"/>
      <c r="Q558" s="66"/>
      <c r="R558" s="12"/>
      <c r="S558" s="28">
        <f>M548</f>
        <v>0</v>
      </c>
      <c r="T558" s="11"/>
      <c r="U558" s="12" t="s">
        <v>292</v>
      </c>
      <c r="V558" s="28">
        <f t="shared" si="249"/>
        <v>0</v>
      </c>
      <c r="W558" s="28">
        <f>VLOOKUP(U558,Sheet1!$B$6:$C$45,2,FALSE)*V558</f>
        <v>0</v>
      </c>
      <c r="X558" s="59"/>
      <c r="Y558" s="12" t="s">
        <v>292</v>
      </c>
      <c r="Z558" s="68">
        <f>VLOOKUP(Takeoffs!Y558,Sheet1!$B$6:$C$124,2,FALSE)</f>
        <v>0</v>
      </c>
      <c r="AA558" s="68">
        <f t="shared" si="250"/>
        <v>0</v>
      </c>
      <c r="AB558" s="63">
        <f t="shared" si="251"/>
        <v>0</v>
      </c>
      <c r="AC558" s="28">
        <f t="shared" si="256"/>
        <v>0</v>
      </c>
      <c r="AD558" s="61">
        <v>1</v>
      </c>
      <c r="AE558" s="59"/>
      <c r="AF558" s="12" t="s">
        <v>292</v>
      </c>
      <c r="AG558" s="68">
        <f>VLOOKUP(Takeoffs!AF558,Sheet1!$B$6:$C$124,2,FALSE)</f>
        <v>0</v>
      </c>
      <c r="AH558" s="68">
        <f t="shared" si="252"/>
        <v>0</v>
      </c>
      <c r="AI558" s="63">
        <f t="shared" si="253"/>
        <v>0</v>
      </c>
      <c r="AJ558" s="28">
        <f t="shared" si="254"/>
        <v>0</v>
      </c>
      <c r="AK558" s="61">
        <f>T558</f>
        <v>0</v>
      </c>
      <c r="AL558" s="59"/>
      <c r="AO558" s="286"/>
      <c r="AP558" s="284">
        <f t="shared" si="243"/>
        <v>0</v>
      </c>
      <c r="AQ558" s="281">
        <f t="shared" si="244"/>
        <v>0</v>
      </c>
      <c r="AR558" s="284">
        <f t="shared" si="245"/>
        <v>0</v>
      </c>
      <c r="AS558" s="281">
        <f t="shared" si="246"/>
        <v>0</v>
      </c>
      <c r="AT558" s="284">
        <f t="shared" si="247"/>
        <v>0</v>
      </c>
    </row>
    <row r="559" spans="1:97" s="32" customFormat="1" ht="30.9" x14ac:dyDescent="0.8">
      <c r="A559" s="262">
        <f>ROW()</f>
        <v>559</v>
      </c>
      <c r="B559" s="114"/>
      <c r="C559" s="208"/>
      <c r="D559" s="208"/>
      <c r="E559" s="208"/>
      <c r="F559" s="208"/>
      <c r="G559" s="208"/>
      <c r="H559" s="208"/>
      <c r="I559" s="114"/>
      <c r="J559" s="32" t="str">
        <f t="shared" si="255"/>
        <v/>
      </c>
      <c r="K559" s="32" t="str">
        <f>IF(COUNTBLANK(R559)&gt;0,"",CONCATENATE(R559," for ",N548))</f>
        <v/>
      </c>
      <c r="N559" s="15" t="s">
        <v>123</v>
      </c>
      <c r="O559" s="66"/>
      <c r="P559" s="12"/>
      <c r="Q559" s="66"/>
      <c r="R559" s="12"/>
      <c r="S559" s="28">
        <f>M548</f>
        <v>0</v>
      </c>
      <c r="T559" s="11"/>
      <c r="U559" s="12" t="s">
        <v>292</v>
      </c>
      <c r="V559" s="28">
        <f t="shared" si="249"/>
        <v>0</v>
      </c>
      <c r="W559" s="28">
        <f>VLOOKUP(U559,Sheet1!$B$6:$C$45,2,FALSE)*V559</f>
        <v>0</v>
      </c>
      <c r="X559" s="59"/>
      <c r="Y559" s="12" t="s">
        <v>292</v>
      </c>
      <c r="Z559" s="68">
        <f>VLOOKUP(Takeoffs!Y559,Sheet1!$B$6:$C$124,2,FALSE)</f>
        <v>0</v>
      </c>
      <c r="AA559" s="68">
        <f t="shared" si="250"/>
        <v>0</v>
      </c>
      <c r="AB559" s="63">
        <f t="shared" si="251"/>
        <v>0</v>
      </c>
      <c r="AC559" s="28">
        <f t="shared" si="256"/>
        <v>0</v>
      </c>
      <c r="AD559" s="61">
        <v>1</v>
      </c>
      <c r="AE559" s="59"/>
      <c r="AF559" s="12" t="s">
        <v>292</v>
      </c>
      <c r="AG559" s="68">
        <f>VLOOKUP(Takeoffs!AF559,Sheet1!$B$6:$C$124,2,FALSE)</f>
        <v>0</v>
      </c>
      <c r="AH559" s="68">
        <f t="shared" si="252"/>
        <v>0</v>
      </c>
      <c r="AI559" s="63">
        <f t="shared" si="253"/>
        <v>0</v>
      </c>
      <c r="AJ559" s="28">
        <f t="shared" si="254"/>
        <v>0</v>
      </c>
      <c r="AK559" s="61">
        <v>0</v>
      </c>
      <c r="AL559" s="59"/>
      <c r="AO559" s="286"/>
      <c r="AP559" s="284">
        <f t="shared" si="243"/>
        <v>0</v>
      </c>
      <c r="AQ559" s="281">
        <f t="shared" si="244"/>
        <v>0</v>
      </c>
      <c r="AR559" s="284">
        <f t="shared" si="245"/>
        <v>0</v>
      </c>
      <c r="AS559" s="281">
        <f t="shared" si="246"/>
        <v>0</v>
      </c>
      <c r="AT559" s="284">
        <f t="shared" si="247"/>
        <v>0</v>
      </c>
    </row>
    <row r="560" spans="1:97" s="32" customFormat="1" ht="30.9" x14ac:dyDescent="0.8">
      <c r="A560" s="262">
        <f>ROW()</f>
        <v>560</v>
      </c>
      <c r="B560" s="114"/>
      <c r="C560" s="208"/>
      <c r="D560" s="208"/>
      <c r="E560" s="208"/>
      <c r="F560" s="208"/>
      <c r="G560" s="208"/>
      <c r="H560" s="208"/>
      <c r="I560" s="114"/>
      <c r="J560" s="32" t="str">
        <f t="shared" si="255"/>
        <v/>
      </c>
      <c r="K560" s="32" t="str">
        <f>IF(COUNTBLANK(R560)&gt;0,"",CONCATENATE(R560," for ",N548))</f>
        <v/>
      </c>
      <c r="N560" s="15" t="s">
        <v>124</v>
      </c>
      <c r="O560" s="66" t="s">
        <v>140</v>
      </c>
      <c r="P560" s="12"/>
      <c r="Q560" s="66"/>
      <c r="R560" s="12"/>
      <c r="S560" s="28">
        <f>M548</f>
        <v>0</v>
      </c>
      <c r="T560" s="11"/>
      <c r="U560" s="12" t="s">
        <v>292</v>
      </c>
      <c r="V560" s="28">
        <f t="shared" si="249"/>
        <v>0</v>
      </c>
      <c r="W560" s="28">
        <f>VLOOKUP(U560,Sheet1!$B$6:$C$45,2,FALSE)*V560</f>
        <v>0</v>
      </c>
      <c r="X560" s="59"/>
      <c r="Y560" s="12" t="s">
        <v>292</v>
      </c>
      <c r="Z560" s="68">
        <f>VLOOKUP(Takeoffs!Y560,Sheet1!$B$6:$C$124,2,FALSE)</f>
        <v>0</v>
      </c>
      <c r="AA560" s="68">
        <f t="shared" si="250"/>
        <v>0</v>
      </c>
      <c r="AB560" s="63">
        <f t="shared" si="251"/>
        <v>0</v>
      </c>
      <c r="AC560" s="28">
        <f t="shared" si="256"/>
        <v>0</v>
      </c>
      <c r="AD560" s="61">
        <v>1</v>
      </c>
      <c r="AE560" s="59"/>
      <c r="AF560" s="73" t="s">
        <v>418</v>
      </c>
      <c r="AG560" s="68">
        <f>VLOOKUP(Takeoffs!AF560,Sheet1!$B$6:$C$124,2,FALSE)</f>
        <v>0.33600000000000002</v>
      </c>
      <c r="AH560" s="68">
        <f t="shared" si="252"/>
        <v>0</v>
      </c>
      <c r="AI560" s="63">
        <f t="shared" si="253"/>
        <v>0</v>
      </c>
      <c r="AJ560" s="28">
        <f t="shared" si="254"/>
        <v>0</v>
      </c>
      <c r="AK560" s="61">
        <v>1</v>
      </c>
      <c r="AL560" s="59"/>
      <c r="AO560" s="286"/>
      <c r="AP560" s="284">
        <f t="shared" si="243"/>
        <v>0</v>
      </c>
      <c r="AQ560" s="281">
        <f t="shared" si="244"/>
        <v>0</v>
      </c>
      <c r="AR560" s="284">
        <f t="shared" si="245"/>
        <v>0</v>
      </c>
      <c r="AS560" s="281">
        <f t="shared" si="246"/>
        <v>0</v>
      </c>
      <c r="AT560" s="284">
        <f t="shared" si="247"/>
        <v>0</v>
      </c>
    </row>
    <row r="561" spans="1:97" s="32" customFormat="1" ht="30.9" x14ac:dyDescent="0.8">
      <c r="A561" s="262">
        <f>ROW()</f>
        <v>561</v>
      </c>
      <c r="B561" s="114"/>
      <c r="C561" s="208"/>
      <c r="D561" s="208"/>
      <c r="E561" s="208"/>
      <c r="F561" s="208"/>
      <c r="G561" s="208"/>
      <c r="H561" s="208"/>
      <c r="I561" s="114"/>
      <c r="J561" s="32" t="str">
        <f t="shared" si="255"/>
        <v/>
      </c>
      <c r="K561" s="32" t="str">
        <f>IF(COUNTBLANK(R561)&gt;0,"",CONCATENATE(R561," for ",N548))</f>
        <v/>
      </c>
      <c r="N561" s="15" t="s">
        <v>125</v>
      </c>
      <c r="O561" s="66" t="s">
        <v>312</v>
      </c>
      <c r="P561" s="12"/>
      <c r="Q561" s="66"/>
      <c r="R561" s="12"/>
      <c r="S561" s="28">
        <f>M548</f>
        <v>0</v>
      </c>
      <c r="T561" s="11"/>
      <c r="U561" s="12" t="s">
        <v>232</v>
      </c>
      <c r="V561" s="28">
        <f t="shared" si="249"/>
        <v>0</v>
      </c>
      <c r="W561" s="28">
        <f>VLOOKUP(U561,Sheet1!$B$6:$C$45,2,FALSE)*V561</f>
        <v>0</v>
      </c>
      <c r="X561" s="59"/>
      <c r="Y561" s="13" t="s">
        <v>1345</v>
      </c>
      <c r="Z561" s="68">
        <f>VLOOKUP(Takeoffs!Y561,Sheet1!$B$6:$C$124,2,FALSE)</f>
        <v>109.25999999999999</v>
      </c>
      <c r="AA561" s="68">
        <f t="shared" si="250"/>
        <v>0</v>
      </c>
      <c r="AB561" s="63">
        <f t="shared" si="251"/>
        <v>0</v>
      </c>
      <c r="AC561" s="28">
        <f t="shared" si="256"/>
        <v>0</v>
      </c>
      <c r="AD561" s="61">
        <v>1</v>
      </c>
      <c r="AE561" s="59"/>
      <c r="AF561" s="12" t="s">
        <v>292</v>
      </c>
      <c r="AG561" s="68">
        <f>VLOOKUP(Takeoffs!AF561,Sheet1!$B$6:$C$124,2,FALSE)</f>
        <v>0</v>
      </c>
      <c r="AH561" s="68">
        <f t="shared" si="252"/>
        <v>0</v>
      </c>
      <c r="AI561" s="63">
        <f t="shared" si="253"/>
        <v>0</v>
      </c>
      <c r="AJ561" s="28">
        <f t="shared" si="254"/>
        <v>0</v>
      </c>
      <c r="AK561" s="61">
        <f t="shared" ref="AK561:AK568" si="258">T561</f>
        <v>0</v>
      </c>
      <c r="AL561" s="59"/>
      <c r="AO561" s="286"/>
      <c r="AP561" s="284">
        <f t="shared" si="243"/>
        <v>0</v>
      </c>
      <c r="AQ561" s="281">
        <f t="shared" si="244"/>
        <v>0</v>
      </c>
      <c r="AR561" s="284">
        <f t="shared" si="245"/>
        <v>0</v>
      </c>
      <c r="AS561" s="281">
        <f t="shared" si="246"/>
        <v>0</v>
      </c>
      <c r="AT561" s="284">
        <f t="shared" si="247"/>
        <v>0</v>
      </c>
    </row>
    <row r="562" spans="1:97" s="32" customFormat="1" ht="30.9" x14ac:dyDescent="0.8">
      <c r="A562" s="262">
        <f>ROW()</f>
        <v>562</v>
      </c>
      <c r="B562" s="114"/>
      <c r="C562" s="208"/>
      <c r="D562" s="208"/>
      <c r="E562" s="208"/>
      <c r="F562" s="208"/>
      <c r="G562" s="208"/>
      <c r="H562" s="208"/>
      <c r="I562" s="114"/>
      <c r="J562" s="32" t="str">
        <f t="shared" si="255"/>
        <v>Coordination Note: - Fire trade: Please refer to our exclusions relating to fire cabling from FIP.</v>
      </c>
      <c r="K562" s="32" t="str">
        <f>IF(COUNTBLANK(R562)&gt;0,"",CONCATENATE(R562," for ",N548))</f>
        <v/>
      </c>
      <c r="N562" s="15" t="s">
        <v>126</v>
      </c>
      <c r="O562" s="66" t="s">
        <v>345</v>
      </c>
      <c r="P562" s="12" t="s">
        <v>380</v>
      </c>
      <c r="Q562" s="66" t="s">
        <v>384</v>
      </c>
      <c r="R562" s="12"/>
      <c r="S562" s="28">
        <f>M548</f>
        <v>0</v>
      </c>
      <c r="T562" s="11"/>
      <c r="U562" s="12" t="s">
        <v>292</v>
      </c>
      <c r="V562" s="28">
        <f t="shared" si="249"/>
        <v>0</v>
      </c>
      <c r="W562" s="28">
        <f>VLOOKUP(U562,Sheet1!$B$6:$C$45,2,FALSE)*V562</f>
        <v>0</v>
      </c>
      <c r="X562" s="59"/>
      <c r="Y562" s="13" t="s">
        <v>326</v>
      </c>
      <c r="Z562" s="68">
        <f>VLOOKUP(Takeoffs!Y562,Sheet1!$B$6:$C$124,2,FALSE)</f>
        <v>29.04</v>
      </c>
      <c r="AA562" s="68">
        <f t="shared" si="250"/>
        <v>0</v>
      </c>
      <c r="AB562" s="63">
        <f t="shared" si="251"/>
        <v>0</v>
      </c>
      <c r="AC562" s="28">
        <f t="shared" si="256"/>
        <v>0</v>
      </c>
      <c r="AD562" s="61">
        <v>1</v>
      </c>
      <c r="AE562" s="59"/>
      <c r="AF562" s="12" t="s">
        <v>292</v>
      </c>
      <c r="AG562" s="68">
        <f>VLOOKUP(Takeoffs!AF562,Sheet1!$B$6:$C$124,2,FALSE)</f>
        <v>0</v>
      </c>
      <c r="AH562" s="68">
        <f t="shared" si="252"/>
        <v>0</v>
      </c>
      <c r="AI562" s="63">
        <f t="shared" si="253"/>
        <v>0</v>
      </c>
      <c r="AJ562" s="28">
        <f t="shared" si="254"/>
        <v>0</v>
      </c>
      <c r="AK562" s="61">
        <f t="shared" si="258"/>
        <v>0</v>
      </c>
      <c r="AL562" s="59"/>
      <c r="AO562" s="286"/>
      <c r="AP562" s="284">
        <f t="shared" si="243"/>
        <v>0</v>
      </c>
      <c r="AQ562" s="281">
        <f t="shared" si="244"/>
        <v>0</v>
      </c>
      <c r="AR562" s="284">
        <f t="shared" si="245"/>
        <v>0</v>
      </c>
      <c r="AS562" s="281">
        <f t="shared" si="246"/>
        <v>0</v>
      </c>
      <c r="AT562" s="284">
        <f t="shared" si="247"/>
        <v>0</v>
      </c>
    </row>
    <row r="563" spans="1:97" s="32" customFormat="1" ht="30.9" x14ac:dyDescent="0.8">
      <c r="A563" s="262">
        <f>ROW()</f>
        <v>563</v>
      </c>
      <c r="B563" s="114"/>
      <c r="C563" s="208"/>
      <c r="D563" s="208"/>
      <c r="E563" s="208"/>
      <c r="F563" s="208"/>
      <c r="G563" s="208"/>
      <c r="H563" s="208"/>
      <c r="I563" s="114"/>
      <c r="J563" s="32" t="str">
        <f t="shared" si="255"/>
        <v/>
      </c>
      <c r="K563" s="32" t="str">
        <f>IF(COUNTBLANK(R563)&gt;0,"",CONCATENATE(R563," for ",N548))</f>
        <v>run and fault lights for general fan with fire shutdown - from local power supply</v>
      </c>
      <c r="N563" s="15" t="s">
        <v>127</v>
      </c>
      <c r="O563" s="66" t="s">
        <v>337</v>
      </c>
      <c r="P563" s="12"/>
      <c r="Q563" s="66"/>
      <c r="R563" s="12" t="s">
        <v>331</v>
      </c>
      <c r="S563" s="28">
        <f>M548</f>
        <v>0</v>
      </c>
      <c r="T563" s="11"/>
      <c r="U563" s="12" t="s">
        <v>292</v>
      </c>
      <c r="V563" s="28">
        <f t="shared" si="249"/>
        <v>0</v>
      </c>
      <c r="W563" s="28">
        <f>VLOOKUP(U563,Sheet1!$B$6:$C$45,2,FALSE)*V563</f>
        <v>0</v>
      </c>
      <c r="X563" s="59"/>
      <c r="Y563" s="13" t="s">
        <v>280</v>
      </c>
      <c r="Z563" s="68">
        <f>VLOOKUP(Takeoffs!Y563,Sheet1!$B$6:$C$124,2,FALSE)</f>
        <v>19.2</v>
      </c>
      <c r="AA563" s="68">
        <f t="shared" si="250"/>
        <v>0</v>
      </c>
      <c r="AB563" s="63">
        <f t="shared" si="251"/>
        <v>0</v>
      </c>
      <c r="AC563" s="28">
        <f t="shared" si="256"/>
        <v>0</v>
      </c>
      <c r="AD563" s="61">
        <v>2</v>
      </c>
      <c r="AE563" s="59"/>
      <c r="AF563" s="12" t="s">
        <v>292</v>
      </c>
      <c r="AG563" s="68">
        <f>VLOOKUP(Takeoffs!AF563,Sheet1!$B$6:$C$124,2,FALSE)</f>
        <v>0</v>
      </c>
      <c r="AH563" s="68">
        <f t="shared" si="252"/>
        <v>0</v>
      </c>
      <c r="AI563" s="63">
        <f t="shared" si="253"/>
        <v>0</v>
      </c>
      <c r="AJ563" s="28">
        <f t="shared" si="254"/>
        <v>0</v>
      </c>
      <c r="AK563" s="61">
        <f t="shared" si="258"/>
        <v>0</v>
      </c>
      <c r="AL563" s="59"/>
      <c r="AO563" s="286"/>
      <c r="AP563" s="284">
        <f t="shared" si="243"/>
        <v>0</v>
      </c>
      <c r="AQ563" s="281">
        <f t="shared" si="244"/>
        <v>0</v>
      </c>
      <c r="AR563" s="284">
        <f t="shared" si="245"/>
        <v>0</v>
      </c>
      <c r="AS563" s="281">
        <f t="shared" si="246"/>
        <v>0</v>
      </c>
      <c r="AT563" s="284">
        <f t="shared" si="247"/>
        <v>0</v>
      </c>
    </row>
    <row r="564" spans="1:97" s="32" customFormat="1" ht="30.9" x14ac:dyDescent="0.8">
      <c r="A564" s="262">
        <f>ROW()</f>
        <v>564</v>
      </c>
      <c r="B564" s="114"/>
      <c r="C564" s="208"/>
      <c r="D564" s="208"/>
      <c r="E564" s="208"/>
      <c r="F564" s="208"/>
      <c r="G564" s="208"/>
      <c r="H564" s="208"/>
      <c r="I564" s="114"/>
      <c r="J564" s="32" t="str">
        <f t="shared" si="255"/>
        <v/>
      </c>
      <c r="K564" s="32" t="str">
        <f>IF(COUNTBLANK(R564)&gt;0,"",CONCATENATE(R564," for ",N548))</f>
        <v/>
      </c>
      <c r="N564" s="15" t="s">
        <v>128</v>
      </c>
      <c r="O564" s="66"/>
      <c r="P564" s="12"/>
      <c r="Q564" s="66"/>
      <c r="R564" s="12"/>
      <c r="S564" s="28">
        <f>M548</f>
        <v>0</v>
      </c>
      <c r="T564" s="11"/>
      <c r="U564" s="12" t="s">
        <v>292</v>
      </c>
      <c r="V564" s="28">
        <f t="shared" si="249"/>
        <v>0</v>
      </c>
      <c r="W564" s="28">
        <f>VLOOKUP(U564,Sheet1!$B$6:$C$45,2,FALSE)*V564</f>
        <v>0</v>
      </c>
      <c r="X564" s="59"/>
      <c r="Y564" s="12" t="s">
        <v>292</v>
      </c>
      <c r="Z564" s="68">
        <f>VLOOKUP(Takeoffs!Y564,Sheet1!$B$6:$C$124,2,FALSE)</f>
        <v>0</v>
      </c>
      <c r="AA564" s="68">
        <f t="shared" si="250"/>
        <v>0</v>
      </c>
      <c r="AB564" s="63">
        <f t="shared" si="251"/>
        <v>0</v>
      </c>
      <c r="AC564" s="28">
        <f t="shared" si="256"/>
        <v>0</v>
      </c>
      <c r="AD564" s="61">
        <v>1</v>
      </c>
      <c r="AE564" s="59"/>
      <c r="AF564" s="12" t="s">
        <v>292</v>
      </c>
      <c r="AG564" s="68">
        <f>VLOOKUP(Takeoffs!AF564,Sheet1!$B$6:$C$124,2,FALSE)</f>
        <v>0</v>
      </c>
      <c r="AH564" s="68">
        <f t="shared" si="252"/>
        <v>0</v>
      </c>
      <c r="AI564" s="63">
        <f t="shared" si="253"/>
        <v>0</v>
      </c>
      <c r="AJ564" s="28">
        <f t="shared" si="254"/>
        <v>0</v>
      </c>
      <c r="AK564" s="61">
        <f t="shared" si="258"/>
        <v>0</v>
      </c>
      <c r="AL564" s="59"/>
      <c r="AO564" s="286"/>
      <c r="AP564" s="284">
        <f t="shared" si="243"/>
        <v>0</v>
      </c>
      <c r="AQ564" s="281">
        <f t="shared" si="244"/>
        <v>0</v>
      </c>
      <c r="AR564" s="284">
        <f t="shared" si="245"/>
        <v>0</v>
      </c>
      <c r="AS564" s="281">
        <f t="shared" si="246"/>
        <v>0</v>
      </c>
      <c r="AT564" s="284">
        <f t="shared" si="247"/>
        <v>0</v>
      </c>
    </row>
    <row r="565" spans="1:97" s="32" customFormat="1" ht="30.9" x14ac:dyDescent="0.8">
      <c r="A565" s="262">
        <f>ROW()</f>
        <v>565</v>
      </c>
      <c r="B565" s="114"/>
      <c r="C565" s="208"/>
      <c r="D565" s="208"/>
      <c r="E565" s="208"/>
      <c r="F565" s="208"/>
      <c r="G565" s="208"/>
      <c r="H565" s="208"/>
      <c r="I565" s="114"/>
      <c r="J565" s="32" t="str">
        <f t="shared" si="255"/>
        <v/>
      </c>
      <c r="K565" s="32" t="str">
        <f>IF(COUNTBLANK(R565)&gt;0,"",CONCATENATE(R565," for ",N548))</f>
        <v>Auto/Off/On switch for general fan with fire shutdown - from local power supply</v>
      </c>
      <c r="N565" s="15" t="s">
        <v>129</v>
      </c>
      <c r="O565" s="66" t="s">
        <v>329</v>
      </c>
      <c r="P565" s="12"/>
      <c r="Q565" s="66"/>
      <c r="R565" s="12" t="s">
        <v>304</v>
      </c>
      <c r="S565" s="28">
        <f>M548</f>
        <v>0</v>
      </c>
      <c r="T565" s="11"/>
      <c r="U565" s="12" t="s">
        <v>292</v>
      </c>
      <c r="V565" s="28">
        <f t="shared" si="249"/>
        <v>0</v>
      </c>
      <c r="W565" s="28">
        <f>VLOOKUP(U565,Sheet1!$B$6:$C$45,2,FALSE)*V565</f>
        <v>0</v>
      </c>
      <c r="X565" s="59"/>
      <c r="Y565" s="13" t="s">
        <v>277</v>
      </c>
      <c r="Z565" s="68">
        <f>VLOOKUP(Takeoffs!Y565,Sheet1!$B$6:$C$124,2,FALSE)</f>
        <v>69.540000000000006</v>
      </c>
      <c r="AA565" s="68">
        <f t="shared" si="250"/>
        <v>0</v>
      </c>
      <c r="AB565" s="63">
        <f t="shared" si="251"/>
        <v>0</v>
      </c>
      <c r="AC565" s="28">
        <f t="shared" si="256"/>
        <v>0</v>
      </c>
      <c r="AD565" s="61">
        <v>1</v>
      </c>
      <c r="AE565" s="59"/>
      <c r="AF565" s="12" t="s">
        <v>292</v>
      </c>
      <c r="AG565" s="68">
        <f>VLOOKUP(Takeoffs!AF565,Sheet1!$B$6:$C$124,2,FALSE)</f>
        <v>0</v>
      </c>
      <c r="AH565" s="68">
        <f t="shared" si="252"/>
        <v>0</v>
      </c>
      <c r="AI565" s="63">
        <f t="shared" si="253"/>
        <v>0</v>
      </c>
      <c r="AJ565" s="28">
        <f t="shared" si="254"/>
        <v>0</v>
      </c>
      <c r="AK565" s="61">
        <f t="shared" si="258"/>
        <v>0</v>
      </c>
      <c r="AL565" s="59"/>
      <c r="AO565" s="286"/>
      <c r="AP565" s="284">
        <f t="shared" si="243"/>
        <v>0</v>
      </c>
      <c r="AQ565" s="281">
        <f t="shared" si="244"/>
        <v>0</v>
      </c>
      <c r="AR565" s="284">
        <f t="shared" si="245"/>
        <v>0</v>
      </c>
      <c r="AS565" s="281">
        <f t="shared" si="246"/>
        <v>0</v>
      </c>
      <c r="AT565" s="284">
        <f t="shared" si="247"/>
        <v>0</v>
      </c>
    </row>
    <row r="566" spans="1:97" s="32" customFormat="1" ht="30.9" x14ac:dyDescent="0.8">
      <c r="A566" s="262">
        <f>ROW()</f>
        <v>566</v>
      </c>
      <c r="B566" s="114"/>
      <c r="C566" s="208"/>
      <c r="D566" s="208"/>
      <c r="E566" s="208"/>
      <c r="F566" s="208"/>
      <c r="G566" s="208"/>
      <c r="H566" s="208"/>
      <c r="I566" s="114"/>
      <c r="J566" s="32" t="str">
        <f t="shared" si="255"/>
        <v/>
      </c>
      <c r="K566" s="32" t="str">
        <f>IF(COUNTBLANK(R566)&gt;0,"",CONCATENATE(R566," for ",N548))</f>
        <v/>
      </c>
      <c r="N566" s="15" t="s">
        <v>130</v>
      </c>
      <c r="O566" s="66" t="s">
        <v>338</v>
      </c>
      <c r="P566" s="12"/>
      <c r="Q566" s="66"/>
      <c r="R566" s="12"/>
      <c r="S566" s="28">
        <f>M548</f>
        <v>0</v>
      </c>
      <c r="T566" s="11"/>
      <c r="U566" s="12" t="s">
        <v>292</v>
      </c>
      <c r="V566" s="28">
        <f t="shared" si="249"/>
        <v>0</v>
      </c>
      <c r="W566" s="28">
        <f>VLOOKUP(U566,Sheet1!$B$6:$C$45,2,FALSE)*V566</f>
        <v>0</v>
      </c>
      <c r="X566" s="59"/>
      <c r="Y566" s="13" t="s">
        <v>333</v>
      </c>
      <c r="Z566" s="68">
        <f>VLOOKUP(Takeoffs!Y566,Sheet1!$B$6:$C$124,2,FALSE)</f>
        <v>60</v>
      </c>
      <c r="AA566" s="68">
        <f t="shared" si="250"/>
        <v>0</v>
      </c>
      <c r="AB566" s="63">
        <f t="shared" si="251"/>
        <v>0</v>
      </c>
      <c r="AC566" s="28">
        <f t="shared" si="256"/>
        <v>0</v>
      </c>
      <c r="AD566" s="61">
        <v>1</v>
      </c>
      <c r="AE566" s="59"/>
      <c r="AF566" s="12" t="s">
        <v>292</v>
      </c>
      <c r="AG566" s="68">
        <f>VLOOKUP(Takeoffs!AF566,Sheet1!$B$6:$C$124,2,FALSE)</f>
        <v>0</v>
      </c>
      <c r="AH566" s="68">
        <f t="shared" si="252"/>
        <v>0</v>
      </c>
      <c r="AI566" s="63">
        <f t="shared" si="253"/>
        <v>0</v>
      </c>
      <c r="AJ566" s="28">
        <f t="shared" si="254"/>
        <v>0</v>
      </c>
      <c r="AK566" s="61">
        <f t="shared" si="258"/>
        <v>0</v>
      </c>
      <c r="AL566" s="59"/>
      <c r="AO566" s="286"/>
      <c r="AP566" s="284">
        <f t="shared" si="243"/>
        <v>0</v>
      </c>
      <c r="AQ566" s="281">
        <f t="shared" si="244"/>
        <v>0</v>
      </c>
      <c r="AR566" s="284">
        <f t="shared" si="245"/>
        <v>0</v>
      </c>
      <c r="AS566" s="281">
        <f t="shared" si="246"/>
        <v>0</v>
      </c>
      <c r="AT566" s="284">
        <f t="shared" si="247"/>
        <v>0</v>
      </c>
    </row>
    <row r="567" spans="1:97" s="32" customFormat="1" ht="30.9" x14ac:dyDescent="0.8">
      <c r="A567" s="262">
        <f>ROW()</f>
        <v>567</v>
      </c>
      <c r="B567" s="114"/>
      <c r="C567" s="208"/>
      <c r="D567" s="208"/>
      <c r="E567" s="208"/>
      <c r="F567" s="208"/>
      <c r="G567" s="208"/>
      <c r="H567" s="208"/>
      <c r="I567" s="114"/>
      <c r="J567" s="32" t="str">
        <f t="shared" si="255"/>
        <v/>
      </c>
      <c r="K567" s="32" t="str">
        <f>IF(COUNTBLANK(R567)&gt;0,"",CONCATENATE(R567," for ",N548))</f>
        <v/>
      </c>
      <c r="N567" s="15" t="s">
        <v>131</v>
      </c>
      <c r="O567" s="66" t="s">
        <v>407</v>
      </c>
      <c r="P567" s="12"/>
      <c r="Q567" s="66"/>
      <c r="R567" s="12"/>
      <c r="S567" s="28">
        <f>M548</f>
        <v>0</v>
      </c>
      <c r="T567" s="11"/>
      <c r="U567" s="12" t="s">
        <v>292</v>
      </c>
      <c r="V567" s="28">
        <f t="shared" si="249"/>
        <v>0</v>
      </c>
      <c r="W567" s="28">
        <f>VLOOKUP(U567,Sheet1!$B$6:$C$45,2,FALSE)*V567</f>
        <v>0</v>
      </c>
      <c r="X567" s="59"/>
      <c r="Y567" s="12" t="s">
        <v>274</v>
      </c>
      <c r="Z567" s="68">
        <f>VLOOKUP(Takeoffs!Y567,Sheet1!$B$6:$C$124,2,FALSE)</f>
        <v>360</v>
      </c>
      <c r="AA567" s="68">
        <f t="shared" si="250"/>
        <v>0</v>
      </c>
      <c r="AB567" s="63">
        <f t="shared" si="251"/>
        <v>0</v>
      </c>
      <c r="AC567" s="28">
        <f t="shared" si="256"/>
        <v>0</v>
      </c>
      <c r="AD567" s="61">
        <v>1</v>
      </c>
      <c r="AE567" s="59"/>
      <c r="AF567" s="12" t="s">
        <v>292</v>
      </c>
      <c r="AG567" s="68">
        <f>VLOOKUP(Takeoffs!AF567,Sheet1!$B$6:$C$124,2,FALSE)</f>
        <v>0</v>
      </c>
      <c r="AH567" s="68">
        <f t="shared" si="252"/>
        <v>0</v>
      </c>
      <c r="AI567" s="63">
        <f t="shared" si="253"/>
        <v>0</v>
      </c>
      <c r="AJ567" s="28">
        <f t="shared" si="254"/>
        <v>0</v>
      </c>
      <c r="AK567" s="61">
        <f t="shared" si="258"/>
        <v>0</v>
      </c>
      <c r="AL567" s="59"/>
      <c r="AO567" s="286"/>
      <c r="AP567" s="284">
        <f t="shared" si="243"/>
        <v>0</v>
      </c>
      <c r="AQ567" s="281">
        <f t="shared" si="244"/>
        <v>0</v>
      </c>
      <c r="AR567" s="284">
        <f t="shared" si="245"/>
        <v>0</v>
      </c>
      <c r="AS567" s="281">
        <f t="shared" si="246"/>
        <v>0</v>
      </c>
      <c r="AT567" s="284">
        <f t="shared" si="247"/>
        <v>0</v>
      </c>
    </row>
    <row r="568" spans="1:97" s="32" customFormat="1" ht="30.9" x14ac:dyDescent="0.8">
      <c r="A568" s="262">
        <f>ROW()</f>
        <v>568</v>
      </c>
      <c r="B568" s="114"/>
      <c r="C568" s="208"/>
      <c r="D568" s="208"/>
      <c r="E568" s="208"/>
      <c r="F568" s="208"/>
      <c r="G568" s="208"/>
      <c r="H568" s="208"/>
      <c r="I568" s="114"/>
      <c r="J568" s="32" t="str">
        <f t="shared" si="255"/>
        <v/>
      </c>
      <c r="K568" s="32" t="str">
        <f>IF(COUNTBLANK(R568)&gt;0,"",CONCATENATE(R568," for ",N548))</f>
        <v/>
      </c>
      <c r="N568" s="15" t="s">
        <v>132</v>
      </c>
      <c r="O568" s="66" t="s">
        <v>408</v>
      </c>
      <c r="P568" s="12"/>
      <c r="Q568" s="66"/>
      <c r="R568" s="12"/>
      <c r="S568" s="28">
        <f>M548</f>
        <v>0</v>
      </c>
      <c r="T568" s="11"/>
      <c r="U568" s="12" t="s">
        <v>362</v>
      </c>
      <c r="V568" s="28">
        <f t="shared" si="249"/>
        <v>0</v>
      </c>
      <c r="W568" s="28">
        <f>VLOOKUP(U568,Sheet1!$B$6:$C$45,2,FALSE)*V568</f>
        <v>0</v>
      </c>
      <c r="X568" s="59"/>
      <c r="Y568" s="12" t="s">
        <v>292</v>
      </c>
      <c r="Z568" s="68">
        <f>VLOOKUP(Takeoffs!Y568,Sheet1!$B$6:$C$124,2,FALSE)</f>
        <v>0</v>
      </c>
      <c r="AA568" s="68">
        <f t="shared" si="250"/>
        <v>0</v>
      </c>
      <c r="AB568" s="63">
        <f t="shared" si="251"/>
        <v>0</v>
      </c>
      <c r="AC568" s="28">
        <f t="shared" si="256"/>
        <v>0</v>
      </c>
      <c r="AD568" s="61">
        <v>1</v>
      </c>
      <c r="AE568" s="59"/>
      <c r="AF568" s="12" t="s">
        <v>292</v>
      </c>
      <c r="AG568" s="68">
        <f>VLOOKUP(Takeoffs!AF568,Sheet1!$B$6:$C$124,2,FALSE)</f>
        <v>0</v>
      </c>
      <c r="AH568" s="68">
        <f t="shared" si="252"/>
        <v>0</v>
      </c>
      <c r="AI568" s="63">
        <f t="shared" si="253"/>
        <v>0</v>
      </c>
      <c r="AJ568" s="28">
        <f t="shared" si="254"/>
        <v>0</v>
      </c>
      <c r="AK568" s="61">
        <f t="shared" si="258"/>
        <v>0</v>
      </c>
      <c r="AL568" s="59"/>
      <c r="AO568" s="286"/>
      <c r="AP568" s="284">
        <f t="shared" si="243"/>
        <v>0</v>
      </c>
      <c r="AQ568" s="281">
        <f t="shared" si="244"/>
        <v>0</v>
      </c>
      <c r="AR568" s="284">
        <f t="shared" si="245"/>
        <v>0</v>
      </c>
      <c r="AS568" s="281">
        <f t="shared" si="246"/>
        <v>0</v>
      </c>
      <c r="AT568" s="284">
        <f t="shared" si="247"/>
        <v>0</v>
      </c>
    </row>
    <row r="569" spans="1:97" s="21" customFormat="1" ht="31.5" customHeight="1" x14ac:dyDescent="0.8">
      <c r="A569" s="262">
        <f>ROW()</f>
        <v>569</v>
      </c>
      <c r="B569" s="128"/>
      <c r="C569" s="212"/>
      <c r="D569" s="212"/>
      <c r="E569" s="212"/>
      <c r="F569" s="212"/>
      <c r="G569" s="212"/>
      <c r="H569" s="212"/>
      <c r="I569" s="128"/>
      <c r="J569" s="21" t="s">
        <v>377</v>
      </c>
      <c r="L569" s="21" t="s">
        <v>378</v>
      </c>
      <c r="N569" s="22"/>
      <c r="O569" s="23" t="s">
        <v>357</v>
      </c>
      <c r="P569" s="24">
        <f>V569+AA569+AH569</f>
        <v>0</v>
      </c>
      <c r="Q569" s="24"/>
      <c r="R569" s="24"/>
      <c r="S569" s="23"/>
      <c r="T569" s="20"/>
      <c r="U569" s="19" t="s">
        <v>351</v>
      </c>
      <c r="V569" s="20">
        <f>W569*80</f>
        <v>0</v>
      </c>
      <c r="W569" s="69">
        <f>SUM(W548:W568)</f>
        <v>0</v>
      </c>
      <c r="X569" s="70"/>
      <c r="Y569" s="20" t="s">
        <v>352</v>
      </c>
      <c r="Z569" s="2"/>
      <c r="AA569" s="2">
        <f>SUM(AA548:AA568)</f>
        <v>0</v>
      </c>
      <c r="AB569" s="71"/>
      <c r="AC569" s="71"/>
      <c r="AD569" s="71"/>
      <c r="AE569" s="71"/>
      <c r="AF569" s="20" t="s">
        <v>356</v>
      </c>
      <c r="AG569" s="2"/>
      <c r="AH569" s="2">
        <f>SUM(AH548:AH568)</f>
        <v>0</v>
      </c>
      <c r="AI569" s="71"/>
      <c r="AJ569" s="71"/>
      <c r="AK569" s="71"/>
      <c r="AL569" s="71"/>
      <c r="AM569" s="150">
        <f>P569</f>
        <v>0</v>
      </c>
      <c r="AO569" s="286"/>
      <c r="AP569" s="284">
        <f t="shared" si="243"/>
        <v>0</v>
      </c>
      <c r="AQ569" s="281">
        <f t="shared" si="244"/>
        <v>0</v>
      </c>
      <c r="AR569" s="284">
        <f t="shared" si="245"/>
        <v>0</v>
      </c>
      <c r="AS569" s="281">
        <f t="shared" si="246"/>
        <v>0</v>
      </c>
      <c r="AT569" s="284">
        <f t="shared" si="247"/>
        <v>0</v>
      </c>
    </row>
    <row r="570" spans="1:97" s="234" customFormat="1" ht="185.15" x14ac:dyDescent="0.8">
      <c r="A570" s="262">
        <f>ROW()</f>
        <v>570</v>
      </c>
      <c r="B570" s="234" t="s">
        <v>491</v>
      </c>
      <c r="C570" s="217" t="str">
        <f>N548</f>
        <v>general fan with fire shutdown - from local power supply</v>
      </c>
      <c r="D570" s="260" t="str">
        <f>IF(B570="Shopping List",IF(ISNUMBER(SEARCH("MSSB",C570)),"MSSB",IF(ISNUMBER(SEARCH("local",C570)),"LOCAL","")))</f>
        <v>LOCAL</v>
      </c>
      <c r="E570" s="238"/>
      <c r="F570" s="217"/>
      <c r="G570" s="217"/>
      <c r="H570" s="245"/>
      <c r="I570" s="270"/>
      <c r="J570" s="241" t="str">
        <f>CONCATENATE(O548," ",L548, " (",M548,") ",N548,".", IF(M548&gt;1," Each "," This "),"includes supply and install of ",O549,O550,O551,O552,O553,O554,O555,O556,O557,O558,O559,O560,O561,O562,O563,O564,O565,O566,O567,O568,J549,J550,J551,J552,J553,J554,J555,J556,J557,J558,J559,J560,J561,J562,J563,J564,J565,J566,J567,J568)</f>
        <v>Electrical power supply and controls to Zero (0) general fan with fire shutdown - from local power supply. This includes supply and install of power and controls. Power for system includes: cabling to fan and control panel (from Builder's Electrician's isolator) and local isolator. Controls for system includes: controls cabling, contactors/relays, fire relay for interface with fire trade, run and fault lights, Auto/Off/On switch, controls enclosure, trefolyte labelling, and commissioning/testing. Coordination Note: - Builders electrician: Please refer to our exclusions relating to local power supply Coordination Note: - Fire trade: Please refer to our exclusions relating to fire cabling from FIP.</v>
      </c>
      <c r="K570" s="246">
        <f>P569</f>
        <v>0</v>
      </c>
      <c r="L570" s="234" t="str">
        <f>CONCATENATE(Q549,Q550,Q551,Q552,Q553,Q554,Q555,Q556,Q557,Q558,Q559,Q560,Q561,Q562,Q563,Q564,Q565,Q566,Q567,Q568,)</f>
        <v>local power supply fire cabling from FIP.</v>
      </c>
      <c r="M570" s="91" t="s">
        <v>367</v>
      </c>
      <c r="N570" s="83" t="str">
        <f>N548</f>
        <v>general fan with fire shutdown - from local power supply</v>
      </c>
      <c r="O570" s="83" t="s">
        <v>365</v>
      </c>
      <c r="P570" s="82" t="e">
        <f>P569/M548</f>
        <v>#DIV/0!</v>
      </c>
      <c r="Q570" s="84"/>
      <c r="R570" s="84"/>
      <c r="S570" s="83"/>
      <c r="T570" s="84"/>
      <c r="U570" s="503" t="s">
        <v>366</v>
      </c>
      <c r="V570" s="503"/>
      <c r="W570" s="85" t="e">
        <f>W569/M548</f>
        <v>#DIV/0!</v>
      </c>
      <c r="X570" s="86"/>
      <c r="Y570" s="501" t="s">
        <v>365</v>
      </c>
      <c r="Z570" s="501"/>
      <c r="AA570" s="87" t="e">
        <f>AA569/M548</f>
        <v>#DIV/0!</v>
      </c>
      <c r="AB570" s="84"/>
      <c r="AC570" s="84"/>
      <c r="AD570" s="84"/>
      <c r="AE570" s="84"/>
      <c r="AF570" s="501" t="s">
        <v>365</v>
      </c>
      <c r="AG570" s="501"/>
      <c r="AH570" s="87" t="e">
        <f>AH569/M548</f>
        <v>#DIV/0!</v>
      </c>
      <c r="AI570" s="84"/>
      <c r="AJ570" s="84"/>
      <c r="AK570" s="84"/>
      <c r="AL570" s="247"/>
      <c r="AM570" s="257"/>
      <c r="AN570" s="236">
        <f>K570*$D$9</f>
        <v>0</v>
      </c>
      <c r="AO570" s="286"/>
      <c r="AP570" s="284">
        <f t="shared" si="243"/>
        <v>0</v>
      </c>
      <c r="AQ570" s="281">
        <f t="shared" si="244"/>
        <v>0</v>
      </c>
      <c r="AR570" s="284">
        <f t="shared" si="245"/>
        <v>0</v>
      </c>
      <c r="AS570" s="281">
        <f t="shared" si="246"/>
        <v>0</v>
      </c>
      <c r="AT570" s="284">
        <f t="shared" si="247"/>
        <v>0</v>
      </c>
      <c r="AU570" s="117"/>
      <c r="AV570" s="117"/>
      <c r="AW570" s="117"/>
      <c r="AX570" s="117"/>
      <c r="AY570" s="117"/>
      <c r="AZ570" s="117"/>
      <c r="BA570" s="117"/>
      <c r="BB570" s="117"/>
      <c r="BC570" s="117"/>
      <c r="BD570" s="117"/>
      <c r="BE570" s="117"/>
      <c r="BF570" s="117"/>
      <c r="BG570" s="117"/>
      <c r="BH570" s="117"/>
      <c r="BI570" s="117"/>
      <c r="BJ570" s="117"/>
      <c r="BK570" s="117"/>
      <c r="BL570" s="117"/>
      <c r="BM570" s="117"/>
      <c r="BN570" s="117"/>
      <c r="BO570" s="117"/>
      <c r="BP570" s="117"/>
      <c r="BQ570" s="117"/>
      <c r="BR570" s="117"/>
      <c r="BS570" s="117"/>
      <c r="BT570" s="117"/>
      <c r="BU570" s="117"/>
      <c r="BV570" s="117"/>
      <c r="BW570" s="117"/>
      <c r="BX570" s="117"/>
      <c r="BY570" s="117"/>
      <c r="BZ570" s="117"/>
      <c r="CA570" s="117"/>
      <c r="CB570" s="117"/>
      <c r="CC570" s="117"/>
      <c r="CD570" s="117"/>
      <c r="CE570" s="117"/>
      <c r="CF570" s="117"/>
      <c r="CG570" s="117"/>
      <c r="CH570" s="117"/>
      <c r="CI570" s="117"/>
      <c r="CJ570" s="117"/>
      <c r="CK570" s="117"/>
      <c r="CL570" s="117"/>
      <c r="CM570" s="117"/>
      <c r="CN570" s="117"/>
      <c r="CO570" s="117"/>
      <c r="CP570" s="117"/>
      <c r="CQ570" s="117"/>
      <c r="CR570" s="117"/>
      <c r="CS570" s="117"/>
    </row>
    <row r="571" spans="1:97" s="116" customFormat="1" ht="193.5" customHeight="1" x14ac:dyDescent="0.8">
      <c r="A571" s="262">
        <f>ROW()</f>
        <v>571</v>
      </c>
      <c r="C571" s="211"/>
      <c r="D571" s="211"/>
      <c r="E571" s="211"/>
      <c r="F571" s="211"/>
      <c r="G571" s="211"/>
      <c r="H571" s="211"/>
      <c r="K571" s="116" t="s">
        <v>452</v>
      </c>
      <c r="M571" s="116" t="s">
        <v>107</v>
      </c>
      <c r="N571" s="116" t="s">
        <v>108</v>
      </c>
      <c r="O571" s="170" t="s">
        <v>386</v>
      </c>
      <c r="P571" s="502" t="s">
        <v>375</v>
      </c>
      <c r="Q571" s="502"/>
      <c r="R571" s="101" t="s">
        <v>452</v>
      </c>
      <c r="S571" s="116" t="s">
        <v>0</v>
      </c>
      <c r="T571" s="118"/>
      <c r="U571" s="116" t="s">
        <v>287</v>
      </c>
      <c r="V571" s="116" t="s">
        <v>288</v>
      </c>
      <c r="W571" s="116" t="s">
        <v>291</v>
      </c>
      <c r="X571" s="140"/>
      <c r="Y571" s="116" t="s">
        <v>289</v>
      </c>
      <c r="Z571" s="116" t="s">
        <v>354</v>
      </c>
      <c r="AA571" s="116" t="s">
        <v>355</v>
      </c>
      <c r="AB571" s="116" t="s">
        <v>317</v>
      </c>
      <c r="AC571" s="116" t="s">
        <v>318</v>
      </c>
      <c r="AD571" s="116" t="s">
        <v>316</v>
      </c>
      <c r="AE571" s="140"/>
      <c r="AF571" s="116" t="s">
        <v>293</v>
      </c>
      <c r="AG571" s="116" t="s">
        <v>354</v>
      </c>
      <c r="AH571" s="116" t="s">
        <v>355</v>
      </c>
      <c r="AI571" s="116" t="s">
        <v>296</v>
      </c>
      <c r="AJ571" s="116" t="s">
        <v>294</v>
      </c>
      <c r="AK571" s="116" t="s">
        <v>295</v>
      </c>
      <c r="AL571" s="140"/>
      <c r="AO571" s="288"/>
      <c r="AP571" s="284">
        <f t="shared" si="243"/>
        <v>0</v>
      </c>
      <c r="AQ571" s="281">
        <f t="shared" si="244"/>
        <v>0</v>
      </c>
      <c r="AR571" s="284">
        <f t="shared" si="245"/>
        <v>0</v>
      </c>
      <c r="AS571" s="281">
        <f t="shared" si="246"/>
        <v>0</v>
      </c>
      <c r="AT571" s="284">
        <f t="shared" si="247"/>
        <v>0</v>
      </c>
    </row>
    <row r="572" spans="1:97" s="114" customFormat="1" ht="54.75" customHeight="1" x14ac:dyDescent="0.8">
      <c r="A572" s="262">
        <f>ROW()</f>
        <v>572</v>
      </c>
      <c r="C572" s="208"/>
      <c r="D572" s="208"/>
      <c r="E572" s="208"/>
      <c r="F572" s="208"/>
      <c r="G572" s="208"/>
      <c r="H572" s="208"/>
      <c r="L572" s="124" t="str">
        <f>VLOOKUP(M572,Sheet2!$D$2:$E$1024,2,FALSE)</f>
        <v>Zero</v>
      </c>
      <c r="M572" s="121">
        <f>I594</f>
        <v>0</v>
      </c>
      <c r="N572" s="132" t="s">
        <v>701</v>
      </c>
      <c r="O572" s="121" t="s">
        <v>133</v>
      </c>
      <c r="P572" s="169" t="s">
        <v>379</v>
      </c>
      <c r="Q572" s="169" t="s">
        <v>375</v>
      </c>
      <c r="R572" s="169"/>
      <c r="S572" s="133">
        <f>M572</f>
        <v>0</v>
      </c>
      <c r="T572" s="119"/>
      <c r="U572" s="121" t="s">
        <v>292</v>
      </c>
      <c r="V572" s="133">
        <f>S572</f>
        <v>0</v>
      </c>
      <c r="W572" s="133">
        <f>VLOOKUP(U572,Sheet1!$B$6:$C$45,2,FALSE)*V572</f>
        <v>0</v>
      </c>
      <c r="X572" s="141"/>
      <c r="Y572" s="121" t="s">
        <v>292</v>
      </c>
      <c r="Z572" s="146">
        <f>VLOOKUP(Takeoffs!Y572,Sheet1!$B$6:$C$124,2,FALSE)</f>
        <v>0</v>
      </c>
      <c r="AA572" s="146">
        <f>Z572*AB572</f>
        <v>0</v>
      </c>
      <c r="AB572" s="143">
        <f>AD572*AC572</f>
        <v>0</v>
      </c>
      <c r="AC572" s="133">
        <f>S572</f>
        <v>0</v>
      </c>
      <c r="AD572" s="142">
        <v>1</v>
      </c>
      <c r="AE572" s="141"/>
      <c r="AF572" s="121" t="s">
        <v>292</v>
      </c>
      <c r="AG572" s="146">
        <f>VLOOKUP(Takeoffs!AF572,Sheet1!$B$6:$C$124,2,FALSE)</f>
        <v>0</v>
      </c>
      <c r="AH572" s="146">
        <f>AG572*AI572</f>
        <v>0</v>
      </c>
      <c r="AI572" s="143">
        <f>AK572*AJ572</f>
        <v>0</v>
      </c>
      <c r="AJ572" s="133">
        <f>S572</f>
        <v>0</v>
      </c>
      <c r="AK572" s="142">
        <f>T572</f>
        <v>0</v>
      </c>
      <c r="AL572" s="141"/>
      <c r="AO572" s="286"/>
      <c r="AP572" s="284">
        <f t="shared" si="243"/>
        <v>0</v>
      </c>
      <c r="AQ572" s="281">
        <f t="shared" si="244"/>
        <v>0</v>
      </c>
      <c r="AR572" s="284">
        <f t="shared" si="245"/>
        <v>0</v>
      </c>
      <c r="AS572" s="281">
        <f t="shared" si="246"/>
        <v>0</v>
      </c>
      <c r="AT572" s="284">
        <f t="shared" si="247"/>
        <v>0</v>
      </c>
    </row>
    <row r="573" spans="1:97" s="114" customFormat="1" ht="30.9" x14ac:dyDescent="0.8">
      <c r="A573" s="262">
        <f>ROW()</f>
        <v>573</v>
      </c>
      <c r="C573" s="208"/>
      <c r="D573" s="208"/>
      <c r="E573" s="208"/>
      <c r="F573" s="208"/>
      <c r="G573" s="208"/>
      <c r="H573" s="208"/>
      <c r="J573" s="114" t="str">
        <f>IF(COUNTBLANK(Q573)&gt;0,"",CONCATENATE("Coordination Note: - ",P573,": Please refer to our exclusions relating to ",Q573))</f>
        <v/>
      </c>
      <c r="K573" s="114" t="str">
        <f>IF(COUNTBLANK(R573)&gt;0,"",CONCATENATE(R573," for ",N572))</f>
        <v/>
      </c>
      <c r="M573" s="117"/>
      <c r="N573" s="123" t="s">
        <v>113</v>
      </c>
      <c r="O573" s="66"/>
      <c r="P573" s="121"/>
      <c r="Q573" s="66"/>
      <c r="R573" s="121"/>
      <c r="S573" s="133">
        <f>M572</f>
        <v>0</v>
      </c>
      <c r="T573" s="120"/>
      <c r="U573" s="121" t="s">
        <v>292</v>
      </c>
      <c r="V573" s="133">
        <f t="shared" ref="V573:V592" si="259">S573</f>
        <v>0</v>
      </c>
      <c r="W573" s="133">
        <f>VLOOKUP(U573,Sheet1!$B$6:$C$45,2,FALSE)*V573</f>
        <v>0</v>
      </c>
      <c r="X573" s="141"/>
      <c r="Y573" s="121" t="s">
        <v>292</v>
      </c>
      <c r="Z573" s="146">
        <f>VLOOKUP(Takeoffs!Y573,Sheet1!$B$6:$C$124,2,FALSE)</f>
        <v>0</v>
      </c>
      <c r="AA573" s="146">
        <f t="shared" ref="AA573:AA592" si="260">Z573*AB573</f>
        <v>0</v>
      </c>
      <c r="AB573" s="143">
        <f t="shared" ref="AB573:AB592" si="261">AD573*AC573</f>
        <v>0</v>
      </c>
      <c r="AC573" s="133">
        <f t="shared" ref="AC573:AC592" si="262">S573</f>
        <v>0</v>
      </c>
      <c r="AD573" s="142">
        <v>1</v>
      </c>
      <c r="AE573" s="141"/>
      <c r="AF573" s="121" t="s">
        <v>292</v>
      </c>
      <c r="AG573" s="146">
        <f>VLOOKUP(Takeoffs!AF573,Sheet1!$B$6:$C$124,2,FALSE)</f>
        <v>0</v>
      </c>
      <c r="AH573" s="146">
        <f t="shared" ref="AH573:AH592" si="263">AG573*AI573</f>
        <v>0</v>
      </c>
      <c r="AI573" s="143">
        <f t="shared" ref="AI573:AI592" si="264">AK573*AJ573</f>
        <v>0</v>
      </c>
      <c r="AJ573" s="133">
        <f t="shared" ref="AJ573:AJ592" si="265">S573</f>
        <v>0</v>
      </c>
      <c r="AK573" s="142">
        <f>T573</f>
        <v>0</v>
      </c>
      <c r="AL573" s="141"/>
      <c r="AO573" s="286"/>
      <c r="AP573" s="284">
        <f t="shared" si="243"/>
        <v>0</v>
      </c>
      <c r="AQ573" s="281">
        <f t="shared" si="244"/>
        <v>0</v>
      </c>
      <c r="AR573" s="284">
        <f t="shared" si="245"/>
        <v>0</v>
      </c>
      <c r="AS573" s="281">
        <f t="shared" si="246"/>
        <v>0</v>
      </c>
      <c r="AT573" s="284">
        <f t="shared" si="247"/>
        <v>0</v>
      </c>
    </row>
    <row r="574" spans="1:97" s="114" customFormat="1" ht="30.9" x14ac:dyDescent="0.8">
      <c r="A574" s="262">
        <f>ROW()</f>
        <v>574</v>
      </c>
      <c r="C574" s="208"/>
      <c r="D574" s="208"/>
      <c r="E574" s="208"/>
      <c r="F574" s="208"/>
      <c r="G574" s="208"/>
      <c r="H574" s="208"/>
      <c r="J574" s="114" t="str">
        <f t="shared" ref="J574:J592" si="266">IF(COUNTBLANK(Q574)&gt;0,"",CONCATENATE("Coordination Note: - ",P574,": Please refer to our exclusions relating to ",Q574))</f>
        <v/>
      </c>
      <c r="K574" s="114" t="str">
        <f>IF(COUNTBLANK(R574)&gt;0,"",CONCATENATE(R574," for ",N572))</f>
        <v/>
      </c>
      <c r="M574" s="117"/>
      <c r="N574" s="123" t="s">
        <v>114</v>
      </c>
      <c r="O574" s="66"/>
      <c r="P574" s="121"/>
      <c r="Q574" s="66"/>
      <c r="R574" s="121"/>
      <c r="S574" s="133">
        <f>M572</f>
        <v>0</v>
      </c>
      <c r="T574" s="120"/>
      <c r="U574" s="121" t="s">
        <v>292</v>
      </c>
      <c r="V574" s="133">
        <f t="shared" si="259"/>
        <v>0</v>
      </c>
      <c r="W574" s="133">
        <f>VLOOKUP(U574,Sheet1!$B$6:$C$45,2,FALSE)*V574</f>
        <v>0</v>
      </c>
      <c r="X574" s="141"/>
      <c r="Y574" s="121" t="s">
        <v>292</v>
      </c>
      <c r="Z574" s="146">
        <f>VLOOKUP(Takeoffs!Y574,Sheet1!$B$6:$C$124,2,FALSE)</f>
        <v>0</v>
      </c>
      <c r="AA574" s="146">
        <f t="shared" si="260"/>
        <v>0</v>
      </c>
      <c r="AB574" s="143">
        <f t="shared" si="261"/>
        <v>0</v>
      </c>
      <c r="AC574" s="133">
        <f t="shared" si="262"/>
        <v>0</v>
      </c>
      <c r="AD574" s="142">
        <v>1</v>
      </c>
      <c r="AE574" s="141"/>
      <c r="AF574" s="122" t="s">
        <v>268</v>
      </c>
      <c r="AG574" s="146">
        <f>VLOOKUP(Takeoffs!AF574,Sheet1!$B$6:$C$124,2,FALSE)</f>
        <v>1.02</v>
      </c>
      <c r="AH574" s="146">
        <f t="shared" si="263"/>
        <v>0</v>
      </c>
      <c r="AI574" s="143">
        <f t="shared" si="264"/>
        <v>0</v>
      </c>
      <c r="AJ574" s="133">
        <f t="shared" si="265"/>
        <v>0</v>
      </c>
      <c r="AK574" s="142">
        <v>5</v>
      </c>
      <c r="AL574" s="141"/>
      <c r="AO574" s="286"/>
      <c r="AP574" s="284">
        <f t="shared" si="243"/>
        <v>0</v>
      </c>
      <c r="AQ574" s="281">
        <f t="shared" si="244"/>
        <v>0</v>
      </c>
      <c r="AR574" s="284">
        <f t="shared" si="245"/>
        <v>0</v>
      </c>
      <c r="AS574" s="281">
        <f t="shared" si="246"/>
        <v>0</v>
      </c>
      <c r="AT574" s="284">
        <f t="shared" si="247"/>
        <v>0</v>
      </c>
    </row>
    <row r="575" spans="1:97" s="114" customFormat="1" ht="30.9" x14ac:dyDescent="0.8">
      <c r="A575" s="262">
        <f>ROW()</f>
        <v>575</v>
      </c>
      <c r="C575" s="208"/>
      <c r="D575" s="208"/>
      <c r="E575" s="208"/>
      <c r="F575" s="208"/>
      <c r="G575" s="208"/>
      <c r="H575" s="208"/>
      <c r="J575" s="114" t="str">
        <f t="shared" si="266"/>
        <v xml:space="preserve">Coordination Note: - Builders electrician: Please refer to our exclusions relating to supply of local power supply. </v>
      </c>
      <c r="K575" s="114" t="str">
        <f>IF(COUNTBLANK(R575)&gt;0,"",CONCATENATE(R575," for ",N572))</f>
        <v/>
      </c>
      <c r="M575" s="117"/>
      <c r="N575" s="123" t="s">
        <v>115</v>
      </c>
      <c r="O575" s="66" t="s">
        <v>537</v>
      </c>
      <c r="P575" s="121" t="s">
        <v>539</v>
      </c>
      <c r="Q575" s="66" t="s">
        <v>538</v>
      </c>
      <c r="R575" s="121"/>
      <c r="S575" s="133">
        <f>M572</f>
        <v>0</v>
      </c>
      <c r="T575" s="120"/>
      <c r="U575" s="121" t="s">
        <v>361</v>
      </c>
      <c r="V575" s="133">
        <f t="shared" si="259"/>
        <v>0</v>
      </c>
      <c r="W575" s="133">
        <f>VLOOKUP(U575,Sheet1!$B$6:$C$45,2,FALSE)*V575</f>
        <v>0</v>
      </c>
      <c r="X575" s="141"/>
      <c r="Y575" s="121" t="s">
        <v>292</v>
      </c>
      <c r="Z575" s="146">
        <f>VLOOKUP(Takeoffs!Y575,Sheet1!$B$6:$C$124,2,FALSE)</f>
        <v>0</v>
      </c>
      <c r="AA575" s="146">
        <f t="shared" si="260"/>
        <v>0</v>
      </c>
      <c r="AB575" s="143">
        <f t="shared" si="261"/>
        <v>0</v>
      </c>
      <c r="AC575" s="133">
        <f t="shared" si="262"/>
        <v>0</v>
      </c>
      <c r="AD575" s="142">
        <v>1</v>
      </c>
      <c r="AE575" s="141"/>
      <c r="AF575" s="121" t="s">
        <v>292</v>
      </c>
      <c r="AG575" s="146">
        <f>VLOOKUP(Takeoffs!AF575,Sheet1!$B$6:$C$124,2,FALSE)</f>
        <v>0</v>
      </c>
      <c r="AH575" s="146">
        <f t="shared" si="263"/>
        <v>0</v>
      </c>
      <c r="AI575" s="143">
        <f t="shared" si="264"/>
        <v>0</v>
      </c>
      <c r="AJ575" s="133">
        <f t="shared" si="265"/>
        <v>0</v>
      </c>
      <c r="AK575" s="142">
        <f>T575</f>
        <v>0</v>
      </c>
      <c r="AL575" s="141"/>
      <c r="AO575" s="286"/>
      <c r="AP575" s="284">
        <f t="shared" si="243"/>
        <v>0</v>
      </c>
      <c r="AQ575" s="281">
        <f t="shared" si="244"/>
        <v>0</v>
      </c>
      <c r="AR575" s="284">
        <f t="shared" si="245"/>
        <v>0</v>
      </c>
      <c r="AS575" s="281">
        <f t="shared" si="246"/>
        <v>0</v>
      </c>
      <c r="AT575" s="284">
        <f t="shared" si="247"/>
        <v>0</v>
      </c>
    </row>
    <row r="576" spans="1:97" s="114" customFormat="1" ht="30.9" x14ac:dyDescent="0.8">
      <c r="A576" s="262">
        <f>ROW()</f>
        <v>576</v>
      </c>
      <c r="C576" s="208"/>
      <c r="D576" s="208"/>
      <c r="E576" s="208"/>
      <c r="F576" s="208"/>
      <c r="G576" s="208"/>
      <c r="H576" s="208"/>
      <c r="J576" s="114" t="str">
        <f t="shared" si="266"/>
        <v/>
      </c>
      <c r="K576" s="114" t="str">
        <f>IF(COUNTBLANK(R576)&gt;0,"",CONCATENATE(R576," for ",N572))</f>
        <v/>
      </c>
      <c r="M576" s="117"/>
      <c r="N576" s="123" t="s">
        <v>116</v>
      </c>
      <c r="O576" s="66" t="s">
        <v>645</v>
      </c>
      <c r="P576" s="121"/>
      <c r="Q576" s="66"/>
      <c r="R576" s="121"/>
      <c r="S576" s="133">
        <f>M572</f>
        <v>0</v>
      </c>
      <c r="T576" s="120"/>
      <c r="U576" s="121" t="s">
        <v>292</v>
      </c>
      <c r="V576" s="133">
        <f t="shared" si="259"/>
        <v>0</v>
      </c>
      <c r="W576" s="133">
        <f>VLOOKUP(U576,Sheet1!$B$6:$C$45,2,FALSE)*V576</f>
        <v>0</v>
      </c>
      <c r="X576" s="141"/>
      <c r="Y576" s="122" t="s">
        <v>277</v>
      </c>
      <c r="Z576" s="146">
        <f>VLOOKUP(Takeoffs!Y576,Sheet1!$B$6:$C$124,2,FALSE)</f>
        <v>69.540000000000006</v>
      </c>
      <c r="AA576" s="146">
        <f t="shared" si="260"/>
        <v>0</v>
      </c>
      <c r="AB576" s="143">
        <f t="shared" si="261"/>
        <v>0</v>
      </c>
      <c r="AC576" s="133">
        <f t="shared" si="262"/>
        <v>0</v>
      </c>
      <c r="AD576" s="142">
        <v>1</v>
      </c>
      <c r="AE576" s="141"/>
      <c r="AF576" s="121" t="s">
        <v>292</v>
      </c>
      <c r="AG576" s="146">
        <f>VLOOKUP(Takeoffs!AF576,Sheet1!$B$6:$C$124,2,FALSE)</f>
        <v>0</v>
      </c>
      <c r="AH576" s="146">
        <f t="shared" si="263"/>
        <v>0</v>
      </c>
      <c r="AI576" s="143">
        <f t="shared" si="264"/>
        <v>0</v>
      </c>
      <c r="AJ576" s="133">
        <f t="shared" si="265"/>
        <v>0</v>
      </c>
      <c r="AK576" s="142">
        <f>T576</f>
        <v>0</v>
      </c>
      <c r="AL576" s="141"/>
      <c r="AO576" s="286"/>
      <c r="AP576" s="284">
        <f t="shared" si="243"/>
        <v>0</v>
      </c>
      <c r="AQ576" s="281">
        <f t="shared" si="244"/>
        <v>0</v>
      </c>
      <c r="AR576" s="284">
        <f t="shared" si="245"/>
        <v>0</v>
      </c>
      <c r="AS576" s="281">
        <f t="shared" si="246"/>
        <v>0</v>
      </c>
      <c r="AT576" s="284">
        <f t="shared" si="247"/>
        <v>0</v>
      </c>
    </row>
    <row r="577" spans="1:46" s="114" customFormat="1" ht="30.9" x14ac:dyDescent="0.8">
      <c r="A577" s="262">
        <f>ROW()</f>
        <v>577</v>
      </c>
      <c r="C577" s="208"/>
      <c r="D577" s="208"/>
      <c r="E577" s="208"/>
      <c r="F577" s="208"/>
      <c r="G577" s="208"/>
      <c r="H577" s="208"/>
      <c r="J577" s="114" t="str">
        <f t="shared" si="266"/>
        <v/>
      </c>
      <c r="K577" s="114" t="str">
        <f>IF(COUNTBLANK(R577)&gt;0,"",CONCATENATE(R577," for ",N572))</f>
        <v/>
      </c>
      <c r="M577" s="117"/>
      <c r="N577" s="123" t="s">
        <v>117</v>
      </c>
      <c r="O577" s="66" t="s">
        <v>699</v>
      </c>
      <c r="P577" s="121"/>
      <c r="Q577" s="66"/>
      <c r="R577" s="121"/>
      <c r="S577" s="133">
        <f>M572</f>
        <v>0</v>
      </c>
      <c r="T577" s="120"/>
      <c r="U577" s="121" t="s">
        <v>362</v>
      </c>
      <c r="V577" s="133">
        <f t="shared" si="259"/>
        <v>0</v>
      </c>
      <c r="W577" s="133">
        <f>VLOOKUP(U577,Sheet1!$B$6:$C$45,2,FALSE)*V577</f>
        <v>0</v>
      </c>
      <c r="X577" s="141"/>
      <c r="Y577" s="135" t="s">
        <v>700</v>
      </c>
      <c r="Z577" s="146">
        <f>VLOOKUP(Takeoffs!Y577,Sheet1!$B$6:$C$124,2,FALSE)</f>
        <v>60</v>
      </c>
      <c r="AA577" s="146">
        <f t="shared" si="260"/>
        <v>0</v>
      </c>
      <c r="AB577" s="143">
        <f t="shared" si="261"/>
        <v>0</v>
      </c>
      <c r="AC577" s="133">
        <f t="shared" si="262"/>
        <v>0</v>
      </c>
      <c r="AD577" s="142">
        <v>1</v>
      </c>
      <c r="AE577" s="141"/>
      <c r="AF577" s="135" t="s">
        <v>269</v>
      </c>
      <c r="AG577" s="146">
        <f>VLOOKUP(Takeoffs!AF577,Sheet1!$B$6:$C$124,2,FALSE)</f>
        <v>1.056</v>
      </c>
      <c r="AH577" s="146">
        <f t="shared" si="263"/>
        <v>0</v>
      </c>
      <c r="AI577" s="143">
        <f t="shared" si="264"/>
        <v>0</v>
      </c>
      <c r="AJ577" s="133">
        <f t="shared" si="265"/>
        <v>0</v>
      </c>
      <c r="AK577" s="142">
        <v>10</v>
      </c>
      <c r="AL577" s="141"/>
      <c r="AO577" s="286"/>
      <c r="AP577" s="284">
        <f t="shared" si="243"/>
        <v>0</v>
      </c>
      <c r="AQ577" s="281">
        <f t="shared" si="244"/>
        <v>0</v>
      </c>
      <c r="AR577" s="284">
        <f t="shared" si="245"/>
        <v>0</v>
      </c>
      <c r="AS577" s="281">
        <f t="shared" si="246"/>
        <v>0</v>
      </c>
      <c r="AT577" s="284">
        <f t="shared" si="247"/>
        <v>0</v>
      </c>
    </row>
    <row r="578" spans="1:46" s="114" customFormat="1" ht="30.9" x14ac:dyDescent="0.8">
      <c r="A578" s="262">
        <f>ROW()</f>
        <v>578</v>
      </c>
      <c r="C578" s="208"/>
      <c r="D578" s="208"/>
      <c r="E578" s="208"/>
      <c r="F578" s="208"/>
      <c r="G578" s="208"/>
      <c r="H578" s="208"/>
      <c r="J578" s="114" t="str">
        <f t="shared" si="266"/>
        <v/>
      </c>
      <c r="K578" s="114" t="str">
        <f>IF(COUNTBLANK(R578)&gt;0,"",CONCATENATE(R578," for ",N572))</f>
        <v/>
      </c>
      <c r="M578" s="117"/>
      <c r="N578" s="123" t="s">
        <v>118</v>
      </c>
      <c r="O578" s="66" t="s">
        <v>675</v>
      </c>
      <c r="P578" s="121"/>
      <c r="Q578" s="66"/>
      <c r="R578" s="121"/>
      <c r="S578" s="133">
        <f>M572</f>
        <v>0</v>
      </c>
      <c r="T578" s="120"/>
      <c r="U578" s="121" t="s">
        <v>292</v>
      </c>
      <c r="V578" s="133">
        <f t="shared" si="259"/>
        <v>0</v>
      </c>
      <c r="W578" s="133">
        <f>VLOOKUP(U578,Sheet1!$B$6:$C$45,2,FALSE)*V578</f>
        <v>0</v>
      </c>
      <c r="X578" s="141"/>
      <c r="Y578" s="121" t="s">
        <v>292</v>
      </c>
      <c r="Z578" s="146">
        <f>VLOOKUP(Takeoffs!Y578,Sheet1!$B$6:$C$124,2,FALSE)</f>
        <v>0</v>
      </c>
      <c r="AA578" s="146">
        <f t="shared" si="260"/>
        <v>0</v>
      </c>
      <c r="AB578" s="143">
        <f t="shared" si="261"/>
        <v>0</v>
      </c>
      <c r="AC578" s="133">
        <f t="shared" si="262"/>
        <v>0</v>
      </c>
      <c r="AD578" s="142">
        <v>1</v>
      </c>
      <c r="AE578" s="141"/>
      <c r="AF578" s="121" t="s">
        <v>292</v>
      </c>
      <c r="AG578" s="146">
        <f>VLOOKUP(Takeoffs!AF578,Sheet1!$B$6:$C$124,2,FALSE)</f>
        <v>0</v>
      </c>
      <c r="AH578" s="146">
        <f t="shared" si="263"/>
        <v>0</v>
      </c>
      <c r="AI578" s="143">
        <f t="shared" si="264"/>
        <v>0</v>
      </c>
      <c r="AJ578" s="133">
        <f t="shared" si="265"/>
        <v>0</v>
      </c>
      <c r="AK578" s="142">
        <f>T578</f>
        <v>0</v>
      </c>
      <c r="AL578" s="141"/>
      <c r="AO578" s="286"/>
      <c r="AP578" s="284">
        <f t="shared" si="243"/>
        <v>0</v>
      </c>
      <c r="AQ578" s="281">
        <f t="shared" si="244"/>
        <v>0</v>
      </c>
      <c r="AR578" s="284">
        <f t="shared" si="245"/>
        <v>0</v>
      </c>
      <c r="AS578" s="281">
        <f t="shared" si="246"/>
        <v>0</v>
      </c>
      <c r="AT578" s="284">
        <f t="shared" si="247"/>
        <v>0</v>
      </c>
    </row>
    <row r="579" spans="1:46" s="114" customFormat="1" ht="30.9" x14ac:dyDescent="0.8">
      <c r="A579" s="262">
        <f>ROW()</f>
        <v>579</v>
      </c>
      <c r="C579" s="208"/>
      <c r="D579" s="208"/>
      <c r="E579" s="208"/>
      <c r="F579" s="208"/>
      <c r="G579" s="208"/>
      <c r="H579" s="208"/>
      <c r="J579" s="114" t="str">
        <f t="shared" si="266"/>
        <v/>
      </c>
      <c r="K579" s="114" t="str">
        <f>IF(COUNTBLANK(R579)&gt;0,"",CONCATENATE(R579," for ",N572))</f>
        <v/>
      </c>
      <c r="N579" s="123" t="s">
        <v>119</v>
      </c>
      <c r="O579" s="66" t="s">
        <v>536</v>
      </c>
      <c r="P579" s="121"/>
      <c r="Q579" s="66"/>
      <c r="R579" s="121"/>
      <c r="S579" s="133">
        <f>M572</f>
        <v>0</v>
      </c>
      <c r="T579" s="120"/>
      <c r="U579" s="121" t="s">
        <v>292</v>
      </c>
      <c r="V579" s="133">
        <f t="shared" si="259"/>
        <v>0</v>
      </c>
      <c r="W579" s="133">
        <f>VLOOKUP(U579,Sheet1!$B$6:$C$45,2,FALSE)*V579</f>
        <v>0</v>
      </c>
      <c r="X579" s="141"/>
      <c r="Y579" s="122" t="s">
        <v>333</v>
      </c>
      <c r="Z579" s="146">
        <f>VLOOKUP(Takeoffs!Y579,Sheet1!$B$6:$C$124,2,FALSE)</f>
        <v>60</v>
      </c>
      <c r="AA579" s="146">
        <f t="shared" si="260"/>
        <v>0</v>
      </c>
      <c r="AB579" s="143">
        <f t="shared" si="261"/>
        <v>0</v>
      </c>
      <c r="AC579" s="133">
        <f t="shared" si="262"/>
        <v>0</v>
      </c>
      <c r="AD579" s="142">
        <v>1</v>
      </c>
      <c r="AE579" s="141"/>
      <c r="AF579" s="121" t="s">
        <v>292</v>
      </c>
      <c r="AG579" s="146">
        <f>VLOOKUP(Takeoffs!AF579,Sheet1!$B$6:$C$124,2,FALSE)</f>
        <v>0</v>
      </c>
      <c r="AH579" s="146">
        <f t="shared" si="263"/>
        <v>0</v>
      </c>
      <c r="AI579" s="143">
        <f t="shared" si="264"/>
        <v>0</v>
      </c>
      <c r="AJ579" s="133">
        <f t="shared" si="265"/>
        <v>0</v>
      </c>
      <c r="AK579" s="142">
        <f>T579</f>
        <v>0</v>
      </c>
      <c r="AL579" s="141"/>
      <c r="AO579" s="286"/>
      <c r="AP579" s="284">
        <f t="shared" si="243"/>
        <v>0</v>
      </c>
      <c r="AQ579" s="281">
        <f t="shared" si="244"/>
        <v>0</v>
      </c>
      <c r="AR579" s="284">
        <f t="shared" si="245"/>
        <v>0</v>
      </c>
      <c r="AS579" s="281">
        <f t="shared" si="246"/>
        <v>0</v>
      </c>
      <c r="AT579" s="284">
        <f t="shared" si="247"/>
        <v>0</v>
      </c>
    </row>
    <row r="580" spans="1:46" s="114" customFormat="1" ht="30.9" x14ac:dyDescent="0.8">
      <c r="A580" s="262">
        <f>ROW()</f>
        <v>580</v>
      </c>
      <c r="C580" s="208"/>
      <c r="D580" s="208"/>
      <c r="E580" s="208"/>
      <c r="F580" s="208"/>
      <c r="G580" s="208"/>
      <c r="H580" s="208"/>
      <c r="J580" s="114" t="str">
        <f t="shared" si="266"/>
        <v/>
      </c>
      <c r="K580" s="114" t="str">
        <f>IF(COUNTBLANK(R580)&gt;0,"",CONCATENATE(R580," for ",N572))</f>
        <v/>
      </c>
      <c r="N580" s="123" t="s">
        <v>120</v>
      </c>
      <c r="O580" s="66"/>
      <c r="P580" s="121"/>
      <c r="Q580" s="66"/>
      <c r="R580" s="121"/>
      <c r="S580" s="133">
        <f>M572</f>
        <v>0</v>
      </c>
      <c r="T580" s="120"/>
      <c r="U580" s="121" t="s">
        <v>292</v>
      </c>
      <c r="V580" s="133">
        <f t="shared" si="259"/>
        <v>0</v>
      </c>
      <c r="W580" s="133">
        <f>VLOOKUP(U580,Sheet1!$B$6:$C$45,2,FALSE)*V580</f>
        <v>0</v>
      </c>
      <c r="X580" s="141"/>
      <c r="Y580" s="121" t="s">
        <v>292</v>
      </c>
      <c r="Z580" s="146">
        <f>VLOOKUP(Takeoffs!Y580,Sheet1!$B$6:$C$124,2,FALSE)</f>
        <v>0</v>
      </c>
      <c r="AA580" s="146">
        <f t="shared" si="260"/>
        <v>0</v>
      </c>
      <c r="AB580" s="143">
        <f t="shared" si="261"/>
        <v>0</v>
      </c>
      <c r="AC580" s="133">
        <f t="shared" si="262"/>
        <v>0</v>
      </c>
      <c r="AD580" s="142">
        <v>1</v>
      </c>
      <c r="AE580" s="141"/>
      <c r="AF580" s="121" t="s">
        <v>292</v>
      </c>
      <c r="AG580" s="146">
        <f>VLOOKUP(Takeoffs!AF580,Sheet1!$B$6:$C$124,2,FALSE)</f>
        <v>0</v>
      </c>
      <c r="AH580" s="146">
        <f t="shared" si="263"/>
        <v>0</v>
      </c>
      <c r="AI580" s="143">
        <f t="shared" si="264"/>
        <v>0</v>
      </c>
      <c r="AJ580" s="133">
        <f t="shared" si="265"/>
        <v>0</v>
      </c>
      <c r="AK580" s="142">
        <f>T580</f>
        <v>0</v>
      </c>
      <c r="AL580" s="141"/>
      <c r="AO580" s="286"/>
      <c r="AP580" s="284">
        <f t="shared" si="243"/>
        <v>0</v>
      </c>
      <c r="AQ580" s="281">
        <f t="shared" si="244"/>
        <v>0</v>
      </c>
      <c r="AR580" s="284">
        <f t="shared" si="245"/>
        <v>0</v>
      </c>
      <c r="AS580" s="281">
        <f t="shared" si="246"/>
        <v>0</v>
      </c>
      <c r="AT580" s="284">
        <f t="shared" si="247"/>
        <v>0</v>
      </c>
    </row>
    <row r="581" spans="1:46" s="114" customFormat="1" ht="30.9" x14ac:dyDescent="0.8">
      <c r="A581" s="262">
        <f>ROW()</f>
        <v>581</v>
      </c>
      <c r="C581" s="208"/>
      <c r="D581" s="208"/>
      <c r="E581" s="208"/>
      <c r="F581" s="208"/>
      <c r="G581" s="208"/>
      <c r="H581" s="208"/>
      <c r="J581" s="114" t="str">
        <f t="shared" si="266"/>
        <v/>
      </c>
      <c r="K581" s="114" t="str">
        <f>IF(COUNTBLANK(R581)&gt;0,"",CONCATENATE(R581," for ",N572))</f>
        <v/>
      </c>
      <c r="N581" s="123" t="s">
        <v>121</v>
      </c>
      <c r="O581" s="66"/>
      <c r="P581" s="121"/>
      <c r="Q581" s="66"/>
      <c r="R581" s="121"/>
      <c r="S581" s="133">
        <f>M572</f>
        <v>0</v>
      </c>
      <c r="T581" s="120"/>
      <c r="U581" s="121" t="s">
        <v>292</v>
      </c>
      <c r="V581" s="133">
        <f t="shared" si="259"/>
        <v>0</v>
      </c>
      <c r="W581" s="133">
        <f>VLOOKUP(U581,Sheet1!$B$6:$C$45,2,FALSE)*V581</f>
        <v>0</v>
      </c>
      <c r="X581" s="141"/>
      <c r="Y581" s="121" t="s">
        <v>292</v>
      </c>
      <c r="Z581" s="146">
        <f>VLOOKUP(Takeoffs!Y581,Sheet1!$B$6:$C$124,2,FALSE)</f>
        <v>0</v>
      </c>
      <c r="AA581" s="146">
        <f t="shared" si="260"/>
        <v>0</v>
      </c>
      <c r="AB581" s="143">
        <f t="shared" si="261"/>
        <v>0</v>
      </c>
      <c r="AC581" s="133">
        <f t="shared" si="262"/>
        <v>0</v>
      </c>
      <c r="AD581" s="142">
        <v>1</v>
      </c>
      <c r="AE581" s="141"/>
      <c r="AF581" s="121" t="s">
        <v>292</v>
      </c>
      <c r="AG581" s="146">
        <f>VLOOKUP(Takeoffs!AF581,Sheet1!$B$6:$C$124,2,FALSE)</f>
        <v>0</v>
      </c>
      <c r="AH581" s="146">
        <f t="shared" si="263"/>
        <v>0</v>
      </c>
      <c r="AI581" s="143">
        <f t="shared" si="264"/>
        <v>0</v>
      </c>
      <c r="AJ581" s="133">
        <f t="shared" si="265"/>
        <v>0</v>
      </c>
      <c r="AK581" s="142">
        <f>T581</f>
        <v>0</v>
      </c>
      <c r="AL581" s="141"/>
      <c r="AO581" s="286"/>
      <c r="AP581" s="284">
        <f t="shared" si="243"/>
        <v>0</v>
      </c>
      <c r="AQ581" s="281">
        <f t="shared" si="244"/>
        <v>0</v>
      </c>
      <c r="AR581" s="284">
        <f t="shared" si="245"/>
        <v>0</v>
      </c>
      <c r="AS581" s="281">
        <f t="shared" si="246"/>
        <v>0</v>
      </c>
      <c r="AT581" s="284">
        <f t="shared" si="247"/>
        <v>0</v>
      </c>
    </row>
    <row r="582" spans="1:46" s="114" customFormat="1" ht="30.9" x14ac:dyDescent="0.8">
      <c r="A582" s="262">
        <f>ROW()</f>
        <v>582</v>
      </c>
      <c r="C582" s="208"/>
      <c r="D582" s="208"/>
      <c r="E582" s="208"/>
      <c r="F582" s="208"/>
      <c r="G582" s="208"/>
      <c r="H582" s="208"/>
      <c r="J582" s="114" t="str">
        <f t="shared" si="266"/>
        <v/>
      </c>
      <c r="K582" s="114" t="str">
        <f>IF(COUNTBLANK(R582)&gt;0,"",CONCATENATE(R582," for ",N572))</f>
        <v/>
      </c>
      <c r="N582" s="123" t="s">
        <v>122</v>
      </c>
      <c r="O582" s="66"/>
      <c r="P582" s="121"/>
      <c r="Q582" s="66"/>
      <c r="R582" s="121"/>
      <c r="S582" s="133">
        <f>M572</f>
        <v>0</v>
      </c>
      <c r="T582" s="120"/>
      <c r="U582" s="121" t="s">
        <v>292</v>
      </c>
      <c r="V582" s="133">
        <f t="shared" si="259"/>
        <v>0</v>
      </c>
      <c r="W582" s="133">
        <f>VLOOKUP(U582,Sheet1!$B$6:$C$45,2,FALSE)*V582</f>
        <v>0</v>
      </c>
      <c r="X582" s="141"/>
      <c r="Y582" s="121" t="s">
        <v>292</v>
      </c>
      <c r="Z582" s="146">
        <f>VLOOKUP(Takeoffs!Y582,Sheet1!$B$6:$C$124,2,FALSE)</f>
        <v>0</v>
      </c>
      <c r="AA582" s="146">
        <f t="shared" si="260"/>
        <v>0</v>
      </c>
      <c r="AB582" s="143">
        <f t="shared" si="261"/>
        <v>0</v>
      </c>
      <c r="AC582" s="133">
        <f t="shared" si="262"/>
        <v>0</v>
      </c>
      <c r="AD582" s="142">
        <v>1</v>
      </c>
      <c r="AE582" s="141"/>
      <c r="AF582" s="121" t="s">
        <v>292</v>
      </c>
      <c r="AG582" s="146">
        <f>VLOOKUP(Takeoffs!AF582,Sheet1!$B$6:$C$124,2,FALSE)</f>
        <v>0</v>
      </c>
      <c r="AH582" s="146">
        <f t="shared" si="263"/>
        <v>0</v>
      </c>
      <c r="AI582" s="143">
        <f t="shared" si="264"/>
        <v>0</v>
      </c>
      <c r="AJ582" s="133">
        <f t="shared" si="265"/>
        <v>0</v>
      </c>
      <c r="AK582" s="142">
        <f>T582</f>
        <v>0</v>
      </c>
      <c r="AL582" s="141"/>
      <c r="AO582" s="286"/>
      <c r="AP582" s="284">
        <f t="shared" si="243"/>
        <v>0</v>
      </c>
      <c r="AQ582" s="281">
        <f t="shared" si="244"/>
        <v>0</v>
      </c>
      <c r="AR582" s="284">
        <f t="shared" si="245"/>
        <v>0</v>
      </c>
      <c r="AS582" s="281">
        <f t="shared" si="246"/>
        <v>0</v>
      </c>
      <c r="AT582" s="284">
        <f t="shared" si="247"/>
        <v>0</v>
      </c>
    </row>
    <row r="583" spans="1:46" s="114" customFormat="1" ht="30.9" x14ac:dyDescent="0.8">
      <c r="A583" s="262">
        <f>ROW()</f>
        <v>583</v>
      </c>
      <c r="C583" s="208"/>
      <c r="D583" s="208"/>
      <c r="E583" s="208"/>
      <c r="F583" s="208"/>
      <c r="G583" s="208"/>
      <c r="H583" s="208"/>
      <c r="J583" s="114" t="str">
        <f t="shared" si="266"/>
        <v/>
      </c>
      <c r="K583" s="114" t="str">
        <f>IF(COUNTBLANK(R583)&gt;0,"",CONCATENATE(R583," for ",N572))</f>
        <v/>
      </c>
      <c r="N583" s="123" t="s">
        <v>123</v>
      </c>
      <c r="O583" s="66"/>
      <c r="P583" s="121"/>
      <c r="Q583" s="66"/>
      <c r="R583" s="121"/>
      <c r="S583" s="133">
        <f>M572</f>
        <v>0</v>
      </c>
      <c r="T583" s="120"/>
      <c r="U583" s="121" t="s">
        <v>292</v>
      </c>
      <c r="V583" s="133">
        <f t="shared" si="259"/>
        <v>0</v>
      </c>
      <c r="W583" s="133">
        <f>VLOOKUP(U583,Sheet1!$B$6:$C$45,2,FALSE)*V583</f>
        <v>0</v>
      </c>
      <c r="X583" s="141"/>
      <c r="Y583" s="121" t="s">
        <v>292</v>
      </c>
      <c r="Z583" s="146">
        <f>VLOOKUP(Takeoffs!Y583,Sheet1!$B$6:$C$124,2,FALSE)</f>
        <v>0</v>
      </c>
      <c r="AA583" s="146">
        <f t="shared" si="260"/>
        <v>0</v>
      </c>
      <c r="AB583" s="143">
        <f t="shared" si="261"/>
        <v>0</v>
      </c>
      <c r="AC583" s="133">
        <f t="shared" si="262"/>
        <v>0</v>
      </c>
      <c r="AD583" s="142">
        <v>1</v>
      </c>
      <c r="AE583" s="141"/>
      <c r="AF583" s="121" t="s">
        <v>292</v>
      </c>
      <c r="AG583" s="146">
        <f>VLOOKUP(Takeoffs!AF583,Sheet1!$B$6:$C$124,2,FALSE)</f>
        <v>0</v>
      </c>
      <c r="AH583" s="146">
        <f t="shared" si="263"/>
        <v>0</v>
      </c>
      <c r="AI583" s="143">
        <f t="shared" si="264"/>
        <v>0</v>
      </c>
      <c r="AJ583" s="133">
        <f t="shared" si="265"/>
        <v>0</v>
      </c>
      <c r="AK583" s="142">
        <v>0</v>
      </c>
      <c r="AL583" s="141"/>
      <c r="AO583" s="286"/>
      <c r="AP583" s="284">
        <f t="shared" si="243"/>
        <v>0</v>
      </c>
      <c r="AQ583" s="281">
        <f t="shared" si="244"/>
        <v>0</v>
      </c>
      <c r="AR583" s="284">
        <f t="shared" si="245"/>
        <v>0</v>
      </c>
      <c r="AS583" s="281">
        <f t="shared" si="246"/>
        <v>0</v>
      </c>
      <c r="AT583" s="284">
        <f t="shared" si="247"/>
        <v>0</v>
      </c>
    </row>
    <row r="584" spans="1:46" s="114" customFormat="1" ht="30.9" x14ac:dyDescent="0.8">
      <c r="A584" s="262">
        <f>ROW()</f>
        <v>584</v>
      </c>
      <c r="C584" s="208"/>
      <c r="D584" s="208"/>
      <c r="E584" s="208"/>
      <c r="F584" s="208"/>
      <c r="G584" s="208"/>
      <c r="H584" s="208"/>
      <c r="J584" s="114" t="str">
        <f t="shared" si="266"/>
        <v/>
      </c>
      <c r="K584" s="114" t="str">
        <f>IF(COUNTBLANK(R584)&gt;0,"",CONCATENATE(R584," for ",N572))</f>
        <v/>
      </c>
      <c r="N584" s="123" t="s">
        <v>124</v>
      </c>
      <c r="O584" s="66"/>
      <c r="P584" s="121"/>
      <c r="Q584" s="66"/>
      <c r="R584" s="121"/>
      <c r="S584" s="133">
        <f>M572</f>
        <v>0</v>
      </c>
      <c r="T584" s="120"/>
      <c r="U584" s="121" t="s">
        <v>292</v>
      </c>
      <c r="V584" s="133">
        <f t="shared" si="259"/>
        <v>0</v>
      </c>
      <c r="W584" s="133">
        <f>VLOOKUP(U584,Sheet1!$B$6:$C$45,2,FALSE)*V584</f>
        <v>0</v>
      </c>
      <c r="X584" s="141"/>
      <c r="Y584" s="121" t="s">
        <v>292</v>
      </c>
      <c r="Z584" s="146">
        <f>VLOOKUP(Takeoffs!Y584,Sheet1!$B$6:$C$124,2,FALSE)</f>
        <v>0</v>
      </c>
      <c r="AA584" s="146">
        <f t="shared" si="260"/>
        <v>0</v>
      </c>
      <c r="AB584" s="143">
        <f t="shared" si="261"/>
        <v>0</v>
      </c>
      <c r="AC584" s="133">
        <f t="shared" si="262"/>
        <v>0</v>
      </c>
      <c r="AD584" s="142">
        <v>1</v>
      </c>
      <c r="AE584" s="141"/>
      <c r="AF584" s="121" t="s">
        <v>292</v>
      </c>
      <c r="AG584" s="146">
        <f>VLOOKUP(Takeoffs!AF584,Sheet1!$B$6:$C$124,2,FALSE)</f>
        <v>0</v>
      </c>
      <c r="AH584" s="146">
        <f t="shared" si="263"/>
        <v>0</v>
      </c>
      <c r="AI584" s="143">
        <f t="shared" si="264"/>
        <v>0</v>
      </c>
      <c r="AJ584" s="133">
        <f t="shared" si="265"/>
        <v>0</v>
      </c>
      <c r="AK584" s="142">
        <v>0</v>
      </c>
      <c r="AL584" s="141"/>
      <c r="AO584" s="286"/>
      <c r="AP584" s="284">
        <f t="shared" si="243"/>
        <v>0</v>
      </c>
      <c r="AQ584" s="281">
        <f t="shared" si="244"/>
        <v>0</v>
      </c>
      <c r="AR584" s="284">
        <f t="shared" si="245"/>
        <v>0</v>
      </c>
      <c r="AS584" s="281">
        <f t="shared" si="246"/>
        <v>0</v>
      </c>
      <c r="AT584" s="284">
        <f t="shared" si="247"/>
        <v>0</v>
      </c>
    </row>
    <row r="585" spans="1:46" s="114" customFormat="1" ht="30.9" x14ac:dyDescent="0.8">
      <c r="A585" s="262">
        <f>ROW()</f>
        <v>585</v>
      </c>
      <c r="C585" s="208"/>
      <c r="D585" s="208"/>
      <c r="E585" s="208"/>
      <c r="F585" s="208"/>
      <c r="G585" s="208"/>
      <c r="H585" s="208"/>
      <c r="J585" s="114" t="str">
        <f t="shared" si="266"/>
        <v/>
      </c>
      <c r="K585" s="114" t="str">
        <f>IF(COUNTBLANK(R585)&gt;0,"",CONCATENATE(R585," for ",N572))</f>
        <v/>
      </c>
      <c r="N585" s="123" t="s">
        <v>125</v>
      </c>
      <c r="O585" s="66"/>
      <c r="P585" s="121"/>
      <c r="Q585" s="66"/>
      <c r="R585" s="121"/>
      <c r="S585" s="133">
        <f>M572</f>
        <v>0</v>
      </c>
      <c r="T585" s="120"/>
      <c r="U585" s="121" t="s">
        <v>292</v>
      </c>
      <c r="V585" s="133">
        <f t="shared" si="259"/>
        <v>0</v>
      </c>
      <c r="W585" s="133">
        <f>VLOOKUP(U585,Sheet1!$B$6:$C$45,2,FALSE)*V585</f>
        <v>0</v>
      </c>
      <c r="X585" s="141"/>
      <c r="Y585" s="121" t="s">
        <v>292</v>
      </c>
      <c r="Z585" s="146">
        <f>VLOOKUP(Takeoffs!Y585,Sheet1!$B$6:$C$124,2,FALSE)</f>
        <v>0</v>
      </c>
      <c r="AA585" s="146">
        <f t="shared" si="260"/>
        <v>0</v>
      </c>
      <c r="AB585" s="143">
        <f t="shared" si="261"/>
        <v>0</v>
      </c>
      <c r="AC585" s="133">
        <f t="shared" si="262"/>
        <v>0</v>
      </c>
      <c r="AD585" s="142">
        <v>1</v>
      </c>
      <c r="AE585" s="141"/>
      <c r="AF585" s="121" t="s">
        <v>292</v>
      </c>
      <c r="AG585" s="146">
        <f>VLOOKUP(Takeoffs!AF585,Sheet1!$B$6:$C$124,2,FALSE)</f>
        <v>0</v>
      </c>
      <c r="AH585" s="146">
        <f t="shared" si="263"/>
        <v>0</v>
      </c>
      <c r="AI585" s="143">
        <f t="shared" si="264"/>
        <v>0</v>
      </c>
      <c r="AJ585" s="133">
        <f t="shared" si="265"/>
        <v>0</v>
      </c>
      <c r="AK585" s="142">
        <f t="shared" ref="AK585:AK592" si="267">T585</f>
        <v>0</v>
      </c>
      <c r="AL585" s="141"/>
      <c r="AO585" s="286"/>
      <c r="AP585" s="284">
        <f t="shared" si="243"/>
        <v>0</v>
      </c>
      <c r="AQ585" s="281">
        <f t="shared" si="244"/>
        <v>0</v>
      </c>
      <c r="AR585" s="284">
        <f t="shared" si="245"/>
        <v>0</v>
      </c>
      <c r="AS585" s="281">
        <f t="shared" si="246"/>
        <v>0</v>
      </c>
      <c r="AT585" s="284">
        <f t="shared" si="247"/>
        <v>0</v>
      </c>
    </row>
    <row r="586" spans="1:46" s="114" customFormat="1" ht="30.9" x14ac:dyDescent="0.8">
      <c r="A586" s="262">
        <f>ROW()</f>
        <v>586</v>
      </c>
      <c r="C586" s="208"/>
      <c r="D586" s="208"/>
      <c r="E586" s="208"/>
      <c r="F586" s="208"/>
      <c r="G586" s="208"/>
      <c r="H586" s="208"/>
      <c r="J586" s="114" t="str">
        <f t="shared" si="266"/>
        <v/>
      </c>
      <c r="K586" s="114" t="str">
        <f>IF(COUNTBLANK(R586)&gt;0,"",CONCATENATE(R586," for ",N572))</f>
        <v/>
      </c>
      <c r="N586" s="123" t="s">
        <v>126</v>
      </c>
      <c r="O586" s="66"/>
      <c r="P586" s="121"/>
      <c r="Q586" s="66"/>
      <c r="R586" s="121"/>
      <c r="S586" s="133">
        <f>M572</f>
        <v>0</v>
      </c>
      <c r="T586" s="120"/>
      <c r="U586" s="121" t="s">
        <v>292</v>
      </c>
      <c r="V586" s="133">
        <f t="shared" si="259"/>
        <v>0</v>
      </c>
      <c r="W586" s="133">
        <f>VLOOKUP(U586,Sheet1!$B$6:$C$45,2,FALSE)*V586</f>
        <v>0</v>
      </c>
      <c r="X586" s="141"/>
      <c r="Y586" s="121" t="s">
        <v>292</v>
      </c>
      <c r="Z586" s="146">
        <f>VLOOKUP(Takeoffs!Y586,Sheet1!$B$6:$C$124,2,FALSE)</f>
        <v>0</v>
      </c>
      <c r="AA586" s="146">
        <f t="shared" si="260"/>
        <v>0</v>
      </c>
      <c r="AB586" s="143">
        <f t="shared" si="261"/>
        <v>0</v>
      </c>
      <c r="AC586" s="133">
        <f t="shared" si="262"/>
        <v>0</v>
      </c>
      <c r="AD586" s="142">
        <v>1</v>
      </c>
      <c r="AE586" s="141"/>
      <c r="AF586" s="121" t="s">
        <v>292</v>
      </c>
      <c r="AG586" s="146">
        <f>VLOOKUP(Takeoffs!AF586,Sheet1!$B$6:$C$124,2,FALSE)</f>
        <v>0</v>
      </c>
      <c r="AH586" s="146">
        <f t="shared" si="263"/>
        <v>0</v>
      </c>
      <c r="AI586" s="143">
        <f t="shared" si="264"/>
        <v>0</v>
      </c>
      <c r="AJ586" s="133">
        <f t="shared" si="265"/>
        <v>0</v>
      </c>
      <c r="AK586" s="142">
        <f t="shared" si="267"/>
        <v>0</v>
      </c>
      <c r="AL586" s="141"/>
      <c r="AO586" s="286"/>
      <c r="AP586" s="284">
        <f t="shared" si="243"/>
        <v>0</v>
      </c>
      <c r="AQ586" s="281">
        <f t="shared" si="244"/>
        <v>0</v>
      </c>
      <c r="AR586" s="284">
        <f t="shared" si="245"/>
        <v>0</v>
      </c>
      <c r="AS586" s="281">
        <f t="shared" si="246"/>
        <v>0</v>
      </c>
      <c r="AT586" s="284">
        <f t="shared" si="247"/>
        <v>0</v>
      </c>
    </row>
    <row r="587" spans="1:46" s="114" customFormat="1" ht="30.9" x14ac:dyDescent="0.8">
      <c r="A587" s="262">
        <f>ROW()</f>
        <v>587</v>
      </c>
      <c r="C587" s="208"/>
      <c r="D587" s="208"/>
      <c r="E587" s="208"/>
      <c r="F587" s="208"/>
      <c r="G587" s="208"/>
      <c r="H587" s="208"/>
      <c r="J587" s="114" t="str">
        <f t="shared" si="266"/>
        <v/>
      </c>
      <c r="K587" s="114" t="str">
        <f>IF(COUNTBLANK(R587)&gt;0,"",CONCATENATE(R587," for ",N572))</f>
        <v/>
      </c>
      <c r="N587" s="123" t="s">
        <v>127</v>
      </c>
      <c r="O587" s="66"/>
      <c r="P587" s="121"/>
      <c r="Q587" s="66"/>
      <c r="R587" s="121"/>
      <c r="S587" s="133">
        <f>M572</f>
        <v>0</v>
      </c>
      <c r="T587" s="120"/>
      <c r="U587" s="121" t="s">
        <v>292</v>
      </c>
      <c r="V587" s="133">
        <f t="shared" si="259"/>
        <v>0</v>
      </c>
      <c r="W587" s="133">
        <f>VLOOKUP(U587,Sheet1!$B$6:$C$45,2,FALSE)*V587</f>
        <v>0</v>
      </c>
      <c r="X587" s="141"/>
      <c r="Y587" s="121" t="s">
        <v>292</v>
      </c>
      <c r="Z587" s="146">
        <f>VLOOKUP(Takeoffs!Y587,Sheet1!$B$6:$C$124,2,FALSE)</f>
        <v>0</v>
      </c>
      <c r="AA587" s="146">
        <f t="shared" si="260"/>
        <v>0</v>
      </c>
      <c r="AB587" s="143">
        <f t="shared" si="261"/>
        <v>0</v>
      </c>
      <c r="AC587" s="133">
        <f t="shared" si="262"/>
        <v>0</v>
      </c>
      <c r="AD587" s="142">
        <v>2</v>
      </c>
      <c r="AE587" s="141"/>
      <c r="AF587" s="121" t="s">
        <v>292</v>
      </c>
      <c r="AG587" s="146">
        <f>VLOOKUP(Takeoffs!AF587,Sheet1!$B$6:$C$124,2,FALSE)</f>
        <v>0</v>
      </c>
      <c r="AH587" s="146">
        <f t="shared" si="263"/>
        <v>0</v>
      </c>
      <c r="AI587" s="143">
        <f t="shared" si="264"/>
        <v>0</v>
      </c>
      <c r="AJ587" s="133">
        <f t="shared" si="265"/>
        <v>0</v>
      </c>
      <c r="AK587" s="142">
        <f t="shared" si="267"/>
        <v>0</v>
      </c>
      <c r="AL587" s="141"/>
      <c r="AO587" s="286"/>
      <c r="AP587" s="284">
        <f t="shared" si="243"/>
        <v>0</v>
      </c>
      <c r="AQ587" s="281">
        <f t="shared" si="244"/>
        <v>0</v>
      </c>
      <c r="AR587" s="284">
        <f t="shared" si="245"/>
        <v>0</v>
      </c>
      <c r="AS587" s="281">
        <f t="shared" si="246"/>
        <v>0</v>
      </c>
      <c r="AT587" s="284">
        <f t="shared" si="247"/>
        <v>0</v>
      </c>
    </row>
    <row r="588" spans="1:46" s="114" customFormat="1" ht="30.9" x14ac:dyDescent="0.8">
      <c r="A588" s="262">
        <f>ROW()</f>
        <v>588</v>
      </c>
      <c r="C588" s="208"/>
      <c r="D588" s="208"/>
      <c r="E588" s="208"/>
      <c r="F588" s="208"/>
      <c r="G588" s="208"/>
      <c r="H588" s="208"/>
      <c r="J588" s="114" t="str">
        <f t="shared" si="266"/>
        <v/>
      </c>
      <c r="K588" s="114" t="str">
        <f>IF(COUNTBLANK(R588)&gt;0,"",CONCATENATE(R588," for ",N572))</f>
        <v/>
      </c>
      <c r="N588" s="123" t="s">
        <v>128</v>
      </c>
      <c r="O588" s="66"/>
      <c r="P588" s="121"/>
      <c r="Q588" s="66"/>
      <c r="R588" s="121"/>
      <c r="S588" s="133">
        <f>M572</f>
        <v>0</v>
      </c>
      <c r="T588" s="120"/>
      <c r="U588" s="121" t="s">
        <v>292</v>
      </c>
      <c r="V588" s="133">
        <f t="shared" si="259"/>
        <v>0</v>
      </c>
      <c r="W588" s="133">
        <f>VLOOKUP(U588,Sheet1!$B$6:$C$45,2,FALSE)*V588</f>
        <v>0</v>
      </c>
      <c r="X588" s="141"/>
      <c r="Y588" s="121" t="s">
        <v>292</v>
      </c>
      <c r="Z588" s="146">
        <f>VLOOKUP(Takeoffs!Y588,Sheet1!$B$6:$C$124,2,FALSE)</f>
        <v>0</v>
      </c>
      <c r="AA588" s="146">
        <f t="shared" si="260"/>
        <v>0</v>
      </c>
      <c r="AB588" s="143">
        <f t="shared" si="261"/>
        <v>0</v>
      </c>
      <c r="AC588" s="133">
        <f t="shared" si="262"/>
        <v>0</v>
      </c>
      <c r="AD588" s="142">
        <v>1</v>
      </c>
      <c r="AE588" s="141"/>
      <c r="AF588" s="121" t="s">
        <v>292</v>
      </c>
      <c r="AG588" s="146">
        <f>VLOOKUP(Takeoffs!AF588,Sheet1!$B$6:$C$124,2,FALSE)</f>
        <v>0</v>
      </c>
      <c r="AH588" s="146">
        <f t="shared" si="263"/>
        <v>0</v>
      </c>
      <c r="AI588" s="143">
        <f t="shared" si="264"/>
        <v>0</v>
      </c>
      <c r="AJ588" s="133">
        <f t="shared" si="265"/>
        <v>0</v>
      </c>
      <c r="AK588" s="142">
        <f t="shared" si="267"/>
        <v>0</v>
      </c>
      <c r="AL588" s="141"/>
      <c r="AO588" s="286"/>
      <c r="AP588" s="284">
        <f t="shared" si="243"/>
        <v>0</v>
      </c>
      <c r="AQ588" s="281">
        <f t="shared" si="244"/>
        <v>0</v>
      </c>
      <c r="AR588" s="284">
        <f t="shared" si="245"/>
        <v>0</v>
      </c>
      <c r="AS588" s="281">
        <f t="shared" si="246"/>
        <v>0</v>
      </c>
      <c r="AT588" s="284">
        <f t="shared" si="247"/>
        <v>0</v>
      </c>
    </row>
    <row r="589" spans="1:46" s="114" customFormat="1" ht="30.9" x14ac:dyDescent="0.8">
      <c r="A589" s="262">
        <f>ROW()</f>
        <v>589</v>
      </c>
      <c r="C589" s="208"/>
      <c r="D589" s="208"/>
      <c r="E589" s="208"/>
      <c r="F589" s="208"/>
      <c r="G589" s="208"/>
      <c r="H589" s="208"/>
      <c r="J589" s="114" t="str">
        <f t="shared" si="266"/>
        <v/>
      </c>
      <c r="K589" s="114" t="str">
        <f>IF(COUNTBLANK(R589)&gt;0,"",CONCATENATE(R589," for ",N572))</f>
        <v/>
      </c>
      <c r="N589" s="123" t="s">
        <v>129</v>
      </c>
      <c r="O589" s="66"/>
      <c r="P589" s="121"/>
      <c r="Q589" s="66"/>
      <c r="R589" s="121"/>
      <c r="S589" s="133">
        <f>M572</f>
        <v>0</v>
      </c>
      <c r="T589" s="120"/>
      <c r="U589" s="121" t="s">
        <v>292</v>
      </c>
      <c r="V589" s="133">
        <f t="shared" si="259"/>
        <v>0</v>
      </c>
      <c r="W589" s="133">
        <f>VLOOKUP(U589,Sheet1!$B$6:$C$45,2,FALSE)*V589</f>
        <v>0</v>
      </c>
      <c r="X589" s="141"/>
      <c r="Y589" s="121" t="s">
        <v>292</v>
      </c>
      <c r="Z589" s="146">
        <f>VLOOKUP(Takeoffs!Y589,Sheet1!$B$6:$C$124,2,FALSE)</f>
        <v>0</v>
      </c>
      <c r="AA589" s="146">
        <f t="shared" si="260"/>
        <v>0</v>
      </c>
      <c r="AB589" s="143">
        <f t="shared" si="261"/>
        <v>0</v>
      </c>
      <c r="AC589" s="133">
        <f t="shared" si="262"/>
        <v>0</v>
      </c>
      <c r="AD589" s="142">
        <v>1</v>
      </c>
      <c r="AE589" s="141"/>
      <c r="AF589" s="121" t="s">
        <v>292</v>
      </c>
      <c r="AG589" s="146">
        <f>VLOOKUP(Takeoffs!AF589,Sheet1!$B$6:$C$124,2,FALSE)</f>
        <v>0</v>
      </c>
      <c r="AH589" s="146">
        <f t="shared" si="263"/>
        <v>0</v>
      </c>
      <c r="AI589" s="143">
        <f t="shared" si="264"/>
        <v>0</v>
      </c>
      <c r="AJ589" s="133">
        <f t="shared" si="265"/>
        <v>0</v>
      </c>
      <c r="AK589" s="142">
        <f t="shared" si="267"/>
        <v>0</v>
      </c>
      <c r="AL589" s="141"/>
      <c r="AO589" s="286"/>
      <c r="AP589" s="284">
        <f t="shared" si="243"/>
        <v>0</v>
      </c>
      <c r="AQ589" s="281">
        <f t="shared" si="244"/>
        <v>0</v>
      </c>
      <c r="AR589" s="284">
        <f t="shared" si="245"/>
        <v>0</v>
      </c>
      <c r="AS589" s="281">
        <f t="shared" si="246"/>
        <v>0</v>
      </c>
      <c r="AT589" s="284">
        <f t="shared" si="247"/>
        <v>0</v>
      </c>
    </row>
    <row r="590" spans="1:46" s="114" customFormat="1" ht="30.9" x14ac:dyDescent="0.8">
      <c r="A590" s="262">
        <f>ROW()</f>
        <v>590</v>
      </c>
      <c r="C590" s="208"/>
      <c r="D590" s="208"/>
      <c r="E590" s="208"/>
      <c r="F590" s="208"/>
      <c r="G590" s="208"/>
      <c r="H590" s="208"/>
      <c r="J590" s="114" t="str">
        <f t="shared" si="266"/>
        <v/>
      </c>
      <c r="K590" s="114" t="str">
        <f>IF(COUNTBLANK(R590)&gt;0,"",CONCATENATE(R590," for ",N572))</f>
        <v/>
      </c>
      <c r="N590" s="123" t="s">
        <v>130</v>
      </c>
      <c r="O590" s="66"/>
      <c r="P590" s="121"/>
      <c r="Q590" s="66"/>
      <c r="R590" s="121"/>
      <c r="S590" s="133">
        <f>M572</f>
        <v>0</v>
      </c>
      <c r="T590" s="120"/>
      <c r="U590" s="121" t="s">
        <v>292</v>
      </c>
      <c r="V590" s="133">
        <f t="shared" si="259"/>
        <v>0</v>
      </c>
      <c r="W590" s="133">
        <f>VLOOKUP(U590,Sheet1!$B$6:$C$45,2,FALSE)*V590</f>
        <v>0</v>
      </c>
      <c r="X590" s="141"/>
      <c r="Y590" s="121" t="s">
        <v>292</v>
      </c>
      <c r="Z590" s="146">
        <f>VLOOKUP(Takeoffs!Y590,Sheet1!$B$6:$C$124,2,FALSE)</f>
        <v>0</v>
      </c>
      <c r="AA590" s="146">
        <f t="shared" si="260"/>
        <v>0</v>
      </c>
      <c r="AB590" s="143">
        <f t="shared" si="261"/>
        <v>0</v>
      </c>
      <c r="AC590" s="133">
        <f t="shared" si="262"/>
        <v>0</v>
      </c>
      <c r="AD590" s="142">
        <v>1</v>
      </c>
      <c r="AE590" s="141"/>
      <c r="AF590" s="121" t="s">
        <v>292</v>
      </c>
      <c r="AG590" s="146">
        <f>VLOOKUP(Takeoffs!AF590,Sheet1!$B$6:$C$124,2,FALSE)</f>
        <v>0</v>
      </c>
      <c r="AH590" s="146">
        <f t="shared" si="263"/>
        <v>0</v>
      </c>
      <c r="AI590" s="143">
        <f t="shared" si="264"/>
        <v>0</v>
      </c>
      <c r="AJ590" s="133">
        <f t="shared" si="265"/>
        <v>0</v>
      </c>
      <c r="AK590" s="142">
        <f t="shared" si="267"/>
        <v>0</v>
      </c>
      <c r="AL590" s="141"/>
      <c r="AO590" s="286"/>
      <c r="AP590" s="284">
        <f t="shared" si="243"/>
        <v>0</v>
      </c>
      <c r="AQ590" s="281">
        <f t="shared" si="244"/>
        <v>0</v>
      </c>
      <c r="AR590" s="284">
        <f t="shared" si="245"/>
        <v>0</v>
      </c>
      <c r="AS590" s="281">
        <f t="shared" si="246"/>
        <v>0</v>
      </c>
      <c r="AT590" s="284">
        <f t="shared" si="247"/>
        <v>0</v>
      </c>
    </row>
    <row r="591" spans="1:46" s="114" customFormat="1" ht="30.9" x14ac:dyDescent="0.8">
      <c r="A591" s="262">
        <f>ROW()</f>
        <v>591</v>
      </c>
      <c r="C591" s="208"/>
      <c r="D591" s="208"/>
      <c r="E591" s="208"/>
      <c r="F591" s="208"/>
      <c r="G591" s="208"/>
      <c r="H591" s="208"/>
      <c r="J591" s="114" t="str">
        <f t="shared" si="266"/>
        <v/>
      </c>
      <c r="K591" s="114" t="str">
        <f>IF(COUNTBLANK(R591)&gt;0,"",CONCATENATE(R591," for ",N572))</f>
        <v/>
      </c>
      <c r="N591" s="123" t="s">
        <v>131</v>
      </c>
      <c r="O591" s="66"/>
      <c r="P591" s="121"/>
      <c r="Q591" s="66"/>
      <c r="R591" s="121"/>
      <c r="S591" s="133">
        <f>M572</f>
        <v>0</v>
      </c>
      <c r="T591" s="120"/>
      <c r="U591" s="121" t="s">
        <v>292</v>
      </c>
      <c r="V591" s="133">
        <f t="shared" si="259"/>
        <v>0</v>
      </c>
      <c r="W591" s="133">
        <f>VLOOKUP(U591,Sheet1!$B$6:$C$45,2,FALSE)*V591</f>
        <v>0</v>
      </c>
      <c r="X591" s="141"/>
      <c r="Y591" s="121" t="s">
        <v>292</v>
      </c>
      <c r="Z591" s="146">
        <f>VLOOKUP(Takeoffs!Y591,Sheet1!$B$6:$C$124,2,FALSE)</f>
        <v>0</v>
      </c>
      <c r="AA591" s="146">
        <f t="shared" si="260"/>
        <v>0</v>
      </c>
      <c r="AB591" s="143">
        <f t="shared" si="261"/>
        <v>0</v>
      </c>
      <c r="AC591" s="133">
        <f t="shared" si="262"/>
        <v>0</v>
      </c>
      <c r="AD591" s="142">
        <v>1</v>
      </c>
      <c r="AE591" s="141"/>
      <c r="AF591" s="121" t="s">
        <v>292</v>
      </c>
      <c r="AG591" s="146">
        <f>VLOOKUP(Takeoffs!AF591,Sheet1!$B$6:$C$124,2,FALSE)</f>
        <v>0</v>
      </c>
      <c r="AH591" s="146">
        <f t="shared" si="263"/>
        <v>0</v>
      </c>
      <c r="AI591" s="143">
        <f t="shared" si="264"/>
        <v>0</v>
      </c>
      <c r="AJ591" s="133">
        <f t="shared" si="265"/>
        <v>0</v>
      </c>
      <c r="AK591" s="142">
        <f t="shared" si="267"/>
        <v>0</v>
      </c>
      <c r="AL591" s="141"/>
      <c r="AO591" s="286"/>
      <c r="AP591" s="284">
        <f t="shared" si="243"/>
        <v>0</v>
      </c>
      <c r="AQ591" s="281">
        <f t="shared" si="244"/>
        <v>0</v>
      </c>
      <c r="AR591" s="284">
        <f t="shared" si="245"/>
        <v>0</v>
      </c>
      <c r="AS591" s="281">
        <f t="shared" si="246"/>
        <v>0</v>
      </c>
      <c r="AT591" s="284">
        <f t="shared" si="247"/>
        <v>0</v>
      </c>
    </row>
    <row r="592" spans="1:46" s="114" customFormat="1" ht="30.9" x14ac:dyDescent="0.8">
      <c r="A592" s="262">
        <f>ROW()</f>
        <v>592</v>
      </c>
      <c r="C592" s="208"/>
      <c r="D592" s="208"/>
      <c r="E592" s="208"/>
      <c r="F592" s="208"/>
      <c r="G592" s="208"/>
      <c r="H592" s="208"/>
      <c r="J592" s="114" t="str">
        <f t="shared" si="266"/>
        <v/>
      </c>
      <c r="K592" s="114" t="str">
        <f>IF(COUNTBLANK(R592)&gt;0,"",CONCATENATE(R592," for ",N572))</f>
        <v/>
      </c>
      <c r="N592" s="123" t="s">
        <v>132</v>
      </c>
      <c r="O592" s="66" t="s">
        <v>408</v>
      </c>
      <c r="P592" s="121"/>
      <c r="Q592" s="66"/>
      <c r="R592" s="121"/>
      <c r="S592" s="133">
        <f>M572</f>
        <v>0</v>
      </c>
      <c r="T592" s="120"/>
      <c r="U592" s="121" t="s">
        <v>292</v>
      </c>
      <c r="V592" s="133">
        <f t="shared" si="259"/>
        <v>0</v>
      </c>
      <c r="W592" s="133">
        <f>VLOOKUP(U592,Sheet1!$B$6:$C$45,2,FALSE)*V592</f>
        <v>0</v>
      </c>
      <c r="X592" s="141"/>
      <c r="Y592" s="121" t="s">
        <v>292</v>
      </c>
      <c r="Z592" s="146">
        <f>VLOOKUP(Takeoffs!Y592,Sheet1!$B$6:$C$124,2,FALSE)</f>
        <v>0</v>
      </c>
      <c r="AA592" s="146">
        <f t="shared" si="260"/>
        <v>0</v>
      </c>
      <c r="AB592" s="143">
        <f t="shared" si="261"/>
        <v>0</v>
      </c>
      <c r="AC592" s="133">
        <f t="shared" si="262"/>
        <v>0</v>
      </c>
      <c r="AD592" s="142">
        <v>1</v>
      </c>
      <c r="AE592" s="141"/>
      <c r="AF592" s="121" t="s">
        <v>292</v>
      </c>
      <c r="AG592" s="146">
        <f>VLOOKUP(Takeoffs!AF592,Sheet1!$B$6:$C$124,2,FALSE)</f>
        <v>0</v>
      </c>
      <c r="AH592" s="146">
        <f t="shared" si="263"/>
        <v>0</v>
      </c>
      <c r="AI592" s="143">
        <f t="shared" si="264"/>
        <v>0</v>
      </c>
      <c r="AJ592" s="133">
        <f t="shared" si="265"/>
        <v>0</v>
      </c>
      <c r="AK592" s="142">
        <f t="shared" si="267"/>
        <v>0</v>
      </c>
      <c r="AL592" s="141"/>
      <c r="AO592" s="286"/>
      <c r="AP592" s="284">
        <f t="shared" si="243"/>
        <v>0</v>
      </c>
      <c r="AQ592" s="281">
        <f t="shared" si="244"/>
        <v>0</v>
      </c>
      <c r="AR592" s="284">
        <f t="shared" si="245"/>
        <v>0</v>
      </c>
      <c r="AS592" s="281">
        <f t="shared" si="246"/>
        <v>0</v>
      </c>
      <c r="AT592" s="284">
        <f t="shared" si="247"/>
        <v>0</v>
      </c>
    </row>
    <row r="593" spans="1:97" s="128" customFormat="1" ht="32.25" customHeight="1" thickBot="1" x14ac:dyDescent="0.85">
      <c r="A593" s="262">
        <f>ROW()</f>
        <v>593</v>
      </c>
      <c r="C593" s="212"/>
      <c r="D593" s="212"/>
      <c r="E593" s="212"/>
      <c r="F593" s="212"/>
      <c r="G593" s="212"/>
      <c r="H593" s="212"/>
      <c r="J593" s="128" t="s">
        <v>377</v>
      </c>
      <c r="L593" s="128" t="s">
        <v>378</v>
      </c>
      <c r="N593" s="129"/>
      <c r="O593" s="130" t="s">
        <v>357</v>
      </c>
      <c r="P593" s="155">
        <f>V593+AA593+AH593</f>
        <v>0</v>
      </c>
      <c r="Q593" s="155"/>
      <c r="R593" s="131"/>
      <c r="S593" s="130"/>
      <c r="T593" s="127"/>
      <c r="U593" s="126" t="s">
        <v>351</v>
      </c>
      <c r="V593" s="127">
        <f>W593*80</f>
        <v>0</v>
      </c>
      <c r="W593" s="147">
        <f>SUM(W572:W592)</f>
        <v>0</v>
      </c>
      <c r="X593" s="148"/>
      <c r="Y593" s="127" t="s">
        <v>352</v>
      </c>
      <c r="Z593" s="116"/>
      <c r="AA593" s="116">
        <f>SUM(AA572:AA592)</f>
        <v>0</v>
      </c>
      <c r="AB593" s="149"/>
      <c r="AC593" s="149"/>
      <c r="AD593" s="149"/>
      <c r="AE593" s="149"/>
      <c r="AF593" s="127" t="s">
        <v>356</v>
      </c>
      <c r="AG593" s="116"/>
      <c r="AH593" s="116">
        <f>SUM(AH572:AH592)</f>
        <v>0</v>
      </c>
      <c r="AI593" s="149"/>
      <c r="AJ593" s="149"/>
      <c r="AK593" s="149"/>
      <c r="AL593" s="149"/>
      <c r="AM593" s="150">
        <f>P593</f>
        <v>0</v>
      </c>
      <c r="AO593" s="286"/>
      <c r="AP593" s="284">
        <f t="shared" si="243"/>
        <v>0</v>
      </c>
      <c r="AQ593" s="281">
        <f t="shared" si="244"/>
        <v>0</v>
      </c>
      <c r="AR593" s="284">
        <f t="shared" si="245"/>
        <v>0</v>
      </c>
      <c r="AS593" s="281">
        <f t="shared" si="246"/>
        <v>0</v>
      </c>
      <c r="AT593" s="284">
        <f t="shared" si="247"/>
        <v>0</v>
      </c>
    </row>
    <row r="594" spans="1:97" s="234" customFormat="1" ht="127.3" thickBot="1" x14ac:dyDescent="1.25">
      <c r="A594" s="262">
        <f>ROW()</f>
        <v>594</v>
      </c>
      <c r="B594" s="234" t="s">
        <v>491</v>
      </c>
      <c r="C594" s="217" t="str">
        <f>N572</f>
        <v>DOL fan from local power supply - With local switch and run on timer</v>
      </c>
      <c r="D594" s="260" t="str">
        <f>IF(B594="Shopping List",IF(ISNUMBER(SEARCH("MSSB",C594)),"MSSB",IF(ISNUMBER(SEARCH("local",C594)),"LOCAL","")))</f>
        <v>LOCAL</v>
      </c>
      <c r="E594" s="238"/>
      <c r="F594" s="217"/>
      <c r="G594" s="217"/>
      <c r="H594" s="245"/>
      <c r="I594" s="270">
        <v>0</v>
      </c>
      <c r="J594" s="241" t="str">
        <f>CONCATENATE(O572," ",L572, " (",M572,") ",N572,".", IF(M572&gt;1," Each "," This "),"includes supply and install of ",O573,O574,O575,O576,O577,O578,O579,O580,O581,O582,O583,O584,O585,O586,O587,O588,O589,O590,O591,O592,J573,J574,J575,J576,J577,J578,J579,J580,J581,J582,J583,J584,J585,J586,J587,J588,J589,J590,J591,J592)</f>
        <v xml:space="preserve">Electrical power supply to Zero (0) DOL fan from local power supply - With local switch and run on timer. This includes supply and install of cabling from local supply, local switch, run on timer, enclosure, local isolator and commissioning/testing. Coordination Note: - Builders electrician: Please refer to our exclusions relating to supply of local power supply. </v>
      </c>
      <c r="K594" s="248">
        <f>P593</f>
        <v>0</v>
      </c>
      <c r="L594" s="234" t="str">
        <f>CONCATENATE(Q573,Q574,Q575,Q576,Q577,Q578,Q579,Q580,Q581,Q582,Q583,Q584,Q585,Q586,Q587,Q588,Q589,Q590,Q591,Q592,)</f>
        <v xml:space="preserve">supply of local power supply. </v>
      </c>
      <c r="M594" s="166" t="s">
        <v>367</v>
      </c>
      <c r="N594" s="160" t="str">
        <f>N572</f>
        <v>DOL fan from local power supply - With local switch and run on timer</v>
      </c>
      <c r="O594" s="185" t="s">
        <v>365</v>
      </c>
      <c r="P594" s="203" t="e">
        <f>P593/M572</f>
        <v>#DIV/0!</v>
      </c>
      <c r="Q594" s="195"/>
      <c r="R594" s="188"/>
      <c r="S594" s="160"/>
      <c r="T594" s="161"/>
      <c r="U594" s="503" t="s">
        <v>366</v>
      </c>
      <c r="V594" s="503"/>
      <c r="W594" s="162" t="e">
        <f>W593/M572</f>
        <v>#DIV/0!</v>
      </c>
      <c r="X594" s="163"/>
      <c r="Y594" s="501" t="s">
        <v>365</v>
      </c>
      <c r="Z594" s="501"/>
      <c r="AA594" s="164" t="e">
        <f>AA593/M572</f>
        <v>#DIV/0!</v>
      </c>
      <c r="AB594" s="161"/>
      <c r="AC594" s="161"/>
      <c r="AD594" s="161"/>
      <c r="AE594" s="161"/>
      <c r="AF594" s="501" t="s">
        <v>365</v>
      </c>
      <c r="AG594" s="501"/>
      <c r="AH594" s="164" t="e">
        <f>AH593/M572</f>
        <v>#DIV/0!</v>
      </c>
      <c r="AI594" s="161"/>
      <c r="AJ594" s="161"/>
      <c r="AK594" s="161"/>
      <c r="AL594" s="247"/>
      <c r="AM594" s="257"/>
      <c r="AN594" s="236">
        <f>K594*$D$9</f>
        <v>0</v>
      </c>
      <c r="AO594" s="286"/>
      <c r="AP594" s="284">
        <f t="shared" si="243"/>
        <v>0</v>
      </c>
      <c r="AQ594" s="281">
        <f t="shared" si="244"/>
        <v>0</v>
      </c>
      <c r="AR594" s="284">
        <f t="shared" si="245"/>
        <v>0</v>
      </c>
      <c r="AS594" s="281">
        <f t="shared" si="246"/>
        <v>0</v>
      </c>
      <c r="AT594" s="284">
        <f t="shared" si="247"/>
        <v>0</v>
      </c>
      <c r="AU594" s="117"/>
      <c r="AV594" s="117"/>
      <c r="AW594" s="117"/>
      <c r="AX594" s="117"/>
      <c r="AY594" s="117"/>
      <c r="AZ594" s="117"/>
      <c r="BA594" s="117"/>
      <c r="BB594" s="117"/>
      <c r="BC594" s="117"/>
      <c r="BD594" s="117"/>
      <c r="BE594" s="117"/>
      <c r="BF594" s="117"/>
      <c r="BG594" s="117"/>
      <c r="BH594" s="117"/>
      <c r="BI594" s="117"/>
      <c r="BJ594" s="117"/>
      <c r="BK594" s="117"/>
      <c r="BL594" s="117"/>
      <c r="BM594" s="117"/>
      <c r="BN594" s="117"/>
      <c r="BO594" s="117"/>
      <c r="BP594" s="117"/>
      <c r="BQ594" s="117"/>
      <c r="BR594" s="117"/>
      <c r="BS594" s="117"/>
      <c r="BT594" s="117"/>
      <c r="BU594" s="117"/>
      <c r="BV594" s="117"/>
      <c r="BW594" s="117"/>
      <c r="BX594" s="117"/>
      <c r="BY594" s="117"/>
      <c r="BZ594" s="117"/>
      <c r="CA594" s="117"/>
      <c r="CB594" s="117"/>
      <c r="CC594" s="117"/>
      <c r="CD594" s="117"/>
      <c r="CE594" s="117"/>
      <c r="CF594" s="117"/>
      <c r="CG594" s="117"/>
      <c r="CH594" s="117"/>
      <c r="CI594" s="117"/>
      <c r="CJ594" s="117"/>
      <c r="CK594" s="117"/>
      <c r="CL594" s="117"/>
      <c r="CM594" s="117"/>
      <c r="CN594" s="117"/>
      <c r="CO594" s="117"/>
      <c r="CP594" s="117"/>
      <c r="CQ594" s="117"/>
      <c r="CR594" s="117"/>
      <c r="CS594" s="117"/>
    </row>
    <row r="595" spans="1:97" s="116" customFormat="1" ht="193.5" customHeight="1" x14ac:dyDescent="0.8">
      <c r="A595" s="262">
        <f>ROW()</f>
        <v>595</v>
      </c>
      <c r="C595" s="211"/>
      <c r="D595" s="211"/>
      <c r="E595" s="211"/>
      <c r="F595" s="211"/>
      <c r="G595" s="211"/>
      <c r="H595" s="211"/>
      <c r="K595" s="116" t="s">
        <v>452</v>
      </c>
      <c r="M595" s="116" t="s">
        <v>107</v>
      </c>
      <c r="N595" s="116" t="s">
        <v>108</v>
      </c>
      <c r="O595" s="170" t="s">
        <v>386</v>
      </c>
      <c r="P595" s="502" t="s">
        <v>375</v>
      </c>
      <c r="Q595" s="502"/>
      <c r="R595" s="101" t="s">
        <v>452</v>
      </c>
      <c r="S595" s="116" t="s">
        <v>0</v>
      </c>
      <c r="T595" s="118"/>
      <c r="U595" s="116" t="s">
        <v>287</v>
      </c>
      <c r="V595" s="116" t="s">
        <v>288</v>
      </c>
      <c r="W595" s="116" t="s">
        <v>291</v>
      </c>
      <c r="X595" s="140"/>
      <c r="Y595" s="116" t="s">
        <v>289</v>
      </c>
      <c r="Z595" s="116" t="s">
        <v>354</v>
      </c>
      <c r="AA595" s="116" t="s">
        <v>355</v>
      </c>
      <c r="AB595" s="116" t="s">
        <v>317</v>
      </c>
      <c r="AC595" s="116" t="s">
        <v>318</v>
      </c>
      <c r="AD595" s="116" t="s">
        <v>316</v>
      </c>
      <c r="AE595" s="140"/>
      <c r="AF595" s="116" t="s">
        <v>293</v>
      </c>
      <c r="AG595" s="116" t="s">
        <v>354</v>
      </c>
      <c r="AH595" s="116" t="s">
        <v>355</v>
      </c>
      <c r="AI595" s="116" t="s">
        <v>296</v>
      </c>
      <c r="AJ595" s="116" t="s">
        <v>294</v>
      </c>
      <c r="AK595" s="116" t="s">
        <v>295</v>
      </c>
      <c r="AL595" s="140"/>
      <c r="AO595" s="288"/>
      <c r="AP595" s="284">
        <f t="shared" si="243"/>
        <v>0</v>
      </c>
      <c r="AQ595" s="281">
        <f t="shared" si="244"/>
        <v>0</v>
      </c>
      <c r="AR595" s="284">
        <f t="shared" si="245"/>
        <v>0</v>
      </c>
      <c r="AS595" s="281">
        <f t="shared" si="246"/>
        <v>0</v>
      </c>
      <c r="AT595" s="284">
        <f t="shared" si="247"/>
        <v>0</v>
      </c>
    </row>
    <row r="596" spans="1:97" s="114" customFormat="1" ht="54.75" customHeight="1" x14ac:dyDescent="0.8">
      <c r="A596" s="262">
        <f>ROW()</f>
        <v>596</v>
      </c>
      <c r="C596" s="208"/>
      <c r="D596" s="208"/>
      <c r="E596" s="208"/>
      <c r="F596" s="208"/>
      <c r="G596" s="208"/>
      <c r="H596" s="208"/>
      <c r="L596" s="124" t="str">
        <f>VLOOKUP(M596,Sheet2!$D$2:$E$1024,2,FALSE)</f>
        <v>one</v>
      </c>
      <c r="M596" s="121">
        <f>I618</f>
        <v>1</v>
      </c>
      <c r="N596" s="132" t="s">
        <v>648</v>
      </c>
      <c r="O596" s="121" t="s">
        <v>133</v>
      </c>
      <c r="P596" s="169" t="s">
        <v>379</v>
      </c>
      <c r="Q596" s="169" t="s">
        <v>375</v>
      </c>
      <c r="R596" s="169"/>
      <c r="S596" s="133">
        <f>M596</f>
        <v>1</v>
      </c>
      <c r="T596" s="119"/>
      <c r="U596" s="121" t="s">
        <v>292</v>
      </c>
      <c r="V596" s="133">
        <f>S596</f>
        <v>1</v>
      </c>
      <c r="W596" s="133">
        <f>VLOOKUP(U596,Sheet1!$B$6:$C$45,2,FALSE)*V596</f>
        <v>0</v>
      </c>
      <c r="X596" s="141"/>
      <c r="Y596" s="121" t="s">
        <v>292</v>
      </c>
      <c r="Z596" s="146">
        <f>VLOOKUP(Takeoffs!Y596,Sheet1!$B$6:$C$124,2,FALSE)</f>
        <v>0</v>
      </c>
      <c r="AA596" s="146">
        <f>Z596*AB596</f>
        <v>0</v>
      </c>
      <c r="AB596" s="143">
        <f>AD596*AC596</f>
        <v>1</v>
      </c>
      <c r="AC596" s="133">
        <f>S596</f>
        <v>1</v>
      </c>
      <c r="AD596" s="142">
        <v>1</v>
      </c>
      <c r="AE596" s="141"/>
      <c r="AF596" s="121" t="s">
        <v>292</v>
      </c>
      <c r="AG596" s="146">
        <f>VLOOKUP(Takeoffs!AF596,Sheet1!$B$6:$C$124,2,FALSE)</f>
        <v>0</v>
      </c>
      <c r="AH596" s="146">
        <f>AG596*AI596</f>
        <v>0</v>
      </c>
      <c r="AI596" s="143">
        <f>AK596*AJ596</f>
        <v>0</v>
      </c>
      <c r="AJ596" s="133">
        <f>S596</f>
        <v>1</v>
      </c>
      <c r="AK596" s="142">
        <f>T596</f>
        <v>0</v>
      </c>
      <c r="AL596" s="141"/>
      <c r="AO596" s="286"/>
      <c r="AP596" s="284">
        <f t="shared" ref="AP596:AP659" si="268">IF(AND(I596&gt;0, ISNUMBER(I596)),I596*P596,0)</f>
        <v>0</v>
      </c>
      <c r="AQ596" s="281">
        <f t="shared" ref="AQ596:AQ659" si="269">IF(AND(I596&gt;0, ISNUMBER(I596)),I596*W596*80,0)</f>
        <v>0</v>
      </c>
      <c r="AR596" s="284">
        <f t="shared" ref="AR596:AR659" si="270">IF(AND(I596&gt;0, ISNUMBER(I596)),I596*AA596,0)</f>
        <v>0</v>
      </c>
      <c r="AS596" s="281">
        <f t="shared" ref="AS596:AS659" si="271">IF(AND(I596&gt;0, ISNUMBER(I596)),I596*AH596,0)</f>
        <v>0</v>
      </c>
      <c r="AT596" s="284">
        <f t="shared" ref="AT596:AT659" si="272">IF(AND(I596&gt;0, ISNUMBER(I596)),I596*(AP596-(AQ596+AR596+AS596)),0)</f>
        <v>0</v>
      </c>
    </row>
    <row r="597" spans="1:97" s="114" customFormat="1" ht="30.9" x14ac:dyDescent="0.8">
      <c r="A597" s="262">
        <f>ROW()</f>
        <v>597</v>
      </c>
      <c r="C597" s="208"/>
      <c r="D597" s="208"/>
      <c r="E597" s="208"/>
      <c r="F597" s="208"/>
      <c r="G597" s="208"/>
      <c r="H597" s="208"/>
      <c r="J597" s="114" t="str">
        <f>IF(COUNTBLANK(Q597)&gt;0,"",CONCATENATE("Coordination Note: - ",P597,": Please refer to our exclusions relating to ",Q597))</f>
        <v/>
      </c>
      <c r="K597" s="114" t="str">
        <f>IF(COUNTBLANK(R597)&gt;0,"",CONCATENATE(R597," for ",N596))</f>
        <v/>
      </c>
      <c r="M597" s="117"/>
      <c r="N597" s="123" t="s">
        <v>113</v>
      </c>
      <c r="O597" s="66"/>
      <c r="P597" s="121"/>
      <c r="Q597" s="66"/>
      <c r="R597" s="121"/>
      <c r="S597" s="133">
        <f>M596</f>
        <v>1</v>
      </c>
      <c r="T597" s="120"/>
      <c r="U597" s="121" t="s">
        <v>292</v>
      </c>
      <c r="V597" s="133">
        <f t="shared" ref="V597:V616" si="273">S597</f>
        <v>1</v>
      </c>
      <c r="W597" s="133">
        <f>VLOOKUP(U597,Sheet1!$B$6:$C$45,2,FALSE)*V597</f>
        <v>0</v>
      </c>
      <c r="X597" s="141"/>
      <c r="Y597" s="121" t="s">
        <v>292</v>
      </c>
      <c r="Z597" s="146">
        <f>VLOOKUP(Takeoffs!Y597,Sheet1!$B$6:$C$124,2,FALSE)</f>
        <v>0</v>
      </c>
      <c r="AA597" s="146">
        <f t="shared" ref="AA597:AA616" si="274">Z597*AB597</f>
        <v>0</v>
      </c>
      <c r="AB597" s="143">
        <f t="shared" ref="AB597:AB616" si="275">AD597*AC597</f>
        <v>1</v>
      </c>
      <c r="AC597" s="133">
        <f t="shared" ref="AC597:AC616" si="276">S597</f>
        <v>1</v>
      </c>
      <c r="AD597" s="142">
        <v>1</v>
      </c>
      <c r="AE597" s="141"/>
      <c r="AF597" s="121" t="s">
        <v>292</v>
      </c>
      <c r="AG597" s="146">
        <f>VLOOKUP(Takeoffs!AF597,Sheet1!$B$6:$C$124,2,FALSE)</f>
        <v>0</v>
      </c>
      <c r="AH597" s="146">
        <f t="shared" ref="AH597:AH616" si="277">AG597*AI597</f>
        <v>0</v>
      </c>
      <c r="AI597" s="143">
        <f t="shared" ref="AI597:AI616" si="278">AK597*AJ597</f>
        <v>0</v>
      </c>
      <c r="AJ597" s="133">
        <f t="shared" ref="AJ597:AJ616" si="279">S597</f>
        <v>1</v>
      </c>
      <c r="AK597" s="142">
        <f>T597</f>
        <v>0</v>
      </c>
      <c r="AL597" s="141"/>
      <c r="AO597" s="286"/>
      <c r="AP597" s="284">
        <f t="shared" si="268"/>
        <v>0</v>
      </c>
      <c r="AQ597" s="281">
        <f t="shared" si="269"/>
        <v>0</v>
      </c>
      <c r="AR597" s="284">
        <f t="shared" si="270"/>
        <v>0</v>
      </c>
      <c r="AS597" s="281">
        <f t="shared" si="271"/>
        <v>0</v>
      </c>
      <c r="AT597" s="284">
        <f t="shared" si="272"/>
        <v>0</v>
      </c>
    </row>
    <row r="598" spans="1:97" s="114" customFormat="1" ht="30.9" x14ac:dyDescent="0.8">
      <c r="A598" s="262">
        <f>ROW()</f>
        <v>598</v>
      </c>
      <c r="C598" s="208"/>
      <c r="D598" s="208"/>
      <c r="E598" s="208"/>
      <c r="F598" s="208"/>
      <c r="G598" s="208"/>
      <c r="H598" s="208"/>
      <c r="J598" s="114" t="str">
        <f t="shared" ref="J598:J616" si="280">IF(COUNTBLANK(Q598)&gt;0,"",CONCATENATE("Coordination Note: - ",P598,": Please refer to our exclusions relating to ",Q598))</f>
        <v/>
      </c>
      <c r="K598" s="114" t="str">
        <f>IF(COUNTBLANK(R598)&gt;0,"",CONCATENATE(R598," for ",N596))</f>
        <v/>
      </c>
      <c r="M598" s="117"/>
      <c r="N598" s="123" t="s">
        <v>114</v>
      </c>
      <c r="O598" s="66"/>
      <c r="P598" s="121"/>
      <c r="Q598" s="66"/>
      <c r="R598" s="121"/>
      <c r="S598" s="133">
        <f>M596</f>
        <v>1</v>
      </c>
      <c r="T598" s="120"/>
      <c r="U598" s="121" t="s">
        <v>292</v>
      </c>
      <c r="V598" s="133">
        <f t="shared" si="273"/>
        <v>1</v>
      </c>
      <c r="W598" s="133">
        <f>VLOOKUP(U598,Sheet1!$B$6:$C$45,2,FALSE)*V598</f>
        <v>0</v>
      </c>
      <c r="X598" s="141"/>
      <c r="Y598" s="121" t="s">
        <v>292</v>
      </c>
      <c r="Z598" s="146">
        <f>VLOOKUP(Takeoffs!Y598,Sheet1!$B$6:$C$124,2,FALSE)</f>
        <v>0</v>
      </c>
      <c r="AA598" s="146">
        <f t="shared" si="274"/>
        <v>0</v>
      </c>
      <c r="AB598" s="143">
        <f t="shared" si="275"/>
        <v>1</v>
      </c>
      <c r="AC598" s="133">
        <f t="shared" si="276"/>
        <v>1</v>
      </c>
      <c r="AD598" s="142">
        <v>1</v>
      </c>
      <c r="AE598" s="141"/>
      <c r="AF598" s="122" t="s">
        <v>268</v>
      </c>
      <c r="AG598" s="146">
        <f>VLOOKUP(Takeoffs!AF598,Sheet1!$B$6:$C$124,2,FALSE)</f>
        <v>1.02</v>
      </c>
      <c r="AH598" s="146">
        <f t="shared" si="277"/>
        <v>5.0999999999999996</v>
      </c>
      <c r="AI598" s="143">
        <f t="shared" si="278"/>
        <v>5</v>
      </c>
      <c r="AJ598" s="133">
        <f t="shared" si="279"/>
        <v>1</v>
      </c>
      <c r="AK598" s="142">
        <v>5</v>
      </c>
      <c r="AL598" s="141"/>
      <c r="AO598" s="286"/>
      <c r="AP598" s="284">
        <f t="shared" si="268"/>
        <v>0</v>
      </c>
      <c r="AQ598" s="281">
        <f t="shared" si="269"/>
        <v>0</v>
      </c>
      <c r="AR598" s="284">
        <f t="shared" si="270"/>
        <v>0</v>
      </c>
      <c r="AS598" s="281">
        <f t="shared" si="271"/>
        <v>0</v>
      </c>
      <c r="AT598" s="284">
        <f t="shared" si="272"/>
        <v>0</v>
      </c>
    </row>
    <row r="599" spans="1:97" s="114" customFormat="1" ht="30.9" x14ac:dyDescent="0.8">
      <c r="A599" s="262">
        <f>ROW()</f>
        <v>599</v>
      </c>
      <c r="C599" s="208"/>
      <c r="D599" s="208"/>
      <c r="E599" s="208"/>
      <c r="F599" s="208"/>
      <c r="G599" s="208"/>
      <c r="H599" s="208"/>
      <c r="J599" s="114" t="str">
        <f t="shared" si="280"/>
        <v xml:space="preserve">Coordination Note: - Builders electrician: Please refer to our exclusions relating to supply of local power supply. </v>
      </c>
      <c r="K599" s="114" t="str">
        <f>IF(COUNTBLANK(R599)&gt;0,"",CONCATENATE(R599," for ",N596))</f>
        <v/>
      </c>
      <c r="M599" s="117"/>
      <c r="N599" s="123" t="s">
        <v>115</v>
      </c>
      <c r="O599" s="66" t="s">
        <v>537</v>
      </c>
      <c r="P599" s="121" t="s">
        <v>539</v>
      </c>
      <c r="Q599" s="66" t="s">
        <v>538</v>
      </c>
      <c r="R599" s="121"/>
      <c r="S599" s="133">
        <f>M596</f>
        <v>1</v>
      </c>
      <c r="T599" s="120"/>
      <c r="U599" s="121" t="s">
        <v>361</v>
      </c>
      <c r="V599" s="133">
        <f t="shared" si="273"/>
        <v>1</v>
      </c>
      <c r="W599" s="133">
        <f>VLOOKUP(U599,Sheet1!$B$6:$C$45,2,FALSE)*V599</f>
        <v>1</v>
      </c>
      <c r="X599" s="141"/>
      <c r="Y599" s="121" t="s">
        <v>292</v>
      </c>
      <c r="Z599" s="146">
        <f>VLOOKUP(Takeoffs!Y599,Sheet1!$B$6:$C$124,2,FALSE)</f>
        <v>0</v>
      </c>
      <c r="AA599" s="146">
        <f t="shared" si="274"/>
        <v>0</v>
      </c>
      <c r="AB599" s="143">
        <f t="shared" si="275"/>
        <v>1</v>
      </c>
      <c r="AC599" s="133">
        <f t="shared" si="276"/>
        <v>1</v>
      </c>
      <c r="AD599" s="142">
        <v>1</v>
      </c>
      <c r="AE599" s="141"/>
      <c r="AF599" s="121" t="s">
        <v>292</v>
      </c>
      <c r="AG599" s="146">
        <f>VLOOKUP(Takeoffs!AF599,Sheet1!$B$6:$C$124,2,FALSE)</f>
        <v>0</v>
      </c>
      <c r="AH599" s="146">
        <f t="shared" si="277"/>
        <v>0</v>
      </c>
      <c r="AI599" s="143">
        <f t="shared" si="278"/>
        <v>0</v>
      </c>
      <c r="AJ599" s="133">
        <f t="shared" si="279"/>
        <v>1</v>
      </c>
      <c r="AK599" s="142">
        <f>T599</f>
        <v>0</v>
      </c>
      <c r="AL599" s="141"/>
      <c r="AO599" s="286"/>
      <c r="AP599" s="284">
        <f t="shared" si="268"/>
        <v>0</v>
      </c>
      <c r="AQ599" s="281">
        <f t="shared" si="269"/>
        <v>0</v>
      </c>
      <c r="AR599" s="284">
        <f t="shared" si="270"/>
        <v>0</v>
      </c>
      <c r="AS599" s="281">
        <f t="shared" si="271"/>
        <v>0</v>
      </c>
      <c r="AT599" s="284">
        <f t="shared" si="272"/>
        <v>0</v>
      </c>
    </row>
    <row r="600" spans="1:97" s="114" customFormat="1" ht="30.9" x14ac:dyDescent="0.8">
      <c r="A600" s="262">
        <f>ROW()</f>
        <v>600</v>
      </c>
      <c r="C600" s="208"/>
      <c r="D600" s="208"/>
      <c r="E600" s="208"/>
      <c r="F600" s="208"/>
      <c r="G600" s="208"/>
      <c r="H600" s="208"/>
      <c r="J600" s="114" t="str">
        <f t="shared" si="280"/>
        <v/>
      </c>
      <c r="K600" s="114" t="str">
        <f>IF(COUNTBLANK(R600)&gt;0,"",CONCATENATE(R600," for ",N596))</f>
        <v/>
      </c>
      <c r="M600" s="117"/>
      <c r="N600" s="123" t="s">
        <v>116</v>
      </c>
      <c r="O600" s="66" t="s">
        <v>645</v>
      </c>
      <c r="P600" s="121"/>
      <c r="Q600" s="66"/>
      <c r="R600" s="121"/>
      <c r="S600" s="133">
        <f>M596</f>
        <v>1</v>
      </c>
      <c r="T600" s="120"/>
      <c r="U600" s="121" t="s">
        <v>292</v>
      </c>
      <c r="V600" s="133">
        <f t="shared" si="273"/>
        <v>1</v>
      </c>
      <c r="W600" s="133">
        <f>VLOOKUP(U600,Sheet1!$B$6:$C$45,2,FALSE)*V600</f>
        <v>0</v>
      </c>
      <c r="X600" s="141"/>
      <c r="Y600" s="122" t="s">
        <v>277</v>
      </c>
      <c r="Z600" s="146">
        <f>VLOOKUP(Takeoffs!Y600,Sheet1!$B$6:$C$124,2,FALSE)</f>
        <v>69.540000000000006</v>
      </c>
      <c r="AA600" s="146">
        <f t="shared" si="274"/>
        <v>69.540000000000006</v>
      </c>
      <c r="AB600" s="143">
        <f t="shared" si="275"/>
        <v>1</v>
      </c>
      <c r="AC600" s="133">
        <f t="shared" si="276"/>
        <v>1</v>
      </c>
      <c r="AD600" s="142">
        <v>1</v>
      </c>
      <c r="AE600" s="141"/>
      <c r="AF600" s="121" t="s">
        <v>292</v>
      </c>
      <c r="AG600" s="146">
        <f>VLOOKUP(Takeoffs!AF600,Sheet1!$B$6:$C$124,2,FALSE)</f>
        <v>0</v>
      </c>
      <c r="AH600" s="146">
        <f t="shared" si="277"/>
        <v>0</v>
      </c>
      <c r="AI600" s="143">
        <f t="shared" si="278"/>
        <v>0</v>
      </c>
      <c r="AJ600" s="133">
        <f t="shared" si="279"/>
        <v>1</v>
      </c>
      <c r="AK600" s="142">
        <f>T600</f>
        <v>0</v>
      </c>
      <c r="AL600" s="141"/>
      <c r="AO600" s="286"/>
      <c r="AP600" s="284">
        <f t="shared" si="268"/>
        <v>0</v>
      </c>
      <c r="AQ600" s="281">
        <f t="shared" si="269"/>
        <v>0</v>
      </c>
      <c r="AR600" s="284">
        <f t="shared" si="270"/>
        <v>0</v>
      </c>
      <c r="AS600" s="281">
        <f t="shared" si="271"/>
        <v>0</v>
      </c>
      <c r="AT600" s="284">
        <f t="shared" si="272"/>
        <v>0</v>
      </c>
    </row>
    <row r="601" spans="1:97" s="114" customFormat="1" ht="30.9" x14ac:dyDescent="0.8">
      <c r="A601" s="262">
        <f>ROW()</f>
        <v>601</v>
      </c>
      <c r="C601" s="208"/>
      <c r="D601" s="208"/>
      <c r="E601" s="208"/>
      <c r="F601" s="208"/>
      <c r="G601" s="208"/>
      <c r="H601" s="208"/>
      <c r="J601" s="114" t="str">
        <f t="shared" si="280"/>
        <v/>
      </c>
      <c r="K601" s="114" t="str">
        <f>IF(COUNTBLANK(R601)&gt;0,"",CONCATENATE(R601," for ",N596))</f>
        <v/>
      </c>
      <c r="M601" s="117"/>
      <c r="N601" s="123" t="s">
        <v>117</v>
      </c>
      <c r="O601" s="66" t="s">
        <v>647</v>
      </c>
      <c r="P601" s="121"/>
      <c r="Q601" s="66"/>
      <c r="R601" s="121"/>
      <c r="S601" s="133">
        <f>M596</f>
        <v>1</v>
      </c>
      <c r="T601" s="120"/>
      <c r="U601" s="121" t="s">
        <v>362</v>
      </c>
      <c r="V601" s="133">
        <f t="shared" si="273"/>
        <v>1</v>
      </c>
      <c r="W601" s="133">
        <f>VLOOKUP(U601,Sheet1!$B$6:$C$45,2,FALSE)*V601</f>
        <v>1</v>
      </c>
      <c r="X601" s="141"/>
      <c r="Y601" s="122" t="s">
        <v>280</v>
      </c>
      <c r="Z601" s="146">
        <f>VLOOKUP(Takeoffs!Y601,Sheet1!$B$6:$C$124,2,FALSE)</f>
        <v>19.2</v>
      </c>
      <c r="AA601" s="146">
        <f t="shared" si="274"/>
        <v>19.2</v>
      </c>
      <c r="AB601" s="143">
        <f t="shared" si="275"/>
        <v>1</v>
      </c>
      <c r="AC601" s="133">
        <f t="shared" si="276"/>
        <v>1</v>
      </c>
      <c r="AD601" s="142">
        <v>1</v>
      </c>
      <c r="AE601" s="141"/>
      <c r="AF601" s="135" t="s">
        <v>269</v>
      </c>
      <c r="AG601" s="146">
        <f>VLOOKUP(Takeoffs!AF601,Sheet1!$B$6:$C$124,2,FALSE)</f>
        <v>1.056</v>
      </c>
      <c r="AH601" s="146">
        <f t="shared" si="277"/>
        <v>10.56</v>
      </c>
      <c r="AI601" s="143">
        <f t="shared" si="278"/>
        <v>10</v>
      </c>
      <c r="AJ601" s="133">
        <f t="shared" si="279"/>
        <v>1</v>
      </c>
      <c r="AK601" s="142">
        <v>10</v>
      </c>
      <c r="AL601" s="141"/>
      <c r="AO601" s="286"/>
      <c r="AP601" s="284">
        <f t="shared" si="268"/>
        <v>0</v>
      </c>
      <c r="AQ601" s="281">
        <f t="shared" si="269"/>
        <v>0</v>
      </c>
      <c r="AR601" s="284">
        <f t="shared" si="270"/>
        <v>0</v>
      </c>
      <c r="AS601" s="281">
        <f t="shared" si="271"/>
        <v>0</v>
      </c>
      <c r="AT601" s="284">
        <f t="shared" si="272"/>
        <v>0</v>
      </c>
    </row>
    <row r="602" spans="1:97" s="114" customFormat="1" ht="30.9" x14ac:dyDescent="0.8">
      <c r="A602" s="262">
        <f>ROW()</f>
        <v>602</v>
      </c>
      <c r="C602" s="208"/>
      <c r="D602" s="208"/>
      <c r="E602" s="208"/>
      <c r="F602" s="208"/>
      <c r="G602" s="208"/>
      <c r="H602" s="208"/>
      <c r="J602" s="114" t="str">
        <f t="shared" si="280"/>
        <v/>
      </c>
      <c r="K602" s="114" t="str">
        <f>IF(COUNTBLANK(R602)&gt;0,"",CONCATENATE(R602," for ",N596))</f>
        <v/>
      </c>
      <c r="M602" s="117"/>
      <c r="N602" s="123" t="s">
        <v>118</v>
      </c>
      <c r="O602" s="66" t="s">
        <v>646</v>
      </c>
      <c r="P602" s="121"/>
      <c r="Q602" s="66"/>
      <c r="R602" s="121"/>
      <c r="S602" s="133">
        <f>M596</f>
        <v>1</v>
      </c>
      <c r="T602" s="120"/>
      <c r="U602" s="121" t="s">
        <v>292</v>
      </c>
      <c r="V602" s="133">
        <f t="shared" si="273"/>
        <v>1</v>
      </c>
      <c r="W602" s="133">
        <f>VLOOKUP(U602,Sheet1!$B$6:$C$45,2,FALSE)*V602</f>
        <v>0</v>
      </c>
      <c r="X602" s="141"/>
      <c r="Y602" s="135" t="s">
        <v>422</v>
      </c>
      <c r="Z602" s="146">
        <f>VLOOKUP(Takeoffs!Y602,Sheet1!$B$6:$C$124,2,FALSE)</f>
        <v>23.4</v>
      </c>
      <c r="AA602" s="146">
        <f t="shared" si="274"/>
        <v>23.4</v>
      </c>
      <c r="AB602" s="143">
        <f t="shared" si="275"/>
        <v>1</v>
      </c>
      <c r="AC602" s="133">
        <f t="shared" si="276"/>
        <v>1</v>
      </c>
      <c r="AD602" s="142">
        <v>1</v>
      </c>
      <c r="AE602" s="141"/>
      <c r="AF602" s="121" t="s">
        <v>292</v>
      </c>
      <c r="AG602" s="146">
        <f>VLOOKUP(Takeoffs!AF602,Sheet1!$B$6:$C$124,2,FALSE)</f>
        <v>0</v>
      </c>
      <c r="AH602" s="146">
        <f t="shared" si="277"/>
        <v>0</v>
      </c>
      <c r="AI602" s="143">
        <f t="shared" si="278"/>
        <v>0</v>
      </c>
      <c r="AJ602" s="133">
        <f t="shared" si="279"/>
        <v>1</v>
      </c>
      <c r="AK602" s="142">
        <f>T602</f>
        <v>0</v>
      </c>
      <c r="AL602" s="141"/>
      <c r="AO602" s="286"/>
      <c r="AP602" s="284">
        <f t="shared" si="268"/>
        <v>0</v>
      </c>
      <c r="AQ602" s="281">
        <f t="shared" si="269"/>
        <v>0</v>
      </c>
      <c r="AR602" s="284">
        <f t="shared" si="270"/>
        <v>0</v>
      </c>
      <c r="AS602" s="281">
        <f t="shared" si="271"/>
        <v>0</v>
      </c>
      <c r="AT602" s="284">
        <f t="shared" si="272"/>
        <v>0</v>
      </c>
    </row>
    <row r="603" spans="1:97" s="114" customFormat="1" ht="30.9" x14ac:dyDescent="0.8">
      <c r="A603" s="262">
        <f>ROW()</f>
        <v>603</v>
      </c>
      <c r="C603" s="208"/>
      <c r="D603" s="208"/>
      <c r="E603" s="208"/>
      <c r="F603" s="208"/>
      <c r="G603" s="208"/>
      <c r="H603" s="208"/>
      <c r="J603" s="114" t="str">
        <f t="shared" si="280"/>
        <v/>
      </c>
      <c r="K603" s="114" t="str">
        <f>IF(COUNTBLANK(R603)&gt;0,"",CONCATENATE(R603," for ",N596))</f>
        <v/>
      </c>
      <c r="N603" s="123" t="s">
        <v>119</v>
      </c>
      <c r="O603" s="66" t="s">
        <v>536</v>
      </c>
      <c r="P603" s="121"/>
      <c r="Q603" s="66"/>
      <c r="R603" s="121"/>
      <c r="S603" s="133">
        <f>M596</f>
        <v>1</v>
      </c>
      <c r="T603" s="120"/>
      <c r="U603" s="121" t="s">
        <v>292</v>
      </c>
      <c r="V603" s="133">
        <f t="shared" si="273"/>
        <v>1</v>
      </c>
      <c r="W603" s="133">
        <f>VLOOKUP(U603,Sheet1!$B$6:$C$45,2,FALSE)*V603</f>
        <v>0</v>
      </c>
      <c r="X603" s="141"/>
      <c r="Y603" s="122" t="s">
        <v>333</v>
      </c>
      <c r="Z603" s="146">
        <f>VLOOKUP(Takeoffs!Y603,Sheet1!$B$6:$C$124,2,FALSE)</f>
        <v>60</v>
      </c>
      <c r="AA603" s="146">
        <f t="shared" si="274"/>
        <v>60</v>
      </c>
      <c r="AB603" s="143">
        <f t="shared" si="275"/>
        <v>1</v>
      </c>
      <c r="AC603" s="133">
        <f t="shared" si="276"/>
        <v>1</v>
      </c>
      <c r="AD603" s="142">
        <v>1</v>
      </c>
      <c r="AE603" s="141"/>
      <c r="AF603" s="121" t="s">
        <v>292</v>
      </c>
      <c r="AG603" s="146">
        <f>VLOOKUP(Takeoffs!AF603,Sheet1!$B$6:$C$124,2,FALSE)</f>
        <v>0</v>
      </c>
      <c r="AH603" s="146">
        <f t="shared" si="277"/>
        <v>0</v>
      </c>
      <c r="AI603" s="143">
        <f t="shared" si="278"/>
        <v>0</v>
      </c>
      <c r="AJ603" s="133">
        <f t="shared" si="279"/>
        <v>1</v>
      </c>
      <c r="AK603" s="142">
        <f>T603</f>
        <v>0</v>
      </c>
      <c r="AL603" s="141"/>
      <c r="AO603" s="286"/>
      <c r="AP603" s="284">
        <f t="shared" si="268"/>
        <v>0</v>
      </c>
      <c r="AQ603" s="281">
        <f t="shared" si="269"/>
        <v>0</v>
      </c>
      <c r="AR603" s="284">
        <f t="shared" si="270"/>
        <v>0</v>
      </c>
      <c r="AS603" s="281">
        <f t="shared" si="271"/>
        <v>0</v>
      </c>
      <c r="AT603" s="284">
        <f t="shared" si="272"/>
        <v>0</v>
      </c>
    </row>
    <row r="604" spans="1:97" s="114" customFormat="1" ht="30.9" x14ac:dyDescent="0.8">
      <c r="A604" s="262">
        <f>ROW()</f>
        <v>604</v>
      </c>
      <c r="C604" s="208"/>
      <c r="D604" s="208"/>
      <c r="E604" s="208"/>
      <c r="F604" s="208"/>
      <c r="G604" s="208"/>
      <c r="H604" s="208"/>
      <c r="J604" s="114" t="str">
        <f t="shared" si="280"/>
        <v/>
      </c>
      <c r="K604" s="114" t="str">
        <f>IF(COUNTBLANK(R604)&gt;0,"",CONCATENATE(R604," for ",N596))</f>
        <v/>
      </c>
      <c r="N604" s="123" t="s">
        <v>120</v>
      </c>
      <c r="O604" s="66"/>
      <c r="P604" s="121"/>
      <c r="Q604" s="66"/>
      <c r="R604" s="121"/>
      <c r="S604" s="133">
        <f>M596</f>
        <v>1</v>
      </c>
      <c r="T604" s="120"/>
      <c r="U604" s="121" t="s">
        <v>292</v>
      </c>
      <c r="V604" s="133">
        <f t="shared" si="273"/>
        <v>1</v>
      </c>
      <c r="W604" s="133">
        <f>VLOOKUP(U604,Sheet1!$B$6:$C$45,2,FALSE)*V604</f>
        <v>0</v>
      </c>
      <c r="X604" s="141"/>
      <c r="Y604" s="121" t="s">
        <v>292</v>
      </c>
      <c r="Z604" s="146">
        <f>VLOOKUP(Takeoffs!Y604,Sheet1!$B$6:$C$124,2,FALSE)</f>
        <v>0</v>
      </c>
      <c r="AA604" s="146">
        <f t="shared" si="274"/>
        <v>0</v>
      </c>
      <c r="AB604" s="143">
        <f t="shared" si="275"/>
        <v>1</v>
      </c>
      <c r="AC604" s="133">
        <f t="shared" si="276"/>
        <v>1</v>
      </c>
      <c r="AD604" s="142">
        <v>1</v>
      </c>
      <c r="AE604" s="141"/>
      <c r="AF604" s="121" t="s">
        <v>292</v>
      </c>
      <c r="AG604" s="146">
        <f>VLOOKUP(Takeoffs!AF604,Sheet1!$B$6:$C$124,2,FALSE)</f>
        <v>0</v>
      </c>
      <c r="AH604" s="146">
        <f t="shared" si="277"/>
        <v>0</v>
      </c>
      <c r="AI604" s="143">
        <f t="shared" si="278"/>
        <v>0</v>
      </c>
      <c r="AJ604" s="133">
        <f t="shared" si="279"/>
        <v>1</v>
      </c>
      <c r="AK604" s="142">
        <f>T604</f>
        <v>0</v>
      </c>
      <c r="AL604" s="141"/>
      <c r="AO604" s="286"/>
      <c r="AP604" s="284">
        <f t="shared" si="268"/>
        <v>0</v>
      </c>
      <c r="AQ604" s="281">
        <f t="shared" si="269"/>
        <v>0</v>
      </c>
      <c r="AR604" s="284">
        <f t="shared" si="270"/>
        <v>0</v>
      </c>
      <c r="AS604" s="281">
        <f t="shared" si="271"/>
        <v>0</v>
      </c>
      <c r="AT604" s="284">
        <f t="shared" si="272"/>
        <v>0</v>
      </c>
    </row>
    <row r="605" spans="1:97" s="114" customFormat="1" ht="30.9" x14ac:dyDescent="0.8">
      <c r="A605" s="262">
        <f>ROW()</f>
        <v>605</v>
      </c>
      <c r="C605" s="208"/>
      <c r="D605" s="208"/>
      <c r="E605" s="208"/>
      <c r="F605" s="208"/>
      <c r="G605" s="208"/>
      <c r="H605" s="208"/>
      <c r="J605" s="114" t="str">
        <f t="shared" si="280"/>
        <v/>
      </c>
      <c r="K605" s="114" t="str">
        <f>IF(COUNTBLANK(R605)&gt;0,"",CONCATENATE(R605," for ",N596))</f>
        <v/>
      </c>
      <c r="N605" s="123" t="s">
        <v>121</v>
      </c>
      <c r="O605" s="66"/>
      <c r="P605" s="121"/>
      <c r="Q605" s="66"/>
      <c r="R605" s="121"/>
      <c r="S605" s="133">
        <f>M596</f>
        <v>1</v>
      </c>
      <c r="T605" s="120"/>
      <c r="U605" s="121" t="s">
        <v>292</v>
      </c>
      <c r="V605" s="133">
        <f t="shared" si="273"/>
        <v>1</v>
      </c>
      <c r="W605" s="133">
        <f>VLOOKUP(U605,Sheet1!$B$6:$C$45,2,FALSE)*V605</f>
        <v>0</v>
      </c>
      <c r="X605" s="141"/>
      <c r="Y605" s="121" t="s">
        <v>292</v>
      </c>
      <c r="Z605" s="146">
        <f>VLOOKUP(Takeoffs!Y605,Sheet1!$B$6:$C$124,2,FALSE)</f>
        <v>0</v>
      </c>
      <c r="AA605" s="146">
        <f t="shared" si="274"/>
        <v>0</v>
      </c>
      <c r="AB605" s="143">
        <f t="shared" si="275"/>
        <v>1</v>
      </c>
      <c r="AC605" s="133">
        <f t="shared" si="276"/>
        <v>1</v>
      </c>
      <c r="AD605" s="142">
        <v>1</v>
      </c>
      <c r="AE605" s="141"/>
      <c r="AF605" s="121" t="s">
        <v>292</v>
      </c>
      <c r="AG605" s="146">
        <f>VLOOKUP(Takeoffs!AF605,Sheet1!$B$6:$C$124,2,FALSE)</f>
        <v>0</v>
      </c>
      <c r="AH605" s="146">
        <f t="shared" si="277"/>
        <v>0</v>
      </c>
      <c r="AI605" s="143">
        <f t="shared" si="278"/>
        <v>0</v>
      </c>
      <c r="AJ605" s="133">
        <f t="shared" si="279"/>
        <v>1</v>
      </c>
      <c r="AK605" s="142">
        <f>T605</f>
        <v>0</v>
      </c>
      <c r="AL605" s="141"/>
      <c r="AO605" s="286"/>
      <c r="AP605" s="284">
        <f t="shared" si="268"/>
        <v>0</v>
      </c>
      <c r="AQ605" s="281">
        <f t="shared" si="269"/>
        <v>0</v>
      </c>
      <c r="AR605" s="284">
        <f t="shared" si="270"/>
        <v>0</v>
      </c>
      <c r="AS605" s="281">
        <f t="shared" si="271"/>
        <v>0</v>
      </c>
      <c r="AT605" s="284">
        <f t="shared" si="272"/>
        <v>0</v>
      </c>
    </row>
    <row r="606" spans="1:97" s="114" customFormat="1" ht="30.9" x14ac:dyDescent="0.8">
      <c r="A606" s="262">
        <f>ROW()</f>
        <v>606</v>
      </c>
      <c r="C606" s="208"/>
      <c r="D606" s="208"/>
      <c r="E606" s="208"/>
      <c r="F606" s="208"/>
      <c r="G606" s="208"/>
      <c r="H606" s="208"/>
      <c r="J606" s="114" t="str">
        <f t="shared" si="280"/>
        <v/>
      </c>
      <c r="K606" s="114" t="str">
        <f>IF(COUNTBLANK(R606)&gt;0,"",CONCATENATE(R606," for ",N596))</f>
        <v/>
      </c>
      <c r="N606" s="123" t="s">
        <v>122</v>
      </c>
      <c r="O606" s="66"/>
      <c r="P606" s="121"/>
      <c r="Q606" s="66"/>
      <c r="R606" s="121"/>
      <c r="S606" s="133">
        <f>M596</f>
        <v>1</v>
      </c>
      <c r="T606" s="120"/>
      <c r="U606" s="121" t="s">
        <v>292</v>
      </c>
      <c r="V606" s="133">
        <f t="shared" si="273"/>
        <v>1</v>
      </c>
      <c r="W606" s="133">
        <f>VLOOKUP(U606,Sheet1!$B$6:$C$45,2,FALSE)*V606</f>
        <v>0</v>
      </c>
      <c r="X606" s="141"/>
      <c r="Y606" s="121" t="s">
        <v>292</v>
      </c>
      <c r="Z606" s="146">
        <f>VLOOKUP(Takeoffs!Y606,Sheet1!$B$6:$C$124,2,FALSE)</f>
        <v>0</v>
      </c>
      <c r="AA606" s="146">
        <f t="shared" si="274"/>
        <v>0</v>
      </c>
      <c r="AB606" s="143">
        <f t="shared" si="275"/>
        <v>1</v>
      </c>
      <c r="AC606" s="133">
        <f t="shared" si="276"/>
        <v>1</v>
      </c>
      <c r="AD606" s="142">
        <v>1</v>
      </c>
      <c r="AE606" s="141"/>
      <c r="AF606" s="121" t="s">
        <v>292</v>
      </c>
      <c r="AG606" s="146">
        <f>VLOOKUP(Takeoffs!AF606,Sheet1!$B$6:$C$124,2,FALSE)</f>
        <v>0</v>
      </c>
      <c r="AH606" s="146">
        <f t="shared" si="277"/>
        <v>0</v>
      </c>
      <c r="AI606" s="143">
        <f t="shared" si="278"/>
        <v>0</v>
      </c>
      <c r="AJ606" s="133">
        <f t="shared" si="279"/>
        <v>1</v>
      </c>
      <c r="AK606" s="142">
        <f>T606</f>
        <v>0</v>
      </c>
      <c r="AL606" s="141"/>
      <c r="AO606" s="286"/>
      <c r="AP606" s="284">
        <f t="shared" si="268"/>
        <v>0</v>
      </c>
      <c r="AQ606" s="281">
        <f t="shared" si="269"/>
        <v>0</v>
      </c>
      <c r="AR606" s="284">
        <f t="shared" si="270"/>
        <v>0</v>
      </c>
      <c r="AS606" s="281">
        <f t="shared" si="271"/>
        <v>0</v>
      </c>
      <c r="AT606" s="284">
        <f t="shared" si="272"/>
        <v>0</v>
      </c>
    </row>
    <row r="607" spans="1:97" s="114" customFormat="1" ht="30.9" x14ac:dyDescent="0.8">
      <c r="A607" s="262">
        <f>ROW()</f>
        <v>607</v>
      </c>
      <c r="C607" s="208"/>
      <c r="D607" s="208"/>
      <c r="E607" s="208"/>
      <c r="F607" s="208"/>
      <c r="G607" s="208"/>
      <c r="H607" s="208"/>
      <c r="J607" s="114" t="str">
        <f t="shared" si="280"/>
        <v/>
      </c>
      <c r="K607" s="114" t="str">
        <f>IF(COUNTBLANK(R607)&gt;0,"",CONCATENATE(R607," for ",N596))</f>
        <v/>
      </c>
      <c r="N607" s="123" t="s">
        <v>123</v>
      </c>
      <c r="O607" s="66"/>
      <c r="P607" s="121"/>
      <c r="Q607" s="66"/>
      <c r="R607" s="121"/>
      <c r="S607" s="133">
        <f>M596</f>
        <v>1</v>
      </c>
      <c r="T607" s="120"/>
      <c r="U607" s="121" t="s">
        <v>292</v>
      </c>
      <c r="V607" s="133">
        <f t="shared" si="273"/>
        <v>1</v>
      </c>
      <c r="W607" s="133">
        <f>VLOOKUP(U607,Sheet1!$B$6:$C$45,2,FALSE)*V607</f>
        <v>0</v>
      </c>
      <c r="X607" s="141"/>
      <c r="Y607" s="121" t="s">
        <v>292</v>
      </c>
      <c r="Z607" s="146">
        <f>VLOOKUP(Takeoffs!Y607,Sheet1!$B$6:$C$124,2,FALSE)</f>
        <v>0</v>
      </c>
      <c r="AA607" s="146">
        <f t="shared" si="274"/>
        <v>0</v>
      </c>
      <c r="AB607" s="143">
        <f t="shared" si="275"/>
        <v>1</v>
      </c>
      <c r="AC607" s="133">
        <f t="shared" si="276"/>
        <v>1</v>
      </c>
      <c r="AD607" s="142">
        <v>1</v>
      </c>
      <c r="AE607" s="141"/>
      <c r="AF607" s="121" t="s">
        <v>292</v>
      </c>
      <c r="AG607" s="146">
        <f>VLOOKUP(Takeoffs!AF607,Sheet1!$B$6:$C$124,2,FALSE)</f>
        <v>0</v>
      </c>
      <c r="AH607" s="146">
        <f t="shared" si="277"/>
        <v>0</v>
      </c>
      <c r="AI607" s="143">
        <f t="shared" si="278"/>
        <v>0</v>
      </c>
      <c r="AJ607" s="133">
        <f t="shared" si="279"/>
        <v>1</v>
      </c>
      <c r="AK607" s="142">
        <v>0</v>
      </c>
      <c r="AL607" s="141"/>
      <c r="AO607" s="286"/>
      <c r="AP607" s="284">
        <f t="shared" si="268"/>
        <v>0</v>
      </c>
      <c r="AQ607" s="281">
        <f t="shared" si="269"/>
        <v>0</v>
      </c>
      <c r="AR607" s="284">
        <f t="shared" si="270"/>
        <v>0</v>
      </c>
      <c r="AS607" s="281">
        <f t="shared" si="271"/>
        <v>0</v>
      </c>
      <c r="AT607" s="284">
        <f t="shared" si="272"/>
        <v>0</v>
      </c>
    </row>
    <row r="608" spans="1:97" s="114" customFormat="1" ht="30.9" x14ac:dyDescent="0.8">
      <c r="A608" s="262">
        <f>ROW()</f>
        <v>608</v>
      </c>
      <c r="C608" s="208"/>
      <c r="D608" s="208"/>
      <c r="E608" s="208"/>
      <c r="F608" s="208"/>
      <c r="G608" s="208"/>
      <c r="H608" s="208"/>
      <c r="J608" s="114" t="str">
        <f t="shared" si="280"/>
        <v/>
      </c>
      <c r="K608" s="114" t="str">
        <f>IF(COUNTBLANK(R608)&gt;0,"",CONCATENATE(R608," for ",N596))</f>
        <v/>
      </c>
      <c r="N608" s="123" t="s">
        <v>124</v>
      </c>
      <c r="O608" s="66"/>
      <c r="P608" s="121"/>
      <c r="Q608" s="66"/>
      <c r="R608" s="121"/>
      <c r="S608" s="133">
        <f>M596</f>
        <v>1</v>
      </c>
      <c r="T608" s="120"/>
      <c r="U608" s="121" t="s">
        <v>292</v>
      </c>
      <c r="V608" s="133">
        <f t="shared" si="273"/>
        <v>1</v>
      </c>
      <c r="W608" s="133">
        <f>VLOOKUP(U608,Sheet1!$B$6:$C$45,2,FALSE)*V608</f>
        <v>0</v>
      </c>
      <c r="X608" s="141"/>
      <c r="Y608" s="121" t="s">
        <v>292</v>
      </c>
      <c r="Z608" s="146">
        <f>VLOOKUP(Takeoffs!Y608,Sheet1!$B$6:$C$124,2,FALSE)</f>
        <v>0</v>
      </c>
      <c r="AA608" s="146">
        <f t="shared" si="274"/>
        <v>0</v>
      </c>
      <c r="AB608" s="143">
        <f t="shared" si="275"/>
        <v>1</v>
      </c>
      <c r="AC608" s="133">
        <f t="shared" si="276"/>
        <v>1</v>
      </c>
      <c r="AD608" s="142">
        <v>1</v>
      </c>
      <c r="AE608" s="141"/>
      <c r="AF608" s="121" t="s">
        <v>292</v>
      </c>
      <c r="AG608" s="146">
        <f>VLOOKUP(Takeoffs!AF608,Sheet1!$B$6:$C$124,2,FALSE)</f>
        <v>0</v>
      </c>
      <c r="AH608" s="146">
        <f t="shared" si="277"/>
        <v>0</v>
      </c>
      <c r="AI608" s="143">
        <f t="shared" si="278"/>
        <v>0</v>
      </c>
      <c r="AJ608" s="133">
        <f t="shared" si="279"/>
        <v>1</v>
      </c>
      <c r="AK608" s="142">
        <v>0</v>
      </c>
      <c r="AL608" s="141"/>
      <c r="AO608" s="286"/>
      <c r="AP608" s="284">
        <f t="shared" si="268"/>
        <v>0</v>
      </c>
      <c r="AQ608" s="281">
        <f t="shared" si="269"/>
        <v>0</v>
      </c>
      <c r="AR608" s="284">
        <f t="shared" si="270"/>
        <v>0</v>
      </c>
      <c r="AS608" s="281">
        <f t="shared" si="271"/>
        <v>0</v>
      </c>
      <c r="AT608" s="284">
        <f t="shared" si="272"/>
        <v>0</v>
      </c>
    </row>
    <row r="609" spans="1:97" s="114" customFormat="1" ht="30.9" x14ac:dyDescent="0.8">
      <c r="A609" s="262">
        <f>ROW()</f>
        <v>609</v>
      </c>
      <c r="C609" s="208"/>
      <c r="D609" s="208"/>
      <c r="E609" s="208"/>
      <c r="F609" s="208"/>
      <c r="G609" s="208"/>
      <c r="H609" s="208"/>
      <c r="J609" s="114" t="str">
        <f t="shared" si="280"/>
        <v/>
      </c>
      <c r="K609" s="114" t="str">
        <f>IF(COUNTBLANK(R609)&gt;0,"",CONCATENATE(R609," for ",N596))</f>
        <v/>
      </c>
      <c r="N609" s="123" t="s">
        <v>125</v>
      </c>
      <c r="O609" s="66"/>
      <c r="P609" s="121"/>
      <c r="Q609" s="66"/>
      <c r="R609" s="121"/>
      <c r="S609" s="133">
        <f>M596</f>
        <v>1</v>
      </c>
      <c r="T609" s="120"/>
      <c r="U609" s="121" t="s">
        <v>292</v>
      </c>
      <c r="V609" s="133">
        <f t="shared" si="273"/>
        <v>1</v>
      </c>
      <c r="W609" s="133">
        <f>VLOOKUP(U609,Sheet1!$B$6:$C$45,2,FALSE)*V609</f>
        <v>0</v>
      </c>
      <c r="X609" s="141"/>
      <c r="Y609" s="121" t="s">
        <v>292</v>
      </c>
      <c r="Z609" s="146">
        <f>VLOOKUP(Takeoffs!Y609,Sheet1!$B$6:$C$124,2,FALSE)</f>
        <v>0</v>
      </c>
      <c r="AA609" s="146">
        <f t="shared" si="274"/>
        <v>0</v>
      </c>
      <c r="AB609" s="143">
        <f t="shared" si="275"/>
        <v>1</v>
      </c>
      <c r="AC609" s="133">
        <f t="shared" si="276"/>
        <v>1</v>
      </c>
      <c r="AD609" s="142">
        <v>1</v>
      </c>
      <c r="AE609" s="141"/>
      <c r="AF609" s="121" t="s">
        <v>292</v>
      </c>
      <c r="AG609" s="146">
        <f>VLOOKUP(Takeoffs!AF609,Sheet1!$B$6:$C$124,2,FALSE)</f>
        <v>0</v>
      </c>
      <c r="AH609" s="146">
        <f t="shared" si="277"/>
        <v>0</v>
      </c>
      <c r="AI609" s="143">
        <f t="shared" si="278"/>
        <v>0</v>
      </c>
      <c r="AJ609" s="133">
        <f t="shared" si="279"/>
        <v>1</v>
      </c>
      <c r="AK609" s="142">
        <f t="shared" ref="AK609:AK616" si="281">T609</f>
        <v>0</v>
      </c>
      <c r="AL609" s="141"/>
      <c r="AO609" s="286"/>
      <c r="AP609" s="284">
        <f t="shared" si="268"/>
        <v>0</v>
      </c>
      <c r="AQ609" s="281">
        <f t="shared" si="269"/>
        <v>0</v>
      </c>
      <c r="AR609" s="284">
        <f t="shared" si="270"/>
        <v>0</v>
      </c>
      <c r="AS609" s="281">
        <f t="shared" si="271"/>
        <v>0</v>
      </c>
      <c r="AT609" s="284">
        <f t="shared" si="272"/>
        <v>0</v>
      </c>
    </row>
    <row r="610" spans="1:97" s="114" customFormat="1" ht="30.9" x14ac:dyDescent="0.8">
      <c r="A610" s="262">
        <f>ROW()</f>
        <v>610</v>
      </c>
      <c r="C610" s="208"/>
      <c r="D610" s="208"/>
      <c r="E610" s="208"/>
      <c r="F610" s="208"/>
      <c r="G610" s="208"/>
      <c r="H610" s="208"/>
      <c r="J610" s="114" t="str">
        <f t="shared" si="280"/>
        <v/>
      </c>
      <c r="K610" s="114" t="str">
        <f>IF(COUNTBLANK(R610)&gt;0,"",CONCATENATE(R610," for ",N596))</f>
        <v/>
      </c>
      <c r="N610" s="123" t="s">
        <v>126</v>
      </c>
      <c r="O610" s="66"/>
      <c r="P610" s="121"/>
      <c r="Q610" s="66"/>
      <c r="R610" s="121"/>
      <c r="S610" s="133">
        <f>M596</f>
        <v>1</v>
      </c>
      <c r="T610" s="120"/>
      <c r="U610" s="121" t="s">
        <v>292</v>
      </c>
      <c r="V610" s="133">
        <f t="shared" si="273"/>
        <v>1</v>
      </c>
      <c r="W610" s="133">
        <f>VLOOKUP(U610,Sheet1!$B$6:$C$45,2,FALSE)*V610</f>
        <v>0</v>
      </c>
      <c r="X610" s="141"/>
      <c r="Y610" s="121" t="s">
        <v>292</v>
      </c>
      <c r="Z610" s="146">
        <f>VLOOKUP(Takeoffs!Y610,Sheet1!$B$6:$C$124,2,FALSE)</f>
        <v>0</v>
      </c>
      <c r="AA610" s="146">
        <f t="shared" si="274"/>
        <v>0</v>
      </c>
      <c r="AB610" s="143">
        <f t="shared" si="275"/>
        <v>1</v>
      </c>
      <c r="AC610" s="133">
        <f t="shared" si="276"/>
        <v>1</v>
      </c>
      <c r="AD610" s="142">
        <v>1</v>
      </c>
      <c r="AE610" s="141"/>
      <c r="AF610" s="121" t="s">
        <v>292</v>
      </c>
      <c r="AG610" s="146">
        <f>VLOOKUP(Takeoffs!AF610,Sheet1!$B$6:$C$124,2,FALSE)</f>
        <v>0</v>
      </c>
      <c r="AH610" s="146">
        <f t="shared" si="277"/>
        <v>0</v>
      </c>
      <c r="AI610" s="143">
        <f t="shared" si="278"/>
        <v>0</v>
      </c>
      <c r="AJ610" s="133">
        <f t="shared" si="279"/>
        <v>1</v>
      </c>
      <c r="AK610" s="142">
        <f t="shared" si="281"/>
        <v>0</v>
      </c>
      <c r="AL610" s="141"/>
      <c r="AO610" s="286"/>
      <c r="AP610" s="284">
        <f t="shared" si="268"/>
        <v>0</v>
      </c>
      <c r="AQ610" s="281">
        <f t="shared" si="269"/>
        <v>0</v>
      </c>
      <c r="AR610" s="284">
        <f t="shared" si="270"/>
        <v>0</v>
      </c>
      <c r="AS610" s="281">
        <f t="shared" si="271"/>
        <v>0</v>
      </c>
      <c r="AT610" s="284">
        <f t="shared" si="272"/>
        <v>0</v>
      </c>
    </row>
    <row r="611" spans="1:97" s="114" customFormat="1" ht="30.9" x14ac:dyDescent="0.8">
      <c r="A611" s="262">
        <f>ROW()</f>
        <v>611</v>
      </c>
      <c r="C611" s="208"/>
      <c r="D611" s="208"/>
      <c r="E611" s="208"/>
      <c r="F611" s="208"/>
      <c r="G611" s="208"/>
      <c r="H611" s="208"/>
      <c r="J611" s="114" t="str">
        <f t="shared" si="280"/>
        <v/>
      </c>
      <c r="K611" s="114" t="str">
        <f>IF(COUNTBLANK(R611)&gt;0,"",CONCATENATE(R611," for ",N596))</f>
        <v/>
      </c>
      <c r="N611" s="123" t="s">
        <v>127</v>
      </c>
      <c r="O611" s="66"/>
      <c r="P611" s="121"/>
      <c r="Q611" s="66"/>
      <c r="R611" s="121"/>
      <c r="S611" s="133">
        <f>M596</f>
        <v>1</v>
      </c>
      <c r="T611" s="120"/>
      <c r="U611" s="121" t="s">
        <v>292</v>
      </c>
      <c r="V611" s="133">
        <f t="shared" si="273"/>
        <v>1</v>
      </c>
      <c r="W611" s="133">
        <f>VLOOKUP(U611,Sheet1!$B$6:$C$45,2,FALSE)*V611</f>
        <v>0</v>
      </c>
      <c r="X611" s="141"/>
      <c r="Y611" s="121" t="s">
        <v>292</v>
      </c>
      <c r="Z611" s="146">
        <f>VLOOKUP(Takeoffs!Y611,Sheet1!$B$6:$C$124,2,FALSE)</f>
        <v>0</v>
      </c>
      <c r="AA611" s="146">
        <f t="shared" si="274"/>
        <v>0</v>
      </c>
      <c r="AB611" s="143">
        <f t="shared" si="275"/>
        <v>2</v>
      </c>
      <c r="AC611" s="133">
        <f t="shared" si="276"/>
        <v>1</v>
      </c>
      <c r="AD611" s="142">
        <v>2</v>
      </c>
      <c r="AE611" s="141"/>
      <c r="AF611" s="121" t="s">
        <v>292</v>
      </c>
      <c r="AG611" s="146">
        <f>VLOOKUP(Takeoffs!AF611,Sheet1!$B$6:$C$124,2,FALSE)</f>
        <v>0</v>
      </c>
      <c r="AH611" s="146">
        <f t="shared" si="277"/>
        <v>0</v>
      </c>
      <c r="AI611" s="143">
        <f t="shared" si="278"/>
        <v>0</v>
      </c>
      <c r="AJ611" s="133">
        <f t="shared" si="279"/>
        <v>1</v>
      </c>
      <c r="AK611" s="142">
        <f t="shared" si="281"/>
        <v>0</v>
      </c>
      <c r="AL611" s="141"/>
      <c r="AO611" s="286"/>
      <c r="AP611" s="284">
        <f t="shared" si="268"/>
        <v>0</v>
      </c>
      <c r="AQ611" s="281">
        <f t="shared" si="269"/>
        <v>0</v>
      </c>
      <c r="AR611" s="284">
        <f t="shared" si="270"/>
        <v>0</v>
      </c>
      <c r="AS611" s="281">
        <f t="shared" si="271"/>
        <v>0</v>
      </c>
      <c r="AT611" s="284">
        <f t="shared" si="272"/>
        <v>0</v>
      </c>
    </row>
    <row r="612" spans="1:97" s="114" customFormat="1" ht="30.9" x14ac:dyDescent="0.8">
      <c r="A612" s="262">
        <f>ROW()</f>
        <v>612</v>
      </c>
      <c r="C612" s="208"/>
      <c r="D612" s="208"/>
      <c r="E612" s="208"/>
      <c r="F612" s="208"/>
      <c r="G612" s="208"/>
      <c r="H612" s="208"/>
      <c r="J612" s="114" t="str">
        <f t="shared" si="280"/>
        <v/>
      </c>
      <c r="K612" s="114" t="str">
        <f>IF(COUNTBLANK(R612)&gt;0,"",CONCATENATE(R612," for ",N596))</f>
        <v/>
      </c>
      <c r="N612" s="123" t="s">
        <v>128</v>
      </c>
      <c r="O612" s="66"/>
      <c r="P612" s="121"/>
      <c r="Q612" s="66"/>
      <c r="R612" s="121"/>
      <c r="S612" s="133">
        <f>M596</f>
        <v>1</v>
      </c>
      <c r="T612" s="120"/>
      <c r="U612" s="121" t="s">
        <v>292</v>
      </c>
      <c r="V612" s="133">
        <f t="shared" si="273"/>
        <v>1</v>
      </c>
      <c r="W612" s="133">
        <f>VLOOKUP(U612,Sheet1!$B$6:$C$45,2,FALSE)*V612</f>
        <v>0</v>
      </c>
      <c r="X612" s="141"/>
      <c r="Y612" s="121" t="s">
        <v>292</v>
      </c>
      <c r="Z612" s="146">
        <f>VLOOKUP(Takeoffs!Y612,Sheet1!$B$6:$C$124,2,FALSE)</f>
        <v>0</v>
      </c>
      <c r="AA612" s="146">
        <f t="shared" si="274"/>
        <v>0</v>
      </c>
      <c r="AB612" s="143">
        <f t="shared" si="275"/>
        <v>1</v>
      </c>
      <c r="AC612" s="133">
        <f t="shared" si="276"/>
        <v>1</v>
      </c>
      <c r="AD612" s="142">
        <v>1</v>
      </c>
      <c r="AE612" s="141"/>
      <c r="AF612" s="121" t="s">
        <v>292</v>
      </c>
      <c r="AG612" s="146">
        <f>VLOOKUP(Takeoffs!AF612,Sheet1!$B$6:$C$124,2,FALSE)</f>
        <v>0</v>
      </c>
      <c r="AH612" s="146">
        <f t="shared" si="277"/>
        <v>0</v>
      </c>
      <c r="AI612" s="143">
        <f t="shared" si="278"/>
        <v>0</v>
      </c>
      <c r="AJ612" s="133">
        <f t="shared" si="279"/>
        <v>1</v>
      </c>
      <c r="AK612" s="142">
        <f t="shared" si="281"/>
        <v>0</v>
      </c>
      <c r="AL612" s="141"/>
      <c r="AO612" s="286"/>
      <c r="AP612" s="284">
        <f t="shared" si="268"/>
        <v>0</v>
      </c>
      <c r="AQ612" s="281">
        <f t="shared" si="269"/>
        <v>0</v>
      </c>
      <c r="AR612" s="284">
        <f t="shared" si="270"/>
        <v>0</v>
      </c>
      <c r="AS612" s="281">
        <f t="shared" si="271"/>
        <v>0</v>
      </c>
      <c r="AT612" s="284">
        <f t="shared" si="272"/>
        <v>0</v>
      </c>
    </row>
    <row r="613" spans="1:97" s="114" customFormat="1" ht="30.9" x14ac:dyDescent="0.8">
      <c r="A613" s="262">
        <f>ROW()</f>
        <v>613</v>
      </c>
      <c r="C613" s="208"/>
      <c r="D613" s="208"/>
      <c r="E613" s="208"/>
      <c r="F613" s="208"/>
      <c r="G613" s="208"/>
      <c r="H613" s="208"/>
      <c r="J613" s="114" t="str">
        <f t="shared" si="280"/>
        <v/>
      </c>
      <c r="K613" s="114" t="str">
        <f>IF(COUNTBLANK(R613)&gt;0,"",CONCATENATE(R613," for ",N596))</f>
        <v/>
      </c>
      <c r="N613" s="123" t="s">
        <v>129</v>
      </c>
      <c r="O613" s="66"/>
      <c r="P613" s="121"/>
      <c r="Q613" s="66"/>
      <c r="R613" s="121"/>
      <c r="S613" s="133">
        <f>M596</f>
        <v>1</v>
      </c>
      <c r="T613" s="120"/>
      <c r="U613" s="121" t="s">
        <v>292</v>
      </c>
      <c r="V613" s="133">
        <f t="shared" si="273"/>
        <v>1</v>
      </c>
      <c r="W613" s="133">
        <f>VLOOKUP(U613,Sheet1!$B$6:$C$45,2,FALSE)*V613</f>
        <v>0</v>
      </c>
      <c r="X613" s="141"/>
      <c r="Y613" s="121" t="s">
        <v>292</v>
      </c>
      <c r="Z613" s="146">
        <f>VLOOKUP(Takeoffs!Y613,Sheet1!$B$6:$C$124,2,FALSE)</f>
        <v>0</v>
      </c>
      <c r="AA613" s="146">
        <f t="shared" si="274"/>
        <v>0</v>
      </c>
      <c r="AB613" s="143">
        <f t="shared" si="275"/>
        <v>1</v>
      </c>
      <c r="AC613" s="133">
        <f t="shared" si="276"/>
        <v>1</v>
      </c>
      <c r="AD613" s="142">
        <v>1</v>
      </c>
      <c r="AE613" s="141"/>
      <c r="AF613" s="121" t="s">
        <v>292</v>
      </c>
      <c r="AG613" s="146">
        <f>VLOOKUP(Takeoffs!AF613,Sheet1!$B$6:$C$124,2,FALSE)</f>
        <v>0</v>
      </c>
      <c r="AH613" s="146">
        <f t="shared" si="277"/>
        <v>0</v>
      </c>
      <c r="AI613" s="143">
        <f t="shared" si="278"/>
        <v>0</v>
      </c>
      <c r="AJ613" s="133">
        <f t="shared" si="279"/>
        <v>1</v>
      </c>
      <c r="AK613" s="142">
        <f t="shared" si="281"/>
        <v>0</v>
      </c>
      <c r="AL613" s="141"/>
      <c r="AO613" s="286"/>
      <c r="AP613" s="284">
        <f t="shared" si="268"/>
        <v>0</v>
      </c>
      <c r="AQ613" s="281">
        <f t="shared" si="269"/>
        <v>0</v>
      </c>
      <c r="AR613" s="284">
        <f t="shared" si="270"/>
        <v>0</v>
      </c>
      <c r="AS613" s="281">
        <f t="shared" si="271"/>
        <v>0</v>
      </c>
      <c r="AT613" s="284">
        <f t="shared" si="272"/>
        <v>0</v>
      </c>
    </row>
    <row r="614" spans="1:97" s="114" customFormat="1" ht="30.9" x14ac:dyDescent="0.8">
      <c r="A614" s="262">
        <f>ROW()</f>
        <v>614</v>
      </c>
      <c r="C614" s="208"/>
      <c r="D614" s="208"/>
      <c r="E614" s="208"/>
      <c r="F614" s="208"/>
      <c r="G614" s="208"/>
      <c r="H614" s="208"/>
      <c r="J614" s="114" t="str">
        <f t="shared" si="280"/>
        <v/>
      </c>
      <c r="K614" s="114" t="str">
        <f>IF(COUNTBLANK(R614)&gt;0,"",CONCATENATE(R614," for ",N596))</f>
        <v/>
      </c>
      <c r="N614" s="123" t="s">
        <v>130</v>
      </c>
      <c r="O614" s="66"/>
      <c r="P614" s="121"/>
      <c r="Q614" s="66"/>
      <c r="R614" s="121"/>
      <c r="S614" s="133">
        <f>M596</f>
        <v>1</v>
      </c>
      <c r="T614" s="120"/>
      <c r="U614" s="121" t="s">
        <v>292</v>
      </c>
      <c r="V614" s="133">
        <f t="shared" si="273"/>
        <v>1</v>
      </c>
      <c r="W614" s="133">
        <f>VLOOKUP(U614,Sheet1!$B$6:$C$45,2,FALSE)*V614</f>
        <v>0</v>
      </c>
      <c r="X614" s="141"/>
      <c r="Y614" s="121" t="s">
        <v>292</v>
      </c>
      <c r="Z614" s="146">
        <f>VLOOKUP(Takeoffs!Y614,Sheet1!$B$6:$C$124,2,FALSE)</f>
        <v>0</v>
      </c>
      <c r="AA614" s="146">
        <f t="shared" si="274"/>
        <v>0</v>
      </c>
      <c r="AB614" s="143">
        <f t="shared" si="275"/>
        <v>1</v>
      </c>
      <c r="AC614" s="133">
        <f t="shared" si="276"/>
        <v>1</v>
      </c>
      <c r="AD614" s="142">
        <v>1</v>
      </c>
      <c r="AE614" s="141"/>
      <c r="AF614" s="121" t="s">
        <v>292</v>
      </c>
      <c r="AG614" s="146">
        <f>VLOOKUP(Takeoffs!AF614,Sheet1!$B$6:$C$124,2,FALSE)</f>
        <v>0</v>
      </c>
      <c r="AH614" s="146">
        <f t="shared" si="277"/>
        <v>0</v>
      </c>
      <c r="AI614" s="143">
        <f t="shared" si="278"/>
        <v>0</v>
      </c>
      <c r="AJ614" s="133">
        <f t="shared" si="279"/>
        <v>1</v>
      </c>
      <c r="AK614" s="142">
        <f t="shared" si="281"/>
        <v>0</v>
      </c>
      <c r="AL614" s="141"/>
      <c r="AO614" s="286"/>
      <c r="AP614" s="284">
        <f t="shared" si="268"/>
        <v>0</v>
      </c>
      <c r="AQ614" s="281">
        <f t="shared" si="269"/>
        <v>0</v>
      </c>
      <c r="AR614" s="284">
        <f t="shared" si="270"/>
        <v>0</v>
      </c>
      <c r="AS614" s="281">
        <f t="shared" si="271"/>
        <v>0</v>
      </c>
      <c r="AT614" s="284">
        <f t="shared" si="272"/>
        <v>0</v>
      </c>
    </row>
    <row r="615" spans="1:97" s="114" customFormat="1" ht="30.9" x14ac:dyDescent="0.8">
      <c r="A615" s="262">
        <f>ROW()</f>
        <v>615</v>
      </c>
      <c r="C615" s="208"/>
      <c r="D615" s="208"/>
      <c r="E615" s="208"/>
      <c r="F615" s="208"/>
      <c r="G615" s="208"/>
      <c r="H615" s="208"/>
      <c r="J615" s="114" t="str">
        <f t="shared" si="280"/>
        <v/>
      </c>
      <c r="K615" s="114" t="str">
        <f>IF(COUNTBLANK(R615)&gt;0,"",CONCATENATE(R615," for ",N596))</f>
        <v/>
      </c>
      <c r="N615" s="123" t="s">
        <v>131</v>
      </c>
      <c r="O615" s="66"/>
      <c r="P615" s="121"/>
      <c r="Q615" s="66"/>
      <c r="R615" s="121"/>
      <c r="S615" s="133">
        <f>M596</f>
        <v>1</v>
      </c>
      <c r="T615" s="120"/>
      <c r="U615" s="121" t="s">
        <v>292</v>
      </c>
      <c r="V615" s="133">
        <f t="shared" si="273"/>
        <v>1</v>
      </c>
      <c r="W615" s="133">
        <f>VLOOKUP(U615,Sheet1!$B$6:$C$45,2,FALSE)*V615</f>
        <v>0</v>
      </c>
      <c r="X615" s="141"/>
      <c r="Y615" s="121" t="s">
        <v>292</v>
      </c>
      <c r="Z615" s="146">
        <f>VLOOKUP(Takeoffs!Y615,Sheet1!$B$6:$C$124,2,FALSE)</f>
        <v>0</v>
      </c>
      <c r="AA615" s="146">
        <f t="shared" si="274"/>
        <v>0</v>
      </c>
      <c r="AB615" s="143">
        <f t="shared" si="275"/>
        <v>1</v>
      </c>
      <c r="AC615" s="133">
        <f t="shared" si="276"/>
        <v>1</v>
      </c>
      <c r="AD615" s="142">
        <v>1</v>
      </c>
      <c r="AE615" s="141"/>
      <c r="AF615" s="121" t="s">
        <v>292</v>
      </c>
      <c r="AG615" s="146">
        <f>VLOOKUP(Takeoffs!AF615,Sheet1!$B$6:$C$124,2,FALSE)</f>
        <v>0</v>
      </c>
      <c r="AH615" s="146">
        <f t="shared" si="277"/>
        <v>0</v>
      </c>
      <c r="AI615" s="143">
        <f t="shared" si="278"/>
        <v>0</v>
      </c>
      <c r="AJ615" s="133">
        <f t="shared" si="279"/>
        <v>1</v>
      </c>
      <c r="AK615" s="142">
        <f t="shared" si="281"/>
        <v>0</v>
      </c>
      <c r="AL615" s="141"/>
      <c r="AO615" s="286"/>
      <c r="AP615" s="284">
        <f t="shared" si="268"/>
        <v>0</v>
      </c>
      <c r="AQ615" s="281">
        <f t="shared" si="269"/>
        <v>0</v>
      </c>
      <c r="AR615" s="284">
        <f t="shared" si="270"/>
        <v>0</v>
      </c>
      <c r="AS615" s="281">
        <f t="shared" si="271"/>
        <v>0</v>
      </c>
      <c r="AT615" s="284">
        <f t="shared" si="272"/>
        <v>0</v>
      </c>
    </row>
    <row r="616" spans="1:97" s="114" customFormat="1" ht="30.9" x14ac:dyDescent="0.8">
      <c r="A616" s="262">
        <f>ROW()</f>
        <v>616</v>
      </c>
      <c r="C616" s="208"/>
      <c r="D616" s="208"/>
      <c r="E616" s="208"/>
      <c r="F616" s="208"/>
      <c r="G616" s="208"/>
      <c r="H616" s="208"/>
      <c r="J616" s="114" t="str">
        <f t="shared" si="280"/>
        <v/>
      </c>
      <c r="K616" s="114" t="str">
        <f>IF(COUNTBLANK(R616)&gt;0,"",CONCATENATE(R616," for ",N596))</f>
        <v/>
      </c>
      <c r="N616" s="123" t="s">
        <v>132</v>
      </c>
      <c r="O616" s="66" t="s">
        <v>408</v>
      </c>
      <c r="P616" s="121"/>
      <c r="Q616" s="66"/>
      <c r="R616" s="121"/>
      <c r="S616" s="133">
        <f>M596</f>
        <v>1</v>
      </c>
      <c r="T616" s="120"/>
      <c r="U616" s="121" t="s">
        <v>292</v>
      </c>
      <c r="V616" s="133">
        <f t="shared" si="273"/>
        <v>1</v>
      </c>
      <c r="W616" s="133">
        <f>VLOOKUP(U616,Sheet1!$B$6:$C$45,2,FALSE)*V616</f>
        <v>0</v>
      </c>
      <c r="X616" s="141"/>
      <c r="Y616" s="121" t="s">
        <v>292</v>
      </c>
      <c r="Z616" s="146">
        <f>VLOOKUP(Takeoffs!Y616,Sheet1!$B$6:$C$124,2,FALSE)</f>
        <v>0</v>
      </c>
      <c r="AA616" s="146">
        <f t="shared" si="274"/>
        <v>0</v>
      </c>
      <c r="AB616" s="143">
        <f t="shared" si="275"/>
        <v>1</v>
      </c>
      <c r="AC616" s="133">
        <f t="shared" si="276"/>
        <v>1</v>
      </c>
      <c r="AD616" s="142">
        <v>1</v>
      </c>
      <c r="AE616" s="141"/>
      <c r="AF616" s="121" t="s">
        <v>292</v>
      </c>
      <c r="AG616" s="146">
        <f>VLOOKUP(Takeoffs!AF616,Sheet1!$B$6:$C$124,2,FALSE)</f>
        <v>0</v>
      </c>
      <c r="AH616" s="146">
        <f t="shared" si="277"/>
        <v>0</v>
      </c>
      <c r="AI616" s="143">
        <f t="shared" si="278"/>
        <v>0</v>
      </c>
      <c r="AJ616" s="133">
        <f t="shared" si="279"/>
        <v>1</v>
      </c>
      <c r="AK616" s="142">
        <f t="shared" si="281"/>
        <v>0</v>
      </c>
      <c r="AL616" s="141"/>
      <c r="AO616" s="286"/>
      <c r="AP616" s="284">
        <f t="shared" si="268"/>
        <v>0</v>
      </c>
      <c r="AQ616" s="281">
        <f t="shared" si="269"/>
        <v>0</v>
      </c>
      <c r="AR616" s="284">
        <f t="shared" si="270"/>
        <v>0</v>
      </c>
      <c r="AS616" s="281">
        <f t="shared" si="271"/>
        <v>0</v>
      </c>
      <c r="AT616" s="284">
        <f t="shared" si="272"/>
        <v>0</v>
      </c>
    </row>
    <row r="617" spans="1:97" s="128" customFormat="1" ht="32.25" customHeight="1" thickBot="1" x14ac:dyDescent="0.85">
      <c r="A617" s="262">
        <f>ROW()</f>
        <v>617</v>
      </c>
      <c r="C617" s="212"/>
      <c r="D617" s="212"/>
      <c r="E617" s="212"/>
      <c r="F617" s="212"/>
      <c r="G617" s="212"/>
      <c r="H617" s="212"/>
      <c r="J617" s="128" t="s">
        <v>377</v>
      </c>
      <c r="L617" s="128" t="s">
        <v>378</v>
      </c>
      <c r="N617" s="129"/>
      <c r="O617" s="130" t="s">
        <v>357</v>
      </c>
      <c r="P617" s="155">
        <f>V617+AA617+AH617</f>
        <v>347.8</v>
      </c>
      <c r="Q617" s="155"/>
      <c r="R617" s="131"/>
      <c r="S617" s="130"/>
      <c r="T617" s="127"/>
      <c r="U617" s="126" t="s">
        <v>351</v>
      </c>
      <c r="V617" s="127">
        <f>W617*80</f>
        <v>160</v>
      </c>
      <c r="W617" s="147">
        <f>SUM(W596:W616)</f>
        <v>2</v>
      </c>
      <c r="X617" s="148"/>
      <c r="Y617" s="127" t="s">
        <v>352</v>
      </c>
      <c r="Z617" s="116"/>
      <c r="AA617" s="116">
        <f>SUM(AA596:AA616)</f>
        <v>172.14000000000001</v>
      </c>
      <c r="AB617" s="149"/>
      <c r="AC617" s="149"/>
      <c r="AD617" s="149"/>
      <c r="AE617" s="149"/>
      <c r="AF617" s="127" t="s">
        <v>356</v>
      </c>
      <c r="AG617" s="116"/>
      <c r="AH617" s="116">
        <f>SUM(AH596:AH616)</f>
        <v>15.66</v>
      </c>
      <c r="AI617" s="149"/>
      <c r="AJ617" s="149"/>
      <c r="AK617" s="149"/>
      <c r="AL617" s="149"/>
      <c r="AM617" s="150">
        <f>P617</f>
        <v>347.8</v>
      </c>
      <c r="AO617" s="286"/>
      <c r="AP617" s="284">
        <f t="shared" si="268"/>
        <v>0</v>
      </c>
      <c r="AQ617" s="281">
        <f t="shared" si="269"/>
        <v>0</v>
      </c>
      <c r="AR617" s="284">
        <f t="shared" si="270"/>
        <v>0</v>
      </c>
      <c r="AS617" s="281">
        <f t="shared" si="271"/>
        <v>0</v>
      </c>
      <c r="AT617" s="284">
        <f t="shared" si="272"/>
        <v>0</v>
      </c>
    </row>
    <row r="618" spans="1:97" s="234" customFormat="1" ht="158.15" thickBot="1" x14ac:dyDescent="1.25">
      <c r="A618" s="262">
        <f>ROW()</f>
        <v>618</v>
      </c>
      <c r="B618" s="234" t="s">
        <v>491</v>
      </c>
      <c r="C618" s="217" t="str">
        <f>N596</f>
        <v>DOL fan from local power supply - With local switch and run status light</v>
      </c>
      <c r="D618" s="260" t="str">
        <f>IF(B618="Shopping List",IF(ISNUMBER(SEARCH("MSSB",C618)),"MSSB",IF(ISNUMBER(SEARCH("local",C618)),"LOCAL","")))</f>
        <v>LOCAL</v>
      </c>
      <c r="E618" s="238"/>
      <c r="F618" s="217"/>
      <c r="G618" s="217"/>
      <c r="H618" s="245"/>
      <c r="I618" s="270">
        <v>1</v>
      </c>
      <c r="J618" s="241" t="str">
        <f>CONCATENATE(O596," ",L596, " (",M596,") ",N596,".", IF(M596&gt;1," Each "," This "),"includes supply and install of ",O597,O598,O599,O600,O601,O602,O603,O604,O605,O606,O607,O608,O609,O610,O611,O612,O613,O614,O615,O616,J597,J598,J599,J600,J601,J602,J603,J604,J605,J606,J607,J608,J609,J610,J611,J612,J613,J614,J615,J616)</f>
        <v xml:space="preserve">Electrical power supply to one (1) DOL fan from local power supply - With local switch and run status light. This includes supply and install of cabling from local supply, local switch, runlight and controls cabling, current switch mounted in enclosure, local isolator and commissioning/testing. Coordination Note: - Builders electrician: Please refer to our exclusions relating to supply of local power supply. </v>
      </c>
      <c r="K618" s="248">
        <f>P617</f>
        <v>347.8</v>
      </c>
      <c r="L618" s="234" t="str">
        <f>CONCATENATE(Q597,Q598,Q599,Q600,Q601,Q602,Q603,Q604,Q605,Q606,Q607,Q608,Q609,Q610,Q611,Q612,Q613,Q614,Q615,Q616,)</f>
        <v xml:space="preserve">supply of local power supply. </v>
      </c>
      <c r="M618" s="166" t="s">
        <v>367</v>
      </c>
      <c r="N618" s="160" t="str">
        <f>N596</f>
        <v>DOL fan from local power supply - With local switch and run status light</v>
      </c>
      <c r="O618" s="185" t="s">
        <v>365</v>
      </c>
      <c r="P618" s="203">
        <f>P617/M596</f>
        <v>347.8</v>
      </c>
      <c r="Q618" s="195"/>
      <c r="R618" s="188"/>
      <c r="S618" s="160"/>
      <c r="T618" s="161"/>
      <c r="U618" s="503" t="s">
        <v>366</v>
      </c>
      <c r="V618" s="503"/>
      <c r="W618" s="162">
        <f>W617/M596</f>
        <v>2</v>
      </c>
      <c r="X618" s="163"/>
      <c r="Y618" s="501" t="s">
        <v>365</v>
      </c>
      <c r="Z618" s="501"/>
      <c r="AA618" s="164">
        <f>AA617/M596</f>
        <v>172.14000000000001</v>
      </c>
      <c r="AB618" s="161"/>
      <c r="AC618" s="161"/>
      <c r="AD618" s="161"/>
      <c r="AE618" s="161"/>
      <c r="AF618" s="501" t="s">
        <v>365</v>
      </c>
      <c r="AG618" s="501"/>
      <c r="AH618" s="164">
        <f>AH617/M596</f>
        <v>15.66</v>
      </c>
      <c r="AI618" s="161"/>
      <c r="AJ618" s="161"/>
      <c r="AK618" s="161"/>
      <c r="AL618" s="247"/>
      <c r="AM618" s="257"/>
      <c r="AN618" s="236">
        <f>K618*$D$9</f>
        <v>86.95</v>
      </c>
      <c r="AO618" s="286"/>
      <c r="AP618" s="284">
        <f t="shared" si="268"/>
        <v>347.8</v>
      </c>
      <c r="AQ618" s="281">
        <f t="shared" si="269"/>
        <v>160</v>
      </c>
      <c r="AR618" s="284">
        <f t="shared" si="270"/>
        <v>172.14000000000001</v>
      </c>
      <c r="AS618" s="281">
        <f t="shared" si="271"/>
        <v>15.66</v>
      </c>
      <c r="AT618" s="284">
        <f t="shared" si="272"/>
        <v>0</v>
      </c>
      <c r="AU618" s="117"/>
      <c r="AV618" s="117"/>
      <c r="AW618" s="117"/>
      <c r="AX618" s="117"/>
      <c r="AY618" s="117"/>
      <c r="AZ618" s="117"/>
      <c r="BA618" s="117"/>
      <c r="BB618" s="117"/>
      <c r="BC618" s="117"/>
      <c r="BD618" s="117"/>
      <c r="BE618" s="117"/>
      <c r="BF618" s="117"/>
      <c r="BG618" s="117"/>
      <c r="BH618" s="117"/>
      <c r="BI618" s="117"/>
      <c r="BJ618" s="117"/>
      <c r="BK618" s="117"/>
      <c r="BL618" s="117"/>
      <c r="BM618" s="117"/>
      <c r="BN618" s="117"/>
      <c r="BO618" s="117"/>
      <c r="BP618" s="117"/>
      <c r="BQ618" s="117"/>
      <c r="BR618" s="117"/>
      <c r="BS618" s="117"/>
      <c r="BT618" s="117"/>
      <c r="BU618" s="117"/>
      <c r="BV618" s="117"/>
      <c r="BW618" s="117"/>
      <c r="BX618" s="117"/>
      <c r="BY618" s="117"/>
      <c r="BZ618" s="117"/>
      <c r="CA618" s="117"/>
      <c r="CB618" s="117"/>
      <c r="CC618" s="117"/>
      <c r="CD618" s="117"/>
      <c r="CE618" s="117"/>
      <c r="CF618" s="117"/>
      <c r="CG618" s="117"/>
      <c r="CH618" s="117"/>
      <c r="CI618" s="117"/>
      <c r="CJ618" s="117"/>
      <c r="CK618" s="117"/>
      <c r="CL618" s="117"/>
      <c r="CM618" s="117"/>
      <c r="CN618" s="117"/>
      <c r="CO618" s="117"/>
      <c r="CP618" s="117"/>
      <c r="CQ618" s="117"/>
      <c r="CR618" s="117"/>
      <c r="CS618" s="117"/>
    </row>
    <row r="619" spans="1:97" s="116" customFormat="1" ht="193.5" customHeight="1" x14ac:dyDescent="0.8">
      <c r="A619" s="262">
        <f>ROW()</f>
        <v>619</v>
      </c>
      <c r="C619" s="211"/>
      <c r="D619" s="211"/>
      <c r="E619" s="211"/>
      <c r="F619" s="211"/>
      <c r="G619" s="211"/>
      <c r="H619" s="211"/>
      <c r="K619" s="116" t="s">
        <v>452</v>
      </c>
      <c r="M619" s="116" t="s">
        <v>107</v>
      </c>
      <c r="N619" s="116" t="s">
        <v>108</v>
      </c>
      <c r="O619" s="170" t="s">
        <v>386</v>
      </c>
      <c r="P619" s="502" t="s">
        <v>375</v>
      </c>
      <c r="Q619" s="502"/>
      <c r="R619" s="101" t="s">
        <v>452</v>
      </c>
      <c r="S619" s="116" t="s">
        <v>0</v>
      </c>
      <c r="T619" s="118"/>
      <c r="U619" s="116" t="s">
        <v>287</v>
      </c>
      <c r="V619" s="116" t="s">
        <v>288</v>
      </c>
      <c r="W619" s="116" t="s">
        <v>291</v>
      </c>
      <c r="X619" s="140"/>
      <c r="Y619" s="116" t="s">
        <v>289</v>
      </c>
      <c r="Z619" s="116" t="s">
        <v>354</v>
      </c>
      <c r="AA619" s="116" t="s">
        <v>355</v>
      </c>
      <c r="AB619" s="116" t="s">
        <v>317</v>
      </c>
      <c r="AC619" s="116" t="s">
        <v>318</v>
      </c>
      <c r="AD619" s="116" t="s">
        <v>316</v>
      </c>
      <c r="AE619" s="140"/>
      <c r="AF619" s="116" t="s">
        <v>293</v>
      </c>
      <c r="AG619" s="116" t="s">
        <v>354</v>
      </c>
      <c r="AH619" s="116" t="s">
        <v>355</v>
      </c>
      <c r="AI619" s="116" t="s">
        <v>296</v>
      </c>
      <c r="AJ619" s="116" t="s">
        <v>294</v>
      </c>
      <c r="AK619" s="116" t="s">
        <v>295</v>
      </c>
      <c r="AL619" s="140"/>
      <c r="AO619" s="288"/>
      <c r="AP619" s="284">
        <f t="shared" si="268"/>
        <v>0</v>
      </c>
      <c r="AQ619" s="281">
        <f t="shared" si="269"/>
        <v>0</v>
      </c>
      <c r="AR619" s="284">
        <f t="shared" si="270"/>
        <v>0</v>
      </c>
      <c r="AS619" s="281">
        <f t="shared" si="271"/>
        <v>0</v>
      </c>
      <c r="AT619" s="284">
        <f t="shared" si="272"/>
        <v>0</v>
      </c>
    </row>
    <row r="620" spans="1:97" s="114" customFormat="1" ht="32.25" customHeight="1" x14ac:dyDescent="0.8">
      <c r="A620" s="262">
        <f>ROW()</f>
        <v>620</v>
      </c>
      <c r="C620" s="208"/>
      <c r="D620" s="208"/>
      <c r="E620" s="208"/>
      <c r="F620" s="208"/>
      <c r="G620" s="208"/>
      <c r="H620" s="208"/>
      <c r="L620" s="124" t="str">
        <f>VLOOKUP(M620,Sheet2!$D$2:$E$1024,2,FALSE)</f>
        <v>Zero</v>
      </c>
      <c r="M620" s="121">
        <f>I642</f>
        <v>0</v>
      </c>
      <c r="N620" s="132" t="s">
        <v>535</v>
      </c>
      <c r="O620" s="121" t="s">
        <v>133</v>
      </c>
      <c r="P620" s="169" t="s">
        <v>379</v>
      </c>
      <c r="Q620" s="169" t="s">
        <v>375</v>
      </c>
      <c r="R620" s="169"/>
      <c r="S620" s="133">
        <f>M620</f>
        <v>0</v>
      </c>
      <c r="T620" s="119"/>
      <c r="U620" s="121" t="s">
        <v>292</v>
      </c>
      <c r="V620" s="133">
        <f>S620</f>
        <v>0</v>
      </c>
      <c r="W620" s="133">
        <f>VLOOKUP(U620,Sheet1!$B$6:$C$45,2,FALSE)*V620</f>
        <v>0</v>
      </c>
      <c r="X620" s="141"/>
      <c r="Y620" s="121" t="s">
        <v>292</v>
      </c>
      <c r="Z620" s="146">
        <f>VLOOKUP(Takeoffs!Y620,Sheet1!$B$6:$C$124,2,FALSE)</f>
        <v>0</v>
      </c>
      <c r="AA620" s="146">
        <f>Z620*AB620</f>
        <v>0</v>
      </c>
      <c r="AB620" s="143">
        <f>AD620*AC620</f>
        <v>0</v>
      </c>
      <c r="AC620" s="133">
        <f>S620</f>
        <v>0</v>
      </c>
      <c r="AD620" s="142">
        <v>1</v>
      </c>
      <c r="AE620" s="141"/>
      <c r="AF620" s="121" t="s">
        <v>292</v>
      </c>
      <c r="AG620" s="146">
        <f>VLOOKUP(Takeoffs!AF620,Sheet1!$B$6:$C$124,2,FALSE)</f>
        <v>0</v>
      </c>
      <c r="AH620" s="146">
        <f>AG620*AI620</f>
        <v>0</v>
      </c>
      <c r="AI620" s="143">
        <f>AK620*AJ620</f>
        <v>0</v>
      </c>
      <c r="AJ620" s="133">
        <f>S620</f>
        <v>0</v>
      </c>
      <c r="AK620" s="142">
        <f>T620</f>
        <v>0</v>
      </c>
      <c r="AL620" s="141"/>
      <c r="AO620" s="286"/>
      <c r="AP620" s="284">
        <f t="shared" si="268"/>
        <v>0</v>
      </c>
      <c r="AQ620" s="281">
        <f t="shared" si="269"/>
        <v>0</v>
      </c>
      <c r="AR620" s="284">
        <f t="shared" si="270"/>
        <v>0</v>
      </c>
      <c r="AS620" s="281">
        <f t="shared" si="271"/>
        <v>0</v>
      </c>
      <c r="AT620" s="284">
        <f t="shared" si="272"/>
        <v>0</v>
      </c>
    </row>
    <row r="621" spans="1:97" s="114" customFormat="1" ht="30.9" x14ac:dyDescent="0.8">
      <c r="A621" s="262">
        <f>ROW()</f>
        <v>621</v>
      </c>
      <c r="C621" s="208"/>
      <c r="D621" s="208"/>
      <c r="E621" s="208"/>
      <c r="F621" s="208"/>
      <c r="G621" s="208"/>
      <c r="H621" s="208"/>
      <c r="J621" s="114" t="str">
        <f>IF(COUNTBLANK(Q621)&gt;0,"",CONCATENATE("Coordination Note: - ",P621,": Please refer to our exclusions relating to ",Q621))</f>
        <v/>
      </c>
      <c r="K621" s="114" t="str">
        <f>IF(COUNTBLANK(R621)&gt;0,"",CONCATENATE(R621," for ",N620))</f>
        <v/>
      </c>
      <c r="M621" s="117"/>
      <c r="N621" s="123" t="s">
        <v>113</v>
      </c>
      <c r="O621" s="66"/>
      <c r="P621" s="121"/>
      <c r="Q621" s="66"/>
      <c r="R621" s="121"/>
      <c r="S621" s="133">
        <f>M620</f>
        <v>0</v>
      </c>
      <c r="T621" s="120"/>
      <c r="U621" s="121" t="s">
        <v>292</v>
      </c>
      <c r="V621" s="133">
        <f t="shared" ref="V621:V640" si="282">S621</f>
        <v>0</v>
      </c>
      <c r="W621" s="133">
        <f>VLOOKUP(U621,Sheet1!$B$6:$C$45,2,FALSE)*V621</f>
        <v>0</v>
      </c>
      <c r="X621" s="141"/>
      <c r="Y621" s="121" t="s">
        <v>292</v>
      </c>
      <c r="Z621" s="146">
        <f>VLOOKUP(Takeoffs!Y621,Sheet1!$B$6:$C$124,2,FALSE)</f>
        <v>0</v>
      </c>
      <c r="AA621" s="146">
        <f t="shared" ref="AA621:AA640" si="283">Z621*AB621</f>
        <v>0</v>
      </c>
      <c r="AB621" s="143">
        <f t="shared" ref="AB621:AB640" si="284">AD621*AC621</f>
        <v>0</v>
      </c>
      <c r="AC621" s="133">
        <f t="shared" ref="AC621:AC640" si="285">S621</f>
        <v>0</v>
      </c>
      <c r="AD621" s="142">
        <v>1</v>
      </c>
      <c r="AE621" s="141"/>
      <c r="AF621" s="121" t="s">
        <v>292</v>
      </c>
      <c r="AG621" s="146">
        <f>VLOOKUP(Takeoffs!AF621,Sheet1!$B$6:$C$124,2,FALSE)</f>
        <v>0</v>
      </c>
      <c r="AH621" s="146">
        <f t="shared" ref="AH621:AH640" si="286">AG621*AI621</f>
        <v>0</v>
      </c>
      <c r="AI621" s="143">
        <f t="shared" ref="AI621:AI640" si="287">AK621*AJ621</f>
        <v>0</v>
      </c>
      <c r="AJ621" s="133">
        <f t="shared" ref="AJ621:AJ640" si="288">S621</f>
        <v>0</v>
      </c>
      <c r="AK621" s="142">
        <f>T621</f>
        <v>0</v>
      </c>
      <c r="AL621" s="141"/>
      <c r="AO621" s="286"/>
      <c r="AP621" s="284">
        <f t="shared" si="268"/>
        <v>0</v>
      </c>
      <c r="AQ621" s="281">
        <f t="shared" si="269"/>
        <v>0</v>
      </c>
      <c r="AR621" s="284">
        <f t="shared" si="270"/>
        <v>0</v>
      </c>
      <c r="AS621" s="281">
        <f t="shared" si="271"/>
        <v>0</v>
      </c>
      <c r="AT621" s="284">
        <f t="shared" si="272"/>
        <v>0</v>
      </c>
    </row>
    <row r="622" spans="1:97" s="114" customFormat="1" ht="30.9" x14ac:dyDescent="0.8">
      <c r="A622" s="262">
        <f>ROW()</f>
        <v>622</v>
      </c>
      <c r="C622" s="208"/>
      <c r="D622" s="208"/>
      <c r="E622" s="208"/>
      <c r="F622" s="208"/>
      <c r="G622" s="208"/>
      <c r="H622" s="208"/>
      <c r="J622" s="114" t="str">
        <f t="shared" ref="J622:J640" si="289">IF(COUNTBLANK(Q622)&gt;0,"",CONCATENATE("Coordination Note: - ",P622,": Please refer to our exclusions relating to ",Q622))</f>
        <v/>
      </c>
      <c r="K622" s="114" t="str">
        <f>IF(COUNTBLANK(R622)&gt;0,"",CONCATENATE(R622," for ",N620))</f>
        <v/>
      </c>
      <c r="M622" s="117"/>
      <c r="N622" s="123" t="s">
        <v>114</v>
      </c>
      <c r="O622" s="66"/>
      <c r="P622" s="121"/>
      <c r="Q622" s="66"/>
      <c r="R622" s="121"/>
      <c r="S622" s="133">
        <f>M620</f>
        <v>0</v>
      </c>
      <c r="T622" s="120"/>
      <c r="U622" s="121" t="s">
        <v>292</v>
      </c>
      <c r="V622" s="133">
        <f t="shared" si="282"/>
        <v>0</v>
      </c>
      <c r="W622" s="133">
        <f>VLOOKUP(U622,Sheet1!$B$6:$C$45,2,FALSE)*V622</f>
        <v>0</v>
      </c>
      <c r="X622" s="141"/>
      <c r="Y622" s="121" t="s">
        <v>292</v>
      </c>
      <c r="Z622" s="146">
        <f>VLOOKUP(Takeoffs!Y622,Sheet1!$B$6:$C$124,2,FALSE)</f>
        <v>0</v>
      </c>
      <c r="AA622" s="146">
        <f t="shared" si="283"/>
        <v>0</v>
      </c>
      <c r="AB622" s="143">
        <f t="shared" si="284"/>
        <v>0</v>
      </c>
      <c r="AC622" s="133">
        <f t="shared" si="285"/>
        <v>0</v>
      </c>
      <c r="AD622" s="142">
        <v>1</v>
      </c>
      <c r="AE622" s="141"/>
      <c r="AF622" s="122" t="s">
        <v>268</v>
      </c>
      <c r="AG622" s="146">
        <f>VLOOKUP(Takeoffs!AF622,Sheet1!$B$6:$C$124,2,FALSE)</f>
        <v>1.02</v>
      </c>
      <c r="AH622" s="146">
        <f t="shared" si="286"/>
        <v>0</v>
      </c>
      <c r="AI622" s="143">
        <f t="shared" si="287"/>
        <v>0</v>
      </c>
      <c r="AJ622" s="133">
        <f t="shared" si="288"/>
        <v>0</v>
      </c>
      <c r="AK622" s="142">
        <v>5</v>
      </c>
      <c r="AL622" s="141"/>
      <c r="AO622" s="286"/>
      <c r="AP622" s="284">
        <f t="shared" si="268"/>
        <v>0</v>
      </c>
      <c r="AQ622" s="281">
        <f t="shared" si="269"/>
        <v>0</v>
      </c>
      <c r="AR622" s="284">
        <f t="shared" si="270"/>
        <v>0</v>
      </c>
      <c r="AS622" s="281">
        <f t="shared" si="271"/>
        <v>0</v>
      </c>
      <c r="AT622" s="284">
        <f t="shared" si="272"/>
        <v>0</v>
      </c>
    </row>
    <row r="623" spans="1:97" s="114" customFormat="1" ht="30.9" x14ac:dyDescent="0.8">
      <c r="A623" s="262">
        <f>ROW()</f>
        <v>623</v>
      </c>
      <c r="C623" s="208"/>
      <c r="D623" s="208"/>
      <c r="E623" s="208"/>
      <c r="F623" s="208"/>
      <c r="G623" s="208"/>
      <c r="H623" s="208"/>
      <c r="J623" s="114" t="str">
        <f t="shared" si="289"/>
        <v xml:space="preserve">Coordination Note: - Builders electrician: Please refer to our exclusions relating to supply of local power supply. </v>
      </c>
      <c r="K623" s="114" t="str">
        <f>IF(COUNTBLANK(R623)&gt;0,"",CONCATENATE(R623," for ",N620))</f>
        <v/>
      </c>
      <c r="M623" s="117"/>
      <c r="N623" s="123" t="s">
        <v>115</v>
      </c>
      <c r="O623" s="66" t="s">
        <v>537</v>
      </c>
      <c r="P623" s="121" t="s">
        <v>539</v>
      </c>
      <c r="Q623" s="66" t="s">
        <v>538</v>
      </c>
      <c r="R623" s="121"/>
      <c r="S623" s="133">
        <f>M620</f>
        <v>0</v>
      </c>
      <c r="T623" s="120"/>
      <c r="U623" s="121" t="s">
        <v>361</v>
      </c>
      <c r="V623" s="133">
        <f t="shared" si="282"/>
        <v>0</v>
      </c>
      <c r="W623" s="133">
        <f>VLOOKUP(U623,Sheet1!$B$6:$C$45,2,FALSE)*V623</f>
        <v>0</v>
      </c>
      <c r="X623" s="141"/>
      <c r="Y623" s="121" t="s">
        <v>292</v>
      </c>
      <c r="Z623" s="146">
        <f>VLOOKUP(Takeoffs!Y623,Sheet1!$B$6:$C$124,2,FALSE)</f>
        <v>0</v>
      </c>
      <c r="AA623" s="146">
        <f t="shared" si="283"/>
        <v>0</v>
      </c>
      <c r="AB623" s="143">
        <f t="shared" si="284"/>
        <v>0</v>
      </c>
      <c r="AC623" s="133">
        <f t="shared" si="285"/>
        <v>0</v>
      </c>
      <c r="AD623" s="142">
        <v>1</v>
      </c>
      <c r="AE623" s="141"/>
      <c r="AF623" s="121" t="s">
        <v>292</v>
      </c>
      <c r="AG623" s="146">
        <f>VLOOKUP(Takeoffs!AF623,Sheet1!$B$6:$C$124,2,FALSE)</f>
        <v>0</v>
      </c>
      <c r="AH623" s="146">
        <f t="shared" si="286"/>
        <v>0</v>
      </c>
      <c r="AI623" s="143">
        <f t="shared" si="287"/>
        <v>0</v>
      </c>
      <c r="AJ623" s="133">
        <f t="shared" si="288"/>
        <v>0</v>
      </c>
      <c r="AK623" s="142">
        <f>T623</f>
        <v>0</v>
      </c>
      <c r="AL623" s="141"/>
      <c r="AO623" s="286"/>
      <c r="AP623" s="284">
        <f t="shared" si="268"/>
        <v>0</v>
      </c>
      <c r="AQ623" s="281">
        <f t="shared" si="269"/>
        <v>0</v>
      </c>
      <c r="AR623" s="284">
        <f t="shared" si="270"/>
        <v>0</v>
      </c>
      <c r="AS623" s="281">
        <f t="shared" si="271"/>
        <v>0</v>
      </c>
      <c r="AT623" s="284">
        <f t="shared" si="272"/>
        <v>0</v>
      </c>
    </row>
    <row r="624" spans="1:97" s="114" customFormat="1" ht="30.9" x14ac:dyDescent="0.8">
      <c r="A624" s="262">
        <f>ROW()</f>
        <v>624</v>
      </c>
      <c r="C624" s="208"/>
      <c r="D624" s="208"/>
      <c r="E624" s="208"/>
      <c r="F624" s="208"/>
      <c r="G624" s="208"/>
      <c r="H624" s="208"/>
      <c r="J624" s="114" t="str">
        <f t="shared" si="289"/>
        <v/>
      </c>
      <c r="K624" s="114" t="str">
        <f>IF(COUNTBLANK(R624)&gt;0,"",CONCATENATE(R624," for ",N620))</f>
        <v/>
      </c>
      <c r="M624" s="117"/>
      <c r="N624" s="123" t="s">
        <v>116</v>
      </c>
      <c r="O624" s="66"/>
      <c r="P624" s="121"/>
      <c r="Q624" s="66"/>
      <c r="R624" s="121"/>
      <c r="S624" s="133">
        <f>M620</f>
        <v>0</v>
      </c>
      <c r="T624" s="120"/>
      <c r="U624" s="121" t="s">
        <v>292</v>
      </c>
      <c r="V624" s="133">
        <f t="shared" si="282"/>
        <v>0</v>
      </c>
      <c r="W624" s="133">
        <f>VLOOKUP(U624,Sheet1!$B$6:$C$45,2,FALSE)*V624</f>
        <v>0</v>
      </c>
      <c r="X624" s="141"/>
      <c r="Y624" s="121" t="s">
        <v>292</v>
      </c>
      <c r="Z624" s="146">
        <f>VLOOKUP(Takeoffs!Y624,Sheet1!$B$6:$C$124,2,FALSE)</f>
        <v>0</v>
      </c>
      <c r="AA624" s="146">
        <f t="shared" si="283"/>
        <v>0</v>
      </c>
      <c r="AB624" s="143">
        <f t="shared" si="284"/>
        <v>0</v>
      </c>
      <c r="AC624" s="133">
        <f t="shared" si="285"/>
        <v>0</v>
      </c>
      <c r="AD624" s="142">
        <v>1</v>
      </c>
      <c r="AE624" s="141"/>
      <c r="AF624" s="121" t="s">
        <v>292</v>
      </c>
      <c r="AG624" s="146">
        <f>VLOOKUP(Takeoffs!AF624,Sheet1!$B$6:$C$124,2,FALSE)</f>
        <v>0</v>
      </c>
      <c r="AH624" s="146">
        <f t="shared" si="286"/>
        <v>0</v>
      </c>
      <c r="AI624" s="143">
        <f t="shared" si="287"/>
        <v>0</v>
      </c>
      <c r="AJ624" s="133">
        <f t="shared" si="288"/>
        <v>0</v>
      </c>
      <c r="AK624" s="142">
        <f>T624</f>
        <v>0</v>
      </c>
      <c r="AL624" s="141"/>
      <c r="AO624" s="286"/>
      <c r="AP624" s="284">
        <f t="shared" si="268"/>
        <v>0</v>
      </c>
      <c r="AQ624" s="281">
        <f t="shared" si="269"/>
        <v>0</v>
      </c>
      <c r="AR624" s="284">
        <f t="shared" si="270"/>
        <v>0</v>
      </c>
      <c r="AS624" s="281">
        <f t="shared" si="271"/>
        <v>0</v>
      </c>
      <c r="AT624" s="284">
        <f t="shared" si="272"/>
        <v>0</v>
      </c>
    </row>
    <row r="625" spans="1:46" s="114" customFormat="1" ht="30.9" x14ac:dyDescent="0.8">
      <c r="A625" s="262">
        <f>ROW()</f>
        <v>625</v>
      </c>
      <c r="C625" s="208"/>
      <c r="D625" s="208"/>
      <c r="E625" s="208"/>
      <c r="F625" s="208"/>
      <c r="G625" s="208"/>
      <c r="H625" s="208"/>
      <c r="J625" s="114" t="str">
        <f t="shared" si="289"/>
        <v/>
      </c>
      <c r="K625" s="114" t="str">
        <f>IF(COUNTBLANK(R625)&gt;0,"",CONCATENATE(R625," for ",N620))</f>
        <v/>
      </c>
      <c r="M625" s="117"/>
      <c r="N625" s="123" t="s">
        <v>117</v>
      </c>
      <c r="O625" s="66"/>
      <c r="P625" s="121"/>
      <c r="Q625" s="66"/>
      <c r="R625" s="121"/>
      <c r="S625" s="133">
        <f>M620</f>
        <v>0</v>
      </c>
      <c r="T625" s="120"/>
      <c r="U625" s="121" t="s">
        <v>292</v>
      </c>
      <c r="V625" s="133">
        <f t="shared" si="282"/>
        <v>0</v>
      </c>
      <c r="W625" s="133">
        <f>VLOOKUP(U625,Sheet1!$B$6:$C$45,2,FALSE)*V625</f>
        <v>0</v>
      </c>
      <c r="X625" s="141"/>
      <c r="Y625" s="121" t="s">
        <v>292</v>
      </c>
      <c r="Z625" s="146">
        <f>VLOOKUP(Takeoffs!Y625,Sheet1!$B$6:$C$124,2,FALSE)</f>
        <v>0</v>
      </c>
      <c r="AA625" s="146">
        <f t="shared" si="283"/>
        <v>0</v>
      </c>
      <c r="AB625" s="143">
        <f t="shared" si="284"/>
        <v>0</v>
      </c>
      <c r="AC625" s="133">
        <f t="shared" si="285"/>
        <v>0</v>
      </c>
      <c r="AD625" s="142">
        <v>1</v>
      </c>
      <c r="AE625" s="141"/>
      <c r="AF625" s="121" t="s">
        <v>292</v>
      </c>
      <c r="AG625" s="146">
        <f>VLOOKUP(Takeoffs!AF625,Sheet1!$B$6:$C$124,2,FALSE)</f>
        <v>0</v>
      </c>
      <c r="AH625" s="146">
        <f t="shared" si="286"/>
        <v>0</v>
      </c>
      <c r="AI625" s="143">
        <f t="shared" si="287"/>
        <v>0</v>
      </c>
      <c r="AJ625" s="133">
        <f t="shared" si="288"/>
        <v>0</v>
      </c>
      <c r="AK625" s="142">
        <v>0</v>
      </c>
      <c r="AL625" s="141"/>
      <c r="AO625" s="286"/>
      <c r="AP625" s="284">
        <f t="shared" si="268"/>
        <v>0</v>
      </c>
      <c r="AQ625" s="281">
        <f t="shared" si="269"/>
        <v>0</v>
      </c>
      <c r="AR625" s="284">
        <f t="shared" si="270"/>
        <v>0</v>
      </c>
      <c r="AS625" s="281">
        <f t="shared" si="271"/>
        <v>0</v>
      </c>
      <c r="AT625" s="284">
        <f t="shared" si="272"/>
        <v>0</v>
      </c>
    </row>
    <row r="626" spans="1:46" s="114" customFormat="1" ht="30.9" x14ac:dyDescent="0.8">
      <c r="A626" s="262">
        <f>ROW()</f>
        <v>626</v>
      </c>
      <c r="C626" s="208"/>
      <c r="D626" s="208"/>
      <c r="E626" s="208"/>
      <c r="F626" s="208"/>
      <c r="G626" s="208"/>
      <c r="H626" s="208"/>
      <c r="J626" s="114" t="str">
        <f t="shared" si="289"/>
        <v/>
      </c>
      <c r="K626" s="114" t="str">
        <f>IF(COUNTBLANK(R626)&gt;0,"",CONCATENATE(R626," for ",N620))</f>
        <v/>
      </c>
      <c r="M626" s="117"/>
      <c r="N626" s="123" t="s">
        <v>118</v>
      </c>
      <c r="O626" s="66" t="s">
        <v>536</v>
      </c>
      <c r="P626" s="121"/>
      <c r="Q626" s="66"/>
      <c r="R626" s="121"/>
      <c r="S626" s="133">
        <f>M620</f>
        <v>0</v>
      </c>
      <c r="T626" s="120"/>
      <c r="U626" s="121" t="s">
        <v>292</v>
      </c>
      <c r="V626" s="133">
        <f t="shared" si="282"/>
        <v>0</v>
      </c>
      <c r="W626" s="133">
        <f>VLOOKUP(U626,Sheet1!$B$6:$C$45,2,FALSE)*V626</f>
        <v>0</v>
      </c>
      <c r="X626" s="141"/>
      <c r="Y626" s="121" t="s">
        <v>292</v>
      </c>
      <c r="Z626" s="146">
        <f>VLOOKUP(Takeoffs!Y626,Sheet1!$B$6:$C$124,2,FALSE)</f>
        <v>0</v>
      </c>
      <c r="AA626" s="146">
        <f t="shared" si="283"/>
        <v>0</v>
      </c>
      <c r="AB626" s="143">
        <f t="shared" si="284"/>
        <v>0</v>
      </c>
      <c r="AC626" s="133">
        <f t="shared" si="285"/>
        <v>0</v>
      </c>
      <c r="AD626" s="142">
        <v>1</v>
      </c>
      <c r="AE626" s="141"/>
      <c r="AF626" s="121" t="s">
        <v>292</v>
      </c>
      <c r="AG626" s="146">
        <f>VLOOKUP(Takeoffs!AF626,Sheet1!$B$6:$C$124,2,FALSE)</f>
        <v>0</v>
      </c>
      <c r="AH626" s="146">
        <f t="shared" si="286"/>
        <v>0</v>
      </c>
      <c r="AI626" s="143">
        <f t="shared" si="287"/>
        <v>0</v>
      </c>
      <c r="AJ626" s="133">
        <f t="shared" si="288"/>
        <v>0</v>
      </c>
      <c r="AK626" s="142">
        <f>T626</f>
        <v>0</v>
      </c>
      <c r="AL626" s="141"/>
      <c r="AO626" s="286"/>
      <c r="AP626" s="284">
        <f t="shared" si="268"/>
        <v>0</v>
      </c>
      <c r="AQ626" s="281">
        <f t="shared" si="269"/>
        <v>0</v>
      </c>
      <c r="AR626" s="284">
        <f t="shared" si="270"/>
        <v>0</v>
      </c>
      <c r="AS626" s="281">
        <f t="shared" si="271"/>
        <v>0</v>
      </c>
      <c r="AT626" s="284">
        <f t="shared" si="272"/>
        <v>0</v>
      </c>
    </row>
    <row r="627" spans="1:46" s="114" customFormat="1" ht="30.9" x14ac:dyDescent="0.8">
      <c r="A627" s="262">
        <f>ROW()</f>
        <v>627</v>
      </c>
      <c r="C627" s="208"/>
      <c r="D627" s="208"/>
      <c r="E627" s="208"/>
      <c r="F627" s="208"/>
      <c r="G627" s="208"/>
      <c r="H627" s="208"/>
      <c r="J627" s="114" t="str">
        <f t="shared" si="289"/>
        <v/>
      </c>
      <c r="K627" s="114" t="str">
        <f>IF(COUNTBLANK(R627)&gt;0,"",CONCATENATE(R627," for ",N620))</f>
        <v/>
      </c>
      <c r="N627" s="123" t="s">
        <v>119</v>
      </c>
      <c r="O627" s="66"/>
      <c r="P627" s="121"/>
      <c r="Q627" s="66"/>
      <c r="R627" s="121"/>
      <c r="S627" s="133">
        <f>M620</f>
        <v>0</v>
      </c>
      <c r="T627" s="120"/>
      <c r="U627" s="121" t="s">
        <v>292</v>
      </c>
      <c r="V627" s="133">
        <f t="shared" si="282"/>
        <v>0</v>
      </c>
      <c r="W627" s="133">
        <f>VLOOKUP(U627,Sheet1!$B$6:$C$45,2,FALSE)*V627</f>
        <v>0</v>
      </c>
      <c r="X627" s="141"/>
      <c r="Y627" s="121" t="s">
        <v>292</v>
      </c>
      <c r="Z627" s="146">
        <f>VLOOKUP(Takeoffs!Y627,Sheet1!$B$6:$C$124,2,FALSE)</f>
        <v>0</v>
      </c>
      <c r="AA627" s="146">
        <f t="shared" si="283"/>
        <v>0</v>
      </c>
      <c r="AB627" s="143">
        <f t="shared" si="284"/>
        <v>0</v>
      </c>
      <c r="AC627" s="133">
        <f t="shared" si="285"/>
        <v>0</v>
      </c>
      <c r="AD627" s="142">
        <v>1</v>
      </c>
      <c r="AE627" s="141"/>
      <c r="AF627" s="121" t="s">
        <v>292</v>
      </c>
      <c r="AG627" s="146">
        <f>VLOOKUP(Takeoffs!AF627,Sheet1!$B$6:$C$124,2,FALSE)</f>
        <v>0</v>
      </c>
      <c r="AH627" s="146">
        <f t="shared" si="286"/>
        <v>0</v>
      </c>
      <c r="AI627" s="143">
        <f t="shared" si="287"/>
        <v>0</v>
      </c>
      <c r="AJ627" s="133">
        <f t="shared" si="288"/>
        <v>0</v>
      </c>
      <c r="AK627" s="142">
        <f>T627</f>
        <v>0</v>
      </c>
      <c r="AL627" s="141"/>
      <c r="AO627" s="286"/>
      <c r="AP627" s="284">
        <f t="shared" si="268"/>
        <v>0</v>
      </c>
      <c r="AQ627" s="281">
        <f t="shared" si="269"/>
        <v>0</v>
      </c>
      <c r="AR627" s="284">
        <f t="shared" si="270"/>
        <v>0</v>
      </c>
      <c r="AS627" s="281">
        <f t="shared" si="271"/>
        <v>0</v>
      </c>
      <c r="AT627" s="284">
        <f t="shared" si="272"/>
        <v>0</v>
      </c>
    </row>
    <row r="628" spans="1:46" s="114" customFormat="1" ht="30.9" x14ac:dyDescent="0.8">
      <c r="A628" s="262">
        <f>ROW()</f>
        <v>628</v>
      </c>
      <c r="C628" s="208"/>
      <c r="D628" s="208"/>
      <c r="E628" s="208"/>
      <c r="F628" s="208"/>
      <c r="G628" s="208"/>
      <c r="H628" s="208"/>
      <c r="J628" s="114" t="str">
        <f t="shared" si="289"/>
        <v/>
      </c>
      <c r="K628" s="114" t="str">
        <f>IF(COUNTBLANK(R628)&gt;0,"",CONCATENATE(R628," for ",N620))</f>
        <v/>
      </c>
      <c r="N628" s="123" t="s">
        <v>120</v>
      </c>
      <c r="O628" s="66"/>
      <c r="P628" s="121"/>
      <c r="Q628" s="66"/>
      <c r="R628" s="121"/>
      <c r="S628" s="133">
        <f>M620</f>
        <v>0</v>
      </c>
      <c r="T628" s="120"/>
      <c r="U628" s="121" t="s">
        <v>292</v>
      </c>
      <c r="V628" s="133">
        <f t="shared" si="282"/>
        <v>0</v>
      </c>
      <c r="W628" s="133">
        <f>VLOOKUP(U628,Sheet1!$B$6:$C$45,2,FALSE)*V628</f>
        <v>0</v>
      </c>
      <c r="X628" s="141"/>
      <c r="Y628" s="121" t="s">
        <v>292</v>
      </c>
      <c r="Z628" s="146">
        <f>VLOOKUP(Takeoffs!Y628,Sheet1!$B$6:$C$124,2,FALSE)</f>
        <v>0</v>
      </c>
      <c r="AA628" s="146">
        <f t="shared" si="283"/>
        <v>0</v>
      </c>
      <c r="AB628" s="143">
        <f t="shared" si="284"/>
        <v>0</v>
      </c>
      <c r="AC628" s="133">
        <f t="shared" si="285"/>
        <v>0</v>
      </c>
      <c r="AD628" s="142">
        <v>1</v>
      </c>
      <c r="AE628" s="141"/>
      <c r="AF628" s="121" t="s">
        <v>292</v>
      </c>
      <c r="AG628" s="146">
        <f>VLOOKUP(Takeoffs!AF628,Sheet1!$B$6:$C$124,2,FALSE)</f>
        <v>0</v>
      </c>
      <c r="AH628" s="146">
        <f t="shared" si="286"/>
        <v>0</v>
      </c>
      <c r="AI628" s="143">
        <f t="shared" si="287"/>
        <v>0</v>
      </c>
      <c r="AJ628" s="133">
        <f t="shared" si="288"/>
        <v>0</v>
      </c>
      <c r="AK628" s="142">
        <f>T628</f>
        <v>0</v>
      </c>
      <c r="AL628" s="141"/>
      <c r="AO628" s="286"/>
      <c r="AP628" s="284">
        <f t="shared" si="268"/>
        <v>0</v>
      </c>
      <c r="AQ628" s="281">
        <f t="shared" si="269"/>
        <v>0</v>
      </c>
      <c r="AR628" s="284">
        <f t="shared" si="270"/>
        <v>0</v>
      </c>
      <c r="AS628" s="281">
        <f t="shared" si="271"/>
        <v>0</v>
      </c>
      <c r="AT628" s="284">
        <f t="shared" si="272"/>
        <v>0</v>
      </c>
    </row>
    <row r="629" spans="1:46" s="114" customFormat="1" ht="30.9" x14ac:dyDescent="0.8">
      <c r="A629" s="262">
        <f>ROW()</f>
        <v>629</v>
      </c>
      <c r="C629" s="208"/>
      <c r="D629" s="208"/>
      <c r="E629" s="208"/>
      <c r="F629" s="208"/>
      <c r="G629" s="208"/>
      <c r="H629" s="208"/>
      <c r="J629" s="114" t="str">
        <f t="shared" si="289"/>
        <v/>
      </c>
      <c r="K629" s="114" t="str">
        <f>IF(COUNTBLANK(R629)&gt;0,"",CONCATENATE(R629," for ",N620))</f>
        <v/>
      </c>
      <c r="N629" s="123" t="s">
        <v>121</v>
      </c>
      <c r="O629" s="66"/>
      <c r="P629" s="121"/>
      <c r="Q629" s="66"/>
      <c r="R629" s="121"/>
      <c r="S629" s="133">
        <f>M620</f>
        <v>0</v>
      </c>
      <c r="T629" s="120"/>
      <c r="U629" s="121" t="s">
        <v>292</v>
      </c>
      <c r="V629" s="133">
        <f t="shared" si="282"/>
        <v>0</v>
      </c>
      <c r="W629" s="133">
        <f>VLOOKUP(U629,Sheet1!$B$6:$C$45,2,FALSE)*V629</f>
        <v>0</v>
      </c>
      <c r="X629" s="141"/>
      <c r="Y629" s="121" t="s">
        <v>292</v>
      </c>
      <c r="Z629" s="146">
        <f>VLOOKUP(Takeoffs!Y629,Sheet1!$B$6:$C$124,2,FALSE)</f>
        <v>0</v>
      </c>
      <c r="AA629" s="146">
        <f t="shared" si="283"/>
        <v>0</v>
      </c>
      <c r="AB629" s="143">
        <f t="shared" si="284"/>
        <v>0</v>
      </c>
      <c r="AC629" s="133">
        <f t="shared" si="285"/>
        <v>0</v>
      </c>
      <c r="AD629" s="142">
        <v>1</v>
      </c>
      <c r="AE629" s="141"/>
      <c r="AF629" s="121" t="s">
        <v>292</v>
      </c>
      <c r="AG629" s="146">
        <f>VLOOKUP(Takeoffs!AF629,Sheet1!$B$6:$C$124,2,FALSE)</f>
        <v>0</v>
      </c>
      <c r="AH629" s="146">
        <f t="shared" si="286"/>
        <v>0</v>
      </c>
      <c r="AI629" s="143">
        <f t="shared" si="287"/>
        <v>0</v>
      </c>
      <c r="AJ629" s="133">
        <f t="shared" si="288"/>
        <v>0</v>
      </c>
      <c r="AK629" s="142">
        <f>T629</f>
        <v>0</v>
      </c>
      <c r="AL629" s="141"/>
      <c r="AO629" s="286"/>
      <c r="AP629" s="284">
        <f t="shared" si="268"/>
        <v>0</v>
      </c>
      <c r="AQ629" s="281">
        <f t="shared" si="269"/>
        <v>0</v>
      </c>
      <c r="AR629" s="284">
        <f t="shared" si="270"/>
        <v>0</v>
      </c>
      <c r="AS629" s="281">
        <f t="shared" si="271"/>
        <v>0</v>
      </c>
      <c r="AT629" s="284">
        <f t="shared" si="272"/>
        <v>0</v>
      </c>
    </row>
    <row r="630" spans="1:46" s="114" customFormat="1" ht="30.9" x14ac:dyDescent="0.8">
      <c r="A630" s="262">
        <f>ROW()</f>
        <v>630</v>
      </c>
      <c r="C630" s="208"/>
      <c r="D630" s="208"/>
      <c r="E630" s="208"/>
      <c r="F630" s="208"/>
      <c r="G630" s="208"/>
      <c r="H630" s="208"/>
      <c r="J630" s="114" t="str">
        <f t="shared" si="289"/>
        <v/>
      </c>
      <c r="K630" s="114" t="str">
        <f>IF(COUNTBLANK(R630)&gt;0,"",CONCATENATE(R630," for ",N620))</f>
        <v/>
      </c>
      <c r="N630" s="123" t="s">
        <v>122</v>
      </c>
      <c r="O630" s="66"/>
      <c r="P630" s="121"/>
      <c r="Q630" s="66"/>
      <c r="R630" s="121"/>
      <c r="S630" s="133">
        <f>M620</f>
        <v>0</v>
      </c>
      <c r="T630" s="120"/>
      <c r="U630" s="121" t="s">
        <v>292</v>
      </c>
      <c r="V630" s="133">
        <f t="shared" si="282"/>
        <v>0</v>
      </c>
      <c r="W630" s="133">
        <f>VLOOKUP(U630,Sheet1!$B$6:$C$45,2,FALSE)*V630</f>
        <v>0</v>
      </c>
      <c r="X630" s="141"/>
      <c r="Y630" s="121" t="s">
        <v>292</v>
      </c>
      <c r="Z630" s="146">
        <f>VLOOKUP(Takeoffs!Y630,Sheet1!$B$6:$C$124,2,FALSE)</f>
        <v>0</v>
      </c>
      <c r="AA630" s="146">
        <f t="shared" si="283"/>
        <v>0</v>
      </c>
      <c r="AB630" s="143">
        <f t="shared" si="284"/>
        <v>0</v>
      </c>
      <c r="AC630" s="133">
        <f t="shared" si="285"/>
        <v>0</v>
      </c>
      <c r="AD630" s="142">
        <v>1</v>
      </c>
      <c r="AE630" s="141"/>
      <c r="AF630" s="121" t="s">
        <v>292</v>
      </c>
      <c r="AG630" s="146">
        <f>VLOOKUP(Takeoffs!AF630,Sheet1!$B$6:$C$124,2,FALSE)</f>
        <v>0</v>
      </c>
      <c r="AH630" s="146">
        <f t="shared" si="286"/>
        <v>0</v>
      </c>
      <c r="AI630" s="143">
        <f t="shared" si="287"/>
        <v>0</v>
      </c>
      <c r="AJ630" s="133">
        <f t="shared" si="288"/>
        <v>0</v>
      </c>
      <c r="AK630" s="142">
        <f>T630</f>
        <v>0</v>
      </c>
      <c r="AL630" s="141"/>
      <c r="AO630" s="286"/>
      <c r="AP630" s="284">
        <f t="shared" si="268"/>
        <v>0</v>
      </c>
      <c r="AQ630" s="281">
        <f t="shared" si="269"/>
        <v>0</v>
      </c>
      <c r="AR630" s="284">
        <f t="shared" si="270"/>
        <v>0</v>
      </c>
      <c r="AS630" s="281">
        <f t="shared" si="271"/>
        <v>0</v>
      </c>
      <c r="AT630" s="284">
        <f t="shared" si="272"/>
        <v>0</v>
      </c>
    </row>
    <row r="631" spans="1:46" s="114" customFormat="1" ht="30.9" x14ac:dyDescent="0.8">
      <c r="A631" s="262">
        <f>ROW()</f>
        <v>631</v>
      </c>
      <c r="C631" s="208"/>
      <c r="D631" s="208"/>
      <c r="E631" s="208"/>
      <c r="F631" s="208"/>
      <c r="G631" s="208"/>
      <c r="H631" s="208"/>
      <c r="J631" s="114" t="str">
        <f t="shared" si="289"/>
        <v/>
      </c>
      <c r="K631" s="114" t="str">
        <f>IF(COUNTBLANK(R631)&gt;0,"",CONCATENATE(R631," for ",N620))</f>
        <v/>
      </c>
      <c r="N631" s="123" t="s">
        <v>123</v>
      </c>
      <c r="O631" s="66"/>
      <c r="P631" s="121"/>
      <c r="Q631" s="66"/>
      <c r="R631" s="121"/>
      <c r="S631" s="133">
        <f>M620</f>
        <v>0</v>
      </c>
      <c r="T631" s="120"/>
      <c r="U631" s="121" t="s">
        <v>292</v>
      </c>
      <c r="V631" s="133">
        <f t="shared" si="282"/>
        <v>0</v>
      </c>
      <c r="W631" s="133">
        <f>VLOOKUP(U631,Sheet1!$B$6:$C$45,2,FALSE)*V631</f>
        <v>0</v>
      </c>
      <c r="X631" s="141"/>
      <c r="Y631" s="121" t="s">
        <v>292</v>
      </c>
      <c r="Z631" s="146">
        <f>VLOOKUP(Takeoffs!Y631,Sheet1!$B$6:$C$124,2,FALSE)</f>
        <v>0</v>
      </c>
      <c r="AA631" s="146">
        <f t="shared" si="283"/>
        <v>0</v>
      </c>
      <c r="AB631" s="143">
        <f t="shared" si="284"/>
        <v>0</v>
      </c>
      <c r="AC631" s="133">
        <f t="shared" si="285"/>
        <v>0</v>
      </c>
      <c r="AD631" s="142">
        <v>1</v>
      </c>
      <c r="AE631" s="141"/>
      <c r="AF631" s="121" t="s">
        <v>292</v>
      </c>
      <c r="AG631" s="146">
        <f>VLOOKUP(Takeoffs!AF631,Sheet1!$B$6:$C$124,2,FALSE)</f>
        <v>0</v>
      </c>
      <c r="AH631" s="146">
        <f t="shared" si="286"/>
        <v>0</v>
      </c>
      <c r="AI631" s="143">
        <f t="shared" si="287"/>
        <v>0</v>
      </c>
      <c r="AJ631" s="133">
        <f t="shared" si="288"/>
        <v>0</v>
      </c>
      <c r="AK631" s="142">
        <v>0</v>
      </c>
      <c r="AL631" s="141"/>
      <c r="AO631" s="286"/>
      <c r="AP631" s="284">
        <f t="shared" si="268"/>
        <v>0</v>
      </c>
      <c r="AQ631" s="281">
        <f t="shared" si="269"/>
        <v>0</v>
      </c>
      <c r="AR631" s="284">
        <f t="shared" si="270"/>
        <v>0</v>
      </c>
      <c r="AS631" s="281">
        <f t="shared" si="271"/>
        <v>0</v>
      </c>
      <c r="AT631" s="284">
        <f t="shared" si="272"/>
        <v>0</v>
      </c>
    </row>
    <row r="632" spans="1:46" s="114" customFormat="1" ht="30.9" x14ac:dyDescent="0.8">
      <c r="A632" s="262">
        <f>ROW()</f>
        <v>632</v>
      </c>
      <c r="C632" s="208"/>
      <c r="D632" s="208"/>
      <c r="E632" s="208"/>
      <c r="F632" s="208"/>
      <c r="G632" s="208"/>
      <c r="H632" s="208"/>
      <c r="J632" s="114" t="str">
        <f t="shared" si="289"/>
        <v/>
      </c>
      <c r="K632" s="114" t="str">
        <f>IF(COUNTBLANK(R632)&gt;0,"",CONCATENATE(R632," for ",N620))</f>
        <v/>
      </c>
      <c r="N632" s="123" t="s">
        <v>124</v>
      </c>
      <c r="O632" s="66"/>
      <c r="P632" s="121"/>
      <c r="Q632" s="66"/>
      <c r="R632" s="121"/>
      <c r="S632" s="133">
        <f>M620</f>
        <v>0</v>
      </c>
      <c r="T632" s="120"/>
      <c r="U632" s="121" t="s">
        <v>292</v>
      </c>
      <c r="V632" s="133">
        <f t="shared" si="282"/>
        <v>0</v>
      </c>
      <c r="W632" s="133">
        <f>VLOOKUP(U632,Sheet1!$B$6:$C$45,2,FALSE)*V632</f>
        <v>0</v>
      </c>
      <c r="X632" s="141"/>
      <c r="Y632" s="121" t="s">
        <v>292</v>
      </c>
      <c r="Z632" s="146">
        <f>VLOOKUP(Takeoffs!Y632,Sheet1!$B$6:$C$124,2,FALSE)</f>
        <v>0</v>
      </c>
      <c r="AA632" s="146">
        <f t="shared" si="283"/>
        <v>0</v>
      </c>
      <c r="AB632" s="143">
        <f t="shared" si="284"/>
        <v>0</v>
      </c>
      <c r="AC632" s="133">
        <f t="shared" si="285"/>
        <v>0</v>
      </c>
      <c r="AD632" s="142">
        <v>1</v>
      </c>
      <c r="AE632" s="141"/>
      <c r="AF632" s="121" t="s">
        <v>292</v>
      </c>
      <c r="AG632" s="146">
        <f>VLOOKUP(Takeoffs!AF632,Sheet1!$B$6:$C$124,2,FALSE)</f>
        <v>0</v>
      </c>
      <c r="AH632" s="146">
        <f t="shared" si="286"/>
        <v>0</v>
      </c>
      <c r="AI632" s="143">
        <f t="shared" si="287"/>
        <v>0</v>
      </c>
      <c r="AJ632" s="133">
        <f t="shared" si="288"/>
        <v>0</v>
      </c>
      <c r="AK632" s="142">
        <v>0</v>
      </c>
      <c r="AL632" s="141"/>
      <c r="AO632" s="286"/>
      <c r="AP632" s="284">
        <f t="shared" si="268"/>
        <v>0</v>
      </c>
      <c r="AQ632" s="281">
        <f t="shared" si="269"/>
        <v>0</v>
      </c>
      <c r="AR632" s="284">
        <f t="shared" si="270"/>
        <v>0</v>
      </c>
      <c r="AS632" s="281">
        <f t="shared" si="271"/>
        <v>0</v>
      </c>
      <c r="AT632" s="284">
        <f t="shared" si="272"/>
        <v>0</v>
      </c>
    </row>
    <row r="633" spans="1:46" s="114" customFormat="1" ht="30.9" x14ac:dyDescent="0.8">
      <c r="A633" s="262">
        <f>ROW()</f>
        <v>633</v>
      </c>
      <c r="C633" s="208"/>
      <c r="D633" s="208"/>
      <c r="E633" s="208"/>
      <c r="F633" s="208"/>
      <c r="G633" s="208"/>
      <c r="H633" s="208"/>
      <c r="J633" s="114" t="str">
        <f t="shared" si="289"/>
        <v/>
      </c>
      <c r="K633" s="114" t="str">
        <f>IF(COUNTBLANK(R633)&gt;0,"",CONCATENATE(R633," for ",N620))</f>
        <v/>
      </c>
      <c r="N633" s="123" t="s">
        <v>125</v>
      </c>
      <c r="O633" s="66"/>
      <c r="P633" s="121"/>
      <c r="Q633" s="66"/>
      <c r="R633" s="121"/>
      <c r="S633" s="133">
        <f>M620</f>
        <v>0</v>
      </c>
      <c r="T633" s="120"/>
      <c r="U633" s="121" t="s">
        <v>292</v>
      </c>
      <c r="V633" s="133">
        <f t="shared" si="282"/>
        <v>0</v>
      </c>
      <c r="W633" s="133">
        <f>VLOOKUP(U633,Sheet1!$B$6:$C$45,2,FALSE)*V633</f>
        <v>0</v>
      </c>
      <c r="X633" s="141"/>
      <c r="Y633" s="121" t="s">
        <v>292</v>
      </c>
      <c r="Z633" s="146">
        <f>VLOOKUP(Takeoffs!Y633,Sheet1!$B$6:$C$124,2,FALSE)</f>
        <v>0</v>
      </c>
      <c r="AA633" s="146">
        <f t="shared" si="283"/>
        <v>0</v>
      </c>
      <c r="AB633" s="143">
        <f t="shared" si="284"/>
        <v>0</v>
      </c>
      <c r="AC633" s="133">
        <f t="shared" si="285"/>
        <v>0</v>
      </c>
      <c r="AD633" s="142">
        <v>1</v>
      </c>
      <c r="AE633" s="141"/>
      <c r="AF633" s="121" t="s">
        <v>292</v>
      </c>
      <c r="AG633" s="146">
        <f>VLOOKUP(Takeoffs!AF633,Sheet1!$B$6:$C$124,2,FALSE)</f>
        <v>0</v>
      </c>
      <c r="AH633" s="146">
        <f t="shared" si="286"/>
        <v>0</v>
      </c>
      <c r="AI633" s="143">
        <f t="shared" si="287"/>
        <v>0</v>
      </c>
      <c r="AJ633" s="133">
        <f t="shared" si="288"/>
        <v>0</v>
      </c>
      <c r="AK633" s="142">
        <f t="shared" ref="AK633:AK640" si="290">T633</f>
        <v>0</v>
      </c>
      <c r="AL633" s="141"/>
      <c r="AO633" s="286"/>
      <c r="AP633" s="284">
        <f t="shared" si="268"/>
        <v>0</v>
      </c>
      <c r="AQ633" s="281">
        <f t="shared" si="269"/>
        <v>0</v>
      </c>
      <c r="AR633" s="284">
        <f t="shared" si="270"/>
        <v>0</v>
      </c>
      <c r="AS633" s="281">
        <f t="shared" si="271"/>
        <v>0</v>
      </c>
      <c r="AT633" s="284">
        <f t="shared" si="272"/>
        <v>0</v>
      </c>
    </row>
    <row r="634" spans="1:46" s="114" customFormat="1" ht="30.9" x14ac:dyDescent="0.8">
      <c r="A634" s="262">
        <f>ROW()</f>
        <v>634</v>
      </c>
      <c r="C634" s="208"/>
      <c r="D634" s="208"/>
      <c r="E634" s="208"/>
      <c r="F634" s="208"/>
      <c r="G634" s="208"/>
      <c r="H634" s="208"/>
      <c r="J634" s="114" t="str">
        <f t="shared" si="289"/>
        <v/>
      </c>
      <c r="K634" s="114" t="str">
        <f>IF(COUNTBLANK(R634)&gt;0,"",CONCATENATE(R634," for ",N620))</f>
        <v/>
      </c>
      <c r="N634" s="123" t="s">
        <v>126</v>
      </c>
      <c r="O634" s="66"/>
      <c r="P634" s="121"/>
      <c r="Q634" s="66"/>
      <c r="R634" s="121"/>
      <c r="S634" s="133">
        <f>M620</f>
        <v>0</v>
      </c>
      <c r="T634" s="120"/>
      <c r="U634" s="121" t="s">
        <v>292</v>
      </c>
      <c r="V634" s="133">
        <f t="shared" si="282"/>
        <v>0</v>
      </c>
      <c r="W634" s="133">
        <f>VLOOKUP(U634,Sheet1!$B$6:$C$45,2,FALSE)*V634</f>
        <v>0</v>
      </c>
      <c r="X634" s="141"/>
      <c r="Y634" s="121" t="s">
        <v>292</v>
      </c>
      <c r="Z634" s="146">
        <f>VLOOKUP(Takeoffs!Y634,Sheet1!$B$6:$C$124,2,FALSE)</f>
        <v>0</v>
      </c>
      <c r="AA634" s="146">
        <f t="shared" si="283"/>
        <v>0</v>
      </c>
      <c r="AB634" s="143">
        <f t="shared" si="284"/>
        <v>0</v>
      </c>
      <c r="AC634" s="133">
        <f t="shared" si="285"/>
        <v>0</v>
      </c>
      <c r="AD634" s="142">
        <v>1</v>
      </c>
      <c r="AE634" s="141"/>
      <c r="AF634" s="121" t="s">
        <v>292</v>
      </c>
      <c r="AG634" s="146">
        <f>VLOOKUP(Takeoffs!AF634,Sheet1!$B$6:$C$124,2,FALSE)</f>
        <v>0</v>
      </c>
      <c r="AH634" s="146">
        <f t="shared" si="286"/>
        <v>0</v>
      </c>
      <c r="AI634" s="143">
        <f t="shared" si="287"/>
        <v>0</v>
      </c>
      <c r="AJ634" s="133">
        <f t="shared" si="288"/>
        <v>0</v>
      </c>
      <c r="AK634" s="142">
        <f t="shared" si="290"/>
        <v>0</v>
      </c>
      <c r="AL634" s="141"/>
      <c r="AO634" s="286"/>
      <c r="AP634" s="284">
        <f t="shared" si="268"/>
        <v>0</v>
      </c>
      <c r="AQ634" s="281">
        <f t="shared" si="269"/>
        <v>0</v>
      </c>
      <c r="AR634" s="284">
        <f t="shared" si="270"/>
        <v>0</v>
      </c>
      <c r="AS634" s="281">
        <f t="shared" si="271"/>
        <v>0</v>
      </c>
      <c r="AT634" s="284">
        <f t="shared" si="272"/>
        <v>0</v>
      </c>
    </row>
    <row r="635" spans="1:46" s="114" customFormat="1" ht="30.9" x14ac:dyDescent="0.8">
      <c r="A635" s="262">
        <f>ROW()</f>
        <v>635</v>
      </c>
      <c r="C635" s="208"/>
      <c r="D635" s="208"/>
      <c r="E635" s="208"/>
      <c r="F635" s="208"/>
      <c r="G635" s="208"/>
      <c r="H635" s="208"/>
      <c r="J635" s="114" t="str">
        <f t="shared" si="289"/>
        <v/>
      </c>
      <c r="K635" s="114" t="str">
        <f>IF(COUNTBLANK(R635)&gt;0,"",CONCATENATE(R635," for ",N620))</f>
        <v/>
      </c>
      <c r="N635" s="123" t="s">
        <v>127</v>
      </c>
      <c r="O635" s="66"/>
      <c r="P635" s="121"/>
      <c r="Q635" s="66"/>
      <c r="R635" s="121"/>
      <c r="S635" s="133">
        <f>M620</f>
        <v>0</v>
      </c>
      <c r="T635" s="120"/>
      <c r="U635" s="121" t="s">
        <v>292</v>
      </c>
      <c r="V635" s="133">
        <f t="shared" si="282"/>
        <v>0</v>
      </c>
      <c r="W635" s="133">
        <f>VLOOKUP(U635,Sheet1!$B$6:$C$45,2,FALSE)*V635</f>
        <v>0</v>
      </c>
      <c r="X635" s="141"/>
      <c r="Y635" s="121" t="s">
        <v>292</v>
      </c>
      <c r="Z635" s="146">
        <f>VLOOKUP(Takeoffs!Y635,Sheet1!$B$6:$C$124,2,FALSE)</f>
        <v>0</v>
      </c>
      <c r="AA635" s="146">
        <f t="shared" si="283"/>
        <v>0</v>
      </c>
      <c r="AB635" s="143">
        <f t="shared" si="284"/>
        <v>0</v>
      </c>
      <c r="AC635" s="133">
        <f t="shared" si="285"/>
        <v>0</v>
      </c>
      <c r="AD635" s="142">
        <v>2</v>
      </c>
      <c r="AE635" s="141"/>
      <c r="AF635" s="121" t="s">
        <v>292</v>
      </c>
      <c r="AG635" s="146">
        <f>VLOOKUP(Takeoffs!AF635,Sheet1!$B$6:$C$124,2,FALSE)</f>
        <v>0</v>
      </c>
      <c r="AH635" s="146">
        <f t="shared" si="286"/>
        <v>0</v>
      </c>
      <c r="AI635" s="143">
        <f t="shared" si="287"/>
        <v>0</v>
      </c>
      <c r="AJ635" s="133">
        <f t="shared" si="288"/>
        <v>0</v>
      </c>
      <c r="AK635" s="142">
        <f t="shared" si="290"/>
        <v>0</v>
      </c>
      <c r="AL635" s="141"/>
      <c r="AO635" s="286"/>
      <c r="AP635" s="284">
        <f t="shared" si="268"/>
        <v>0</v>
      </c>
      <c r="AQ635" s="281">
        <f t="shared" si="269"/>
        <v>0</v>
      </c>
      <c r="AR635" s="284">
        <f t="shared" si="270"/>
        <v>0</v>
      </c>
      <c r="AS635" s="281">
        <f t="shared" si="271"/>
        <v>0</v>
      </c>
      <c r="AT635" s="284">
        <f t="shared" si="272"/>
        <v>0</v>
      </c>
    </row>
    <row r="636" spans="1:46" s="114" customFormat="1" ht="30.9" x14ac:dyDescent="0.8">
      <c r="A636" s="262">
        <f>ROW()</f>
        <v>636</v>
      </c>
      <c r="C636" s="208"/>
      <c r="D636" s="208"/>
      <c r="E636" s="208"/>
      <c r="F636" s="208"/>
      <c r="G636" s="208"/>
      <c r="H636" s="208"/>
      <c r="J636" s="114" t="str">
        <f t="shared" si="289"/>
        <v/>
      </c>
      <c r="K636" s="114" t="str">
        <f>IF(COUNTBLANK(R636)&gt;0,"",CONCATENATE(R636," for ",N620))</f>
        <v/>
      </c>
      <c r="N636" s="123" t="s">
        <v>128</v>
      </c>
      <c r="O636" s="66"/>
      <c r="P636" s="121"/>
      <c r="Q636" s="66"/>
      <c r="R636" s="121"/>
      <c r="S636" s="133">
        <f>M620</f>
        <v>0</v>
      </c>
      <c r="T636" s="120"/>
      <c r="U636" s="121" t="s">
        <v>292</v>
      </c>
      <c r="V636" s="133">
        <f t="shared" si="282"/>
        <v>0</v>
      </c>
      <c r="W636" s="133">
        <f>VLOOKUP(U636,Sheet1!$B$6:$C$45,2,FALSE)*V636</f>
        <v>0</v>
      </c>
      <c r="X636" s="141"/>
      <c r="Y636" s="121" t="s">
        <v>292</v>
      </c>
      <c r="Z636" s="146">
        <f>VLOOKUP(Takeoffs!Y636,Sheet1!$B$6:$C$124,2,FALSE)</f>
        <v>0</v>
      </c>
      <c r="AA636" s="146">
        <f t="shared" si="283"/>
        <v>0</v>
      </c>
      <c r="AB636" s="143">
        <f t="shared" si="284"/>
        <v>0</v>
      </c>
      <c r="AC636" s="133">
        <f t="shared" si="285"/>
        <v>0</v>
      </c>
      <c r="AD636" s="142">
        <v>1</v>
      </c>
      <c r="AE636" s="141"/>
      <c r="AF636" s="121" t="s">
        <v>292</v>
      </c>
      <c r="AG636" s="146">
        <f>VLOOKUP(Takeoffs!AF636,Sheet1!$B$6:$C$124,2,FALSE)</f>
        <v>0</v>
      </c>
      <c r="AH636" s="146">
        <f t="shared" si="286"/>
        <v>0</v>
      </c>
      <c r="AI636" s="143">
        <f t="shared" si="287"/>
        <v>0</v>
      </c>
      <c r="AJ636" s="133">
        <f t="shared" si="288"/>
        <v>0</v>
      </c>
      <c r="AK636" s="142">
        <f t="shared" si="290"/>
        <v>0</v>
      </c>
      <c r="AL636" s="141"/>
      <c r="AO636" s="286"/>
      <c r="AP636" s="284">
        <f t="shared" si="268"/>
        <v>0</v>
      </c>
      <c r="AQ636" s="281">
        <f t="shared" si="269"/>
        <v>0</v>
      </c>
      <c r="AR636" s="284">
        <f t="shared" si="270"/>
        <v>0</v>
      </c>
      <c r="AS636" s="281">
        <f t="shared" si="271"/>
        <v>0</v>
      </c>
      <c r="AT636" s="284">
        <f t="shared" si="272"/>
        <v>0</v>
      </c>
    </row>
    <row r="637" spans="1:46" s="114" customFormat="1" ht="30.9" x14ac:dyDescent="0.8">
      <c r="A637" s="262">
        <f>ROW()</f>
        <v>637</v>
      </c>
      <c r="C637" s="208"/>
      <c r="D637" s="208"/>
      <c r="E637" s="208"/>
      <c r="F637" s="208"/>
      <c r="G637" s="208"/>
      <c r="H637" s="208"/>
      <c r="J637" s="114" t="str">
        <f t="shared" si="289"/>
        <v/>
      </c>
      <c r="K637" s="114" t="str">
        <f>IF(COUNTBLANK(R637)&gt;0,"",CONCATENATE(R637," for ",N620))</f>
        <v/>
      </c>
      <c r="N637" s="123" t="s">
        <v>129</v>
      </c>
      <c r="O637" s="66"/>
      <c r="P637" s="121"/>
      <c r="Q637" s="66"/>
      <c r="R637" s="121"/>
      <c r="S637" s="133">
        <f>M620</f>
        <v>0</v>
      </c>
      <c r="T637" s="120"/>
      <c r="U637" s="121" t="s">
        <v>292</v>
      </c>
      <c r="V637" s="133">
        <f t="shared" si="282"/>
        <v>0</v>
      </c>
      <c r="W637" s="133">
        <f>VLOOKUP(U637,Sheet1!$B$6:$C$45,2,FALSE)*V637</f>
        <v>0</v>
      </c>
      <c r="X637" s="141"/>
      <c r="Y637" s="121" t="s">
        <v>292</v>
      </c>
      <c r="Z637" s="146">
        <f>VLOOKUP(Takeoffs!Y637,Sheet1!$B$6:$C$124,2,FALSE)</f>
        <v>0</v>
      </c>
      <c r="AA637" s="146">
        <f t="shared" si="283"/>
        <v>0</v>
      </c>
      <c r="AB637" s="143">
        <f t="shared" si="284"/>
        <v>0</v>
      </c>
      <c r="AC637" s="133">
        <f t="shared" si="285"/>
        <v>0</v>
      </c>
      <c r="AD637" s="142">
        <v>1</v>
      </c>
      <c r="AE637" s="141"/>
      <c r="AF637" s="121" t="s">
        <v>292</v>
      </c>
      <c r="AG637" s="146">
        <f>VLOOKUP(Takeoffs!AF637,Sheet1!$B$6:$C$124,2,FALSE)</f>
        <v>0</v>
      </c>
      <c r="AH637" s="146">
        <f t="shared" si="286"/>
        <v>0</v>
      </c>
      <c r="AI637" s="143">
        <f t="shared" si="287"/>
        <v>0</v>
      </c>
      <c r="AJ637" s="133">
        <f t="shared" si="288"/>
        <v>0</v>
      </c>
      <c r="AK637" s="142">
        <f t="shared" si="290"/>
        <v>0</v>
      </c>
      <c r="AL637" s="141"/>
      <c r="AO637" s="286"/>
      <c r="AP637" s="284">
        <f t="shared" si="268"/>
        <v>0</v>
      </c>
      <c r="AQ637" s="281">
        <f t="shared" si="269"/>
        <v>0</v>
      </c>
      <c r="AR637" s="284">
        <f t="shared" si="270"/>
        <v>0</v>
      </c>
      <c r="AS637" s="281">
        <f t="shared" si="271"/>
        <v>0</v>
      </c>
      <c r="AT637" s="284">
        <f t="shared" si="272"/>
        <v>0</v>
      </c>
    </row>
    <row r="638" spans="1:46" s="114" customFormat="1" ht="30.9" x14ac:dyDescent="0.8">
      <c r="A638" s="262">
        <f>ROW()</f>
        <v>638</v>
      </c>
      <c r="C638" s="208"/>
      <c r="D638" s="208"/>
      <c r="E638" s="208"/>
      <c r="F638" s="208"/>
      <c r="G638" s="208"/>
      <c r="H638" s="208"/>
      <c r="J638" s="114" t="str">
        <f t="shared" si="289"/>
        <v/>
      </c>
      <c r="K638" s="114" t="str">
        <f>IF(COUNTBLANK(R638)&gt;0,"",CONCATENATE(R638," for ",N620))</f>
        <v/>
      </c>
      <c r="N638" s="123" t="s">
        <v>130</v>
      </c>
      <c r="O638" s="66"/>
      <c r="P638" s="121"/>
      <c r="Q638" s="66"/>
      <c r="R638" s="121"/>
      <c r="S638" s="133">
        <f>M620</f>
        <v>0</v>
      </c>
      <c r="T638" s="120"/>
      <c r="U638" s="121" t="s">
        <v>292</v>
      </c>
      <c r="V638" s="133">
        <f t="shared" si="282"/>
        <v>0</v>
      </c>
      <c r="W638" s="133">
        <f>VLOOKUP(U638,Sheet1!$B$6:$C$45,2,FALSE)*V638</f>
        <v>0</v>
      </c>
      <c r="X638" s="141"/>
      <c r="Y638" s="121" t="s">
        <v>292</v>
      </c>
      <c r="Z638" s="146">
        <f>VLOOKUP(Takeoffs!Y638,Sheet1!$B$6:$C$124,2,FALSE)</f>
        <v>0</v>
      </c>
      <c r="AA638" s="146">
        <f t="shared" si="283"/>
        <v>0</v>
      </c>
      <c r="AB638" s="143">
        <f t="shared" si="284"/>
        <v>0</v>
      </c>
      <c r="AC638" s="133">
        <f t="shared" si="285"/>
        <v>0</v>
      </c>
      <c r="AD638" s="142">
        <v>1</v>
      </c>
      <c r="AE638" s="141"/>
      <c r="AF638" s="121" t="s">
        <v>292</v>
      </c>
      <c r="AG638" s="146">
        <f>VLOOKUP(Takeoffs!AF638,Sheet1!$B$6:$C$124,2,FALSE)</f>
        <v>0</v>
      </c>
      <c r="AH638" s="146">
        <f t="shared" si="286"/>
        <v>0</v>
      </c>
      <c r="AI638" s="143">
        <f t="shared" si="287"/>
        <v>0</v>
      </c>
      <c r="AJ638" s="133">
        <f t="shared" si="288"/>
        <v>0</v>
      </c>
      <c r="AK638" s="142">
        <f t="shared" si="290"/>
        <v>0</v>
      </c>
      <c r="AL638" s="141"/>
      <c r="AO638" s="286"/>
      <c r="AP638" s="284">
        <f t="shared" si="268"/>
        <v>0</v>
      </c>
      <c r="AQ638" s="281">
        <f t="shared" si="269"/>
        <v>0</v>
      </c>
      <c r="AR638" s="284">
        <f t="shared" si="270"/>
        <v>0</v>
      </c>
      <c r="AS638" s="281">
        <f t="shared" si="271"/>
        <v>0</v>
      </c>
      <c r="AT638" s="284">
        <f t="shared" si="272"/>
        <v>0</v>
      </c>
    </row>
    <row r="639" spans="1:46" s="114" customFormat="1" ht="30.9" x14ac:dyDescent="0.8">
      <c r="A639" s="262">
        <f>ROW()</f>
        <v>639</v>
      </c>
      <c r="C639" s="208"/>
      <c r="D639" s="208"/>
      <c r="E639" s="208"/>
      <c r="F639" s="208"/>
      <c r="G639" s="208"/>
      <c r="H639" s="208"/>
      <c r="J639" s="114" t="str">
        <f t="shared" si="289"/>
        <v/>
      </c>
      <c r="K639" s="114" t="str">
        <f>IF(COUNTBLANK(R639)&gt;0,"",CONCATENATE(R639," for ",N620))</f>
        <v/>
      </c>
      <c r="N639" s="123" t="s">
        <v>131</v>
      </c>
      <c r="O639" s="66"/>
      <c r="P639" s="121"/>
      <c r="Q639" s="66"/>
      <c r="R639" s="121"/>
      <c r="S639" s="133">
        <f>M620</f>
        <v>0</v>
      </c>
      <c r="T639" s="120"/>
      <c r="U639" s="121" t="s">
        <v>292</v>
      </c>
      <c r="V639" s="133">
        <f t="shared" si="282"/>
        <v>0</v>
      </c>
      <c r="W639" s="133">
        <f>VLOOKUP(U639,Sheet1!$B$6:$C$45,2,FALSE)*V639</f>
        <v>0</v>
      </c>
      <c r="X639" s="141"/>
      <c r="Y639" s="121" t="s">
        <v>292</v>
      </c>
      <c r="Z639" s="146">
        <f>VLOOKUP(Takeoffs!Y639,Sheet1!$B$6:$C$124,2,FALSE)</f>
        <v>0</v>
      </c>
      <c r="AA639" s="146">
        <f t="shared" si="283"/>
        <v>0</v>
      </c>
      <c r="AB639" s="143">
        <f t="shared" si="284"/>
        <v>0</v>
      </c>
      <c r="AC639" s="133">
        <f t="shared" si="285"/>
        <v>0</v>
      </c>
      <c r="AD639" s="142">
        <v>1</v>
      </c>
      <c r="AE639" s="141"/>
      <c r="AF639" s="121" t="s">
        <v>292</v>
      </c>
      <c r="AG639" s="146">
        <f>VLOOKUP(Takeoffs!AF639,Sheet1!$B$6:$C$124,2,FALSE)</f>
        <v>0</v>
      </c>
      <c r="AH639" s="146">
        <f t="shared" si="286"/>
        <v>0</v>
      </c>
      <c r="AI639" s="143">
        <f t="shared" si="287"/>
        <v>0</v>
      </c>
      <c r="AJ639" s="133">
        <f t="shared" si="288"/>
        <v>0</v>
      </c>
      <c r="AK639" s="142">
        <f t="shared" si="290"/>
        <v>0</v>
      </c>
      <c r="AL639" s="141"/>
      <c r="AO639" s="286"/>
      <c r="AP639" s="284">
        <f t="shared" si="268"/>
        <v>0</v>
      </c>
      <c r="AQ639" s="281">
        <f t="shared" si="269"/>
        <v>0</v>
      </c>
      <c r="AR639" s="284">
        <f t="shared" si="270"/>
        <v>0</v>
      </c>
      <c r="AS639" s="281">
        <f t="shared" si="271"/>
        <v>0</v>
      </c>
      <c r="AT639" s="284">
        <f t="shared" si="272"/>
        <v>0</v>
      </c>
    </row>
    <row r="640" spans="1:46" s="114" customFormat="1" ht="30.9" x14ac:dyDescent="0.8">
      <c r="A640" s="262">
        <f>ROW()</f>
        <v>640</v>
      </c>
      <c r="C640" s="208"/>
      <c r="D640" s="208"/>
      <c r="E640" s="208"/>
      <c r="F640" s="208"/>
      <c r="G640" s="208"/>
      <c r="H640" s="208"/>
      <c r="J640" s="114" t="str">
        <f t="shared" si="289"/>
        <v/>
      </c>
      <c r="K640" s="114" t="str">
        <f>IF(COUNTBLANK(R640)&gt;0,"",CONCATENATE(R640," for ",N620))</f>
        <v/>
      </c>
      <c r="N640" s="123" t="s">
        <v>132</v>
      </c>
      <c r="O640" s="66" t="s">
        <v>408</v>
      </c>
      <c r="P640" s="121"/>
      <c r="Q640" s="66"/>
      <c r="R640" s="121"/>
      <c r="S640" s="133">
        <f>M620</f>
        <v>0</v>
      </c>
      <c r="T640" s="120"/>
      <c r="U640" s="121" t="s">
        <v>292</v>
      </c>
      <c r="V640" s="133">
        <f t="shared" si="282"/>
        <v>0</v>
      </c>
      <c r="W640" s="133">
        <f>VLOOKUP(U640,Sheet1!$B$6:$C$45,2,FALSE)*V640</f>
        <v>0</v>
      </c>
      <c r="X640" s="141"/>
      <c r="Y640" s="121" t="s">
        <v>292</v>
      </c>
      <c r="Z640" s="146">
        <f>VLOOKUP(Takeoffs!Y640,Sheet1!$B$6:$C$124,2,FALSE)</f>
        <v>0</v>
      </c>
      <c r="AA640" s="146">
        <f t="shared" si="283"/>
        <v>0</v>
      </c>
      <c r="AB640" s="143">
        <f t="shared" si="284"/>
        <v>0</v>
      </c>
      <c r="AC640" s="133">
        <f t="shared" si="285"/>
        <v>0</v>
      </c>
      <c r="AD640" s="142">
        <v>1</v>
      </c>
      <c r="AE640" s="141"/>
      <c r="AF640" s="121" t="s">
        <v>292</v>
      </c>
      <c r="AG640" s="146">
        <f>VLOOKUP(Takeoffs!AF640,Sheet1!$B$6:$C$124,2,FALSE)</f>
        <v>0</v>
      </c>
      <c r="AH640" s="146">
        <f t="shared" si="286"/>
        <v>0</v>
      </c>
      <c r="AI640" s="143">
        <f t="shared" si="287"/>
        <v>0</v>
      </c>
      <c r="AJ640" s="133">
        <f t="shared" si="288"/>
        <v>0</v>
      </c>
      <c r="AK640" s="142">
        <f t="shared" si="290"/>
        <v>0</v>
      </c>
      <c r="AL640" s="141"/>
      <c r="AO640" s="286"/>
      <c r="AP640" s="284">
        <f t="shared" si="268"/>
        <v>0</v>
      </c>
      <c r="AQ640" s="281">
        <f t="shared" si="269"/>
        <v>0</v>
      </c>
      <c r="AR640" s="284">
        <f t="shared" si="270"/>
        <v>0</v>
      </c>
      <c r="AS640" s="281">
        <f t="shared" si="271"/>
        <v>0</v>
      </c>
      <c r="AT640" s="284">
        <f t="shared" si="272"/>
        <v>0</v>
      </c>
    </row>
    <row r="641" spans="1:97" s="128" customFormat="1" ht="32.25" customHeight="1" thickBot="1" x14ac:dyDescent="0.85">
      <c r="A641" s="262">
        <f>ROW()</f>
        <v>641</v>
      </c>
      <c r="C641" s="212"/>
      <c r="D641" s="212"/>
      <c r="E641" s="212"/>
      <c r="F641" s="212"/>
      <c r="G641" s="212"/>
      <c r="H641" s="212"/>
      <c r="J641" s="128" t="s">
        <v>377</v>
      </c>
      <c r="L641" s="128" t="s">
        <v>378</v>
      </c>
      <c r="N641" s="129"/>
      <c r="O641" s="130" t="s">
        <v>357</v>
      </c>
      <c r="P641" s="155">
        <f>V641+AA641+AH641</f>
        <v>0</v>
      </c>
      <c r="Q641" s="155"/>
      <c r="R641" s="131"/>
      <c r="S641" s="130"/>
      <c r="T641" s="127"/>
      <c r="U641" s="126" t="s">
        <v>351</v>
      </c>
      <c r="V641" s="127">
        <f>W641*80</f>
        <v>0</v>
      </c>
      <c r="W641" s="147">
        <f>SUM(W620:W640)</f>
        <v>0</v>
      </c>
      <c r="X641" s="148"/>
      <c r="Y641" s="127" t="s">
        <v>352</v>
      </c>
      <c r="Z641" s="116"/>
      <c r="AA641" s="116">
        <f>SUM(AA620:AA640)</f>
        <v>0</v>
      </c>
      <c r="AB641" s="149"/>
      <c r="AC641" s="149"/>
      <c r="AD641" s="149"/>
      <c r="AE641" s="149"/>
      <c r="AF641" s="127" t="s">
        <v>356</v>
      </c>
      <c r="AG641" s="116"/>
      <c r="AH641" s="116">
        <f>SUM(AH620:AH640)</f>
        <v>0</v>
      </c>
      <c r="AI641" s="149"/>
      <c r="AJ641" s="149"/>
      <c r="AK641" s="149"/>
      <c r="AL641" s="149"/>
      <c r="AM641" s="150">
        <f>P641</f>
        <v>0</v>
      </c>
      <c r="AO641" s="286"/>
      <c r="AP641" s="284">
        <f t="shared" si="268"/>
        <v>0</v>
      </c>
      <c r="AQ641" s="281">
        <f t="shared" si="269"/>
        <v>0</v>
      </c>
      <c r="AR641" s="284">
        <f t="shared" si="270"/>
        <v>0</v>
      </c>
      <c r="AS641" s="281">
        <f t="shared" si="271"/>
        <v>0</v>
      </c>
      <c r="AT641" s="284">
        <f t="shared" si="272"/>
        <v>0</v>
      </c>
    </row>
    <row r="642" spans="1:97" s="234" customFormat="1" ht="96.45" thickBot="1" x14ac:dyDescent="1.25">
      <c r="A642" s="262">
        <f>ROW()</f>
        <v>642</v>
      </c>
      <c r="B642" s="234" t="s">
        <v>491</v>
      </c>
      <c r="C642" s="217" t="str">
        <f>N620</f>
        <v>DOL fan from local power supply</v>
      </c>
      <c r="D642" s="260" t="str">
        <f>IF(B642="Shopping List",IF(ISNUMBER(SEARCH("MSSB",C642)),"MSSB",IF(ISNUMBER(SEARCH("local",C642)),"LOCAL","")))</f>
        <v>LOCAL</v>
      </c>
      <c r="E642" s="238"/>
      <c r="F642" s="217"/>
      <c r="G642" s="217"/>
      <c r="H642" s="245"/>
      <c r="I642" s="270"/>
      <c r="J642" s="241" t="str">
        <f>CONCATENATE(O620," ",L620, " (",M620,") ",N620,".", IF(M620&gt;1," Each "," This "),"includes supply and install of ",O621,O622,O623,O624,O625,O626,O627,O628,O629,O630,O631,O632,O633,O634,O635,O636,O637,O638,O639,O640,J621,J622,J623,J624,J625,J626,J627,J628,J629,J630,J631,J632,J633,J634,J635,J636,J637,J638,J639,J640)</f>
        <v xml:space="preserve">Electrical power supply to Zero (0) DOL fan from local power supply. This includes supply and install of cabling from local supply, local isolator and commissioning/testing. Coordination Note: - Builders electrician: Please refer to our exclusions relating to supply of local power supply. </v>
      </c>
      <c r="K642" s="248">
        <f>P641</f>
        <v>0</v>
      </c>
      <c r="L642" s="234" t="str">
        <f>CONCATENATE(Q621,Q622,Q623,Q624,Q625,Q626,Q627,Q628,Q629,Q630,Q631,Q632,Q633,Q634,Q635,Q636,Q637,Q638,Q639,Q640,)</f>
        <v xml:space="preserve">supply of local power supply. </v>
      </c>
      <c r="M642" s="166" t="s">
        <v>367</v>
      </c>
      <c r="N642" s="160" t="str">
        <f>N620</f>
        <v>DOL fan from local power supply</v>
      </c>
      <c r="O642" s="185" t="s">
        <v>365</v>
      </c>
      <c r="P642" s="203" t="e">
        <f>P641/M620</f>
        <v>#DIV/0!</v>
      </c>
      <c r="Q642" s="195"/>
      <c r="R642" s="188"/>
      <c r="S642" s="160"/>
      <c r="T642" s="161"/>
      <c r="U642" s="503" t="s">
        <v>366</v>
      </c>
      <c r="V642" s="503"/>
      <c r="W642" s="162" t="e">
        <f>W641/M620</f>
        <v>#DIV/0!</v>
      </c>
      <c r="X642" s="163"/>
      <c r="Y642" s="501" t="s">
        <v>365</v>
      </c>
      <c r="Z642" s="501"/>
      <c r="AA642" s="164" t="e">
        <f>AA641/M620</f>
        <v>#DIV/0!</v>
      </c>
      <c r="AB642" s="161"/>
      <c r="AC642" s="161"/>
      <c r="AD642" s="161"/>
      <c r="AE642" s="161"/>
      <c r="AF642" s="501" t="s">
        <v>365</v>
      </c>
      <c r="AG642" s="501"/>
      <c r="AH642" s="164" t="e">
        <f>AH641/M620</f>
        <v>#DIV/0!</v>
      </c>
      <c r="AI642" s="161"/>
      <c r="AJ642" s="161"/>
      <c r="AK642" s="161"/>
      <c r="AL642" s="247"/>
      <c r="AM642" s="257"/>
      <c r="AN642" s="236">
        <f>K642*$D$9</f>
        <v>0</v>
      </c>
      <c r="AO642" s="286"/>
      <c r="AP642" s="284">
        <f t="shared" si="268"/>
        <v>0</v>
      </c>
      <c r="AQ642" s="281">
        <f t="shared" si="269"/>
        <v>0</v>
      </c>
      <c r="AR642" s="284">
        <f t="shared" si="270"/>
        <v>0</v>
      </c>
      <c r="AS642" s="281">
        <f t="shared" si="271"/>
        <v>0</v>
      </c>
      <c r="AT642" s="284">
        <f t="shared" si="272"/>
        <v>0</v>
      </c>
      <c r="AU642" s="117"/>
      <c r="AV642" s="117"/>
      <c r="AW642" s="117"/>
      <c r="AX642" s="117"/>
      <c r="AY642" s="117"/>
      <c r="AZ642" s="117"/>
      <c r="BA642" s="117"/>
      <c r="BB642" s="117"/>
      <c r="BC642" s="117"/>
      <c r="BD642" s="117"/>
      <c r="BE642" s="117"/>
      <c r="BF642" s="117"/>
      <c r="BG642" s="117"/>
      <c r="BH642" s="117"/>
      <c r="BI642" s="117"/>
      <c r="BJ642" s="117"/>
      <c r="BK642" s="117"/>
      <c r="BL642" s="117"/>
      <c r="BM642" s="117"/>
      <c r="BN642" s="117"/>
      <c r="BO642" s="117"/>
      <c r="BP642" s="117"/>
      <c r="BQ642" s="117"/>
      <c r="BR642" s="117"/>
      <c r="BS642" s="117"/>
      <c r="BT642" s="117"/>
      <c r="BU642" s="117"/>
      <c r="BV642" s="117"/>
      <c r="BW642" s="117"/>
      <c r="BX642" s="117"/>
      <c r="BY642" s="117"/>
      <c r="BZ642" s="117"/>
      <c r="CA642" s="117"/>
      <c r="CB642" s="117"/>
      <c r="CC642" s="117"/>
      <c r="CD642" s="117"/>
      <c r="CE642" s="117"/>
      <c r="CF642" s="117"/>
      <c r="CG642" s="117"/>
      <c r="CH642" s="117"/>
      <c r="CI642" s="117"/>
      <c r="CJ642" s="117"/>
      <c r="CK642" s="117"/>
      <c r="CL642" s="117"/>
      <c r="CM642" s="117"/>
      <c r="CN642" s="117"/>
      <c r="CO642" s="117"/>
      <c r="CP642" s="117"/>
      <c r="CQ642" s="117"/>
      <c r="CR642" s="117"/>
      <c r="CS642" s="117"/>
    </row>
    <row r="643" spans="1:97" s="116" customFormat="1" ht="193.5" customHeight="1" x14ac:dyDescent="0.8">
      <c r="A643" s="262">
        <f>ROW()</f>
        <v>643</v>
      </c>
      <c r="C643" s="211"/>
      <c r="D643" s="211"/>
      <c r="E643" s="211"/>
      <c r="F643" s="211"/>
      <c r="G643" s="211"/>
      <c r="H643" s="211"/>
      <c r="K643" s="116" t="s">
        <v>452</v>
      </c>
      <c r="M643" s="116" t="s">
        <v>107</v>
      </c>
      <c r="N643" s="116" t="s">
        <v>108</v>
      </c>
      <c r="O643" s="170" t="s">
        <v>386</v>
      </c>
      <c r="P643" s="502" t="s">
        <v>375</v>
      </c>
      <c r="Q643" s="502"/>
      <c r="R643" s="101" t="s">
        <v>452</v>
      </c>
      <c r="S643" s="116" t="s">
        <v>0</v>
      </c>
      <c r="T643" s="118"/>
      <c r="U643" s="116" t="s">
        <v>287</v>
      </c>
      <c r="V643" s="116" t="s">
        <v>288</v>
      </c>
      <c r="W643" s="116" t="s">
        <v>291</v>
      </c>
      <c r="X643" s="140"/>
      <c r="Y643" s="116" t="s">
        <v>289</v>
      </c>
      <c r="Z643" s="116" t="s">
        <v>354</v>
      </c>
      <c r="AA643" s="116" t="s">
        <v>355</v>
      </c>
      <c r="AB643" s="116" t="s">
        <v>317</v>
      </c>
      <c r="AC643" s="116" t="s">
        <v>318</v>
      </c>
      <c r="AD643" s="116" t="s">
        <v>316</v>
      </c>
      <c r="AE643" s="140"/>
      <c r="AF643" s="116" t="s">
        <v>293</v>
      </c>
      <c r="AG643" s="116" t="s">
        <v>354</v>
      </c>
      <c r="AH643" s="116" t="s">
        <v>355</v>
      </c>
      <c r="AI643" s="116" t="s">
        <v>296</v>
      </c>
      <c r="AJ643" s="116" t="s">
        <v>294</v>
      </c>
      <c r="AK643" s="116" t="s">
        <v>295</v>
      </c>
      <c r="AL643" s="140"/>
      <c r="AO643" s="288"/>
      <c r="AP643" s="284">
        <f t="shared" si="268"/>
        <v>0</v>
      </c>
      <c r="AQ643" s="281">
        <f t="shared" si="269"/>
        <v>0</v>
      </c>
      <c r="AR643" s="284">
        <f t="shared" si="270"/>
        <v>0</v>
      </c>
      <c r="AS643" s="281">
        <f t="shared" si="271"/>
        <v>0</v>
      </c>
      <c r="AT643" s="284">
        <f t="shared" si="272"/>
        <v>0</v>
      </c>
    </row>
    <row r="644" spans="1:97" s="114" customFormat="1" ht="41.25" customHeight="1" x14ac:dyDescent="0.8">
      <c r="A644" s="262">
        <f>ROW()</f>
        <v>644</v>
      </c>
      <c r="C644" s="208"/>
      <c r="D644" s="208"/>
      <c r="E644" s="208"/>
      <c r="F644" s="208"/>
      <c r="G644" s="208"/>
      <c r="H644" s="208"/>
      <c r="L644" s="124" t="str">
        <f>VLOOKUP(M644,Sheet2!$D$2:$E$1024,2,FALSE)</f>
        <v>Zero</v>
      </c>
      <c r="M644" s="121">
        <f>I666</f>
        <v>0</v>
      </c>
      <c r="N644" s="132" t="s">
        <v>781</v>
      </c>
      <c r="O644" s="121" t="s">
        <v>488</v>
      </c>
      <c r="P644" s="169" t="s">
        <v>379</v>
      </c>
      <c r="Q644" s="169" t="s">
        <v>375</v>
      </c>
      <c r="R644" s="169"/>
      <c r="S644" s="133">
        <f>M644</f>
        <v>0</v>
      </c>
      <c r="T644" s="119"/>
      <c r="U644" s="121" t="s">
        <v>292</v>
      </c>
      <c r="V644" s="133">
        <f>S644</f>
        <v>0</v>
      </c>
      <c r="W644" s="133">
        <f>VLOOKUP(U644,Sheet1!$B$6:$C$45,2,FALSE)*V644</f>
        <v>0</v>
      </c>
      <c r="X644" s="141"/>
      <c r="Y644" s="121" t="s">
        <v>292</v>
      </c>
      <c r="Z644" s="146">
        <f>VLOOKUP(Takeoffs!Y644,Sheet1!$B$6:$C$124,2,FALSE)</f>
        <v>0</v>
      </c>
      <c r="AA644" s="146">
        <f>Z644*AB644</f>
        <v>0</v>
      </c>
      <c r="AB644" s="143">
        <f>AD644*AC644</f>
        <v>0</v>
      </c>
      <c r="AC644" s="133">
        <f>S644</f>
        <v>0</v>
      </c>
      <c r="AD644" s="142">
        <v>1</v>
      </c>
      <c r="AE644" s="141"/>
      <c r="AF644" s="121" t="s">
        <v>292</v>
      </c>
      <c r="AG644" s="146">
        <f>VLOOKUP(Takeoffs!AF644,Sheet1!$B$6:$C$124,2,FALSE)</f>
        <v>0</v>
      </c>
      <c r="AH644" s="146">
        <f>AG644*AI644</f>
        <v>0</v>
      </c>
      <c r="AI644" s="143">
        <f>AK644*AJ644</f>
        <v>0</v>
      </c>
      <c r="AJ644" s="133">
        <f>S644</f>
        <v>0</v>
      </c>
      <c r="AK644" s="142">
        <f>T644</f>
        <v>0</v>
      </c>
      <c r="AL644" s="141"/>
      <c r="AO644" s="286"/>
      <c r="AP644" s="284">
        <f t="shared" si="268"/>
        <v>0</v>
      </c>
      <c r="AQ644" s="281">
        <f t="shared" si="269"/>
        <v>0</v>
      </c>
      <c r="AR644" s="284">
        <f t="shared" si="270"/>
        <v>0</v>
      </c>
      <c r="AS644" s="281">
        <f t="shared" si="271"/>
        <v>0</v>
      </c>
      <c r="AT644" s="284">
        <f t="shared" si="272"/>
        <v>0</v>
      </c>
    </row>
    <row r="645" spans="1:97" s="114" customFormat="1" ht="30.9" x14ac:dyDescent="0.8">
      <c r="A645" s="262">
        <f>ROW()</f>
        <v>645</v>
      </c>
      <c r="C645" s="208"/>
      <c r="D645" s="208"/>
      <c r="E645" s="208"/>
      <c r="F645" s="208"/>
      <c r="G645" s="208"/>
      <c r="H645" s="208"/>
      <c r="J645" s="114" t="str">
        <f>IF(COUNTBLANK(Q645)&gt;0,"",CONCATENATE("Coordination Note: - ",P645,": Please refer to our exclusions relating to ",Q645))</f>
        <v/>
      </c>
      <c r="K645" s="114" t="str">
        <f>IF(COUNTBLANK(R645)&gt;0,"",CONCATENATE(R645," for ",N644))</f>
        <v/>
      </c>
      <c r="M645" s="117"/>
      <c r="N645" s="123" t="s">
        <v>113</v>
      </c>
      <c r="O645" s="66" t="s">
        <v>340</v>
      </c>
      <c r="P645" s="121"/>
      <c r="Q645" s="66"/>
      <c r="R645" s="121"/>
      <c r="S645" s="133">
        <f>M644</f>
        <v>0</v>
      </c>
      <c r="T645" s="120"/>
      <c r="U645" s="121" t="s">
        <v>292</v>
      </c>
      <c r="V645" s="133">
        <f t="shared" ref="V645:V664" si="291">S645</f>
        <v>0</v>
      </c>
      <c r="W645" s="133">
        <f>VLOOKUP(U645,Sheet1!$B$6:$C$45,2,FALSE)*V645</f>
        <v>0</v>
      </c>
      <c r="X645" s="141"/>
      <c r="Y645" s="121" t="s">
        <v>292</v>
      </c>
      <c r="Z645" s="146">
        <f>VLOOKUP(Takeoffs!Y645,Sheet1!$B$6:$C$124,2,FALSE)</f>
        <v>0</v>
      </c>
      <c r="AA645" s="146">
        <f t="shared" ref="AA645:AA664" si="292">Z645*AB645</f>
        <v>0</v>
      </c>
      <c r="AB645" s="143">
        <f t="shared" ref="AB645:AB664" si="293">AD645*AC645</f>
        <v>0</v>
      </c>
      <c r="AC645" s="133">
        <f t="shared" ref="AC645:AC664" si="294">S645</f>
        <v>0</v>
      </c>
      <c r="AD645" s="142">
        <v>1</v>
      </c>
      <c r="AE645" s="141"/>
      <c r="AF645" s="121" t="s">
        <v>292</v>
      </c>
      <c r="AG645" s="146">
        <f>VLOOKUP(Takeoffs!AF645,Sheet1!$B$6:$C$124,2,FALSE)</f>
        <v>0</v>
      </c>
      <c r="AH645" s="146">
        <f t="shared" ref="AH645:AH664" si="295">AG645*AI645</f>
        <v>0</v>
      </c>
      <c r="AI645" s="143">
        <f t="shared" ref="AI645:AI664" si="296">AK645*AJ645</f>
        <v>0</v>
      </c>
      <c r="AJ645" s="133">
        <f t="shared" ref="AJ645:AJ664" si="297">S645</f>
        <v>0</v>
      </c>
      <c r="AK645" s="142">
        <f>T645</f>
        <v>0</v>
      </c>
      <c r="AL645" s="141"/>
      <c r="AO645" s="286"/>
      <c r="AP645" s="284">
        <f t="shared" si="268"/>
        <v>0</v>
      </c>
      <c r="AQ645" s="281">
        <f t="shared" si="269"/>
        <v>0</v>
      </c>
      <c r="AR645" s="284">
        <f t="shared" si="270"/>
        <v>0</v>
      </c>
      <c r="AS645" s="281">
        <f t="shared" si="271"/>
        <v>0</v>
      </c>
      <c r="AT645" s="284">
        <f t="shared" si="272"/>
        <v>0</v>
      </c>
    </row>
    <row r="646" spans="1:97" s="114" customFormat="1" ht="30.9" x14ac:dyDescent="0.8">
      <c r="A646" s="262">
        <f>ROW()</f>
        <v>646</v>
      </c>
      <c r="C646" s="208"/>
      <c r="D646" s="208"/>
      <c r="E646" s="208"/>
      <c r="F646" s="208"/>
      <c r="G646" s="208"/>
      <c r="H646" s="208"/>
      <c r="J646" s="114" t="str">
        <f t="shared" ref="J646:J664" si="298">IF(COUNTBLANK(Q646)&gt;0,"",CONCATENATE("Coordination Note: - ",P646,": Please refer to our exclusions relating to ",Q646))</f>
        <v/>
      </c>
      <c r="K646" s="114" t="str">
        <f>IF(COUNTBLANK(R646)&gt;0,"",CONCATENATE(R646," for ",N644))</f>
        <v/>
      </c>
      <c r="M646" s="117"/>
      <c r="N646" s="123" t="s">
        <v>114</v>
      </c>
      <c r="O646" s="66" t="s">
        <v>308</v>
      </c>
      <c r="P646" s="121"/>
      <c r="Q646" s="66"/>
      <c r="R646" s="121"/>
      <c r="S646" s="133">
        <f>M644</f>
        <v>0</v>
      </c>
      <c r="T646" s="120"/>
      <c r="U646" s="121" t="s">
        <v>292</v>
      </c>
      <c r="V646" s="133">
        <f t="shared" si="291"/>
        <v>0</v>
      </c>
      <c r="W646" s="133">
        <f>VLOOKUP(U646,Sheet1!$B$6:$C$45,2,FALSE)*V646</f>
        <v>0</v>
      </c>
      <c r="X646" s="141"/>
      <c r="Y646" s="122" t="s">
        <v>252</v>
      </c>
      <c r="Z646" s="146">
        <f>VLOOKUP(Takeoffs!Y646,Sheet1!$B$6:$C$124,2,FALSE)</f>
        <v>43.440000000000005</v>
      </c>
      <c r="AA646" s="146">
        <f t="shared" si="292"/>
        <v>0</v>
      </c>
      <c r="AB646" s="143">
        <f t="shared" si="293"/>
        <v>0</v>
      </c>
      <c r="AC646" s="133">
        <f t="shared" si="294"/>
        <v>0</v>
      </c>
      <c r="AD646" s="142">
        <v>1</v>
      </c>
      <c r="AE646" s="141"/>
      <c r="AF646" s="122" t="s">
        <v>268</v>
      </c>
      <c r="AG646" s="146">
        <f>VLOOKUP(Takeoffs!AF646,Sheet1!$B$6:$C$124,2,FALSE)</f>
        <v>1.02</v>
      </c>
      <c r="AH646" s="146">
        <f t="shared" si="295"/>
        <v>0</v>
      </c>
      <c r="AI646" s="143">
        <f t="shared" si="296"/>
        <v>0</v>
      </c>
      <c r="AJ646" s="133">
        <f t="shared" si="297"/>
        <v>0</v>
      </c>
      <c r="AK646" s="142">
        <v>20</v>
      </c>
      <c r="AL646" s="141"/>
      <c r="AO646" s="286"/>
      <c r="AP646" s="284">
        <f t="shared" si="268"/>
        <v>0</v>
      </c>
      <c r="AQ646" s="281">
        <f t="shared" si="269"/>
        <v>0</v>
      </c>
      <c r="AR646" s="284">
        <f t="shared" si="270"/>
        <v>0</v>
      </c>
      <c r="AS646" s="281">
        <f t="shared" si="271"/>
        <v>0</v>
      </c>
      <c r="AT646" s="284">
        <f t="shared" si="272"/>
        <v>0</v>
      </c>
    </row>
    <row r="647" spans="1:97" s="114" customFormat="1" ht="30.9" x14ac:dyDescent="0.8">
      <c r="A647" s="262">
        <f>ROW()</f>
        <v>647</v>
      </c>
      <c r="C647" s="208"/>
      <c r="D647" s="208"/>
      <c r="E647" s="208"/>
      <c r="F647" s="208"/>
      <c r="G647" s="208"/>
      <c r="H647" s="208"/>
      <c r="J647" s="114" t="str">
        <f t="shared" si="298"/>
        <v/>
      </c>
      <c r="K647" s="114" t="str">
        <f>IF(COUNTBLANK(R647)&gt;0,"",CONCATENATE(R647," for ",N644))</f>
        <v/>
      </c>
      <c r="M647" s="117"/>
      <c r="N647" s="123" t="s">
        <v>115</v>
      </c>
      <c r="O647" s="66" t="s">
        <v>489</v>
      </c>
      <c r="P647" s="121"/>
      <c r="Q647" s="66"/>
      <c r="R647" s="121"/>
      <c r="S647" s="133">
        <f>M644</f>
        <v>0</v>
      </c>
      <c r="T647" s="120"/>
      <c r="U647" s="117" t="s">
        <v>478</v>
      </c>
      <c r="V647" s="133">
        <f t="shared" si="291"/>
        <v>0</v>
      </c>
      <c r="W647" s="133">
        <f>VLOOKUP(U647,Sheet1!$B$6:$C$45,2,FALSE)*V647</f>
        <v>0</v>
      </c>
      <c r="X647" s="141"/>
      <c r="Y647" s="121" t="s">
        <v>292</v>
      </c>
      <c r="Z647" s="146">
        <f>VLOOKUP(Takeoffs!Y647,Sheet1!$B$6:$C$124,2,FALSE)</f>
        <v>0</v>
      </c>
      <c r="AA647" s="146">
        <f t="shared" si="292"/>
        <v>0</v>
      </c>
      <c r="AB647" s="143">
        <f t="shared" si="293"/>
        <v>0</v>
      </c>
      <c r="AC647" s="133">
        <f t="shared" si="294"/>
        <v>0</v>
      </c>
      <c r="AD647" s="142">
        <v>1</v>
      </c>
      <c r="AE647" s="141"/>
      <c r="AF647" s="121" t="s">
        <v>292</v>
      </c>
      <c r="AG647" s="146">
        <f>VLOOKUP(Takeoffs!AF647,Sheet1!$B$6:$C$124,2,FALSE)</f>
        <v>0</v>
      </c>
      <c r="AH647" s="146">
        <f t="shared" si="295"/>
        <v>0</v>
      </c>
      <c r="AI647" s="143">
        <f t="shared" si="296"/>
        <v>0</v>
      </c>
      <c r="AJ647" s="133">
        <f t="shared" si="297"/>
        <v>0</v>
      </c>
      <c r="AK647" s="142">
        <f>T647</f>
        <v>0</v>
      </c>
      <c r="AL647" s="141"/>
      <c r="AO647" s="286"/>
      <c r="AP647" s="284">
        <f t="shared" si="268"/>
        <v>0</v>
      </c>
      <c r="AQ647" s="281">
        <f t="shared" si="269"/>
        <v>0</v>
      </c>
      <c r="AR647" s="284">
        <f t="shared" si="270"/>
        <v>0</v>
      </c>
      <c r="AS647" s="281">
        <f t="shared" si="271"/>
        <v>0</v>
      </c>
      <c r="AT647" s="284">
        <f t="shared" si="272"/>
        <v>0</v>
      </c>
    </row>
    <row r="648" spans="1:97" s="114" customFormat="1" ht="30.9" x14ac:dyDescent="0.8">
      <c r="A648" s="262">
        <f>ROW()</f>
        <v>648</v>
      </c>
      <c r="C648" s="208"/>
      <c r="D648" s="208"/>
      <c r="E648" s="208"/>
      <c r="F648" s="208"/>
      <c r="G648" s="208"/>
      <c r="H648" s="208"/>
      <c r="J648" s="114" t="str">
        <f t="shared" si="298"/>
        <v/>
      </c>
      <c r="K648" s="114" t="str">
        <f>IF(COUNTBLANK(R648)&gt;0,"",CONCATENATE(R648," for ",N644))</f>
        <v/>
      </c>
      <c r="M648" s="117"/>
      <c r="N648" s="123" t="s">
        <v>116</v>
      </c>
      <c r="O648" s="66"/>
      <c r="P648" s="121"/>
      <c r="Q648" s="66"/>
      <c r="R648" s="121"/>
      <c r="S648" s="133">
        <f>M644</f>
        <v>0</v>
      </c>
      <c r="T648" s="120"/>
      <c r="U648" s="121" t="s">
        <v>235</v>
      </c>
      <c r="V648" s="133">
        <f t="shared" si="291"/>
        <v>0</v>
      </c>
      <c r="W648" s="133">
        <f>VLOOKUP(U648,Sheet1!$B$6:$C$45,2,FALSE)*V648</f>
        <v>0</v>
      </c>
      <c r="X648" s="141"/>
      <c r="Y648" s="121" t="s">
        <v>292</v>
      </c>
      <c r="Z648" s="146">
        <f>VLOOKUP(Takeoffs!Y648,Sheet1!$B$6:$C$124,2,FALSE)</f>
        <v>0</v>
      </c>
      <c r="AA648" s="146">
        <f t="shared" si="292"/>
        <v>0</v>
      </c>
      <c r="AB648" s="143">
        <f t="shared" si="293"/>
        <v>0</v>
      </c>
      <c r="AC648" s="133">
        <f t="shared" si="294"/>
        <v>0</v>
      </c>
      <c r="AD648" s="142">
        <v>1</v>
      </c>
      <c r="AE648" s="141"/>
      <c r="AF648" s="121" t="s">
        <v>292</v>
      </c>
      <c r="AG648" s="146">
        <f>VLOOKUP(Takeoffs!AF648,Sheet1!$B$6:$C$124,2,FALSE)</f>
        <v>0</v>
      </c>
      <c r="AH648" s="146">
        <f t="shared" si="295"/>
        <v>0</v>
      </c>
      <c r="AI648" s="143">
        <f t="shared" si="296"/>
        <v>0</v>
      </c>
      <c r="AJ648" s="133">
        <f t="shared" si="297"/>
        <v>0</v>
      </c>
      <c r="AK648" s="142">
        <f>T648</f>
        <v>0</v>
      </c>
      <c r="AL648" s="141"/>
      <c r="AO648" s="286"/>
      <c r="AP648" s="284">
        <f t="shared" si="268"/>
        <v>0</v>
      </c>
      <c r="AQ648" s="281">
        <f t="shared" si="269"/>
        <v>0</v>
      </c>
      <c r="AR648" s="284">
        <f t="shared" si="270"/>
        <v>0</v>
      </c>
      <c r="AS648" s="281">
        <f t="shared" si="271"/>
        <v>0</v>
      </c>
      <c r="AT648" s="284">
        <f t="shared" si="272"/>
        <v>0</v>
      </c>
    </row>
    <row r="649" spans="1:97" s="114" customFormat="1" ht="30.9" x14ac:dyDescent="0.8">
      <c r="A649" s="262">
        <f>ROW()</f>
        <v>649</v>
      </c>
      <c r="C649" s="208"/>
      <c r="D649" s="208"/>
      <c r="E649" s="208"/>
      <c r="F649" s="208"/>
      <c r="G649" s="208"/>
      <c r="H649" s="208"/>
      <c r="J649" s="114" t="str">
        <f t="shared" si="298"/>
        <v/>
      </c>
      <c r="K649" s="114" t="str">
        <f>IF(COUNTBLANK(R649)&gt;0,"",CONCATENATE(R649," for ",N644))</f>
        <v/>
      </c>
      <c r="M649" s="117"/>
      <c r="N649" s="123" t="s">
        <v>117</v>
      </c>
      <c r="O649" s="66"/>
      <c r="P649" s="121"/>
      <c r="Q649" s="66"/>
      <c r="R649" s="121"/>
      <c r="S649" s="133">
        <f>M644</f>
        <v>0</v>
      </c>
      <c r="T649" s="120"/>
      <c r="U649" s="121" t="s">
        <v>292</v>
      </c>
      <c r="V649" s="133">
        <f t="shared" si="291"/>
        <v>0</v>
      </c>
      <c r="W649" s="133">
        <f>VLOOKUP(U649,Sheet1!$B$6:$C$45,2,FALSE)*V649</f>
        <v>0</v>
      </c>
      <c r="X649" s="141"/>
      <c r="Y649" s="121" t="s">
        <v>292</v>
      </c>
      <c r="Z649" s="146">
        <f>VLOOKUP(Takeoffs!Y649,Sheet1!$B$6:$C$124,2,FALSE)</f>
        <v>0</v>
      </c>
      <c r="AA649" s="146">
        <f t="shared" si="292"/>
        <v>0</v>
      </c>
      <c r="AB649" s="143">
        <f t="shared" si="293"/>
        <v>0</v>
      </c>
      <c r="AC649" s="133">
        <f t="shared" si="294"/>
        <v>0</v>
      </c>
      <c r="AD649" s="142">
        <v>1</v>
      </c>
      <c r="AE649" s="141"/>
      <c r="AF649" s="122" t="s">
        <v>268</v>
      </c>
      <c r="AG649" s="146">
        <f>VLOOKUP(Takeoffs!AF649,Sheet1!$B$6:$C$124,2,FALSE)</f>
        <v>1.02</v>
      </c>
      <c r="AH649" s="146">
        <f t="shared" si="295"/>
        <v>0</v>
      </c>
      <c r="AI649" s="143">
        <f t="shared" si="296"/>
        <v>0</v>
      </c>
      <c r="AJ649" s="133">
        <f t="shared" si="297"/>
        <v>0</v>
      </c>
      <c r="AK649" s="142">
        <v>3</v>
      </c>
      <c r="AL649" s="141"/>
      <c r="AO649" s="286"/>
      <c r="AP649" s="284">
        <f t="shared" si="268"/>
        <v>0</v>
      </c>
      <c r="AQ649" s="281">
        <f t="shared" si="269"/>
        <v>0</v>
      </c>
      <c r="AR649" s="284">
        <f t="shared" si="270"/>
        <v>0</v>
      </c>
      <c r="AS649" s="281">
        <f t="shared" si="271"/>
        <v>0</v>
      </c>
      <c r="AT649" s="284">
        <f t="shared" si="272"/>
        <v>0</v>
      </c>
    </row>
    <row r="650" spans="1:97" s="114" customFormat="1" ht="30.9" x14ac:dyDescent="0.8">
      <c r="A650" s="262">
        <f>ROW()</f>
        <v>650</v>
      </c>
      <c r="C650" s="208"/>
      <c r="D650" s="208"/>
      <c r="E650" s="208"/>
      <c r="F650" s="208"/>
      <c r="G650" s="208"/>
      <c r="H650" s="208"/>
      <c r="J650" s="114" t="str">
        <f t="shared" si="298"/>
        <v/>
      </c>
      <c r="K650" s="114" t="str">
        <f>IF(COUNTBLANK(R650)&gt;0,"",CONCATENATE(R650," for ",N644))</f>
        <v/>
      </c>
      <c r="M650" s="117"/>
      <c r="N650" s="123" t="s">
        <v>118</v>
      </c>
      <c r="O650" s="66" t="s">
        <v>406</v>
      </c>
      <c r="P650" s="121"/>
      <c r="Q650" s="66"/>
      <c r="R650" s="121"/>
      <c r="S650" s="133">
        <f>M644</f>
        <v>0</v>
      </c>
      <c r="T650" s="120"/>
      <c r="U650" s="121" t="s">
        <v>292</v>
      </c>
      <c r="V650" s="133">
        <f t="shared" si="291"/>
        <v>0</v>
      </c>
      <c r="W650" s="133">
        <f>VLOOKUP(U650,Sheet1!$B$6:$C$45,2,FALSE)*V650</f>
        <v>0</v>
      </c>
      <c r="X650" s="141"/>
      <c r="Y650" s="121" t="s">
        <v>292</v>
      </c>
      <c r="Z650" s="146">
        <f>VLOOKUP(Takeoffs!Y650,Sheet1!$B$6:$C$124,2,FALSE)</f>
        <v>0</v>
      </c>
      <c r="AA650" s="146">
        <f t="shared" si="292"/>
        <v>0</v>
      </c>
      <c r="AB650" s="143">
        <f t="shared" si="293"/>
        <v>0</v>
      </c>
      <c r="AC650" s="133">
        <f t="shared" si="294"/>
        <v>0</v>
      </c>
      <c r="AD650" s="142">
        <v>1</v>
      </c>
      <c r="AE650" s="141"/>
      <c r="AF650" s="121" t="s">
        <v>292</v>
      </c>
      <c r="AG650" s="146">
        <f>VLOOKUP(Takeoffs!AF650,Sheet1!$B$6:$C$124,2,FALSE)</f>
        <v>0</v>
      </c>
      <c r="AH650" s="146">
        <f t="shared" si="295"/>
        <v>0</v>
      </c>
      <c r="AI650" s="143">
        <f t="shared" si="296"/>
        <v>0</v>
      </c>
      <c r="AJ650" s="133">
        <f t="shared" si="297"/>
        <v>0</v>
      </c>
      <c r="AK650" s="142">
        <f>T650</f>
        <v>0</v>
      </c>
      <c r="AL650" s="141"/>
      <c r="AO650" s="286"/>
      <c r="AP650" s="284">
        <f t="shared" si="268"/>
        <v>0</v>
      </c>
      <c r="AQ650" s="281">
        <f t="shared" si="269"/>
        <v>0</v>
      </c>
      <c r="AR650" s="284">
        <f t="shared" si="270"/>
        <v>0</v>
      </c>
      <c r="AS650" s="281">
        <f t="shared" si="271"/>
        <v>0</v>
      </c>
      <c r="AT650" s="284">
        <f t="shared" si="272"/>
        <v>0</v>
      </c>
    </row>
    <row r="651" spans="1:97" s="114" customFormat="1" ht="30.9" x14ac:dyDescent="0.8">
      <c r="A651" s="262">
        <f>ROW()</f>
        <v>651</v>
      </c>
      <c r="C651" s="208"/>
      <c r="D651" s="208"/>
      <c r="E651" s="208"/>
      <c r="F651" s="208"/>
      <c r="G651" s="208"/>
      <c r="H651" s="208"/>
      <c r="J651" s="114" t="str">
        <f t="shared" si="298"/>
        <v/>
      </c>
      <c r="K651" s="114" t="str">
        <f>IF(COUNTBLANK(R651)&gt;0,"",CONCATENATE(R651," for ",N644))</f>
        <v/>
      </c>
      <c r="N651" s="123" t="s">
        <v>119</v>
      </c>
      <c r="O651" s="66"/>
      <c r="P651" s="121"/>
      <c r="Q651" s="66"/>
      <c r="R651" s="121"/>
      <c r="S651" s="133">
        <f>M644</f>
        <v>0</v>
      </c>
      <c r="T651" s="120"/>
      <c r="U651" s="121" t="s">
        <v>292</v>
      </c>
      <c r="V651" s="133">
        <f t="shared" si="291"/>
        <v>0</v>
      </c>
      <c r="W651" s="133">
        <f>VLOOKUP(U651,Sheet1!$B$6:$C$45,2,FALSE)*V651</f>
        <v>0</v>
      </c>
      <c r="X651" s="141"/>
      <c r="Y651" s="121" t="s">
        <v>292</v>
      </c>
      <c r="Z651" s="146">
        <f>VLOOKUP(Takeoffs!Y651,Sheet1!$B$6:$C$124,2,FALSE)</f>
        <v>0</v>
      </c>
      <c r="AA651" s="146">
        <f t="shared" si="292"/>
        <v>0</v>
      </c>
      <c r="AB651" s="143">
        <f t="shared" si="293"/>
        <v>0</v>
      </c>
      <c r="AC651" s="133">
        <f t="shared" si="294"/>
        <v>0</v>
      </c>
      <c r="AD651" s="142">
        <v>1</v>
      </c>
      <c r="AE651" s="141"/>
      <c r="AF651" s="121" t="s">
        <v>292</v>
      </c>
      <c r="AG651" s="146">
        <f>VLOOKUP(Takeoffs!AF651,Sheet1!$B$6:$C$124,2,FALSE)</f>
        <v>0</v>
      </c>
      <c r="AH651" s="146">
        <f t="shared" si="295"/>
        <v>0</v>
      </c>
      <c r="AI651" s="143">
        <f t="shared" si="296"/>
        <v>0</v>
      </c>
      <c r="AJ651" s="133">
        <f t="shared" si="297"/>
        <v>0</v>
      </c>
      <c r="AK651" s="142">
        <f>T651</f>
        <v>0</v>
      </c>
      <c r="AL651" s="141"/>
      <c r="AO651" s="286"/>
      <c r="AP651" s="284">
        <f t="shared" si="268"/>
        <v>0</v>
      </c>
      <c r="AQ651" s="281">
        <f t="shared" si="269"/>
        <v>0</v>
      </c>
      <c r="AR651" s="284">
        <f t="shared" si="270"/>
        <v>0</v>
      </c>
      <c r="AS651" s="281">
        <f t="shared" si="271"/>
        <v>0</v>
      </c>
      <c r="AT651" s="284">
        <f t="shared" si="272"/>
        <v>0</v>
      </c>
    </row>
    <row r="652" spans="1:97" s="114" customFormat="1" ht="30.9" x14ac:dyDescent="0.8">
      <c r="A652" s="262">
        <f>ROW()</f>
        <v>652</v>
      </c>
      <c r="C652" s="208"/>
      <c r="D652" s="208"/>
      <c r="E652" s="208"/>
      <c r="F652" s="208"/>
      <c r="G652" s="208"/>
      <c r="H652" s="208"/>
      <c r="J652" s="114" t="str">
        <f t="shared" si="298"/>
        <v/>
      </c>
      <c r="K652" s="114" t="str">
        <f>IF(COUNTBLANK(R652)&gt;0,"",CONCATENATE(R652," for ",N644))</f>
        <v/>
      </c>
      <c r="N652" s="123" t="s">
        <v>120</v>
      </c>
      <c r="O652" s="66" t="s">
        <v>328</v>
      </c>
      <c r="P652" s="121"/>
      <c r="Q652" s="66"/>
      <c r="R652" s="121"/>
      <c r="S652" s="133">
        <f>M644</f>
        <v>0</v>
      </c>
      <c r="T652" s="120"/>
      <c r="U652" s="121" t="s">
        <v>364</v>
      </c>
      <c r="V652" s="133">
        <f t="shared" si="291"/>
        <v>0</v>
      </c>
      <c r="W652" s="133">
        <f>VLOOKUP(U652,Sheet1!$B$6:$C$45,2,FALSE)*V652</f>
        <v>0</v>
      </c>
      <c r="X652" s="141"/>
      <c r="Y652" s="121" t="s">
        <v>292</v>
      </c>
      <c r="Z652" s="146">
        <f>VLOOKUP(Takeoffs!Y652,Sheet1!$B$6:$C$124,2,FALSE)</f>
        <v>0</v>
      </c>
      <c r="AA652" s="146">
        <f t="shared" si="292"/>
        <v>0</v>
      </c>
      <c r="AB652" s="143">
        <f t="shared" si="293"/>
        <v>0</v>
      </c>
      <c r="AC652" s="133">
        <f t="shared" si="294"/>
        <v>0</v>
      </c>
      <c r="AD652" s="142">
        <v>1</v>
      </c>
      <c r="AE652" s="141"/>
      <c r="AF652" s="121" t="s">
        <v>292</v>
      </c>
      <c r="AG652" s="146">
        <f>VLOOKUP(Takeoffs!AF652,Sheet1!$B$6:$C$124,2,FALSE)</f>
        <v>0</v>
      </c>
      <c r="AH652" s="146">
        <f t="shared" si="295"/>
        <v>0</v>
      </c>
      <c r="AI652" s="143">
        <f t="shared" si="296"/>
        <v>0</v>
      </c>
      <c r="AJ652" s="133">
        <f t="shared" si="297"/>
        <v>0</v>
      </c>
      <c r="AK652" s="142">
        <f>T652</f>
        <v>0</v>
      </c>
      <c r="AL652" s="141"/>
      <c r="AO652" s="286"/>
      <c r="AP652" s="284">
        <f t="shared" si="268"/>
        <v>0</v>
      </c>
      <c r="AQ652" s="281">
        <f t="shared" si="269"/>
        <v>0</v>
      </c>
      <c r="AR652" s="284">
        <f t="shared" si="270"/>
        <v>0</v>
      </c>
      <c r="AS652" s="281">
        <f t="shared" si="271"/>
        <v>0</v>
      </c>
      <c r="AT652" s="284">
        <f t="shared" si="272"/>
        <v>0</v>
      </c>
    </row>
    <row r="653" spans="1:97" s="114" customFormat="1" ht="30.9" x14ac:dyDescent="0.8">
      <c r="A653" s="262">
        <f>ROW()</f>
        <v>653</v>
      </c>
      <c r="C653" s="208"/>
      <c r="D653" s="208"/>
      <c r="E653" s="208"/>
      <c r="F653" s="208"/>
      <c r="G653" s="208"/>
      <c r="H653" s="208"/>
      <c r="J653" s="114" t="str">
        <f t="shared" si="298"/>
        <v/>
      </c>
      <c r="K653" s="114" t="str">
        <f>IF(COUNTBLANK(R653)&gt;0,"",CONCATENATE(R653," for ",N644))</f>
        <v/>
      </c>
      <c r="N653" s="123" t="s">
        <v>121</v>
      </c>
      <c r="O653" s="66"/>
      <c r="P653" s="121"/>
      <c r="Q653" s="66"/>
      <c r="R653" s="121"/>
      <c r="S653" s="133">
        <f>M644</f>
        <v>0</v>
      </c>
      <c r="T653" s="120"/>
      <c r="U653" s="121" t="s">
        <v>292</v>
      </c>
      <c r="V653" s="133">
        <f t="shared" si="291"/>
        <v>0</v>
      </c>
      <c r="W653" s="133">
        <f>VLOOKUP(U653,Sheet1!$B$6:$C$45,2,FALSE)*V653</f>
        <v>0</v>
      </c>
      <c r="X653" s="141"/>
      <c r="Y653" s="121" t="s">
        <v>292</v>
      </c>
      <c r="Z653" s="146">
        <f>VLOOKUP(Takeoffs!Y653,Sheet1!$B$6:$C$124,2,FALSE)</f>
        <v>0</v>
      </c>
      <c r="AA653" s="146">
        <f t="shared" si="292"/>
        <v>0</v>
      </c>
      <c r="AB653" s="143">
        <f t="shared" si="293"/>
        <v>0</v>
      </c>
      <c r="AC653" s="133">
        <f t="shared" si="294"/>
        <v>0</v>
      </c>
      <c r="AD653" s="142">
        <v>1</v>
      </c>
      <c r="AE653" s="141"/>
      <c r="AF653" s="121" t="s">
        <v>292</v>
      </c>
      <c r="AG653" s="146">
        <f>VLOOKUP(Takeoffs!AF653,Sheet1!$B$6:$C$124,2,FALSE)</f>
        <v>0</v>
      </c>
      <c r="AH653" s="146">
        <f t="shared" si="295"/>
        <v>0</v>
      </c>
      <c r="AI653" s="143">
        <f t="shared" si="296"/>
        <v>0</v>
      </c>
      <c r="AJ653" s="133">
        <f t="shared" si="297"/>
        <v>0</v>
      </c>
      <c r="AK653" s="142">
        <f>T653</f>
        <v>0</v>
      </c>
      <c r="AL653" s="141"/>
      <c r="AO653" s="286"/>
      <c r="AP653" s="284">
        <f t="shared" si="268"/>
        <v>0</v>
      </c>
      <c r="AQ653" s="281">
        <f t="shared" si="269"/>
        <v>0</v>
      </c>
      <c r="AR653" s="284">
        <f t="shared" si="270"/>
        <v>0</v>
      </c>
      <c r="AS653" s="281">
        <f t="shared" si="271"/>
        <v>0</v>
      </c>
      <c r="AT653" s="284">
        <f t="shared" si="272"/>
        <v>0</v>
      </c>
    </row>
    <row r="654" spans="1:97" s="114" customFormat="1" ht="30.9" x14ac:dyDescent="0.8">
      <c r="A654" s="262">
        <f>ROW()</f>
        <v>654</v>
      </c>
      <c r="C654" s="208"/>
      <c r="D654" s="208"/>
      <c r="E654" s="208"/>
      <c r="F654" s="208"/>
      <c r="G654" s="208"/>
      <c r="H654" s="208"/>
      <c r="J654" s="114" t="str">
        <f t="shared" si="298"/>
        <v/>
      </c>
      <c r="K654" s="114" t="str">
        <f>IF(COUNTBLANK(R654)&gt;0,"",CONCATENATE(R654," for ",N644))</f>
        <v/>
      </c>
      <c r="N654" s="123" t="s">
        <v>122</v>
      </c>
      <c r="O654" s="66"/>
      <c r="P654" s="121"/>
      <c r="Q654" s="66"/>
      <c r="R654" s="121"/>
      <c r="S654" s="133">
        <f>M644</f>
        <v>0</v>
      </c>
      <c r="T654" s="120"/>
      <c r="U654" s="121" t="s">
        <v>292</v>
      </c>
      <c r="V654" s="133">
        <f t="shared" si="291"/>
        <v>0</v>
      </c>
      <c r="W654" s="133">
        <f>VLOOKUP(U654,Sheet1!$B$6:$C$45,2,FALSE)*V654</f>
        <v>0</v>
      </c>
      <c r="X654" s="141"/>
      <c r="Y654" s="121" t="s">
        <v>292</v>
      </c>
      <c r="Z654" s="146">
        <f>VLOOKUP(Takeoffs!Y654,Sheet1!$B$6:$C$124,2,FALSE)</f>
        <v>0</v>
      </c>
      <c r="AA654" s="146">
        <f t="shared" si="292"/>
        <v>0</v>
      </c>
      <c r="AB654" s="143">
        <f t="shared" si="293"/>
        <v>0</v>
      </c>
      <c r="AC654" s="133">
        <f t="shared" si="294"/>
        <v>0</v>
      </c>
      <c r="AD654" s="142">
        <v>1</v>
      </c>
      <c r="AE654" s="141"/>
      <c r="AF654" s="121" t="s">
        <v>292</v>
      </c>
      <c r="AG654" s="146">
        <f>VLOOKUP(Takeoffs!AF654,Sheet1!$B$6:$C$124,2,FALSE)</f>
        <v>0</v>
      </c>
      <c r="AH654" s="146">
        <f t="shared" si="295"/>
        <v>0</v>
      </c>
      <c r="AI654" s="143">
        <f t="shared" si="296"/>
        <v>0</v>
      </c>
      <c r="AJ654" s="133">
        <f t="shared" si="297"/>
        <v>0</v>
      </c>
      <c r="AK654" s="142">
        <f>T654</f>
        <v>0</v>
      </c>
      <c r="AL654" s="141"/>
      <c r="AO654" s="286"/>
      <c r="AP654" s="284">
        <f t="shared" si="268"/>
        <v>0</v>
      </c>
      <c r="AQ654" s="281">
        <f t="shared" si="269"/>
        <v>0</v>
      </c>
      <c r="AR654" s="284">
        <f t="shared" si="270"/>
        <v>0</v>
      </c>
      <c r="AS654" s="281">
        <f t="shared" si="271"/>
        <v>0</v>
      </c>
      <c r="AT654" s="284">
        <f t="shared" si="272"/>
        <v>0</v>
      </c>
    </row>
    <row r="655" spans="1:97" s="114" customFormat="1" ht="30.9" x14ac:dyDescent="0.8">
      <c r="A655" s="262">
        <f>ROW()</f>
        <v>655</v>
      </c>
      <c r="C655" s="208"/>
      <c r="D655" s="208"/>
      <c r="E655" s="208"/>
      <c r="F655" s="208"/>
      <c r="G655" s="208"/>
      <c r="H655" s="208"/>
      <c r="J655" s="114" t="str">
        <f t="shared" si="298"/>
        <v/>
      </c>
      <c r="K655" s="114" t="str">
        <f>IF(COUNTBLANK(R655)&gt;0,"",CONCATENATE(R655," for ",N644))</f>
        <v/>
      </c>
      <c r="N655" s="123" t="s">
        <v>123</v>
      </c>
      <c r="O655" s="66"/>
      <c r="P655" s="121"/>
      <c r="Q655" s="66"/>
      <c r="R655" s="121"/>
      <c r="S655" s="133">
        <f>M644</f>
        <v>0</v>
      </c>
      <c r="T655" s="120"/>
      <c r="U655" s="121" t="s">
        <v>292</v>
      </c>
      <c r="V655" s="133">
        <f t="shared" si="291"/>
        <v>0</v>
      </c>
      <c r="W655" s="133">
        <f>VLOOKUP(U655,Sheet1!$B$6:$C$45,2,FALSE)*V655</f>
        <v>0</v>
      </c>
      <c r="X655" s="141"/>
      <c r="Y655" s="135" t="s">
        <v>292</v>
      </c>
      <c r="Z655" s="146">
        <f>VLOOKUP(Takeoffs!Y655,Sheet1!$B$6:$C$124,2,FALSE)</f>
        <v>0</v>
      </c>
      <c r="AA655" s="146">
        <f t="shared" si="292"/>
        <v>0</v>
      </c>
      <c r="AB655" s="143">
        <f t="shared" si="293"/>
        <v>0</v>
      </c>
      <c r="AC655" s="133">
        <f t="shared" si="294"/>
        <v>0</v>
      </c>
      <c r="AD655" s="142">
        <v>1</v>
      </c>
      <c r="AE655" s="141"/>
      <c r="AF655" s="121" t="s">
        <v>292</v>
      </c>
      <c r="AG655" s="146">
        <f>VLOOKUP(Takeoffs!AF655,Sheet1!$B$6:$C$124,2,FALSE)</f>
        <v>0</v>
      </c>
      <c r="AH655" s="146">
        <f t="shared" si="295"/>
        <v>0</v>
      </c>
      <c r="AI655" s="143">
        <f t="shared" si="296"/>
        <v>0</v>
      </c>
      <c r="AJ655" s="133">
        <f t="shared" si="297"/>
        <v>0</v>
      </c>
      <c r="AK655" s="142">
        <v>0</v>
      </c>
      <c r="AL655" s="141"/>
      <c r="AO655" s="286"/>
      <c r="AP655" s="284">
        <f t="shared" si="268"/>
        <v>0</v>
      </c>
      <c r="AQ655" s="281">
        <f t="shared" si="269"/>
        <v>0</v>
      </c>
      <c r="AR655" s="284">
        <f t="shared" si="270"/>
        <v>0</v>
      </c>
      <c r="AS655" s="281">
        <f t="shared" si="271"/>
        <v>0</v>
      </c>
      <c r="AT655" s="284">
        <f t="shared" si="272"/>
        <v>0</v>
      </c>
    </row>
    <row r="656" spans="1:97" s="114" customFormat="1" ht="30.9" x14ac:dyDescent="0.8">
      <c r="A656" s="262">
        <f>ROW()</f>
        <v>656</v>
      </c>
      <c r="C656" s="208"/>
      <c r="D656" s="208"/>
      <c r="E656" s="208"/>
      <c r="F656" s="208"/>
      <c r="G656" s="208"/>
      <c r="H656" s="208"/>
      <c r="J656" s="114" t="str">
        <f t="shared" si="298"/>
        <v/>
      </c>
      <c r="K656" s="114" t="str">
        <f>IF(COUNTBLANK(R656)&gt;0,"",CONCATENATE(R656," for ",N644))</f>
        <v/>
      </c>
      <c r="N656" s="123" t="s">
        <v>124</v>
      </c>
      <c r="O656" s="66" t="s">
        <v>140</v>
      </c>
      <c r="P656" s="121"/>
      <c r="Q656" s="66"/>
      <c r="R656" s="121"/>
      <c r="S656" s="133">
        <f>M644</f>
        <v>0</v>
      </c>
      <c r="T656" s="120"/>
      <c r="U656" s="121" t="s">
        <v>292</v>
      </c>
      <c r="V656" s="133">
        <f t="shared" si="291"/>
        <v>0</v>
      </c>
      <c r="W656" s="133">
        <f>VLOOKUP(U656,Sheet1!$B$6:$C$45,2,FALSE)*V656</f>
        <v>0</v>
      </c>
      <c r="X656" s="141"/>
      <c r="Y656" s="121" t="s">
        <v>292</v>
      </c>
      <c r="Z656" s="146">
        <f>VLOOKUP(Takeoffs!Y656,Sheet1!$B$6:$C$124,2,FALSE)</f>
        <v>0</v>
      </c>
      <c r="AA656" s="146">
        <f t="shared" si="292"/>
        <v>0</v>
      </c>
      <c r="AB656" s="143">
        <f t="shared" si="293"/>
        <v>0</v>
      </c>
      <c r="AC656" s="133">
        <f t="shared" si="294"/>
        <v>0</v>
      </c>
      <c r="AD656" s="142">
        <v>1</v>
      </c>
      <c r="AE656" s="141"/>
      <c r="AF656" s="152" t="s">
        <v>418</v>
      </c>
      <c r="AG656" s="146">
        <f>VLOOKUP(Takeoffs!AF656,Sheet1!$B$6:$C$124,2,FALSE)</f>
        <v>0.33600000000000002</v>
      </c>
      <c r="AH656" s="146">
        <f t="shared" si="295"/>
        <v>0</v>
      </c>
      <c r="AI656" s="143">
        <f t="shared" si="296"/>
        <v>0</v>
      </c>
      <c r="AJ656" s="133">
        <f t="shared" si="297"/>
        <v>0</v>
      </c>
      <c r="AK656" s="142">
        <v>1</v>
      </c>
      <c r="AL656" s="141"/>
      <c r="AO656" s="286"/>
      <c r="AP656" s="284">
        <f t="shared" si="268"/>
        <v>0</v>
      </c>
      <c r="AQ656" s="281">
        <f t="shared" si="269"/>
        <v>0</v>
      </c>
      <c r="AR656" s="284">
        <f t="shared" si="270"/>
        <v>0</v>
      </c>
      <c r="AS656" s="281">
        <f t="shared" si="271"/>
        <v>0</v>
      </c>
      <c r="AT656" s="284">
        <f t="shared" si="272"/>
        <v>0</v>
      </c>
    </row>
    <row r="657" spans="1:97" s="114" customFormat="1" ht="30.9" x14ac:dyDescent="0.8">
      <c r="A657" s="262">
        <f>ROW()</f>
        <v>657</v>
      </c>
      <c r="C657" s="208"/>
      <c r="D657" s="208"/>
      <c r="E657" s="208"/>
      <c r="F657" s="208"/>
      <c r="G657" s="208"/>
      <c r="H657" s="208"/>
      <c r="J657" s="114" t="str">
        <f t="shared" si="298"/>
        <v/>
      </c>
      <c r="K657" s="114" t="str">
        <f>IF(COUNTBLANK(R657)&gt;0,"",CONCATENATE(R657," for ",N644))</f>
        <v/>
      </c>
      <c r="N657" s="123" t="s">
        <v>125</v>
      </c>
      <c r="O657" s="66" t="s">
        <v>312</v>
      </c>
      <c r="P657" s="121"/>
      <c r="Q657" s="66"/>
      <c r="R657" s="121"/>
      <c r="S657" s="133">
        <f>M644</f>
        <v>0</v>
      </c>
      <c r="T657" s="120"/>
      <c r="U657" s="121" t="s">
        <v>232</v>
      </c>
      <c r="V657" s="133">
        <f t="shared" si="291"/>
        <v>0</v>
      </c>
      <c r="W657" s="133">
        <f>VLOOKUP(U657,Sheet1!$B$6:$C$45,2,FALSE)*V657</f>
        <v>0</v>
      </c>
      <c r="X657" s="141"/>
      <c r="Y657" s="122" t="s">
        <v>1345</v>
      </c>
      <c r="Z657" s="146">
        <f>VLOOKUP(Takeoffs!Y657,Sheet1!$B$6:$C$124,2,FALSE)</f>
        <v>109.25999999999999</v>
      </c>
      <c r="AA657" s="146">
        <f t="shared" si="292"/>
        <v>0</v>
      </c>
      <c r="AB657" s="143">
        <f t="shared" si="293"/>
        <v>0</v>
      </c>
      <c r="AC657" s="133">
        <f t="shared" si="294"/>
        <v>0</v>
      </c>
      <c r="AD657" s="142">
        <v>1</v>
      </c>
      <c r="AE657" s="141"/>
      <c r="AF657" s="121" t="s">
        <v>292</v>
      </c>
      <c r="AG657" s="146">
        <f>VLOOKUP(Takeoffs!AF657,Sheet1!$B$6:$C$124,2,FALSE)</f>
        <v>0</v>
      </c>
      <c r="AH657" s="146">
        <f t="shared" si="295"/>
        <v>0</v>
      </c>
      <c r="AI657" s="143">
        <f t="shared" si="296"/>
        <v>0</v>
      </c>
      <c r="AJ657" s="133">
        <f t="shared" si="297"/>
        <v>0</v>
      </c>
      <c r="AK657" s="142">
        <f t="shared" ref="AK657:AK664" si="299">T657</f>
        <v>0</v>
      </c>
      <c r="AL657" s="141"/>
      <c r="AO657" s="286"/>
      <c r="AP657" s="284">
        <f t="shared" si="268"/>
        <v>0</v>
      </c>
      <c r="AQ657" s="281">
        <f t="shared" si="269"/>
        <v>0</v>
      </c>
      <c r="AR657" s="284">
        <f t="shared" si="270"/>
        <v>0</v>
      </c>
      <c r="AS657" s="281">
        <f t="shared" si="271"/>
        <v>0</v>
      </c>
      <c r="AT657" s="284">
        <f t="shared" si="272"/>
        <v>0</v>
      </c>
    </row>
    <row r="658" spans="1:97" s="114" customFormat="1" ht="30.9" x14ac:dyDescent="0.8">
      <c r="A658" s="262">
        <f>ROW()</f>
        <v>658</v>
      </c>
      <c r="C658" s="208"/>
      <c r="D658" s="208"/>
      <c r="E658" s="208"/>
      <c r="F658" s="208"/>
      <c r="G658" s="208"/>
      <c r="H658" s="208"/>
      <c r="J658" s="114" t="str">
        <f t="shared" si="298"/>
        <v>Coordination Note: - Fire trade: Please refer to our exclusions relating to fire cabling from FIP.</v>
      </c>
      <c r="K658" s="114" t="str">
        <f>IF(COUNTBLANK(R658)&gt;0,"",CONCATENATE(R658," for ",N644))</f>
        <v/>
      </c>
      <c r="N658" s="123" t="s">
        <v>126</v>
      </c>
      <c r="O658" s="66" t="s">
        <v>345</v>
      </c>
      <c r="P658" s="121" t="s">
        <v>380</v>
      </c>
      <c r="Q658" s="66" t="s">
        <v>384</v>
      </c>
      <c r="R658" s="121"/>
      <c r="S658" s="133">
        <f>M644</f>
        <v>0</v>
      </c>
      <c r="T658" s="120"/>
      <c r="U658" s="121" t="s">
        <v>292</v>
      </c>
      <c r="V658" s="133">
        <f t="shared" si="291"/>
        <v>0</v>
      </c>
      <c r="W658" s="133">
        <f>VLOOKUP(U658,Sheet1!$B$6:$C$45,2,FALSE)*V658</f>
        <v>0</v>
      </c>
      <c r="X658" s="141"/>
      <c r="Y658" s="122" t="s">
        <v>326</v>
      </c>
      <c r="Z658" s="146">
        <f>VLOOKUP(Takeoffs!Y658,Sheet1!$B$6:$C$124,2,FALSE)</f>
        <v>29.04</v>
      </c>
      <c r="AA658" s="146">
        <f t="shared" si="292"/>
        <v>0</v>
      </c>
      <c r="AB658" s="143">
        <f t="shared" si="293"/>
        <v>0</v>
      </c>
      <c r="AC658" s="133">
        <f t="shared" si="294"/>
        <v>0</v>
      </c>
      <c r="AD658" s="142">
        <v>1</v>
      </c>
      <c r="AE658" s="141"/>
      <c r="AF658" s="121" t="s">
        <v>292</v>
      </c>
      <c r="AG658" s="146">
        <f>VLOOKUP(Takeoffs!AF658,Sheet1!$B$6:$C$124,2,FALSE)</f>
        <v>0</v>
      </c>
      <c r="AH658" s="146">
        <f t="shared" si="295"/>
        <v>0</v>
      </c>
      <c r="AI658" s="143">
        <f t="shared" si="296"/>
        <v>0</v>
      </c>
      <c r="AJ658" s="133">
        <f t="shared" si="297"/>
        <v>0</v>
      </c>
      <c r="AK658" s="142">
        <f t="shared" si="299"/>
        <v>0</v>
      </c>
      <c r="AL658" s="141"/>
      <c r="AO658" s="286"/>
      <c r="AP658" s="284">
        <f t="shared" si="268"/>
        <v>0</v>
      </c>
      <c r="AQ658" s="281">
        <f t="shared" si="269"/>
        <v>0</v>
      </c>
      <c r="AR658" s="284">
        <f t="shared" si="270"/>
        <v>0</v>
      </c>
      <c r="AS658" s="281">
        <f t="shared" si="271"/>
        <v>0</v>
      </c>
      <c r="AT658" s="284">
        <f t="shared" si="272"/>
        <v>0</v>
      </c>
    </row>
    <row r="659" spans="1:97" s="114" customFormat="1" ht="30.9" x14ac:dyDescent="0.8">
      <c r="A659" s="262">
        <f>ROW()</f>
        <v>659</v>
      </c>
      <c r="C659" s="208"/>
      <c r="D659" s="208"/>
      <c r="E659" s="208"/>
      <c r="F659" s="208"/>
      <c r="G659" s="208"/>
      <c r="H659" s="208"/>
      <c r="J659" s="114" t="str">
        <f t="shared" si="298"/>
        <v/>
      </c>
      <c r="K659" s="114" t="str">
        <f>IF(COUNTBLANK(R659)&gt;0,"",CONCATENATE(R659," for ",N644))</f>
        <v>run and fault lights for DOL fan with interlock with lights an run on timer - from MSSB power supply</v>
      </c>
      <c r="N659" s="123" t="s">
        <v>127</v>
      </c>
      <c r="O659" s="66" t="s">
        <v>337</v>
      </c>
      <c r="P659" s="121"/>
      <c r="Q659" s="66"/>
      <c r="R659" s="121" t="s">
        <v>331</v>
      </c>
      <c r="S659" s="133">
        <f>M644</f>
        <v>0</v>
      </c>
      <c r="T659" s="120"/>
      <c r="U659" s="121" t="s">
        <v>292</v>
      </c>
      <c r="V659" s="133">
        <f t="shared" si="291"/>
        <v>0</v>
      </c>
      <c r="W659" s="133">
        <f>VLOOKUP(U659,Sheet1!$B$6:$C$45,2,FALSE)*V659</f>
        <v>0</v>
      </c>
      <c r="X659" s="141"/>
      <c r="Y659" s="122" t="s">
        <v>280</v>
      </c>
      <c r="Z659" s="146">
        <f>VLOOKUP(Takeoffs!Y659,Sheet1!$B$6:$C$124,2,FALSE)</f>
        <v>19.2</v>
      </c>
      <c r="AA659" s="146">
        <f t="shared" si="292"/>
        <v>0</v>
      </c>
      <c r="AB659" s="143">
        <f t="shared" si="293"/>
        <v>0</v>
      </c>
      <c r="AC659" s="133">
        <f t="shared" si="294"/>
        <v>0</v>
      </c>
      <c r="AD659" s="142">
        <v>2</v>
      </c>
      <c r="AE659" s="141"/>
      <c r="AF659" s="121" t="s">
        <v>292</v>
      </c>
      <c r="AG659" s="146">
        <f>VLOOKUP(Takeoffs!AF659,Sheet1!$B$6:$C$124,2,FALSE)</f>
        <v>0</v>
      </c>
      <c r="AH659" s="146">
        <f t="shared" si="295"/>
        <v>0</v>
      </c>
      <c r="AI659" s="143">
        <f t="shared" si="296"/>
        <v>0</v>
      </c>
      <c r="AJ659" s="133">
        <f t="shared" si="297"/>
        <v>0</v>
      </c>
      <c r="AK659" s="142">
        <f t="shared" si="299"/>
        <v>0</v>
      </c>
      <c r="AL659" s="141"/>
      <c r="AO659" s="286"/>
      <c r="AP659" s="284">
        <f t="shared" si="268"/>
        <v>0</v>
      </c>
      <c r="AQ659" s="281">
        <f t="shared" si="269"/>
        <v>0</v>
      </c>
      <c r="AR659" s="284">
        <f t="shared" si="270"/>
        <v>0</v>
      </c>
      <c r="AS659" s="281">
        <f t="shared" si="271"/>
        <v>0</v>
      </c>
      <c r="AT659" s="284">
        <f t="shared" si="272"/>
        <v>0</v>
      </c>
    </row>
    <row r="660" spans="1:97" s="114" customFormat="1" ht="30.9" x14ac:dyDescent="0.8">
      <c r="A660" s="262">
        <f>ROW()</f>
        <v>660</v>
      </c>
      <c r="C660" s="208"/>
      <c r="D660" s="208"/>
      <c r="E660" s="208"/>
      <c r="F660" s="208"/>
      <c r="G660" s="208"/>
      <c r="H660" s="208"/>
      <c r="J660" s="114" t="str">
        <f t="shared" si="298"/>
        <v/>
      </c>
      <c r="K660" s="114" t="str">
        <f>IF(COUNTBLANK(R660)&gt;0,"",CONCATENATE(R660," for ",N644))</f>
        <v/>
      </c>
      <c r="N660" s="123" t="s">
        <v>128</v>
      </c>
      <c r="O660" s="66" t="s">
        <v>499</v>
      </c>
      <c r="P660" s="121"/>
      <c r="Q660" s="66"/>
      <c r="R660" s="121"/>
      <c r="S660" s="133">
        <f>M644</f>
        <v>0</v>
      </c>
      <c r="T660" s="120"/>
      <c r="U660" s="121" t="s">
        <v>292</v>
      </c>
      <c r="V660" s="133">
        <f t="shared" si="291"/>
        <v>0</v>
      </c>
      <c r="W660" s="133">
        <f>VLOOKUP(U660,Sheet1!$B$6:$C$45,2,FALSE)*V660</f>
        <v>0</v>
      </c>
      <c r="X660" s="141"/>
      <c r="Y660" s="135" t="s">
        <v>422</v>
      </c>
      <c r="Z660" s="146">
        <f>VLOOKUP(Takeoffs!Y660,Sheet1!$B$6:$C$124,2,FALSE)</f>
        <v>23.4</v>
      </c>
      <c r="AA660" s="146">
        <f t="shared" si="292"/>
        <v>0</v>
      </c>
      <c r="AB660" s="143">
        <f t="shared" si="293"/>
        <v>0</v>
      </c>
      <c r="AC660" s="133">
        <f t="shared" si="294"/>
        <v>0</v>
      </c>
      <c r="AD660" s="142">
        <v>1</v>
      </c>
      <c r="AE660" s="141"/>
      <c r="AF660" s="121" t="s">
        <v>292</v>
      </c>
      <c r="AG660" s="146">
        <f>VLOOKUP(Takeoffs!AF660,Sheet1!$B$6:$C$124,2,FALSE)</f>
        <v>0</v>
      </c>
      <c r="AH660" s="146">
        <f t="shared" si="295"/>
        <v>0</v>
      </c>
      <c r="AI660" s="143">
        <f t="shared" si="296"/>
        <v>0</v>
      </c>
      <c r="AJ660" s="133">
        <f t="shared" si="297"/>
        <v>0</v>
      </c>
      <c r="AK660" s="142">
        <f t="shared" si="299"/>
        <v>0</v>
      </c>
      <c r="AL660" s="141"/>
      <c r="AO660" s="286"/>
      <c r="AP660" s="284">
        <f t="shared" ref="AP660:AP723" si="300">IF(AND(I660&gt;0, ISNUMBER(I660)),I660*P660,0)</f>
        <v>0</v>
      </c>
      <c r="AQ660" s="281">
        <f t="shared" ref="AQ660:AQ723" si="301">IF(AND(I660&gt;0, ISNUMBER(I660)),I660*W660*80,0)</f>
        <v>0</v>
      </c>
      <c r="AR660" s="284">
        <f t="shared" ref="AR660:AR723" si="302">IF(AND(I660&gt;0, ISNUMBER(I660)),I660*AA660,0)</f>
        <v>0</v>
      </c>
      <c r="AS660" s="281">
        <f t="shared" ref="AS660:AS723" si="303">IF(AND(I660&gt;0, ISNUMBER(I660)),I660*AH660,0)</f>
        <v>0</v>
      </c>
      <c r="AT660" s="284">
        <f t="shared" ref="AT660:AT723" si="304">IF(AND(I660&gt;0, ISNUMBER(I660)),I660*(AP660-(AQ660+AR660+AS660)),0)</f>
        <v>0</v>
      </c>
    </row>
    <row r="661" spans="1:97" s="114" customFormat="1" ht="30.9" x14ac:dyDescent="0.8">
      <c r="A661" s="262">
        <f>ROW()</f>
        <v>661</v>
      </c>
      <c r="C661" s="208"/>
      <c r="D661" s="208"/>
      <c r="E661" s="208"/>
      <c r="F661" s="208"/>
      <c r="G661" s="208"/>
      <c r="H661" s="208"/>
      <c r="J661" s="114" t="str">
        <f t="shared" si="298"/>
        <v/>
      </c>
      <c r="K661" s="114" t="str">
        <f>IF(COUNTBLANK(R661)&gt;0,"",CONCATENATE(R661," for ",N644))</f>
        <v>Auto/Off/On switch for DOL fan with interlock with lights an run on timer - from MSSB power supply</v>
      </c>
      <c r="N661" s="123" t="s">
        <v>129</v>
      </c>
      <c r="O661" s="66" t="s">
        <v>329</v>
      </c>
      <c r="P661" s="121"/>
      <c r="Q661" s="66"/>
      <c r="R661" s="121" t="s">
        <v>304</v>
      </c>
      <c r="S661" s="133">
        <f>M644</f>
        <v>0</v>
      </c>
      <c r="T661" s="120"/>
      <c r="U661" s="121" t="s">
        <v>292</v>
      </c>
      <c r="V661" s="133">
        <f t="shared" si="291"/>
        <v>0</v>
      </c>
      <c r="W661" s="133">
        <f>VLOOKUP(U661,Sheet1!$B$6:$C$45,2,FALSE)*V661</f>
        <v>0</v>
      </c>
      <c r="X661" s="141"/>
      <c r="Y661" s="122" t="s">
        <v>277</v>
      </c>
      <c r="Z661" s="146">
        <f>VLOOKUP(Takeoffs!Y661,Sheet1!$B$6:$C$124,2,FALSE)</f>
        <v>69.540000000000006</v>
      </c>
      <c r="AA661" s="146">
        <f t="shared" si="292"/>
        <v>0</v>
      </c>
      <c r="AB661" s="143">
        <f t="shared" si="293"/>
        <v>0</v>
      </c>
      <c r="AC661" s="133">
        <f t="shared" si="294"/>
        <v>0</v>
      </c>
      <c r="AD661" s="142">
        <v>1</v>
      </c>
      <c r="AE661" s="141"/>
      <c r="AF661" s="121" t="s">
        <v>292</v>
      </c>
      <c r="AG661" s="146">
        <f>VLOOKUP(Takeoffs!AF661,Sheet1!$B$6:$C$124,2,FALSE)</f>
        <v>0</v>
      </c>
      <c r="AH661" s="146">
        <f t="shared" si="295"/>
        <v>0</v>
      </c>
      <c r="AI661" s="143">
        <f t="shared" si="296"/>
        <v>0</v>
      </c>
      <c r="AJ661" s="133">
        <f t="shared" si="297"/>
        <v>0</v>
      </c>
      <c r="AK661" s="142">
        <f t="shared" si="299"/>
        <v>0</v>
      </c>
      <c r="AL661" s="141"/>
      <c r="AO661" s="286"/>
      <c r="AP661" s="284">
        <f t="shared" si="300"/>
        <v>0</v>
      </c>
      <c r="AQ661" s="281">
        <f t="shared" si="301"/>
        <v>0</v>
      </c>
      <c r="AR661" s="284">
        <f t="shared" si="302"/>
        <v>0</v>
      </c>
      <c r="AS661" s="281">
        <f t="shared" si="303"/>
        <v>0</v>
      </c>
      <c r="AT661" s="284">
        <f t="shared" si="304"/>
        <v>0</v>
      </c>
    </row>
    <row r="662" spans="1:97" s="114" customFormat="1" ht="30.9" x14ac:dyDescent="0.8">
      <c r="A662" s="262">
        <f>ROW()</f>
        <v>662</v>
      </c>
      <c r="C662" s="208"/>
      <c r="D662" s="208"/>
      <c r="E662" s="208"/>
      <c r="F662" s="208"/>
      <c r="G662" s="208"/>
      <c r="H662" s="208"/>
      <c r="J662" s="114" t="str">
        <f t="shared" si="298"/>
        <v/>
      </c>
      <c r="K662" s="114" t="str">
        <f>IF(COUNTBLANK(R662)&gt;0,"",CONCATENATE(R662," for ",N644))</f>
        <v/>
      </c>
      <c r="N662" s="123" t="s">
        <v>130</v>
      </c>
      <c r="O662" s="66" t="s">
        <v>660</v>
      </c>
      <c r="P662" s="121"/>
      <c r="Q662" s="66"/>
      <c r="R662" s="121"/>
      <c r="S662" s="133">
        <f>M644</f>
        <v>0</v>
      </c>
      <c r="T662" s="120"/>
      <c r="U662" s="121" t="s">
        <v>292</v>
      </c>
      <c r="V662" s="133">
        <f t="shared" si="291"/>
        <v>0</v>
      </c>
      <c r="W662" s="133">
        <f>VLOOKUP(U662,Sheet1!$B$6:$C$45,2,FALSE)*V662</f>
        <v>0</v>
      </c>
      <c r="X662" s="141"/>
      <c r="Y662" s="135" t="s">
        <v>422</v>
      </c>
      <c r="Z662" s="146">
        <f>VLOOKUP(Takeoffs!Y662,Sheet1!$B$6:$C$124,2,FALSE)</f>
        <v>23.4</v>
      </c>
      <c r="AA662" s="146">
        <f t="shared" si="292"/>
        <v>0</v>
      </c>
      <c r="AB662" s="143">
        <f t="shared" si="293"/>
        <v>0</v>
      </c>
      <c r="AC662" s="133">
        <f t="shared" si="294"/>
        <v>0</v>
      </c>
      <c r="AD662" s="142">
        <v>1</v>
      </c>
      <c r="AE662" s="141"/>
      <c r="AF662" s="121" t="s">
        <v>292</v>
      </c>
      <c r="AG662" s="146">
        <f>VLOOKUP(Takeoffs!AF662,Sheet1!$B$6:$C$124,2,FALSE)</f>
        <v>0</v>
      </c>
      <c r="AH662" s="146">
        <f t="shared" si="295"/>
        <v>0</v>
      </c>
      <c r="AI662" s="143">
        <f t="shared" si="296"/>
        <v>0</v>
      </c>
      <c r="AJ662" s="133">
        <f t="shared" si="297"/>
        <v>0</v>
      </c>
      <c r="AK662" s="142">
        <f t="shared" si="299"/>
        <v>0</v>
      </c>
      <c r="AL662" s="141"/>
      <c r="AO662" s="286"/>
      <c r="AP662" s="284">
        <f t="shared" si="300"/>
        <v>0</v>
      </c>
      <c r="AQ662" s="281">
        <f t="shared" si="301"/>
        <v>0</v>
      </c>
      <c r="AR662" s="284">
        <f t="shared" si="302"/>
        <v>0</v>
      </c>
      <c r="AS662" s="281">
        <f t="shared" si="303"/>
        <v>0</v>
      </c>
      <c r="AT662" s="284">
        <f t="shared" si="304"/>
        <v>0</v>
      </c>
    </row>
    <row r="663" spans="1:97" s="114" customFormat="1" ht="30.9" x14ac:dyDescent="0.8">
      <c r="A663" s="262">
        <f>ROW()</f>
        <v>663</v>
      </c>
      <c r="C663" s="208"/>
      <c r="D663" s="208"/>
      <c r="E663" s="208"/>
      <c r="F663" s="208"/>
      <c r="G663" s="208"/>
      <c r="H663" s="208"/>
      <c r="J663" s="114" t="str">
        <f t="shared" si="298"/>
        <v/>
      </c>
      <c r="K663" s="114" t="str">
        <f>IF(COUNTBLANK(R663)&gt;0,"",CONCATENATE(R663," for ",N644))</f>
        <v/>
      </c>
      <c r="N663" s="123" t="s">
        <v>131</v>
      </c>
      <c r="O663" s="66" t="s">
        <v>407</v>
      </c>
      <c r="P663" s="121"/>
      <c r="Q663" s="66"/>
      <c r="R663" s="121"/>
      <c r="S663" s="133">
        <f>M644</f>
        <v>0</v>
      </c>
      <c r="T663" s="120"/>
      <c r="U663" s="121" t="s">
        <v>292</v>
      </c>
      <c r="V663" s="133">
        <f t="shared" si="291"/>
        <v>0</v>
      </c>
      <c r="W663" s="133">
        <f>VLOOKUP(U663,Sheet1!$B$6:$C$45,2,FALSE)*V663</f>
        <v>0</v>
      </c>
      <c r="X663" s="141"/>
      <c r="Y663" s="121" t="s">
        <v>274</v>
      </c>
      <c r="Z663" s="146">
        <f>VLOOKUP(Takeoffs!Y663,Sheet1!$B$6:$C$124,2,FALSE)</f>
        <v>360</v>
      </c>
      <c r="AA663" s="146">
        <f t="shared" si="292"/>
        <v>0</v>
      </c>
      <c r="AB663" s="143">
        <f t="shared" si="293"/>
        <v>0</v>
      </c>
      <c r="AC663" s="133">
        <f t="shared" si="294"/>
        <v>0</v>
      </c>
      <c r="AD663" s="142">
        <v>1</v>
      </c>
      <c r="AE663" s="141"/>
      <c r="AF663" s="121" t="s">
        <v>292</v>
      </c>
      <c r="AG663" s="146">
        <f>VLOOKUP(Takeoffs!AF663,Sheet1!$B$6:$C$124,2,FALSE)</f>
        <v>0</v>
      </c>
      <c r="AH663" s="146">
        <f t="shared" si="295"/>
        <v>0</v>
      </c>
      <c r="AI663" s="143">
        <f t="shared" si="296"/>
        <v>0</v>
      </c>
      <c r="AJ663" s="133">
        <f t="shared" si="297"/>
        <v>0</v>
      </c>
      <c r="AK663" s="142">
        <f t="shared" si="299"/>
        <v>0</v>
      </c>
      <c r="AL663" s="141"/>
      <c r="AO663" s="286"/>
      <c r="AP663" s="284">
        <f t="shared" si="300"/>
        <v>0</v>
      </c>
      <c r="AQ663" s="281">
        <f t="shared" si="301"/>
        <v>0</v>
      </c>
      <c r="AR663" s="284">
        <f t="shared" si="302"/>
        <v>0</v>
      </c>
      <c r="AS663" s="281">
        <f t="shared" si="303"/>
        <v>0</v>
      </c>
      <c r="AT663" s="284">
        <f t="shared" si="304"/>
        <v>0</v>
      </c>
    </row>
    <row r="664" spans="1:97" s="114" customFormat="1" ht="30.9" x14ac:dyDescent="0.8">
      <c r="A664" s="262">
        <f>ROW()</f>
        <v>664</v>
      </c>
      <c r="C664" s="208"/>
      <c r="D664" s="208"/>
      <c r="E664" s="208"/>
      <c r="F664" s="208"/>
      <c r="G664" s="208"/>
      <c r="H664" s="208"/>
      <c r="J664" s="114" t="str">
        <f t="shared" si="298"/>
        <v/>
      </c>
      <c r="K664" s="114" t="str">
        <f>IF(COUNTBLANK(R664)&gt;0,"",CONCATENATE(R664," for ",N644))</f>
        <v/>
      </c>
      <c r="N664" s="123" t="s">
        <v>132</v>
      </c>
      <c r="O664" s="66" t="s">
        <v>408</v>
      </c>
      <c r="P664" s="121"/>
      <c r="Q664" s="66"/>
      <c r="R664" s="121"/>
      <c r="S664" s="133">
        <f>M644</f>
        <v>0</v>
      </c>
      <c r="T664" s="120"/>
      <c r="U664" s="121" t="s">
        <v>362</v>
      </c>
      <c r="V664" s="133">
        <f t="shared" si="291"/>
        <v>0</v>
      </c>
      <c r="W664" s="133">
        <f>VLOOKUP(U664,Sheet1!$B$6:$C$45,2,FALSE)*V664</f>
        <v>0</v>
      </c>
      <c r="X664" s="141"/>
      <c r="Y664" s="121" t="s">
        <v>292</v>
      </c>
      <c r="Z664" s="146">
        <f>VLOOKUP(Takeoffs!Y664,Sheet1!$B$6:$C$124,2,FALSE)</f>
        <v>0</v>
      </c>
      <c r="AA664" s="146">
        <f t="shared" si="292"/>
        <v>0</v>
      </c>
      <c r="AB664" s="143">
        <f t="shared" si="293"/>
        <v>0</v>
      </c>
      <c r="AC664" s="133">
        <f t="shared" si="294"/>
        <v>0</v>
      </c>
      <c r="AD664" s="142">
        <v>1</v>
      </c>
      <c r="AE664" s="141"/>
      <c r="AF664" s="121" t="s">
        <v>292</v>
      </c>
      <c r="AG664" s="146">
        <f>VLOOKUP(Takeoffs!AF664,Sheet1!$B$6:$C$124,2,FALSE)</f>
        <v>0</v>
      </c>
      <c r="AH664" s="146">
        <f t="shared" si="295"/>
        <v>0</v>
      </c>
      <c r="AI664" s="143">
        <f t="shared" si="296"/>
        <v>0</v>
      </c>
      <c r="AJ664" s="133">
        <f t="shared" si="297"/>
        <v>0</v>
      </c>
      <c r="AK664" s="142">
        <f t="shared" si="299"/>
        <v>0</v>
      </c>
      <c r="AL664" s="141"/>
      <c r="AO664" s="286"/>
      <c r="AP664" s="284">
        <f t="shared" si="300"/>
        <v>0</v>
      </c>
      <c r="AQ664" s="281">
        <f t="shared" si="301"/>
        <v>0</v>
      </c>
      <c r="AR664" s="284">
        <f t="shared" si="302"/>
        <v>0</v>
      </c>
      <c r="AS664" s="281">
        <f t="shared" si="303"/>
        <v>0</v>
      </c>
      <c r="AT664" s="284">
        <f t="shared" si="304"/>
        <v>0</v>
      </c>
    </row>
    <row r="665" spans="1:97" s="128" customFormat="1" ht="32.25" customHeight="1" thickBot="1" x14ac:dyDescent="0.85">
      <c r="A665" s="262">
        <f>ROW()</f>
        <v>665</v>
      </c>
      <c r="C665" s="212"/>
      <c r="D665" s="212"/>
      <c r="E665" s="212"/>
      <c r="F665" s="212"/>
      <c r="G665" s="212"/>
      <c r="H665" s="212"/>
      <c r="J665" s="128" t="s">
        <v>377</v>
      </c>
      <c r="L665" s="128" t="s">
        <v>378</v>
      </c>
      <c r="N665" s="129"/>
      <c r="O665" s="130" t="s">
        <v>357</v>
      </c>
      <c r="P665" s="155">
        <f>V665+AA665+AH665</f>
        <v>0</v>
      </c>
      <c r="Q665" s="155"/>
      <c r="R665" s="131"/>
      <c r="S665" s="130"/>
      <c r="T665" s="127"/>
      <c r="U665" s="126" t="s">
        <v>351</v>
      </c>
      <c r="V665" s="127">
        <f>W665*80</f>
        <v>0</v>
      </c>
      <c r="W665" s="147">
        <f>SUM(W644:W664)</f>
        <v>0</v>
      </c>
      <c r="X665" s="148"/>
      <c r="Y665" s="127" t="s">
        <v>352</v>
      </c>
      <c r="Z665" s="116"/>
      <c r="AA665" s="116">
        <f>SUM(AA644:AA664)</f>
        <v>0</v>
      </c>
      <c r="AB665" s="149"/>
      <c r="AC665" s="149"/>
      <c r="AD665" s="149"/>
      <c r="AE665" s="149"/>
      <c r="AF665" s="127" t="s">
        <v>356</v>
      </c>
      <c r="AG665" s="116"/>
      <c r="AH665" s="116">
        <f>SUM(AH644:AH664)</f>
        <v>0</v>
      </c>
      <c r="AI665" s="149"/>
      <c r="AJ665" s="149"/>
      <c r="AK665" s="149"/>
      <c r="AL665" s="149"/>
      <c r="AM665" s="150">
        <f>P665</f>
        <v>0</v>
      </c>
      <c r="AO665" s="286"/>
      <c r="AP665" s="284">
        <f t="shared" si="300"/>
        <v>0</v>
      </c>
      <c r="AQ665" s="281">
        <f t="shared" si="301"/>
        <v>0</v>
      </c>
      <c r="AR665" s="284">
        <f t="shared" si="302"/>
        <v>0</v>
      </c>
      <c r="AS665" s="281">
        <f t="shared" si="303"/>
        <v>0</v>
      </c>
      <c r="AT665" s="284">
        <f t="shared" si="304"/>
        <v>0</v>
      </c>
    </row>
    <row r="666" spans="1:97" s="234" customFormat="1" ht="158.15" thickBot="1" x14ac:dyDescent="1.25">
      <c r="A666" s="262">
        <f>ROW()</f>
        <v>666</v>
      </c>
      <c r="B666" s="234" t="s">
        <v>491</v>
      </c>
      <c r="C666" s="217" t="str">
        <f>N644</f>
        <v>DOL fan with interlock with lights an run on timer - from MSSB power supply</v>
      </c>
      <c r="D666" s="260" t="str">
        <f>IF(B666="Shopping List",IF(ISNUMBER(SEARCH("MSSB",C666)),"MSSB",IF(ISNUMBER(SEARCH("local",C666)),"LOCAL","")))</f>
        <v>MSSB</v>
      </c>
      <c r="E666" s="238"/>
      <c r="F666" s="217"/>
      <c r="G666" s="217"/>
      <c r="H666" s="245">
        <v>4</v>
      </c>
      <c r="I666" s="270"/>
      <c r="J666" s="241" t="str">
        <f>CONCATENATE(O644," ",L644, " (",M644,") ",N644,".", IF(M644&gt;1," Each "," This "),"includes supply and install of ",O645,O646,O647,O648,O649,O650,O651,O652,O653,O654,O655,O656,O657,O658,O659,O660,O661,O662,O663,O664,J645,J646,J647,J648,J649,J650,J651,J652,J653,J654,J655,J656,J657,J658,J659,J660,J661,J662,J663,J664)</f>
        <v>Electrical power supply and controls ( Excluding BMS) to Zero (0) DOL fan with interlock with lights an run on timer - from MSSB power supply.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66" s="248">
        <f>P665</f>
        <v>0</v>
      </c>
      <c r="L666" s="235" t="str">
        <f>CONCATENATE(Q645,Q646,Q647,Q648,Q649,Q650,Q651,Q652,Q653,Q654,Q655,Q656,Q657,Q658,Q659,Q660,Q661,Q662,Q663,Q664,)</f>
        <v>fire cabling from FIP.</v>
      </c>
      <c r="M666" s="166" t="s">
        <v>367</v>
      </c>
      <c r="N666" s="160" t="str">
        <f>N644</f>
        <v>DOL fan with interlock with lights an run on timer - from MSSB power supply</v>
      </c>
      <c r="O666" s="185" t="s">
        <v>365</v>
      </c>
      <c r="P666" s="203" t="e">
        <f>P665/M644</f>
        <v>#DIV/0!</v>
      </c>
      <c r="Q666" s="195"/>
      <c r="R666" s="188"/>
      <c r="S666" s="160"/>
      <c r="T666" s="161"/>
      <c r="U666" s="503" t="s">
        <v>366</v>
      </c>
      <c r="V666" s="503"/>
      <c r="W666" s="162" t="e">
        <f>W665/M644</f>
        <v>#DIV/0!</v>
      </c>
      <c r="X666" s="163"/>
      <c r="Y666" s="501" t="s">
        <v>365</v>
      </c>
      <c r="Z666" s="501"/>
      <c r="AA666" s="164" t="e">
        <f>AA665/M644</f>
        <v>#DIV/0!</v>
      </c>
      <c r="AB666" s="161"/>
      <c r="AC666" s="161"/>
      <c r="AD666" s="161"/>
      <c r="AE666" s="161"/>
      <c r="AF666" s="501" t="s">
        <v>365</v>
      </c>
      <c r="AG666" s="501"/>
      <c r="AH666" s="164" t="e">
        <f>AH665/M644</f>
        <v>#DIV/0!</v>
      </c>
      <c r="AI666" s="161"/>
      <c r="AJ666" s="161"/>
      <c r="AK666" s="161"/>
      <c r="AL666" s="247"/>
      <c r="AM666" s="257"/>
      <c r="AN666" s="230">
        <f>K666*1.25</f>
        <v>0</v>
      </c>
      <c r="AO666" s="286"/>
      <c r="AP666" s="284">
        <f t="shared" si="300"/>
        <v>0</v>
      </c>
      <c r="AQ666" s="281">
        <f t="shared" si="301"/>
        <v>0</v>
      </c>
      <c r="AR666" s="284">
        <f t="shared" si="302"/>
        <v>0</v>
      </c>
      <c r="AS666" s="281">
        <f t="shared" si="303"/>
        <v>0</v>
      </c>
      <c r="AT666" s="284">
        <f t="shared" si="304"/>
        <v>0</v>
      </c>
      <c r="AU666" s="117"/>
      <c r="AV666" s="117"/>
      <c r="AW666" s="117"/>
      <c r="AX666" s="117"/>
      <c r="AY666" s="117"/>
      <c r="AZ666" s="117"/>
      <c r="BA666" s="117"/>
      <c r="BB666" s="117"/>
      <c r="BC666" s="117"/>
      <c r="BD666" s="117"/>
      <c r="BE666" s="117"/>
      <c r="BF666" s="117"/>
      <c r="BG666" s="117"/>
      <c r="BH666" s="117"/>
      <c r="BI666" s="117"/>
      <c r="BJ666" s="117"/>
      <c r="BK666" s="117"/>
      <c r="BL666" s="117"/>
      <c r="BM666" s="117"/>
      <c r="BN666" s="117"/>
      <c r="BO666" s="117"/>
      <c r="BP666" s="117"/>
      <c r="BQ666" s="117"/>
      <c r="BR666" s="117"/>
      <c r="BS666" s="117"/>
      <c r="BT666" s="117"/>
      <c r="BU666" s="117"/>
      <c r="BV666" s="117"/>
      <c r="BW666" s="117"/>
      <c r="BX666" s="117"/>
      <c r="BY666" s="117"/>
      <c r="BZ666" s="117"/>
      <c r="CA666" s="117"/>
      <c r="CB666" s="117"/>
      <c r="CC666" s="117"/>
      <c r="CD666" s="117"/>
      <c r="CE666" s="117"/>
      <c r="CF666" s="117"/>
      <c r="CG666" s="117"/>
      <c r="CH666" s="117"/>
      <c r="CI666" s="117"/>
      <c r="CJ666" s="117"/>
      <c r="CK666" s="117"/>
      <c r="CL666" s="117"/>
      <c r="CM666" s="117"/>
      <c r="CN666" s="117"/>
      <c r="CO666" s="117"/>
      <c r="CP666" s="117"/>
      <c r="CQ666" s="117"/>
      <c r="CR666" s="117"/>
      <c r="CS666" s="117"/>
    </row>
    <row r="667" spans="1:97" s="116" customFormat="1" ht="193.5" customHeight="1" x14ac:dyDescent="0.8">
      <c r="A667" s="262">
        <f>ROW()</f>
        <v>667</v>
      </c>
      <c r="C667" s="211"/>
      <c r="D667" s="211"/>
      <c r="E667" s="211"/>
      <c r="F667" s="211"/>
      <c r="G667" s="211"/>
      <c r="H667" s="211"/>
      <c r="K667" s="116" t="s">
        <v>452</v>
      </c>
      <c r="M667" s="116" t="s">
        <v>107</v>
      </c>
      <c r="N667" s="116" t="s">
        <v>108</v>
      </c>
      <c r="O667" s="170" t="s">
        <v>386</v>
      </c>
      <c r="P667" s="502" t="s">
        <v>375</v>
      </c>
      <c r="Q667" s="502"/>
      <c r="R667" s="101" t="s">
        <v>452</v>
      </c>
      <c r="S667" s="116" t="s">
        <v>0</v>
      </c>
      <c r="T667" s="118"/>
      <c r="U667" s="116" t="s">
        <v>287</v>
      </c>
      <c r="V667" s="116" t="s">
        <v>288</v>
      </c>
      <c r="W667" s="116" t="s">
        <v>291</v>
      </c>
      <c r="X667" s="140"/>
      <c r="Y667" s="116" t="s">
        <v>289</v>
      </c>
      <c r="Z667" s="116" t="s">
        <v>354</v>
      </c>
      <c r="AA667" s="116" t="s">
        <v>355</v>
      </c>
      <c r="AB667" s="116" t="s">
        <v>317</v>
      </c>
      <c r="AC667" s="116" t="s">
        <v>318</v>
      </c>
      <c r="AD667" s="116" t="s">
        <v>316</v>
      </c>
      <c r="AE667" s="140"/>
      <c r="AF667" s="116" t="s">
        <v>293</v>
      </c>
      <c r="AG667" s="116" t="s">
        <v>354</v>
      </c>
      <c r="AH667" s="116" t="s">
        <v>355</v>
      </c>
      <c r="AI667" s="116" t="s">
        <v>296</v>
      </c>
      <c r="AJ667" s="116" t="s">
        <v>294</v>
      </c>
      <c r="AK667" s="116" t="s">
        <v>295</v>
      </c>
      <c r="AL667" s="140"/>
      <c r="AO667" s="288"/>
      <c r="AP667" s="284">
        <f t="shared" si="300"/>
        <v>0</v>
      </c>
      <c r="AQ667" s="281">
        <f t="shared" si="301"/>
        <v>0</v>
      </c>
      <c r="AR667" s="284">
        <f t="shared" si="302"/>
        <v>0</v>
      </c>
      <c r="AS667" s="281">
        <f t="shared" si="303"/>
        <v>0</v>
      </c>
      <c r="AT667" s="284">
        <f t="shared" si="304"/>
        <v>0</v>
      </c>
    </row>
    <row r="668" spans="1:97" s="114" customFormat="1" ht="41.25" customHeight="1" x14ac:dyDescent="0.8">
      <c r="A668" s="262">
        <f>ROW()</f>
        <v>668</v>
      </c>
      <c r="C668" s="208"/>
      <c r="D668" s="208"/>
      <c r="E668" s="208"/>
      <c r="F668" s="208"/>
      <c r="G668" s="208"/>
      <c r="H668" s="208"/>
      <c r="L668" s="124" t="str">
        <f>VLOOKUP(M668,Sheet2!$D$2:$E$1024,2,FALSE)</f>
        <v>Zero</v>
      </c>
      <c r="M668" s="121">
        <f>I690</f>
        <v>0</v>
      </c>
      <c r="N668" s="132" t="s">
        <v>658</v>
      </c>
      <c r="O668" s="121" t="s">
        <v>488</v>
      </c>
      <c r="P668" s="169" t="s">
        <v>379</v>
      </c>
      <c r="Q668" s="169" t="s">
        <v>375</v>
      </c>
      <c r="R668" s="169"/>
      <c r="S668" s="133">
        <f>M668</f>
        <v>0</v>
      </c>
      <c r="T668" s="119"/>
      <c r="U668" s="121" t="s">
        <v>292</v>
      </c>
      <c r="V668" s="133">
        <f>S668</f>
        <v>0</v>
      </c>
      <c r="W668" s="133">
        <f>VLOOKUP(U668,Sheet1!$B$6:$C$45,2,FALSE)*V668</f>
        <v>0</v>
      </c>
      <c r="X668" s="141"/>
      <c r="Y668" s="121" t="s">
        <v>292</v>
      </c>
      <c r="Z668" s="146">
        <f>VLOOKUP(Takeoffs!Y668,Sheet1!$B$6:$C$124,2,FALSE)</f>
        <v>0</v>
      </c>
      <c r="AA668" s="146">
        <f>Z668*AB668</f>
        <v>0</v>
      </c>
      <c r="AB668" s="143">
        <f>AD668*AC668</f>
        <v>0</v>
      </c>
      <c r="AC668" s="133">
        <f>S668</f>
        <v>0</v>
      </c>
      <c r="AD668" s="142">
        <v>1</v>
      </c>
      <c r="AE668" s="141"/>
      <c r="AF668" s="121" t="s">
        <v>292</v>
      </c>
      <c r="AG668" s="146">
        <f>VLOOKUP(Takeoffs!AF668,Sheet1!$B$6:$C$124,2,FALSE)</f>
        <v>0</v>
      </c>
      <c r="AH668" s="146">
        <f>AG668*AI668</f>
        <v>0</v>
      </c>
      <c r="AI668" s="143">
        <f>AK668*AJ668</f>
        <v>0</v>
      </c>
      <c r="AJ668" s="133">
        <f>S668</f>
        <v>0</v>
      </c>
      <c r="AK668" s="142">
        <f>T668</f>
        <v>0</v>
      </c>
      <c r="AL668" s="141"/>
      <c r="AO668" s="286"/>
      <c r="AP668" s="284">
        <f t="shared" si="300"/>
        <v>0</v>
      </c>
      <c r="AQ668" s="281">
        <f t="shared" si="301"/>
        <v>0</v>
      </c>
      <c r="AR668" s="284">
        <f t="shared" si="302"/>
        <v>0</v>
      </c>
      <c r="AS668" s="281">
        <f t="shared" si="303"/>
        <v>0</v>
      </c>
      <c r="AT668" s="284">
        <f t="shared" si="304"/>
        <v>0</v>
      </c>
    </row>
    <row r="669" spans="1:97" s="114" customFormat="1" ht="30.9" x14ac:dyDescent="0.8">
      <c r="A669" s="262">
        <f>ROW()</f>
        <v>669</v>
      </c>
      <c r="C669" s="208"/>
      <c r="D669" s="208"/>
      <c r="E669" s="208"/>
      <c r="F669" s="208"/>
      <c r="G669" s="208"/>
      <c r="H669" s="208"/>
      <c r="J669" s="114" t="str">
        <f>IF(COUNTBLANK(Q669)&gt;0,"",CONCATENATE("Coordination Note: - ",P669,": Please refer to our exclusions relating to ",Q669))</f>
        <v/>
      </c>
      <c r="K669" s="114" t="str">
        <f>IF(COUNTBLANK(R669)&gt;0,"",CONCATENATE(R669," for ",N668))</f>
        <v/>
      </c>
      <c r="M669" s="117"/>
      <c r="N669" s="123" t="s">
        <v>113</v>
      </c>
      <c r="O669" s="66" t="s">
        <v>340</v>
      </c>
      <c r="P669" s="121"/>
      <c r="Q669" s="66"/>
      <c r="R669" s="121"/>
      <c r="S669" s="133">
        <f>M668</f>
        <v>0</v>
      </c>
      <c r="T669" s="120"/>
      <c r="U669" s="121" t="s">
        <v>292</v>
      </c>
      <c r="V669" s="133">
        <f t="shared" ref="V669:V688" si="305">S669</f>
        <v>0</v>
      </c>
      <c r="W669" s="133">
        <f>VLOOKUP(U669,Sheet1!$B$6:$C$45,2,FALSE)*V669</f>
        <v>0</v>
      </c>
      <c r="X669" s="141"/>
      <c r="Y669" s="121" t="s">
        <v>292</v>
      </c>
      <c r="Z669" s="146">
        <f>VLOOKUP(Takeoffs!Y669,Sheet1!$B$6:$C$124,2,FALSE)</f>
        <v>0</v>
      </c>
      <c r="AA669" s="146">
        <f t="shared" ref="AA669:AA688" si="306">Z669*AB669</f>
        <v>0</v>
      </c>
      <c r="AB669" s="143">
        <f t="shared" ref="AB669:AB688" si="307">AD669*AC669</f>
        <v>0</v>
      </c>
      <c r="AC669" s="133">
        <f t="shared" ref="AC669:AC688" si="308">S669</f>
        <v>0</v>
      </c>
      <c r="AD669" s="142">
        <v>1</v>
      </c>
      <c r="AE669" s="141"/>
      <c r="AF669" s="121" t="s">
        <v>292</v>
      </c>
      <c r="AG669" s="146">
        <f>VLOOKUP(Takeoffs!AF669,Sheet1!$B$6:$C$124,2,FALSE)</f>
        <v>0</v>
      </c>
      <c r="AH669" s="146">
        <f t="shared" ref="AH669:AH688" si="309">AG669*AI669</f>
        <v>0</v>
      </c>
      <c r="AI669" s="143">
        <f t="shared" ref="AI669:AI688" si="310">AK669*AJ669</f>
        <v>0</v>
      </c>
      <c r="AJ669" s="133">
        <f t="shared" ref="AJ669:AJ688" si="311">S669</f>
        <v>0</v>
      </c>
      <c r="AK669" s="142">
        <f>T669</f>
        <v>0</v>
      </c>
      <c r="AL669" s="141"/>
      <c r="AO669" s="286"/>
      <c r="AP669" s="284">
        <f t="shared" si="300"/>
        <v>0</v>
      </c>
      <c r="AQ669" s="281">
        <f t="shared" si="301"/>
        <v>0</v>
      </c>
      <c r="AR669" s="284">
        <f t="shared" si="302"/>
        <v>0</v>
      </c>
      <c r="AS669" s="281">
        <f t="shared" si="303"/>
        <v>0</v>
      </c>
      <c r="AT669" s="284">
        <f t="shared" si="304"/>
        <v>0</v>
      </c>
    </row>
    <row r="670" spans="1:97" s="114" customFormat="1" ht="30.9" x14ac:dyDescent="0.8">
      <c r="A670" s="262">
        <f>ROW()</f>
        <v>670</v>
      </c>
      <c r="C670" s="208"/>
      <c r="D670" s="208"/>
      <c r="E670" s="208"/>
      <c r="F670" s="208"/>
      <c r="G670" s="208"/>
      <c r="H670" s="208"/>
      <c r="J670" s="114" t="str">
        <f t="shared" ref="J670:J688" si="312">IF(COUNTBLANK(Q670)&gt;0,"",CONCATENATE("Coordination Note: - ",P670,": Please refer to our exclusions relating to ",Q670))</f>
        <v/>
      </c>
      <c r="K670" s="114" t="str">
        <f>IF(COUNTBLANK(R670)&gt;0,"",CONCATENATE(R670," for ",N668))</f>
        <v/>
      </c>
      <c r="M670" s="117"/>
      <c r="N670" s="123" t="s">
        <v>114</v>
      </c>
      <c r="O670" s="66" t="s">
        <v>308</v>
      </c>
      <c r="P670" s="121"/>
      <c r="Q670" s="66"/>
      <c r="R670" s="121"/>
      <c r="S670" s="133">
        <f>M668</f>
        <v>0</v>
      </c>
      <c r="T670" s="120"/>
      <c r="U670" s="121" t="s">
        <v>292</v>
      </c>
      <c r="V670" s="133">
        <f t="shared" si="305"/>
        <v>0</v>
      </c>
      <c r="W670" s="133">
        <f>VLOOKUP(U670,Sheet1!$B$6:$C$45,2,FALSE)*V670</f>
        <v>0</v>
      </c>
      <c r="X670" s="141"/>
      <c r="Y670" s="122" t="s">
        <v>252</v>
      </c>
      <c r="Z670" s="146">
        <f>VLOOKUP(Takeoffs!Y670,Sheet1!$B$6:$C$124,2,FALSE)</f>
        <v>43.440000000000005</v>
      </c>
      <c r="AA670" s="146">
        <f t="shared" si="306"/>
        <v>0</v>
      </c>
      <c r="AB670" s="143">
        <f t="shared" si="307"/>
        <v>0</v>
      </c>
      <c r="AC670" s="133">
        <f t="shared" si="308"/>
        <v>0</v>
      </c>
      <c r="AD670" s="142">
        <v>1</v>
      </c>
      <c r="AE670" s="141"/>
      <c r="AF670" s="122" t="s">
        <v>268</v>
      </c>
      <c r="AG670" s="146">
        <f>VLOOKUP(Takeoffs!AF670,Sheet1!$B$6:$C$124,2,FALSE)</f>
        <v>1.02</v>
      </c>
      <c r="AH670" s="146">
        <f t="shared" si="309"/>
        <v>0</v>
      </c>
      <c r="AI670" s="143">
        <f t="shared" si="310"/>
        <v>0</v>
      </c>
      <c r="AJ670" s="133">
        <f t="shared" si="311"/>
        <v>0</v>
      </c>
      <c r="AK670" s="142">
        <v>20</v>
      </c>
      <c r="AL670" s="141"/>
      <c r="AO670" s="286"/>
      <c r="AP670" s="284">
        <f t="shared" si="300"/>
        <v>0</v>
      </c>
      <c r="AQ670" s="281">
        <f t="shared" si="301"/>
        <v>0</v>
      </c>
      <c r="AR670" s="284">
        <f t="shared" si="302"/>
        <v>0</v>
      </c>
      <c r="AS670" s="281">
        <f t="shared" si="303"/>
        <v>0</v>
      </c>
      <c r="AT670" s="284">
        <f t="shared" si="304"/>
        <v>0</v>
      </c>
    </row>
    <row r="671" spans="1:97" s="114" customFormat="1" ht="30.9" x14ac:dyDescent="0.8">
      <c r="A671" s="262">
        <f>ROW()</f>
        <v>671</v>
      </c>
      <c r="C671" s="208"/>
      <c r="D671" s="208"/>
      <c r="E671" s="208"/>
      <c r="F671" s="208"/>
      <c r="G671" s="208"/>
      <c r="H671" s="208"/>
      <c r="J671" s="114" t="str">
        <f t="shared" si="312"/>
        <v/>
      </c>
      <c r="K671" s="114" t="str">
        <f>IF(COUNTBLANK(R671)&gt;0,"",CONCATENATE(R671," for ",N668))</f>
        <v/>
      </c>
      <c r="M671" s="117"/>
      <c r="N671" s="123" t="s">
        <v>115</v>
      </c>
      <c r="O671" s="66" t="s">
        <v>489</v>
      </c>
      <c r="P671" s="121"/>
      <c r="Q671" s="66"/>
      <c r="R671" s="121"/>
      <c r="S671" s="133">
        <f>M668</f>
        <v>0</v>
      </c>
      <c r="T671" s="120"/>
      <c r="U671" s="117" t="s">
        <v>478</v>
      </c>
      <c r="V671" s="133">
        <f t="shared" si="305"/>
        <v>0</v>
      </c>
      <c r="W671" s="133">
        <f>VLOOKUP(U671,Sheet1!$B$6:$C$45,2,FALSE)*V671</f>
        <v>0</v>
      </c>
      <c r="X671" s="141"/>
      <c r="Y671" s="121" t="s">
        <v>292</v>
      </c>
      <c r="Z671" s="146">
        <f>VLOOKUP(Takeoffs!Y671,Sheet1!$B$6:$C$124,2,FALSE)</f>
        <v>0</v>
      </c>
      <c r="AA671" s="146">
        <f t="shared" si="306"/>
        <v>0</v>
      </c>
      <c r="AB671" s="143">
        <f t="shared" si="307"/>
        <v>0</v>
      </c>
      <c r="AC671" s="133">
        <f t="shared" si="308"/>
        <v>0</v>
      </c>
      <c r="AD671" s="142">
        <v>1</v>
      </c>
      <c r="AE671" s="141"/>
      <c r="AF671" s="121" t="s">
        <v>292</v>
      </c>
      <c r="AG671" s="146">
        <f>VLOOKUP(Takeoffs!AF671,Sheet1!$B$6:$C$124,2,FALSE)</f>
        <v>0</v>
      </c>
      <c r="AH671" s="146">
        <f t="shared" si="309"/>
        <v>0</v>
      </c>
      <c r="AI671" s="143">
        <f t="shared" si="310"/>
        <v>0</v>
      </c>
      <c r="AJ671" s="133">
        <f t="shared" si="311"/>
        <v>0</v>
      </c>
      <c r="AK671" s="142">
        <f>T671</f>
        <v>0</v>
      </c>
      <c r="AL671" s="141"/>
      <c r="AO671" s="286"/>
      <c r="AP671" s="284">
        <f t="shared" si="300"/>
        <v>0</v>
      </c>
      <c r="AQ671" s="281">
        <f t="shared" si="301"/>
        <v>0</v>
      </c>
      <c r="AR671" s="284">
        <f t="shared" si="302"/>
        <v>0</v>
      </c>
      <c r="AS671" s="281">
        <f t="shared" si="303"/>
        <v>0</v>
      </c>
      <c r="AT671" s="284">
        <f t="shared" si="304"/>
        <v>0</v>
      </c>
    </row>
    <row r="672" spans="1:97" s="114" customFormat="1" ht="30.9" x14ac:dyDescent="0.8">
      <c r="A672" s="262">
        <f>ROW()</f>
        <v>672</v>
      </c>
      <c r="C672" s="208"/>
      <c r="D672" s="208"/>
      <c r="E672" s="208"/>
      <c r="F672" s="208"/>
      <c r="G672" s="208"/>
      <c r="H672" s="208"/>
      <c r="J672" s="114" t="str">
        <f t="shared" si="312"/>
        <v/>
      </c>
      <c r="K672" s="114" t="str">
        <f>IF(COUNTBLANK(R672)&gt;0,"",CONCATENATE(R672," for ",N668))</f>
        <v/>
      </c>
      <c r="M672" s="117"/>
      <c r="N672" s="123" t="s">
        <v>116</v>
      </c>
      <c r="O672" s="66"/>
      <c r="P672" s="121"/>
      <c r="Q672" s="66"/>
      <c r="R672" s="121"/>
      <c r="S672" s="133">
        <f>M668</f>
        <v>0</v>
      </c>
      <c r="T672" s="120"/>
      <c r="U672" s="121" t="s">
        <v>235</v>
      </c>
      <c r="V672" s="133">
        <f t="shared" si="305"/>
        <v>0</v>
      </c>
      <c r="W672" s="133">
        <f>VLOOKUP(U672,Sheet1!$B$6:$C$45,2,FALSE)*V672</f>
        <v>0</v>
      </c>
      <c r="X672" s="141"/>
      <c r="Y672" s="121" t="s">
        <v>292</v>
      </c>
      <c r="Z672" s="146">
        <f>VLOOKUP(Takeoffs!Y672,Sheet1!$B$6:$C$124,2,FALSE)</f>
        <v>0</v>
      </c>
      <c r="AA672" s="146">
        <f t="shared" si="306"/>
        <v>0</v>
      </c>
      <c r="AB672" s="143">
        <f t="shared" si="307"/>
        <v>0</v>
      </c>
      <c r="AC672" s="133">
        <f t="shared" si="308"/>
        <v>0</v>
      </c>
      <c r="AD672" s="142">
        <v>1</v>
      </c>
      <c r="AE672" s="141"/>
      <c r="AF672" s="121" t="s">
        <v>292</v>
      </c>
      <c r="AG672" s="146">
        <f>VLOOKUP(Takeoffs!AF672,Sheet1!$B$6:$C$124,2,FALSE)</f>
        <v>0</v>
      </c>
      <c r="AH672" s="146">
        <f t="shared" si="309"/>
        <v>0</v>
      </c>
      <c r="AI672" s="143">
        <f t="shared" si="310"/>
        <v>0</v>
      </c>
      <c r="AJ672" s="133">
        <f t="shared" si="311"/>
        <v>0</v>
      </c>
      <c r="AK672" s="142">
        <f>T672</f>
        <v>0</v>
      </c>
      <c r="AL672" s="141"/>
      <c r="AO672" s="286"/>
      <c r="AP672" s="284">
        <f t="shared" si="300"/>
        <v>0</v>
      </c>
      <c r="AQ672" s="281">
        <f t="shared" si="301"/>
        <v>0</v>
      </c>
      <c r="AR672" s="284">
        <f t="shared" si="302"/>
        <v>0</v>
      </c>
      <c r="AS672" s="281">
        <f t="shared" si="303"/>
        <v>0</v>
      </c>
      <c r="AT672" s="284">
        <f t="shared" si="304"/>
        <v>0</v>
      </c>
    </row>
    <row r="673" spans="1:46" s="114" customFormat="1" ht="30.9" x14ac:dyDescent="0.8">
      <c r="A673" s="262">
        <f>ROW()</f>
        <v>673</v>
      </c>
      <c r="C673" s="208"/>
      <c r="D673" s="208"/>
      <c r="E673" s="208"/>
      <c r="F673" s="208"/>
      <c r="G673" s="208"/>
      <c r="H673" s="208"/>
      <c r="J673" s="114" t="str">
        <f t="shared" si="312"/>
        <v/>
      </c>
      <c r="K673" s="114" t="str">
        <f>IF(COUNTBLANK(R673)&gt;0,"",CONCATENATE(R673," for ",N668))</f>
        <v/>
      </c>
      <c r="M673" s="117"/>
      <c r="N673" s="123" t="s">
        <v>117</v>
      </c>
      <c r="O673" s="66"/>
      <c r="P673" s="121"/>
      <c r="Q673" s="66"/>
      <c r="R673" s="121"/>
      <c r="S673" s="133">
        <f>M668</f>
        <v>0</v>
      </c>
      <c r="T673" s="120"/>
      <c r="U673" s="121" t="s">
        <v>292</v>
      </c>
      <c r="V673" s="133">
        <f t="shared" si="305"/>
        <v>0</v>
      </c>
      <c r="W673" s="133">
        <f>VLOOKUP(U673,Sheet1!$B$6:$C$45,2,FALSE)*V673</f>
        <v>0</v>
      </c>
      <c r="X673" s="141"/>
      <c r="Y673" s="121" t="s">
        <v>292</v>
      </c>
      <c r="Z673" s="146">
        <f>VLOOKUP(Takeoffs!Y673,Sheet1!$B$6:$C$124,2,FALSE)</f>
        <v>0</v>
      </c>
      <c r="AA673" s="146">
        <f t="shared" si="306"/>
        <v>0</v>
      </c>
      <c r="AB673" s="143">
        <f t="shared" si="307"/>
        <v>0</v>
      </c>
      <c r="AC673" s="133">
        <f t="shared" si="308"/>
        <v>0</v>
      </c>
      <c r="AD673" s="142">
        <v>1</v>
      </c>
      <c r="AE673" s="141"/>
      <c r="AF673" s="122" t="s">
        <v>268</v>
      </c>
      <c r="AG673" s="146">
        <f>VLOOKUP(Takeoffs!AF673,Sheet1!$B$6:$C$124,2,FALSE)</f>
        <v>1.02</v>
      </c>
      <c r="AH673" s="146">
        <f t="shared" si="309"/>
        <v>0</v>
      </c>
      <c r="AI673" s="143">
        <f t="shared" si="310"/>
        <v>0</v>
      </c>
      <c r="AJ673" s="133">
        <f t="shared" si="311"/>
        <v>0</v>
      </c>
      <c r="AK673" s="142">
        <v>3</v>
      </c>
      <c r="AL673" s="141"/>
      <c r="AO673" s="286"/>
      <c r="AP673" s="284">
        <f t="shared" si="300"/>
        <v>0</v>
      </c>
      <c r="AQ673" s="281">
        <f t="shared" si="301"/>
        <v>0</v>
      </c>
      <c r="AR673" s="284">
        <f t="shared" si="302"/>
        <v>0</v>
      </c>
      <c r="AS673" s="281">
        <f t="shared" si="303"/>
        <v>0</v>
      </c>
      <c r="AT673" s="284">
        <f t="shared" si="304"/>
        <v>0</v>
      </c>
    </row>
    <row r="674" spans="1:46" s="114" customFormat="1" ht="30.9" x14ac:dyDescent="0.8">
      <c r="A674" s="262">
        <f>ROW()</f>
        <v>674</v>
      </c>
      <c r="C674" s="208"/>
      <c r="D674" s="208"/>
      <c r="E674" s="208"/>
      <c r="F674" s="208"/>
      <c r="G674" s="208"/>
      <c r="H674" s="208"/>
      <c r="J674" s="114" t="str">
        <f t="shared" si="312"/>
        <v/>
      </c>
      <c r="K674" s="114" t="str">
        <f>IF(COUNTBLANK(R674)&gt;0,"",CONCATENATE(R674," for ",N668))</f>
        <v/>
      </c>
      <c r="M674" s="117"/>
      <c r="N674" s="123" t="s">
        <v>118</v>
      </c>
      <c r="O674" s="66" t="s">
        <v>406</v>
      </c>
      <c r="P674" s="121"/>
      <c r="Q674" s="66"/>
      <c r="R674" s="121"/>
      <c r="S674" s="133">
        <f>M668</f>
        <v>0</v>
      </c>
      <c r="T674" s="120"/>
      <c r="U674" s="121" t="s">
        <v>292</v>
      </c>
      <c r="V674" s="133">
        <f t="shared" si="305"/>
        <v>0</v>
      </c>
      <c r="W674" s="133">
        <f>VLOOKUP(U674,Sheet1!$B$6:$C$45,2,FALSE)*V674</f>
        <v>0</v>
      </c>
      <c r="X674" s="141"/>
      <c r="Y674" s="121" t="s">
        <v>292</v>
      </c>
      <c r="Z674" s="146">
        <f>VLOOKUP(Takeoffs!Y674,Sheet1!$B$6:$C$124,2,FALSE)</f>
        <v>0</v>
      </c>
      <c r="AA674" s="146">
        <f t="shared" si="306"/>
        <v>0</v>
      </c>
      <c r="AB674" s="143">
        <f t="shared" si="307"/>
        <v>0</v>
      </c>
      <c r="AC674" s="133">
        <f t="shared" si="308"/>
        <v>0</v>
      </c>
      <c r="AD674" s="142">
        <v>1</v>
      </c>
      <c r="AE674" s="141"/>
      <c r="AF674" s="121" t="s">
        <v>292</v>
      </c>
      <c r="AG674" s="146">
        <f>VLOOKUP(Takeoffs!AF674,Sheet1!$B$6:$C$124,2,FALSE)</f>
        <v>0</v>
      </c>
      <c r="AH674" s="146">
        <f t="shared" si="309"/>
        <v>0</v>
      </c>
      <c r="AI674" s="143">
        <f t="shared" si="310"/>
        <v>0</v>
      </c>
      <c r="AJ674" s="133">
        <f t="shared" si="311"/>
        <v>0</v>
      </c>
      <c r="AK674" s="142">
        <f>T674</f>
        <v>0</v>
      </c>
      <c r="AL674" s="141"/>
      <c r="AO674" s="286"/>
      <c r="AP674" s="284">
        <f t="shared" si="300"/>
        <v>0</v>
      </c>
      <c r="AQ674" s="281">
        <f t="shared" si="301"/>
        <v>0</v>
      </c>
      <c r="AR674" s="284">
        <f t="shared" si="302"/>
        <v>0</v>
      </c>
      <c r="AS674" s="281">
        <f t="shared" si="303"/>
        <v>0</v>
      </c>
      <c r="AT674" s="284">
        <f t="shared" si="304"/>
        <v>0</v>
      </c>
    </row>
    <row r="675" spans="1:46" s="114" customFormat="1" ht="30.9" x14ac:dyDescent="0.8">
      <c r="A675" s="262">
        <f>ROW()</f>
        <v>675</v>
      </c>
      <c r="C675" s="208"/>
      <c r="D675" s="208"/>
      <c r="E675" s="208"/>
      <c r="F675" s="208"/>
      <c r="G675" s="208"/>
      <c r="H675" s="208"/>
      <c r="J675" s="114" t="str">
        <f t="shared" si="312"/>
        <v/>
      </c>
      <c r="K675" s="114" t="str">
        <f>IF(COUNTBLANK(R675)&gt;0,"",CONCATENATE(R675," for ",N668))</f>
        <v/>
      </c>
      <c r="N675" s="123" t="s">
        <v>119</v>
      </c>
      <c r="O675" s="66"/>
      <c r="P675" s="121"/>
      <c r="Q675" s="66"/>
      <c r="R675" s="121"/>
      <c r="S675" s="133">
        <f>M668</f>
        <v>0</v>
      </c>
      <c r="T675" s="120"/>
      <c r="U675" s="121" t="s">
        <v>292</v>
      </c>
      <c r="V675" s="133">
        <f t="shared" si="305"/>
        <v>0</v>
      </c>
      <c r="W675" s="133">
        <f>VLOOKUP(U675,Sheet1!$B$6:$C$45,2,FALSE)*V675</f>
        <v>0</v>
      </c>
      <c r="X675" s="141"/>
      <c r="Y675" s="121" t="s">
        <v>292</v>
      </c>
      <c r="Z675" s="146">
        <f>VLOOKUP(Takeoffs!Y675,Sheet1!$B$6:$C$124,2,FALSE)</f>
        <v>0</v>
      </c>
      <c r="AA675" s="146">
        <f t="shared" si="306"/>
        <v>0</v>
      </c>
      <c r="AB675" s="143">
        <f t="shared" si="307"/>
        <v>0</v>
      </c>
      <c r="AC675" s="133">
        <f t="shared" si="308"/>
        <v>0</v>
      </c>
      <c r="AD675" s="142">
        <v>1</v>
      </c>
      <c r="AE675" s="141"/>
      <c r="AF675" s="121" t="s">
        <v>292</v>
      </c>
      <c r="AG675" s="146">
        <f>VLOOKUP(Takeoffs!AF675,Sheet1!$B$6:$C$124,2,FALSE)</f>
        <v>0</v>
      </c>
      <c r="AH675" s="146">
        <f t="shared" si="309"/>
        <v>0</v>
      </c>
      <c r="AI675" s="143">
        <f t="shared" si="310"/>
        <v>0</v>
      </c>
      <c r="AJ675" s="133">
        <f t="shared" si="311"/>
        <v>0</v>
      </c>
      <c r="AK675" s="142">
        <f>T675</f>
        <v>0</v>
      </c>
      <c r="AL675" s="141"/>
      <c r="AO675" s="286"/>
      <c r="AP675" s="284">
        <f t="shared" si="300"/>
        <v>0</v>
      </c>
      <c r="AQ675" s="281">
        <f t="shared" si="301"/>
        <v>0</v>
      </c>
      <c r="AR675" s="284">
        <f t="shared" si="302"/>
        <v>0</v>
      </c>
      <c r="AS675" s="281">
        <f t="shared" si="303"/>
        <v>0</v>
      </c>
      <c r="AT675" s="284">
        <f t="shared" si="304"/>
        <v>0</v>
      </c>
    </row>
    <row r="676" spans="1:46" s="114" customFormat="1" ht="30.9" x14ac:dyDescent="0.8">
      <c r="A676" s="262">
        <f>ROW()</f>
        <v>676</v>
      </c>
      <c r="C676" s="208"/>
      <c r="D676" s="208"/>
      <c r="E676" s="208"/>
      <c r="F676" s="208"/>
      <c r="G676" s="208"/>
      <c r="H676" s="208"/>
      <c r="J676" s="114" t="str">
        <f t="shared" si="312"/>
        <v/>
      </c>
      <c r="K676" s="114" t="str">
        <f>IF(COUNTBLANK(R676)&gt;0,"",CONCATENATE(R676," for ",N668))</f>
        <v/>
      </c>
      <c r="N676" s="123" t="s">
        <v>120</v>
      </c>
      <c r="O676" s="66" t="s">
        <v>328</v>
      </c>
      <c r="P676" s="121"/>
      <c r="Q676" s="66"/>
      <c r="R676" s="121"/>
      <c r="S676" s="133">
        <f>M668</f>
        <v>0</v>
      </c>
      <c r="T676" s="120"/>
      <c r="U676" s="121" t="s">
        <v>364</v>
      </c>
      <c r="V676" s="133">
        <f t="shared" si="305"/>
        <v>0</v>
      </c>
      <c r="W676" s="133">
        <f>VLOOKUP(U676,Sheet1!$B$6:$C$45,2,FALSE)*V676</f>
        <v>0</v>
      </c>
      <c r="X676" s="141"/>
      <c r="Y676" s="121" t="s">
        <v>292</v>
      </c>
      <c r="Z676" s="146">
        <f>VLOOKUP(Takeoffs!Y676,Sheet1!$B$6:$C$124,2,FALSE)</f>
        <v>0</v>
      </c>
      <c r="AA676" s="146">
        <f t="shared" si="306"/>
        <v>0</v>
      </c>
      <c r="AB676" s="143">
        <f t="shared" si="307"/>
        <v>0</v>
      </c>
      <c r="AC676" s="133">
        <f t="shared" si="308"/>
        <v>0</v>
      </c>
      <c r="AD676" s="142">
        <v>1</v>
      </c>
      <c r="AE676" s="141"/>
      <c r="AF676" s="121" t="s">
        <v>292</v>
      </c>
      <c r="AG676" s="146">
        <f>VLOOKUP(Takeoffs!AF676,Sheet1!$B$6:$C$124,2,FALSE)</f>
        <v>0</v>
      </c>
      <c r="AH676" s="146">
        <f t="shared" si="309"/>
        <v>0</v>
      </c>
      <c r="AI676" s="143">
        <f t="shared" si="310"/>
        <v>0</v>
      </c>
      <c r="AJ676" s="133">
        <f t="shared" si="311"/>
        <v>0</v>
      </c>
      <c r="AK676" s="142">
        <f>T676</f>
        <v>0</v>
      </c>
      <c r="AL676" s="141"/>
      <c r="AO676" s="286"/>
      <c r="AP676" s="284">
        <f t="shared" si="300"/>
        <v>0</v>
      </c>
      <c r="AQ676" s="281">
        <f t="shared" si="301"/>
        <v>0</v>
      </c>
      <c r="AR676" s="284">
        <f t="shared" si="302"/>
        <v>0</v>
      </c>
      <c r="AS676" s="281">
        <f t="shared" si="303"/>
        <v>0</v>
      </c>
      <c r="AT676" s="284">
        <f t="shared" si="304"/>
        <v>0</v>
      </c>
    </row>
    <row r="677" spans="1:46" s="114" customFormat="1" ht="30.9" x14ac:dyDescent="0.8">
      <c r="A677" s="262">
        <f>ROW()</f>
        <v>677</v>
      </c>
      <c r="C677" s="208"/>
      <c r="D677" s="208"/>
      <c r="E677" s="208"/>
      <c r="F677" s="208"/>
      <c r="G677" s="208"/>
      <c r="H677" s="208"/>
      <c r="J677" s="114" t="str">
        <f t="shared" si="312"/>
        <v/>
      </c>
      <c r="K677" s="114" t="str">
        <f>IF(COUNTBLANK(R677)&gt;0,"",CONCATENATE(R677," for ",N668))</f>
        <v/>
      </c>
      <c r="N677" s="123" t="s">
        <v>121</v>
      </c>
      <c r="O677" s="66"/>
      <c r="P677" s="121"/>
      <c r="Q677" s="66"/>
      <c r="R677" s="121"/>
      <c r="S677" s="133">
        <f>M668</f>
        <v>0</v>
      </c>
      <c r="T677" s="120"/>
      <c r="U677" s="121" t="s">
        <v>292</v>
      </c>
      <c r="V677" s="133">
        <f t="shared" si="305"/>
        <v>0</v>
      </c>
      <c r="W677" s="133">
        <f>VLOOKUP(U677,Sheet1!$B$6:$C$45,2,FALSE)*V677</f>
        <v>0</v>
      </c>
      <c r="X677" s="141"/>
      <c r="Y677" s="121" t="s">
        <v>292</v>
      </c>
      <c r="Z677" s="146">
        <f>VLOOKUP(Takeoffs!Y677,Sheet1!$B$6:$C$124,2,FALSE)</f>
        <v>0</v>
      </c>
      <c r="AA677" s="146">
        <f t="shared" si="306"/>
        <v>0</v>
      </c>
      <c r="AB677" s="143">
        <f t="shared" si="307"/>
        <v>0</v>
      </c>
      <c r="AC677" s="133">
        <f t="shared" si="308"/>
        <v>0</v>
      </c>
      <c r="AD677" s="142">
        <v>1</v>
      </c>
      <c r="AE677" s="141"/>
      <c r="AF677" s="121" t="s">
        <v>292</v>
      </c>
      <c r="AG677" s="146">
        <f>VLOOKUP(Takeoffs!AF677,Sheet1!$B$6:$C$124,2,FALSE)</f>
        <v>0</v>
      </c>
      <c r="AH677" s="146">
        <f t="shared" si="309"/>
        <v>0</v>
      </c>
      <c r="AI677" s="143">
        <f t="shared" si="310"/>
        <v>0</v>
      </c>
      <c r="AJ677" s="133">
        <f t="shared" si="311"/>
        <v>0</v>
      </c>
      <c r="AK677" s="142">
        <f>T677</f>
        <v>0</v>
      </c>
      <c r="AL677" s="141"/>
      <c r="AO677" s="286"/>
      <c r="AP677" s="284">
        <f t="shared" si="300"/>
        <v>0</v>
      </c>
      <c r="AQ677" s="281">
        <f t="shared" si="301"/>
        <v>0</v>
      </c>
      <c r="AR677" s="284">
        <f t="shared" si="302"/>
        <v>0</v>
      </c>
      <c r="AS677" s="281">
        <f t="shared" si="303"/>
        <v>0</v>
      </c>
      <c r="AT677" s="284">
        <f t="shared" si="304"/>
        <v>0</v>
      </c>
    </row>
    <row r="678" spans="1:46" s="114" customFormat="1" ht="30.9" x14ac:dyDescent="0.8">
      <c r="A678" s="262">
        <f>ROW()</f>
        <v>678</v>
      </c>
      <c r="C678" s="208"/>
      <c r="D678" s="208"/>
      <c r="E678" s="208"/>
      <c r="F678" s="208"/>
      <c r="G678" s="208"/>
      <c r="H678" s="208"/>
      <c r="J678" s="114" t="str">
        <f t="shared" si="312"/>
        <v/>
      </c>
      <c r="K678" s="114" t="str">
        <f>IF(COUNTBLANK(R678)&gt;0,"",CONCATENATE(R678," for ",N668))</f>
        <v/>
      </c>
      <c r="N678" s="123" t="s">
        <v>122</v>
      </c>
      <c r="O678" s="66"/>
      <c r="P678" s="121"/>
      <c r="Q678" s="66"/>
      <c r="R678" s="121"/>
      <c r="S678" s="133">
        <f>M668</f>
        <v>0</v>
      </c>
      <c r="T678" s="120"/>
      <c r="U678" s="121" t="s">
        <v>292</v>
      </c>
      <c r="V678" s="133">
        <f t="shared" si="305"/>
        <v>0</v>
      </c>
      <c r="W678" s="133">
        <f>VLOOKUP(U678,Sheet1!$B$6:$C$45,2,FALSE)*V678</f>
        <v>0</v>
      </c>
      <c r="X678" s="141"/>
      <c r="Y678" s="121" t="s">
        <v>292</v>
      </c>
      <c r="Z678" s="146">
        <f>VLOOKUP(Takeoffs!Y678,Sheet1!$B$6:$C$124,2,FALSE)</f>
        <v>0</v>
      </c>
      <c r="AA678" s="146">
        <f t="shared" si="306"/>
        <v>0</v>
      </c>
      <c r="AB678" s="143">
        <f t="shared" si="307"/>
        <v>0</v>
      </c>
      <c r="AC678" s="133">
        <f t="shared" si="308"/>
        <v>0</v>
      </c>
      <c r="AD678" s="142">
        <v>1</v>
      </c>
      <c r="AE678" s="141"/>
      <c r="AF678" s="121" t="s">
        <v>292</v>
      </c>
      <c r="AG678" s="146">
        <f>VLOOKUP(Takeoffs!AF678,Sheet1!$B$6:$C$124,2,FALSE)</f>
        <v>0</v>
      </c>
      <c r="AH678" s="146">
        <f t="shared" si="309"/>
        <v>0</v>
      </c>
      <c r="AI678" s="143">
        <f t="shared" si="310"/>
        <v>0</v>
      </c>
      <c r="AJ678" s="133">
        <f t="shared" si="311"/>
        <v>0</v>
      </c>
      <c r="AK678" s="142">
        <f>T678</f>
        <v>0</v>
      </c>
      <c r="AL678" s="141"/>
      <c r="AO678" s="286"/>
      <c r="AP678" s="284">
        <f t="shared" si="300"/>
        <v>0</v>
      </c>
      <c r="AQ678" s="281">
        <f t="shared" si="301"/>
        <v>0</v>
      </c>
      <c r="AR678" s="284">
        <f t="shared" si="302"/>
        <v>0</v>
      </c>
      <c r="AS678" s="281">
        <f t="shared" si="303"/>
        <v>0</v>
      </c>
      <c r="AT678" s="284">
        <f t="shared" si="304"/>
        <v>0</v>
      </c>
    </row>
    <row r="679" spans="1:46" s="114" customFormat="1" ht="30.9" x14ac:dyDescent="0.8">
      <c r="A679" s="262">
        <f>ROW()</f>
        <v>679</v>
      </c>
      <c r="C679" s="208"/>
      <c r="D679" s="208"/>
      <c r="E679" s="208"/>
      <c r="F679" s="208"/>
      <c r="G679" s="208"/>
      <c r="H679" s="208"/>
      <c r="J679" s="114" t="str">
        <f t="shared" si="312"/>
        <v/>
      </c>
      <c r="K679" s="114" t="str">
        <f>IF(COUNTBLANK(R679)&gt;0,"",CONCATENATE(R679," for ",N668))</f>
        <v/>
      </c>
      <c r="N679" s="123" t="s">
        <v>123</v>
      </c>
      <c r="O679" s="66" t="s">
        <v>659</v>
      </c>
      <c r="P679" s="121"/>
      <c r="Q679" s="66"/>
      <c r="R679" s="121"/>
      <c r="S679" s="133">
        <f>M668</f>
        <v>0</v>
      </c>
      <c r="T679" s="120"/>
      <c r="U679" s="121" t="s">
        <v>292</v>
      </c>
      <c r="V679" s="133">
        <f t="shared" si="305"/>
        <v>0</v>
      </c>
      <c r="W679" s="133">
        <f>VLOOKUP(U679,Sheet1!$B$6:$C$45,2,FALSE)*V679</f>
        <v>0</v>
      </c>
      <c r="X679" s="141"/>
      <c r="Y679" s="135" t="s">
        <v>588</v>
      </c>
      <c r="Z679" s="146">
        <f>VLOOKUP(Takeoffs!Y679,Sheet1!$B$6:$C$124,2,FALSE)</f>
        <v>96</v>
      </c>
      <c r="AA679" s="146">
        <f t="shared" si="306"/>
        <v>0</v>
      </c>
      <c r="AB679" s="143">
        <f t="shared" si="307"/>
        <v>0</v>
      </c>
      <c r="AC679" s="133">
        <f t="shared" si="308"/>
        <v>0</v>
      </c>
      <c r="AD679" s="142">
        <v>1</v>
      </c>
      <c r="AE679" s="141"/>
      <c r="AF679" s="121" t="s">
        <v>292</v>
      </c>
      <c r="AG679" s="146">
        <f>VLOOKUP(Takeoffs!AF679,Sheet1!$B$6:$C$124,2,FALSE)</f>
        <v>0</v>
      </c>
      <c r="AH679" s="146">
        <f t="shared" si="309"/>
        <v>0</v>
      </c>
      <c r="AI679" s="143">
        <f t="shared" si="310"/>
        <v>0</v>
      </c>
      <c r="AJ679" s="133">
        <f t="shared" si="311"/>
        <v>0</v>
      </c>
      <c r="AK679" s="142">
        <v>0</v>
      </c>
      <c r="AL679" s="141"/>
      <c r="AO679" s="286"/>
      <c r="AP679" s="284">
        <f t="shared" si="300"/>
        <v>0</v>
      </c>
      <c r="AQ679" s="281">
        <f t="shared" si="301"/>
        <v>0</v>
      </c>
      <c r="AR679" s="284">
        <f t="shared" si="302"/>
        <v>0</v>
      </c>
      <c r="AS679" s="281">
        <f t="shared" si="303"/>
        <v>0</v>
      </c>
      <c r="AT679" s="284">
        <f t="shared" si="304"/>
        <v>0</v>
      </c>
    </row>
    <row r="680" spans="1:46" s="114" customFormat="1" ht="30.9" x14ac:dyDescent="0.8">
      <c r="A680" s="262">
        <f>ROW()</f>
        <v>680</v>
      </c>
      <c r="C680" s="208"/>
      <c r="D680" s="208"/>
      <c r="E680" s="208"/>
      <c r="F680" s="208"/>
      <c r="G680" s="208"/>
      <c r="H680" s="208"/>
      <c r="J680" s="114" t="str">
        <f t="shared" si="312"/>
        <v/>
      </c>
      <c r="K680" s="114" t="str">
        <f>IF(COUNTBLANK(R680)&gt;0,"",CONCATENATE(R680," for ",N668))</f>
        <v/>
      </c>
      <c r="N680" s="123" t="s">
        <v>124</v>
      </c>
      <c r="O680" s="66" t="s">
        <v>140</v>
      </c>
      <c r="P680" s="121"/>
      <c r="Q680" s="66"/>
      <c r="R680" s="121"/>
      <c r="S680" s="133">
        <f>M668</f>
        <v>0</v>
      </c>
      <c r="T680" s="120"/>
      <c r="U680" s="121" t="s">
        <v>292</v>
      </c>
      <c r="V680" s="133">
        <f t="shared" si="305"/>
        <v>0</v>
      </c>
      <c r="W680" s="133">
        <f>VLOOKUP(U680,Sheet1!$B$6:$C$45,2,FALSE)*V680</f>
        <v>0</v>
      </c>
      <c r="X680" s="141"/>
      <c r="Y680" s="121" t="s">
        <v>292</v>
      </c>
      <c r="Z680" s="146">
        <f>VLOOKUP(Takeoffs!Y680,Sheet1!$B$6:$C$124,2,FALSE)</f>
        <v>0</v>
      </c>
      <c r="AA680" s="146">
        <f t="shared" si="306"/>
        <v>0</v>
      </c>
      <c r="AB680" s="143">
        <f t="shared" si="307"/>
        <v>0</v>
      </c>
      <c r="AC680" s="133">
        <f t="shared" si="308"/>
        <v>0</v>
      </c>
      <c r="AD680" s="142">
        <v>1</v>
      </c>
      <c r="AE680" s="141"/>
      <c r="AF680" s="152" t="s">
        <v>418</v>
      </c>
      <c r="AG680" s="146">
        <f>VLOOKUP(Takeoffs!AF680,Sheet1!$B$6:$C$124,2,FALSE)</f>
        <v>0.33600000000000002</v>
      </c>
      <c r="AH680" s="146">
        <f t="shared" si="309"/>
        <v>0</v>
      </c>
      <c r="AI680" s="143">
        <f t="shared" si="310"/>
        <v>0</v>
      </c>
      <c r="AJ680" s="133">
        <f t="shared" si="311"/>
        <v>0</v>
      </c>
      <c r="AK680" s="142">
        <v>1</v>
      </c>
      <c r="AL680" s="141"/>
      <c r="AO680" s="286"/>
      <c r="AP680" s="284">
        <f t="shared" si="300"/>
        <v>0</v>
      </c>
      <c r="AQ680" s="281">
        <f t="shared" si="301"/>
        <v>0</v>
      </c>
      <c r="AR680" s="284">
        <f t="shared" si="302"/>
        <v>0</v>
      </c>
      <c r="AS680" s="281">
        <f t="shared" si="303"/>
        <v>0</v>
      </c>
      <c r="AT680" s="284">
        <f t="shared" si="304"/>
        <v>0</v>
      </c>
    </row>
    <row r="681" spans="1:46" s="114" customFormat="1" ht="30.9" x14ac:dyDescent="0.8">
      <c r="A681" s="262">
        <f>ROW()</f>
        <v>681</v>
      </c>
      <c r="C681" s="208"/>
      <c r="D681" s="208"/>
      <c r="E681" s="208"/>
      <c r="F681" s="208"/>
      <c r="G681" s="208"/>
      <c r="H681" s="208"/>
      <c r="J681" s="114" t="str">
        <f t="shared" si="312"/>
        <v/>
      </c>
      <c r="K681" s="114" t="str">
        <f>IF(COUNTBLANK(R681)&gt;0,"",CONCATENATE(R681," for ",N668))</f>
        <v/>
      </c>
      <c r="N681" s="123" t="s">
        <v>125</v>
      </c>
      <c r="O681" s="66" t="s">
        <v>312</v>
      </c>
      <c r="P681" s="121"/>
      <c r="Q681" s="66"/>
      <c r="R681" s="121"/>
      <c r="S681" s="133">
        <f>M668</f>
        <v>0</v>
      </c>
      <c r="T681" s="120"/>
      <c r="U681" s="121" t="s">
        <v>232</v>
      </c>
      <c r="V681" s="133">
        <f t="shared" si="305"/>
        <v>0</v>
      </c>
      <c r="W681" s="133">
        <f>VLOOKUP(U681,Sheet1!$B$6:$C$45,2,FALSE)*V681</f>
        <v>0</v>
      </c>
      <c r="X681" s="141"/>
      <c r="Y681" s="122" t="s">
        <v>1345</v>
      </c>
      <c r="Z681" s="146">
        <f>VLOOKUP(Takeoffs!Y681,Sheet1!$B$6:$C$124,2,FALSE)</f>
        <v>109.25999999999999</v>
      </c>
      <c r="AA681" s="146">
        <f t="shared" si="306"/>
        <v>0</v>
      </c>
      <c r="AB681" s="143">
        <f t="shared" si="307"/>
        <v>0</v>
      </c>
      <c r="AC681" s="133">
        <f t="shared" si="308"/>
        <v>0</v>
      </c>
      <c r="AD681" s="142">
        <v>1</v>
      </c>
      <c r="AE681" s="141"/>
      <c r="AF681" s="121" t="s">
        <v>292</v>
      </c>
      <c r="AG681" s="146">
        <f>VLOOKUP(Takeoffs!AF681,Sheet1!$B$6:$C$124,2,FALSE)</f>
        <v>0</v>
      </c>
      <c r="AH681" s="146">
        <f t="shared" si="309"/>
        <v>0</v>
      </c>
      <c r="AI681" s="143">
        <f t="shared" si="310"/>
        <v>0</v>
      </c>
      <c r="AJ681" s="133">
        <f t="shared" si="311"/>
        <v>0</v>
      </c>
      <c r="AK681" s="142">
        <f t="shared" ref="AK681:AK688" si="313">T681</f>
        <v>0</v>
      </c>
      <c r="AL681" s="141"/>
      <c r="AO681" s="286"/>
      <c r="AP681" s="284">
        <f t="shared" si="300"/>
        <v>0</v>
      </c>
      <c r="AQ681" s="281">
        <f t="shared" si="301"/>
        <v>0</v>
      </c>
      <c r="AR681" s="284">
        <f t="shared" si="302"/>
        <v>0</v>
      </c>
      <c r="AS681" s="281">
        <f t="shared" si="303"/>
        <v>0</v>
      </c>
      <c r="AT681" s="284">
        <f t="shared" si="304"/>
        <v>0</v>
      </c>
    </row>
    <row r="682" spans="1:46" s="114" customFormat="1" ht="30.9" x14ac:dyDescent="0.8">
      <c r="A682" s="262">
        <f>ROW()</f>
        <v>682</v>
      </c>
      <c r="C682" s="208"/>
      <c r="D682" s="208"/>
      <c r="E682" s="208"/>
      <c r="F682" s="208"/>
      <c r="G682" s="208"/>
      <c r="H682" s="208"/>
      <c r="J682" s="114" t="str">
        <f t="shared" si="312"/>
        <v>Coordination Note: - Fire trade: Please refer to our exclusions relating to fire cabling from FIP.</v>
      </c>
      <c r="K682" s="114" t="str">
        <f>IF(COUNTBLANK(R682)&gt;0,"",CONCATENATE(R682," for ",N668))</f>
        <v/>
      </c>
      <c r="N682" s="123" t="s">
        <v>126</v>
      </c>
      <c r="O682" s="66" t="s">
        <v>345</v>
      </c>
      <c r="P682" s="121" t="s">
        <v>380</v>
      </c>
      <c r="Q682" s="66" t="s">
        <v>384</v>
      </c>
      <c r="R682" s="121"/>
      <c r="S682" s="133">
        <f>M668</f>
        <v>0</v>
      </c>
      <c r="T682" s="120"/>
      <c r="U682" s="121" t="s">
        <v>292</v>
      </c>
      <c r="V682" s="133">
        <f t="shared" si="305"/>
        <v>0</v>
      </c>
      <c r="W682" s="133">
        <f>VLOOKUP(U682,Sheet1!$B$6:$C$45,2,FALSE)*V682</f>
        <v>0</v>
      </c>
      <c r="X682" s="141"/>
      <c r="Y682" s="122" t="s">
        <v>326</v>
      </c>
      <c r="Z682" s="146">
        <f>VLOOKUP(Takeoffs!Y682,Sheet1!$B$6:$C$124,2,FALSE)</f>
        <v>29.04</v>
      </c>
      <c r="AA682" s="146">
        <f t="shared" si="306"/>
        <v>0</v>
      </c>
      <c r="AB682" s="143">
        <f t="shared" si="307"/>
        <v>0</v>
      </c>
      <c r="AC682" s="133">
        <f t="shared" si="308"/>
        <v>0</v>
      </c>
      <c r="AD682" s="142">
        <v>1</v>
      </c>
      <c r="AE682" s="141"/>
      <c r="AF682" s="121" t="s">
        <v>292</v>
      </c>
      <c r="AG682" s="146">
        <f>VLOOKUP(Takeoffs!AF682,Sheet1!$B$6:$C$124,2,FALSE)</f>
        <v>0</v>
      </c>
      <c r="AH682" s="146">
        <f t="shared" si="309"/>
        <v>0</v>
      </c>
      <c r="AI682" s="143">
        <f t="shared" si="310"/>
        <v>0</v>
      </c>
      <c r="AJ682" s="133">
        <f t="shared" si="311"/>
        <v>0</v>
      </c>
      <c r="AK682" s="142">
        <f t="shared" si="313"/>
        <v>0</v>
      </c>
      <c r="AL682" s="141"/>
      <c r="AO682" s="286"/>
      <c r="AP682" s="284">
        <f t="shared" si="300"/>
        <v>0</v>
      </c>
      <c r="AQ682" s="281">
        <f t="shared" si="301"/>
        <v>0</v>
      </c>
      <c r="AR682" s="284">
        <f t="shared" si="302"/>
        <v>0</v>
      </c>
      <c r="AS682" s="281">
        <f t="shared" si="303"/>
        <v>0</v>
      </c>
      <c r="AT682" s="284">
        <f t="shared" si="304"/>
        <v>0</v>
      </c>
    </row>
    <row r="683" spans="1:46" s="114" customFormat="1" ht="30.9" x14ac:dyDescent="0.8">
      <c r="A683" s="262">
        <f>ROW()</f>
        <v>683</v>
      </c>
      <c r="C683" s="208"/>
      <c r="D683" s="208"/>
      <c r="E683" s="208"/>
      <c r="F683" s="208"/>
      <c r="G683" s="208"/>
      <c r="H683" s="208"/>
      <c r="J683" s="114" t="str">
        <f t="shared" si="312"/>
        <v/>
      </c>
      <c r="K683" s="114" t="str">
        <f>IF(COUNTBLANK(R683)&gt;0,"",CONCATENATE(R683," for ",N668))</f>
        <v>run and fault lights for DOL fan with interlock with lights an run on timer - from MSSB power supply and timeclock control</v>
      </c>
      <c r="N683" s="123" t="s">
        <v>127</v>
      </c>
      <c r="O683" s="66" t="s">
        <v>337</v>
      </c>
      <c r="P683" s="121"/>
      <c r="Q683" s="66"/>
      <c r="R683" s="121" t="s">
        <v>331</v>
      </c>
      <c r="S683" s="133">
        <f>M668</f>
        <v>0</v>
      </c>
      <c r="T683" s="120"/>
      <c r="U683" s="121" t="s">
        <v>292</v>
      </c>
      <c r="V683" s="133">
        <f t="shared" si="305"/>
        <v>0</v>
      </c>
      <c r="W683" s="133">
        <f>VLOOKUP(U683,Sheet1!$B$6:$C$45,2,FALSE)*V683</f>
        <v>0</v>
      </c>
      <c r="X683" s="141"/>
      <c r="Y683" s="122" t="s">
        <v>280</v>
      </c>
      <c r="Z683" s="146">
        <f>VLOOKUP(Takeoffs!Y683,Sheet1!$B$6:$C$124,2,FALSE)</f>
        <v>19.2</v>
      </c>
      <c r="AA683" s="146">
        <f t="shared" si="306"/>
        <v>0</v>
      </c>
      <c r="AB683" s="143">
        <f t="shared" si="307"/>
        <v>0</v>
      </c>
      <c r="AC683" s="133">
        <f t="shared" si="308"/>
        <v>0</v>
      </c>
      <c r="AD683" s="142">
        <v>2</v>
      </c>
      <c r="AE683" s="141"/>
      <c r="AF683" s="121" t="s">
        <v>292</v>
      </c>
      <c r="AG683" s="146">
        <f>VLOOKUP(Takeoffs!AF683,Sheet1!$B$6:$C$124,2,FALSE)</f>
        <v>0</v>
      </c>
      <c r="AH683" s="146">
        <f t="shared" si="309"/>
        <v>0</v>
      </c>
      <c r="AI683" s="143">
        <f t="shared" si="310"/>
        <v>0</v>
      </c>
      <c r="AJ683" s="133">
        <f t="shared" si="311"/>
        <v>0</v>
      </c>
      <c r="AK683" s="142">
        <f t="shared" si="313"/>
        <v>0</v>
      </c>
      <c r="AL683" s="141"/>
      <c r="AO683" s="286"/>
      <c r="AP683" s="284">
        <f t="shared" si="300"/>
        <v>0</v>
      </c>
      <c r="AQ683" s="281">
        <f t="shared" si="301"/>
        <v>0</v>
      </c>
      <c r="AR683" s="284">
        <f t="shared" si="302"/>
        <v>0</v>
      </c>
      <c r="AS683" s="281">
        <f t="shared" si="303"/>
        <v>0</v>
      </c>
      <c r="AT683" s="284">
        <f t="shared" si="304"/>
        <v>0</v>
      </c>
    </row>
    <row r="684" spans="1:46" s="114" customFormat="1" ht="30.9" x14ac:dyDescent="0.8">
      <c r="A684" s="262">
        <f>ROW()</f>
        <v>684</v>
      </c>
      <c r="C684" s="208"/>
      <c r="D684" s="208"/>
      <c r="E684" s="208"/>
      <c r="F684" s="208"/>
      <c r="G684" s="208"/>
      <c r="H684" s="208"/>
      <c r="J684" s="114" t="str">
        <f t="shared" si="312"/>
        <v/>
      </c>
      <c r="K684" s="114" t="str">
        <f>IF(COUNTBLANK(R684)&gt;0,"",CONCATENATE(R684," for ",N668))</f>
        <v/>
      </c>
      <c r="N684" s="123" t="s">
        <v>128</v>
      </c>
      <c r="O684" s="66" t="s">
        <v>499</v>
      </c>
      <c r="P684" s="121"/>
      <c r="Q684" s="66"/>
      <c r="R684" s="121"/>
      <c r="S684" s="133">
        <f>M668</f>
        <v>0</v>
      </c>
      <c r="T684" s="120"/>
      <c r="U684" s="121" t="s">
        <v>292</v>
      </c>
      <c r="V684" s="133">
        <f t="shared" si="305"/>
        <v>0</v>
      </c>
      <c r="W684" s="133">
        <f>VLOOKUP(U684,Sheet1!$B$6:$C$45,2,FALSE)*V684</f>
        <v>0</v>
      </c>
      <c r="X684" s="141"/>
      <c r="Y684" s="135" t="s">
        <v>422</v>
      </c>
      <c r="Z684" s="146">
        <f>VLOOKUP(Takeoffs!Y684,Sheet1!$B$6:$C$124,2,FALSE)</f>
        <v>23.4</v>
      </c>
      <c r="AA684" s="146">
        <f t="shared" si="306"/>
        <v>0</v>
      </c>
      <c r="AB684" s="143">
        <f t="shared" si="307"/>
        <v>0</v>
      </c>
      <c r="AC684" s="133">
        <f t="shared" si="308"/>
        <v>0</v>
      </c>
      <c r="AD684" s="142">
        <v>1</v>
      </c>
      <c r="AE684" s="141"/>
      <c r="AF684" s="121" t="s">
        <v>292</v>
      </c>
      <c r="AG684" s="146">
        <f>VLOOKUP(Takeoffs!AF684,Sheet1!$B$6:$C$124,2,FALSE)</f>
        <v>0</v>
      </c>
      <c r="AH684" s="146">
        <f t="shared" si="309"/>
        <v>0</v>
      </c>
      <c r="AI684" s="143">
        <f t="shared" si="310"/>
        <v>0</v>
      </c>
      <c r="AJ684" s="133">
        <f t="shared" si="311"/>
        <v>0</v>
      </c>
      <c r="AK684" s="142">
        <f t="shared" si="313"/>
        <v>0</v>
      </c>
      <c r="AL684" s="141"/>
      <c r="AO684" s="286"/>
      <c r="AP684" s="284">
        <f t="shared" si="300"/>
        <v>0</v>
      </c>
      <c r="AQ684" s="281">
        <f t="shared" si="301"/>
        <v>0</v>
      </c>
      <c r="AR684" s="284">
        <f t="shared" si="302"/>
        <v>0</v>
      </c>
      <c r="AS684" s="281">
        <f t="shared" si="303"/>
        <v>0</v>
      </c>
      <c r="AT684" s="284">
        <f t="shared" si="304"/>
        <v>0</v>
      </c>
    </row>
    <row r="685" spans="1:46" s="114" customFormat="1" ht="30.9" x14ac:dyDescent="0.8">
      <c r="A685" s="262">
        <f>ROW()</f>
        <v>685</v>
      </c>
      <c r="C685" s="208"/>
      <c r="D685" s="208"/>
      <c r="E685" s="208"/>
      <c r="F685" s="208"/>
      <c r="G685" s="208"/>
      <c r="H685" s="208"/>
      <c r="J685" s="114" t="str">
        <f t="shared" si="312"/>
        <v/>
      </c>
      <c r="K685" s="114" t="str">
        <f>IF(COUNTBLANK(R685)&gt;0,"",CONCATENATE(R685," for ",N668))</f>
        <v>Auto/Off/On switch for DOL fan with interlock with lights an run on timer - from MSSB power supply and timeclock control</v>
      </c>
      <c r="N685" s="123" t="s">
        <v>129</v>
      </c>
      <c r="O685" s="66" t="s">
        <v>329</v>
      </c>
      <c r="P685" s="121"/>
      <c r="Q685" s="66"/>
      <c r="R685" s="121" t="s">
        <v>304</v>
      </c>
      <c r="S685" s="133">
        <f>M668</f>
        <v>0</v>
      </c>
      <c r="T685" s="120"/>
      <c r="U685" s="121" t="s">
        <v>292</v>
      </c>
      <c r="V685" s="133">
        <f t="shared" si="305"/>
        <v>0</v>
      </c>
      <c r="W685" s="133">
        <f>VLOOKUP(U685,Sheet1!$B$6:$C$45,2,FALSE)*V685</f>
        <v>0</v>
      </c>
      <c r="X685" s="141"/>
      <c r="Y685" s="122" t="s">
        <v>277</v>
      </c>
      <c r="Z685" s="146">
        <f>VLOOKUP(Takeoffs!Y685,Sheet1!$B$6:$C$124,2,FALSE)</f>
        <v>69.540000000000006</v>
      </c>
      <c r="AA685" s="146">
        <f t="shared" si="306"/>
        <v>0</v>
      </c>
      <c r="AB685" s="143">
        <f t="shared" si="307"/>
        <v>0</v>
      </c>
      <c r="AC685" s="133">
        <f t="shared" si="308"/>
        <v>0</v>
      </c>
      <c r="AD685" s="142">
        <v>1</v>
      </c>
      <c r="AE685" s="141"/>
      <c r="AF685" s="121" t="s">
        <v>292</v>
      </c>
      <c r="AG685" s="146">
        <f>VLOOKUP(Takeoffs!AF685,Sheet1!$B$6:$C$124,2,FALSE)</f>
        <v>0</v>
      </c>
      <c r="AH685" s="146">
        <f t="shared" si="309"/>
        <v>0</v>
      </c>
      <c r="AI685" s="143">
        <f t="shared" si="310"/>
        <v>0</v>
      </c>
      <c r="AJ685" s="133">
        <f t="shared" si="311"/>
        <v>0</v>
      </c>
      <c r="AK685" s="142">
        <f t="shared" si="313"/>
        <v>0</v>
      </c>
      <c r="AL685" s="141"/>
      <c r="AO685" s="286"/>
      <c r="AP685" s="284">
        <f t="shared" si="300"/>
        <v>0</v>
      </c>
      <c r="AQ685" s="281">
        <f t="shared" si="301"/>
        <v>0</v>
      </c>
      <c r="AR685" s="284">
        <f t="shared" si="302"/>
        <v>0</v>
      </c>
      <c r="AS685" s="281">
        <f t="shared" si="303"/>
        <v>0</v>
      </c>
      <c r="AT685" s="284">
        <f t="shared" si="304"/>
        <v>0</v>
      </c>
    </row>
    <row r="686" spans="1:46" s="114" customFormat="1" ht="30.9" x14ac:dyDescent="0.8">
      <c r="A686" s="262">
        <f>ROW()</f>
        <v>686</v>
      </c>
      <c r="C686" s="208"/>
      <c r="D686" s="208"/>
      <c r="E686" s="208"/>
      <c r="F686" s="208"/>
      <c r="G686" s="208"/>
      <c r="H686" s="208"/>
      <c r="J686" s="114" t="str">
        <f t="shared" si="312"/>
        <v/>
      </c>
      <c r="K686" s="114" t="str">
        <f>IF(COUNTBLANK(R686)&gt;0,"",CONCATENATE(R686," for ",N668))</f>
        <v/>
      </c>
      <c r="N686" s="123" t="s">
        <v>130</v>
      </c>
      <c r="O686" s="66" t="s">
        <v>660</v>
      </c>
      <c r="P686" s="121"/>
      <c r="Q686" s="66"/>
      <c r="R686" s="121"/>
      <c r="S686" s="133">
        <f>M668</f>
        <v>0</v>
      </c>
      <c r="T686" s="120"/>
      <c r="U686" s="121" t="s">
        <v>292</v>
      </c>
      <c r="V686" s="133">
        <f t="shared" si="305"/>
        <v>0</v>
      </c>
      <c r="W686" s="133">
        <f>VLOOKUP(U686,Sheet1!$B$6:$C$45,2,FALSE)*V686</f>
        <v>0</v>
      </c>
      <c r="X686" s="141"/>
      <c r="Y686" s="135" t="s">
        <v>422</v>
      </c>
      <c r="Z686" s="146">
        <f>VLOOKUP(Takeoffs!Y686,Sheet1!$B$6:$C$124,2,FALSE)</f>
        <v>23.4</v>
      </c>
      <c r="AA686" s="146">
        <f t="shared" si="306"/>
        <v>0</v>
      </c>
      <c r="AB686" s="143">
        <f t="shared" si="307"/>
        <v>0</v>
      </c>
      <c r="AC686" s="133">
        <f t="shared" si="308"/>
        <v>0</v>
      </c>
      <c r="AD686" s="142">
        <v>1</v>
      </c>
      <c r="AE686" s="141"/>
      <c r="AF686" s="121" t="s">
        <v>292</v>
      </c>
      <c r="AG686" s="146">
        <f>VLOOKUP(Takeoffs!AF686,Sheet1!$B$6:$C$124,2,FALSE)</f>
        <v>0</v>
      </c>
      <c r="AH686" s="146">
        <f t="shared" si="309"/>
        <v>0</v>
      </c>
      <c r="AI686" s="143">
        <f t="shared" si="310"/>
        <v>0</v>
      </c>
      <c r="AJ686" s="133">
        <f t="shared" si="311"/>
        <v>0</v>
      </c>
      <c r="AK686" s="142">
        <f t="shared" si="313"/>
        <v>0</v>
      </c>
      <c r="AL686" s="141"/>
      <c r="AO686" s="286"/>
      <c r="AP686" s="284">
        <f t="shared" si="300"/>
        <v>0</v>
      </c>
      <c r="AQ686" s="281">
        <f t="shared" si="301"/>
        <v>0</v>
      </c>
      <c r="AR686" s="284">
        <f t="shared" si="302"/>
        <v>0</v>
      </c>
      <c r="AS686" s="281">
        <f t="shared" si="303"/>
        <v>0</v>
      </c>
      <c r="AT686" s="284">
        <f t="shared" si="304"/>
        <v>0</v>
      </c>
    </row>
    <row r="687" spans="1:46" s="114" customFormat="1" ht="30.9" x14ac:dyDescent="0.8">
      <c r="A687" s="262">
        <f>ROW()</f>
        <v>687</v>
      </c>
      <c r="C687" s="208"/>
      <c r="D687" s="208"/>
      <c r="E687" s="208"/>
      <c r="F687" s="208"/>
      <c r="G687" s="208"/>
      <c r="H687" s="208"/>
      <c r="J687" s="114" t="str">
        <f t="shared" si="312"/>
        <v/>
      </c>
      <c r="K687" s="114" t="str">
        <f>IF(COUNTBLANK(R687)&gt;0,"",CONCATENATE(R687," for ",N668))</f>
        <v/>
      </c>
      <c r="N687" s="123" t="s">
        <v>131</v>
      </c>
      <c r="O687" s="66" t="s">
        <v>407</v>
      </c>
      <c r="P687" s="121"/>
      <c r="Q687" s="66"/>
      <c r="R687" s="121"/>
      <c r="S687" s="133">
        <f>M668</f>
        <v>0</v>
      </c>
      <c r="T687" s="120"/>
      <c r="U687" s="121" t="s">
        <v>292</v>
      </c>
      <c r="V687" s="133">
        <f t="shared" si="305"/>
        <v>0</v>
      </c>
      <c r="W687" s="133">
        <f>VLOOKUP(U687,Sheet1!$B$6:$C$45,2,FALSE)*V687</f>
        <v>0</v>
      </c>
      <c r="X687" s="141"/>
      <c r="Y687" s="121" t="s">
        <v>274</v>
      </c>
      <c r="Z687" s="146">
        <f>VLOOKUP(Takeoffs!Y687,Sheet1!$B$6:$C$124,2,FALSE)</f>
        <v>360</v>
      </c>
      <c r="AA687" s="146">
        <f t="shared" si="306"/>
        <v>0</v>
      </c>
      <c r="AB687" s="143">
        <f t="shared" si="307"/>
        <v>0</v>
      </c>
      <c r="AC687" s="133">
        <f t="shared" si="308"/>
        <v>0</v>
      </c>
      <c r="AD687" s="142">
        <v>1</v>
      </c>
      <c r="AE687" s="141"/>
      <c r="AF687" s="121" t="s">
        <v>292</v>
      </c>
      <c r="AG687" s="146">
        <f>VLOOKUP(Takeoffs!AF687,Sheet1!$B$6:$C$124,2,FALSE)</f>
        <v>0</v>
      </c>
      <c r="AH687" s="146">
        <f t="shared" si="309"/>
        <v>0</v>
      </c>
      <c r="AI687" s="143">
        <f t="shared" si="310"/>
        <v>0</v>
      </c>
      <c r="AJ687" s="133">
        <f t="shared" si="311"/>
        <v>0</v>
      </c>
      <c r="AK687" s="142">
        <f t="shared" si="313"/>
        <v>0</v>
      </c>
      <c r="AL687" s="141"/>
      <c r="AO687" s="286"/>
      <c r="AP687" s="284">
        <f t="shared" si="300"/>
        <v>0</v>
      </c>
      <c r="AQ687" s="281">
        <f t="shared" si="301"/>
        <v>0</v>
      </c>
      <c r="AR687" s="284">
        <f t="shared" si="302"/>
        <v>0</v>
      </c>
      <c r="AS687" s="281">
        <f t="shared" si="303"/>
        <v>0</v>
      </c>
      <c r="AT687" s="284">
        <f t="shared" si="304"/>
        <v>0</v>
      </c>
    </row>
    <row r="688" spans="1:46" s="114" customFormat="1" ht="30.9" x14ac:dyDescent="0.8">
      <c r="A688" s="262">
        <f>ROW()</f>
        <v>688</v>
      </c>
      <c r="C688" s="208"/>
      <c r="D688" s="208"/>
      <c r="E688" s="208"/>
      <c r="F688" s="208"/>
      <c r="G688" s="208"/>
      <c r="H688" s="208"/>
      <c r="J688" s="114" t="str">
        <f t="shared" si="312"/>
        <v/>
      </c>
      <c r="K688" s="114" t="str">
        <f>IF(COUNTBLANK(R688)&gt;0,"",CONCATENATE(R688," for ",N668))</f>
        <v/>
      </c>
      <c r="N688" s="123" t="s">
        <v>132</v>
      </c>
      <c r="O688" s="66" t="s">
        <v>408</v>
      </c>
      <c r="P688" s="121"/>
      <c r="Q688" s="66"/>
      <c r="R688" s="121"/>
      <c r="S688" s="133">
        <f>M668</f>
        <v>0</v>
      </c>
      <c r="T688" s="120"/>
      <c r="U688" s="121" t="s">
        <v>362</v>
      </c>
      <c r="V688" s="133">
        <f t="shared" si="305"/>
        <v>0</v>
      </c>
      <c r="W688" s="133">
        <f>VLOOKUP(U688,Sheet1!$B$6:$C$45,2,FALSE)*V688</f>
        <v>0</v>
      </c>
      <c r="X688" s="141"/>
      <c r="Y688" s="121" t="s">
        <v>292</v>
      </c>
      <c r="Z688" s="146">
        <f>VLOOKUP(Takeoffs!Y688,Sheet1!$B$6:$C$124,2,FALSE)</f>
        <v>0</v>
      </c>
      <c r="AA688" s="146">
        <f t="shared" si="306"/>
        <v>0</v>
      </c>
      <c r="AB688" s="143">
        <f t="shared" si="307"/>
        <v>0</v>
      </c>
      <c r="AC688" s="133">
        <f t="shared" si="308"/>
        <v>0</v>
      </c>
      <c r="AD688" s="142">
        <v>1</v>
      </c>
      <c r="AE688" s="141"/>
      <c r="AF688" s="121" t="s">
        <v>292</v>
      </c>
      <c r="AG688" s="146">
        <f>VLOOKUP(Takeoffs!AF688,Sheet1!$B$6:$C$124,2,FALSE)</f>
        <v>0</v>
      </c>
      <c r="AH688" s="146">
        <f t="shared" si="309"/>
        <v>0</v>
      </c>
      <c r="AI688" s="143">
        <f t="shared" si="310"/>
        <v>0</v>
      </c>
      <c r="AJ688" s="133">
        <f t="shared" si="311"/>
        <v>0</v>
      </c>
      <c r="AK688" s="142">
        <f t="shared" si="313"/>
        <v>0</v>
      </c>
      <c r="AL688" s="141"/>
      <c r="AO688" s="286"/>
      <c r="AP688" s="284">
        <f t="shared" si="300"/>
        <v>0</v>
      </c>
      <c r="AQ688" s="281">
        <f t="shared" si="301"/>
        <v>0</v>
      </c>
      <c r="AR688" s="284">
        <f t="shared" si="302"/>
        <v>0</v>
      </c>
      <c r="AS688" s="281">
        <f t="shared" si="303"/>
        <v>0</v>
      </c>
      <c r="AT688" s="284">
        <f t="shared" si="304"/>
        <v>0</v>
      </c>
    </row>
    <row r="689" spans="1:97" s="128" customFormat="1" ht="32.25" customHeight="1" thickBot="1" x14ac:dyDescent="0.85">
      <c r="A689" s="262">
        <f>ROW()</f>
        <v>689</v>
      </c>
      <c r="C689" s="212"/>
      <c r="D689" s="212"/>
      <c r="E689" s="212"/>
      <c r="F689" s="212"/>
      <c r="G689" s="212"/>
      <c r="H689" s="212"/>
      <c r="J689" s="128" t="s">
        <v>377</v>
      </c>
      <c r="L689" s="128" t="s">
        <v>378</v>
      </c>
      <c r="N689" s="129"/>
      <c r="O689" s="130" t="s">
        <v>357</v>
      </c>
      <c r="P689" s="155">
        <f>V689+AA689+AH689</f>
        <v>0</v>
      </c>
      <c r="Q689" s="155"/>
      <c r="R689" s="131"/>
      <c r="S689" s="130"/>
      <c r="T689" s="127"/>
      <c r="U689" s="126" t="s">
        <v>351</v>
      </c>
      <c r="V689" s="127">
        <f>W689*80</f>
        <v>0</v>
      </c>
      <c r="W689" s="147">
        <f>SUM(W668:W688)</f>
        <v>0</v>
      </c>
      <c r="X689" s="148"/>
      <c r="Y689" s="127" t="s">
        <v>352</v>
      </c>
      <c r="Z689" s="116"/>
      <c r="AA689" s="116">
        <f>SUM(AA668:AA688)</f>
        <v>0</v>
      </c>
      <c r="AB689" s="149"/>
      <c r="AC689" s="149"/>
      <c r="AD689" s="149"/>
      <c r="AE689" s="149"/>
      <c r="AF689" s="127" t="s">
        <v>356</v>
      </c>
      <c r="AG689" s="116"/>
      <c r="AH689" s="116">
        <f>SUM(AH668:AH688)</f>
        <v>0</v>
      </c>
      <c r="AI689" s="149"/>
      <c r="AJ689" s="149"/>
      <c r="AK689" s="149"/>
      <c r="AL689" s="149"/>
      <c r="AM689" s="150">
        <f>P689</f>
        <v>0</v>
      </c>
      <c r="AO689" s="286"/>
      <c r="AP689" s="284">
        <f t="shared" si="300"/>
        <v>0</v>
      </c>
      <c r="AQ689" s="281">
        <f t="shared" si="301"/>
        <v>0</v>
      </c>
      <c r="AR689" s="284">
        <f t="shared" si="302"/>
        <v>0</v>
      </c>
      <c r="AS689" s="281">
        <f t="shared" si="303"/>
        <v>0</v>
      </c>
      <c r="AT689" s="284">
        <f t="shared" si="304"/>
        <v>0</v>
      </c>
    </row>
    <row r="690" spans="1:97" s="234" customFormat="1" ht="189" thickBot="1" x14ac:dyDescent="1.25">
      <c r="A690" s="262">
        <f>ROW()</f>
        <v>690</v>
      </c>
      <c r="B690" s="234" t="s">
        <v>491</v>
      </c>
      <c r="C690" s="217" t="str">
        <f>N668</f>
        <v>DOL fan with interlock with lights an run on timer - from MSSB power supply and timeclock control</v>
      </c>
      <c r="D690" s="260" t="str">
        <f>IF(B690="Shopping List",IF(ISNUMBER(SEARCH("MSSB",C690)),"MSSB",IF(ISNUMBER(SEARCH("local",C690)),"LOCAL","")))</f>
        <v>MSSB</v>
      </c>
      <c r="E690" s="238"/>
      <c r="F690" s="217"/>
      <c r="G690" s="217"/>
      <c r="H690" s="245">
        <v>4</v>
      </c>
      <c r="I690" s="270"/>
      <c r="J690" s="241" t="str">
        <f>CONCATENATE(O668," ",L668, " (",M668,") ",N668,".", IF(M668&gt;1," Each "," This "),"includes supply and install of ",O669,O670,O671,O672,O673,O674,O675,O676,O677,O678,O679,O680,O681,O682,O683,O684,O685,O686,O687,O688,J669,J670,J671,J672,J673,J674,J675,J676,J677,J678,J679,J680,J681,J682,J683,J684,J685,J686,J687,J688)</f>
        <v>Electrical power supply and controls ( Excluding BMS) to Zero (0) DOL fan with interlock with lights an run on timer - from MSSB power supply and timeclock control. This includes supply and install of power and controls. Power for system includes: CB, cabling from MSSB, and local isolator. Controls for system includes: adjustable run on timer controller, controls cabling, contactors/relays, fire relay for interface with fire trade, run and fault lights, current switch for fan status, Auto/Off/On switch, current switch for lighting interlock, trefolyte labelling, and commissioning/testing. Coordination Note: - Fire trade: Please refer to our exclusions relating to fire cabling from FIP.</v>
      </c>
      <c r="K690" s="248">
        <f>P689</f>
        <v>0</v>
      </c>
      <c r="L690" s="235" t="str">
        <f>CONCATENATE(Q669,Q670,Q671,Q672,Q673,Q674,Q675,Q676,Q677,Q678,Q679,Q680,Q681,Q682,Q683,Q684,Q685,Q686,Q687,Q688,)</f>
        <v>fire cabling from FIP.</v>
      </c>
      <c r="M690" s="166" t="s">
        <v>367</v>
      </c>
      <c r="N690" s="160" t="str">
        <f>N668</f>
        <v>DOL fan with interlock with lights an run on timer - from MSSB power supply and timeclock control</v>
      </c>
      <c r="O690" s="185" t="s">
        <v>365</v>
      </c>
      <c r="P690" s="203" t="e">
        <f>P689/M668</f>
        <v>#DIV/0!</v>
      </c>
      <c r="Q690" s="195"/>
      <c r="R690" s="188"/>
      <c r="S690" s="160"/>
      <c r="T690" s="161"/>
      <c r="U690" s="503" t="s">
        <v>366</v>
      </c>
      <c r="V690" s="503"/>
      <c r="W690" s="162" t="e">
        <f>W689/M668</f>
        <v>#DIV/0!</v>
      </c>
      <c r="X690" s="163"/>
      <c r="Y690" s="501" t="s">
        <v>365</v>
      </c>
      <c r="Z690" s="501"/>
      <c r="AA690" s="164" t="e">
        <f>AA689/M668</f>
        <v>#DIV/0!</v>
      </c>
      <c r="AB690" s="161"/>
      <c r="AC690" s="161"/>
      <c r="AD690" s="161"/>
      <c r="AE690" s="161"/>
      <c r="AF690" s="501" t="s">
        <v>365</v>
      </c>
      <c r="AG690" s="501"/>
      <c r="AH690" s="164" t="e">
        <f>AH689/M668</f>
        <v>#DIV/0!</v>
      </c>
      <c r="AI690" s="161"/>
      <c r="AJ690" s="161"/>
      <c r="AK690" s="161"/>
      <c r="AL690" s="247"/>
      <c r="AM690" s="257"/>
      <c r="AN690" s="230">
        <f>K690*1.25</f>
        <v>0</v>
      </c>
      <c r="AO690" s="286"/>
      <c r="AP690" s="284">
        <f t="shared" si="300"/>
        <v>0</v>
      </c>
      <c r="AQ690" s="281">
        <f t="shared" si="301"/>
        <v>0</v>
      </c>
      <c r="AR690" s="284">
        <f t="shared" si="302"/>
        <v>0</v>
      </c>
      <c r="AS690" s="281">
        <f t="shared" si="303"/>
        <v>0</v>
      </c>
      <c r="AT690" s="284">
        <f t="shared" si="304"/>
        <v>0</v>
      </c>
      <c r="AU690" s="117"/>
      <c r="AV690" s="117"/>
      <c r="AW690" s="117"/>
      <c r="AX690" s="117"/>
      <c r="AY690" s="117"/>
      <c r="AZ690" s="117"/>
      <c r="BA690" s="117"/>
      <c r="BB690" s="117"/>
      <c r="BC690" s="117"/>
      <c r="BD690" s="117"/>
      <c r="BE690" s="117"/>
      <c r="BF690" s="117"/>
      <c r="BG690" s="117"/>
      <c r="BH690" s="117"/>
      <c r="BI690" s="117"/>
      <c r="BJ690" s="117"/>
      <c r="BK690" s="117"/>
      <c r="BL690" s="117"/>
      <c r="BM690" s="117"/>
      <c r="BN690" s="117"/>
      <c r="BO690" s="117"/>
      <c r="BP690" s="117"/>
      <c r="BQ690" s="117"/>
      <c r="BR690" s="117"/>
      <c r="BS690" s="117"/>
      <c r="BT690" s="117"/>
      <c r="BU690" s="117"/>
      <c r="BV690" s="117"/>
      <c r="BW690" s="117"/>
      <c r="BX690" s="117"/>
      <c r="BY690" s="117"/>
      <c r="BZ690" s="117"/>
      <c r="CA690" s="117"/>
      <c r="CB690" s="117"/>
      <c r="CC690" s="117"/>
      <c r="CD690" s="117"/>
      <c r="CE690" s="117"/>
      <c r="CF690" s="117"/>
      <c r="CG690" s="117"/>
      <c r="CH690" s="117"/>
      <c r="CI690" s="117"/>
      <c r="CJ690" s="117"/>
      <c r="CK690" s="117"/>
      <c r="CL690" s="117"/>
      <c r="CM690" s="117"/>
      <c r="CN690" s="117"/>
      <c r="CO690" s="117"/>
      <c r="CP690" s="117"/>
      <c r="CQ690" s="117"/>
      <c r="CR690" s="117"/>
      <c r="CS690" s="117"/>
    </row>
    <row r="691" spans="1:97" s="116" customFormat="1" ht="193.5" customHeight="1" x14ac:dyDescent="0.8">
      <c r="A691" s="262">
        <f>ROW()</f>
        <v>691</v>
      </c>
      <c r="C691" s="211"/>
      <c r="D691" s="211"/>
      <c r="E691" s="211"/>
      <c r="F691" s="211"/>
      <c r="G691" s="211"/>
      <c r="H691" s="211"/>
      <c r="K691" s="116" t="s">
        <v>452</v>
      </c>
      <c r="M691" s="116" t="s">
        <v>107</v>
      </c>
      <c r="N691" s="116" t="s">
        <v>108</v>
      </c>
      <c r="O691" s="170" t="s">
        <v>386</v>
      </c>
      <c r="P691" s="502" t="s">
        <v>375</v>
      </c>
      <c r="Q691" s="502"/>
      <c r="R691" s="101" t="s">
        <v>452</v>
      </c>
      <c r="S691" s="116" t="s">
        <v>0</v>
      </c>
      <c r="T691" s="118"/>
      <c r="U691" s="116" t="s">
        <v>287</v>
      </c>
      <c r="V691" s="116" t="s">
        <v>288</v>
      </c>
      <c r="W691" s="116" t="s">
        <v>291</v>
      </c>
      <c r="X691" s="140"/>
      <c r="Y691" s="116" t="s">
        <v>289</v>
      </c>
      <c r="Z691" s="116" t="s">
        <v>354</v>
      </c>
      <c r="AA691" s="116" t="s">
        <v>355</v>
      </c>
      <c r="AB691" s="116" t="s">
        <v>317</v>
      </c>
      <c r="AC691" s="116" t="s">
        <v>318</v>
      </c>
      <c r="AD691" s="116" t="s">
        <v>316</v>
      </c>
      <c r="AE691" s="140"/>
      <c r="AF691" s="116" t="s">
        <v>293</v>
      </c>
      <c r="AG691" s="116" t="s">
        <v>354</v>
      </c>
      <c r="AH691" s="116" t="s">
        <v>355</v>
      </c>
      <c r="AI691" s="116" t="s">
        <v>296</v>
      </c>
      <c r="AJ691" s="116" t="s">
        <v>294</v>
      </c>
      <c r="AK691" s="116" t="s">
        <v>295</v>
      </c>
      <c r="AL691" s="140"/>
      <c r="AO691" s="288"/>
      <c r="AP691" s="284">
        <f t="shared" si="300"/>
        <v>0</v>
      </c>
      <c r="AQ691" s="281">
        <f t="shared" si="301"/>
        <v>0</v>
      </c>
      <c r="AR691" s="284">
        <f t="shared" si="302"/>
        <v>0</v>
      </c>
      <c r="AS691" s="281">
        <f t="shared" si="303"/>
        <v>0</v>
      </c>
      <c r="AT691" s="284">
        <f t="shared" si="304"/>
        <v>0</v>
      </c>
    </row>
    <row r="692" spans="1:97" s="114" customFormat="1" ht="41.25" customHeight="1" x14ac:dyDescent="0.8">
      <c r="A692" s="262">
        <f>ROW()</f>
        <v>692</v>
      </c>
      <c r="C692" s="208"/>
      <c r="D692" s="208"/>
      <c r="E692" s="208"/>
      <c r="F692" s="208"/>
      <c r="G692" s="208"/>
      <c r="H692" s="208"/>
      <c r="L692" s="124" t="str">
        <f>VLOOKUP(M692,Sheet2!$D$2:$E$1024,2,FALSE)</f>
        <v>Zero</v>
      </c>
      <c r="M692" s="121">
        <f>I714</f>
        <v>0</v>
      </c>
      <c r="N692" s="132" t="s">
        <v>686</v>
      </c>
      <c r="O692" s="121" t="s">
        <v>488</v>
      </c>
      <c r="P692" s="169" t="s">
        <v>379</v>
      </c>
      <c r="Q692" s="169" t="s">
        <v>375</v>
      </c>
      <c r="R692" s="169"/>
      <c r="S692" s="133">
        <f>M692</f>
        <v>0</v>
      </c>
      <c r="T692" s="119"/>
      <c r="U692" s="121" t="s">
        <v>292</v>
      </c>
      <c r="V692" s="133">
        <f>S692</f>
        <v>0</v>
      </c>
      <c r="W692" s="133">
        <f>VLOOKUP(U692,Sheet1!$B$6:$C$45,2,FALSE)*V692</f>
        <v>0</v>
      </c>
      <c r="X692" s="141"/>
      <c r="Y692" s="121" t="s">
        <v>292</v>
      </c>
      <c r="Z692" s="146">
        <f>VLOOKUP(Takeoffs!Y692,Sheet1!$B$6:$C$124,2,FALSE)</f>
        <v>0</v>
      </c>
      <c r="AA692" s="146">
        <f>Z692*AB692</f>
        <v>0</v>
      </c>
      <c r="AB692" s="143">
        <f>AD692*AC692</f>
        <v>0</v>
      </c>
      <c r="AC692" s="133">
        <f>S692</f>
        <v>0</v>
      </c>
      <c r="AD692" s="142">
        <v>1</v>
      </c>
      <c r="AE692" s="141"/>
      <c r="AF692" s="121" t="s">
        <v>292</v>
      </c>
      <c r="AG692" s="146">
        <f>VLOOKUP(Takeoffs!AF692,Sheet1!$B$6:$C$124,2,FALSE)</f>
        <v>0</v>
      </c>
      <c r="AH692" s="146">
        <f>AG692*AI692</f>
        <v>0</v>
      </c>
      <c r="AI692" s="143">
        <f>AK692*AJ692</f>
        <v>0</v>
      </c>
      <c r="AJ692" s="133">
        <f>S692</f>
        <v>0</v>
      </c>
      <c r="AK692" s="142">
        <f>T692</f>
        <v>0</v>
      </c>
      <c r="AL692" s="141"/>
      <c r="AO692" s="286"/>
      <c r="AP692" s="284">
        <f t="shared" si="300"/>
        <v>0</v>
      </c>
      <c r="AQ692" s="281">
        <f t="shared" si="301"/>
        <v>0</v>
      </c>
      <c r="AR692" s="284">
        <f t="shared" si="302"/>
        <v>0</v>
      </c>
      <c r="AS692" s="281">
        <f t="shared" si="303"/>
        <v>0</v>
      </c>
      <c r="AT692" s="284">
        <f t="shared" si="304"/>
        <v>0</v>
      </c>
    </row>
    <row r="693" spans="1:97" s="114" customFormat="1" ht="30.9" x14ac:dyDescent="0.8">
      <c r="A693" s="262">
        <f>ROW()</f>
        <v>693</v>
      </c>
      <c r="C693" s="208"/>
      <c r="D693" s="208"/>
      <c r="E693" s="208"/>
      <c r="F693" s="208"/>
      <c r="G693" s="208"/>
      <c r="H693" s="208"/>
      <c r="J693" s="114" t="str">
        <f>IF(COUNTBLANK(Q693)&gt;0,"",CONCATENATE("Coordination Note: - ",P693,": Please refer to our exclusions relating to ",Q693))</f>
        <v/>
      </c>
      <c r="K693" s="114" t="str">
        <f>IF(COUNTBLANK(R693)&gt;0,"",CONCATENATE(R693," for ",N692))</f>
        <v/>
      </c>
      <c r="M693" s="117"/>
      <c r="N693" s="123" t="s">
        <v>113</v>
      </c>
      <c r="O693" s="66" t="s">
        <v>340</v>
      </c>
      <c r="P693" s="121"/>
      <c r="Q693" s="66"/>
      <c r="R693" s="121"/>
      <c r="S693" s="133">
        <f>M692</f>
        <v>0</v>
      </c>
      <c r="T693" s="120"/>
      <c r="U693" s="121" t="s">
        <v>292</v>
      </c>
      <c r="V693" s="133">
        <f t="shared" ref="V693:V712" si="314">S693</f>
        <v>0</v>
      </c>
      <c r="W693" s="133">
        <f>VLOOKUP(U693,Sheet1!$B$6:$C$45,2,FALSE)*V693</f>
        <v>0</v>
      </c>
      <c r="X693" s="141"/>
      <c r="Y693" s="121" t="s">
        <v>292</v>
      </c>
      <c r="Z693" s="146">
        <f>VLOOKUP(Takeoffs!Y693,Sheet1!$B$6:$C$124,2,FALSE)</f>
        <v>0</v>
      </c>
      <c r="AA693" s="146">
        <f t="shared" ref="AA693:AA712" si="315">Z693*AB693</f>
        <v>0</v>
      </c>
      <c r="AB693" s="143">
        <f t="shared" ref="AB693:AB712" si="316">AD693*AC693</f>
        <v>0</v>
      </c>
      <c r="AC693" s="133">
        <f t="shared" ref="AC693:AC712" si="317">S693</f>
        <v>0</v>
      </c>
      <c r="AD693" s="142">
        <v>1</v>
      </c>
      <c r="AE693" s="141"/>
      <c r="AF693" s="121" t="s">
        <v>292</v>
      </c>
      <c r="AG693" s="146">
        <f>VLOOKUP(Takeoffs!AF693,Sheet1!$B$6:$C$124,2,FALSE)</f>
        <v>0</v>
      </c>
      <c r="AH693" s="146">
        <f t="shared" ref="AH693:AH712" si="318">AG693*AI693</f>
        <v>0</v>
      </c>
      <c r="AI693" s="143">
        <f t="shared" ref="AI693:AI712" si="319">AK693*AJ693</f>
        <v>0</v>
      </c>
      <c r="AJ693" s="133">
        <f t="shared" ref="AJ693:AJ712" si="320">S693</f>
        <v>0</v>
      </c>
      <c r="AK693" s="142">
        <f>T693</f>
        <v>0</v>
      </c>
      <c r="AL693" s="141"/>
      <c r="AO693" s="286"/>
      <c r="AP693" s="284">
        <f t="shared" si="300"/>
        <v>0</v>
      </c>
      <c r="AQ693" s="281">
        <f t="shared" si="301"/>
        <v>0</v>
      </c>
      <c r="AR693" s="284">
        <f t="shared" si="302"/>
        <v>0</v>
      </c>
      <c r="AS693" s="281">
        <f t="shared" si="303"/>
        <v>0</v>
      </c>
      <c r="AT693" s="284">
        <f t="shared" si="304"/>
        <v>0</v>
      </c>
    </row>
    <row r="694" spans="1:97" s="114" customFormat="1" ht="30.9" x14ac:dyDescent="0.8">
      <c r="A694" s="262">
        <f>ROW()</f>
        <v>694</v>
      </c>
      <c r="C694" s="208"/>
      <c r="D694" s="208"/>
      <c r="E694" s="208"/>
      <c r="F694" s="208"/>
      <c r="G694" s="208"/>
      <c r="H694" s="208"/>
      <c r="J694" s="114" t="str">
        <f t="shared" ref="J694:J712" si="321">IF(COUNTBLANK(Q694)&gt;0,"",CONCATENATE("Coordination Note: - ",P694,": Please refer to our exclusions relating to ",Q694))</f>
        <v/>
      </c>
      <c r="K694" s="114" t="str">
        <f>IF(COUNTBLANK(R694)&gt;0,"",CONCATENATE(R694," for ",N692))</f>
        <v/>
      </c>
      <c r="M694" s="117"/>
      <c r="N694" s="123" t="s">
        <v>114</v>
      </c>
      <c r="O694" s="66" t="s">
        <v>308</v>
      </c>
      <c r="P694" s="121"/>
      <c r="Q694" s="66"/>
      <c r="R694" s="121"/>
      <c r="S694" s="133">
        <f>M692</f>
        <v>0</v>
      </c>
      <c r="T694" s="120"/>
      <c r="U694" s="121" t="s">
        <v>292</v>
      </c>
      <c r="V694" s="133">
        <f t="shared" si="314"/>
        <v>0</v>
      </c>
      <c r="W694" s="133">
        <f>VLOOKUP(U694,Sheet1!$B$6:$C$45,2,FALSE)*V694</f>
        <v>0</v>
      </c>
      <c r="X694" s="141"/>
      <c r="Y694" s="122" t="s">
        <v>252</v>
      </c>
      <c r="Z694" s="146">
        <f>VLOOKUP(Takeoffs!Y694,Sheet1!$B$6:$C$124,2,FALSE)</f>
        <v>43.440000000000005</v>
      </c>
      <c r="AA694" s="146">
        <f t="shared" si="315"/>
        <v>0</v>
      </c>
      <c r="AB694" s="143">
        <f t="shared" si="316"/>
        <v>0</v>
      </c>
      <c r="AC694" s="133">
        <f t="shared" si="317"/>
        <v>0</v>
      </c>
      <c r="AD694" s="142">
        <v>1</v>
      </c>
      <c r="AE694" s="141"/>
      <c r="AF694" s="122" t="s">
        <v>268</v>
      </c>
      <c r="AG694" s="146">
        <f>VLOOKUP(Takeoffs!AF694,Sheet1!$B$6:$C$124,2,FALSE)</f>
        <v>1.02</v>
      </c>
      <c r="AH694" s="146">
        <f t="shared" si="318"/>
        <v>0</v>
      </c>
      <c r="AI694" s="143">
        <f t="shared" si="319"/>
        <v>0</v>
      </c>
      <c r="AJ694" s="133">
        <f t="shared" si="320"/>
        <v>0</v>
      </c>
      <c r="AK694" s="142">
        <v>20</v>
      </c>
      <c r="AL694" s="141"/>
      <c r="AO694" s="286"/>
      <c r="AP694" s="284">
        <f t="shared" si="300"/>
        <v>0</v>
      </c>
      <c r="AQ694" s="281">
        <f t="shared" si="301"/>
        <v>0</v>
      </c>
      <c r="AR694" s="284">
        <f t="shared" si="302"/>
        <v>0</v>
      </c>
      <c r="AS694" s="281">
        <f t="shared" si="303"/>
        <v>0</v>
      </c>
      <c r="AT694" s="284">
        <f t="shared" si="304"/>
        <v>0</v>
      </c>
    </row>
    <row r="695" spans="1:97" s="114" customFormat="1" ht="30.9" x14ac:dyDescent="0.8">
      <c r="A695" s="262">
        <f>ROW()</f>
        <v>695</v>
      </c>
      <c r="C695" s="208"/>
      <c r="D695" s="208"/>
      <c r="E695" s="208"/>
      <c r="F695" s="208"/>
      <c r="G695" s="208"/>
      <c r="H695" s="208"/>
      <c r="J695" s="114" t="str">
        <f t="shared" si="321"/>
        <v/>
      </c>
      <c r="K695" s="114" t="str">
        <f>IF(COUNTBLANK(R695)&gt;0,"",CONCATENATE(R695," for ",N692))</f>
        <v/>
      </c>
      <c r="M695" s="117"/>
      <c r="N695" s="123" t="s">
        <v>115</v>
      </c>
      <c r="O695" s="66" t="s">
        <v>489</v>
      </c>
      <c r="P695" s="121"/>
      <c r="Q695" s="66"/>
      <c r="R695" s="121"/>
      <c r="S695" s="133">
        <f>M692</f>
        <v>0</v>
      </c>
      <c r="T695" s="120"/>
      <c r="U695" s="117" t="s">
        <v>478</v>
      </c>
      <c r="V695" s="133">
        <f t="shared" si="314"/>
        <v>0</v>
      </c>
      <c r="W695" s="133">
        <f>VLOOKUP(U695,Sheet1!$B$6:$C$45,2,FALSE)*V695</f>
        <v>0</v>
      </c>
      <c r="X695" s="141"/>
      <c r="Y695" s="121" t="s">
        <v>292</v>
      </c>
      <c r="Z695" s="146">
        <f>VLOOKUP(Takeoffs!Y695,Sheet1!$B$6:$C$124,2,FALSE)</f>
        <v>0</v>
      </c>
      <c r="AA695" s="146">
        <f t="shared" si="315"/>
        <v>0</v>
      </c>
      <c r="AB695" s="143">
        <f t="shared" si="316"/>
        <v>0</v>
      </c>
      <c r="AC695" s="133">
        <f t="shared" si="317"/>
        <v>0</v>
      </c>
      <c r="AD695" s="142">
        <v>1</v>
      </c>
      <c r="AE695" s="141"/>
      <c r="AF695" s="121" t="s">
        <v>292</v>
      </c>
      <c r="AG695" s="146">
        <f>VLOOKUP(Takeoffs!AF695,Sheet1!$B$6:$C$124,2,FALSE)</f>
        <v>0</v>
      </c>
      <c r="AH695" s="146">
        <f t="shared" si="318"/>
        <v>0</v>
      </c>
      <c r="AI695" s="143">
        <f t="shared" si="319"/>
        <v>0</v>
      </c>
      <c r="AJ695" s="133">
        <f t="shared" si="320"/>
        <v>0</v>
      </c>
      <c r="AK695" s="142">
        <f>T695</f>
        <v>0</v>
      </c>
      <c r="AL695" s="141"/>
      <c r="AO695" s="286"/>
      <c r="AP695" s="284">
        <f t="shared" si="300"/>
        <v>0</v>
      </c>
      <c r="AQ695" s="281">
        <f t="shared" si="301"/>
        <v>0</v>
      </c>
      <c r="AR695" s="284">
        <f t="shared" si="302"/>
        <v>0</v>
      </c>
      <c r="AS695" s="281">
        <f t="shared" si="303"/>
        <v>0</v>
      </c>
      <c r="AT695" s="284">
        <f t="shared" si="304"/>
        <v>0</v>
      </c>
    </row>
    <row r="696" spans="1:97" s="114" customFormat="1" ht="30.9" x14ac:dyDescent="0.8">
      <c r="A696" s="262">
        <f>ROW()</f>
        <v>696</v>
      </c>
      <c r="C696" s="208"/>
      <c r="D696" s="208"/>
      <c r="E696" s="208"/>
      <c r="F696" s="208"/>
      <c r="G696" s="208"/>
      <c r="H696" s="208"/>
      <c r="J696" s="114" t="str">
        <f t="shared" si="321"/>
        <v/>
      </c>
      <c r="K696" s="114" t="str">
        <f>IF(COUNTBLANK(R696)&gt;0,"",CONCATENATE(R696," for ",N692))</f>
        <v/>
      </c>
      <c r="M696" s="117"/>
      <c r="N696" s="123" t="s">
        <v>116</v>
      </c>
      <c r="O696" s="66"/>
      <c r="P696" s="121"/>
      <c r="Q696" s="66"/>
      <c r="R696" s="121"/>
      <c r="S696" s="133">
        <f>M692</f>
        <v>0</v>
      </c>
      <c r="T696" s="120"/>
      <c r="U696" s="121" t="s">
        <v>235</v>
      </c>
      <c r="V696" s="133">
        <f t="shared" si="314"/>
        <v>0</v>
      </c>
      <c r="W696" s="133">
        <f>VLOOKUP(U696,Sheet1!$B$6:$C$45,2,FALSE)*V696</f>
        <v>0</v>
      </c>
      <c r="X696" s="141"/>
      <c r="Y696" s="121" t="s">
        <v>292</v>
      </c>
      <c r="Z696" s="146">
        <f>VLOOKUP(Takeoffs!Y696,Sheet1!$B$6:$C$124,2,FALSE)</f>
        <v>0</v>
      </c>
      <c r="AA696" s="146">
        <f t="shared" si="315"/>
        <v>0</v>
      </c>
      <c r="AB696" s="143">
        <f t="shared" si="316"/>
        <v>0</v>
      </c>
      <c r="AC696" s="133">
        <f t="shared" si="317"/>
        <v>0</v>
      </c>
      <c r="AD696" s="142">
        <v>1</v>
      </c>
      <c r="AE696" s="141"/>
      <c r="AF696" s="121" t="s">
        <v>292</v>
      </c>
      <c r="AG696" s="146">
        <f>VLOOKUP(Takeoffs!AF696,Sheet1!$B$6:$C$124,2,FALSE)</f>
        <v>0</v>
      </c>
      <c r="AH696" s="146">
        <f t="shared" si="318"/>
        <v>0</v>
      </c>
      <c r="AI696" s="143">
        <f t="shared" si="319"/>
        <v>0</v>
      </c>
      <c r="AJ696" s="133">
        <f t="shared" si="320"/>
        <v>0</v>
      </c>
      <c r="AK696" s="142">
        <f>T696</f>
        <v>0</v>
      </c>
      <c r="AL696" s="141"/>
      <c r="AO696" s="286"/>
      <c r="AP696" s="284">
        <f t="shared" si="300"/>
        <v>0</v>
      </c>
      <c r="AQ696" s="281">
        <f t="shared" si="301"/>
        <v>0</v>
      </c>
      <c r="AR696" s="284">
        <f t="shared" si="302"/>
        <v>0</v>
      </c>
      <c r="AS696" s="281">
        <f t="shared" si="303"/>
        <v>0</v>
      </c>
      <c r="AT696" s="284">
        <f t="shared" si="304"/>
        <v>0</v>
      </c>
    </row>
    <row r="697" spans="1:97" s="114" customFormat="1" ht="30.9" x14ac:dyDescent="0.8">
      <c r="A697" s="262">
        <f>ROW()</f>
        <v>697</v>
      </c>
      <c r="C697" s="208"/>
      <c r="D697" s="208"/>
      <c r="E697" s="208"/>
      <c r="F697" s="208"/>
      <c r="G697" s="208"/>
      <c r="H697" s="208"/>
      <c r="J697" s="114" t="str">
        <f t="shared" si="321"/>
        <v/>
      </c>
      <c r="K697" s="114" t="str">
        <f>IF(COUNTBLANK(R697)&gt;0,"",CONCATENATE(R697," for ",N692))</f>
        <v/>
      </c>
      <c r="M697" s="117"/>
      <c r="N697" s="123" t="s">
        <v>117</v>
      </c>
      <c r="O697" s="66"/>
      <c r="P697" s="121"/>
      <c r="Q697" s="66"/>
      <c r="R697" s="121"/>
      <c r="S697" s="133">
        <f>M692</f>
        <v>0</v>
      </c>
      <c r="T697" s="120"/>
      <c r="U697" s="121" t="s">
        <v>292</v>
      </c>
      <c r="V697" s="133">
        <f t="shared" si="314"/>
        <v>0</v>
      </c>
      <c r="W697" s="133">
        <f>VLOOKUP(U697,Sheet1!$B$6:$C$45,2,FALSE)*V697</f>
        <v>0</v>
      </c>
      <c r="X697" s="141"/>
      <c r="Y697" s="121" t="s">
        <v>292</v>
      </c>
      <c r="Z697" s="146">
        <f>VLOOKUP(Takeoffs!Y697,Sheet1!$B$6:$C$124,2,FALSE)</f>
        <v>0</v>
      </c>
      <c r="AA697" s="146">
        <f t="shared" si="315"/>
        <v>0</v>
      </c>
      <c r="AB697" s="143">
        <f t="shared" si="316"/>
        <v>0</v>
      </c>
      <c r="AC697" s="133">
        <f t="shared" si="317"/>
        <v>0</v>
      </c>
      <c r="AD697" s="142">
        <v>1</v>
      </c>
      <c r="AE697" s="141"/>
      <c r="AF697" s="122" t="s">
        <v>268</v>
      </c>
      <c r="AG697" s="146">
        <f>VLOOKUP(Takeoffs!AF697,Sheet1!$B$6:$C$124,2,FALSE)</f>
        <v>1.02</v>
      </c>
      <c r="AH697" s="146">
        <f t="shared" si="318"/>
        <v>0</v>
      </c>
      <c r="AI697" s="143">
        <f t="shared" si="319"/>
        <v>0</v>
      </c>
      <c r="AJ697" s="133">
        <f t="shared" si="320"/>
        <v>0</v>
      </c>
      <c r="AK697" s="142">
        <v>3</v>
      </c>
      <c r="AL697" s="141"/>
      <c r="AO697" s="286"/>
      <c r="AP697" s="284">
        <f t="shared" si="300"/>
        <v>0</v>
      </c>
      <c r="AQ697" s="281">
        <f t="shared" si="301"/>
        <v>0</v>
      </c>
      <c r="AR697" s="284">
        <f t="shared" si="302"/>
        <v>0</v>
      </c>
      <c r="AS697" s="281">
        <f t="shared" si="303"/>
        <v>0</v>
      </c>
      <c r="AT697" s="284">
        <f t="shared" si="304"/>
        <v>0</v>
      </c>
    </row>
    <row r="698" spans="1:97" s="114" customFormat="1" ht="30.9" x14ac:dyDescent="0.8">
      <c r="A698" s="262">
        <f>ROW()</f>
        <v>698</v>
      </c>
      <c r="C698" s="208"/>
      <c r="D698" s="208"/>
      <c r="E698" s="208"/>
      <c r="F698" s="208"/>
      <c r="G698" s="208"/>
      <c r="H698" s="208"/>
      <c r="J698" s="114" t="str">
        <f t="shared" si="321"/>
        <v/>
      </c>
      <c r="K698" s="114" t="str">
        <f>IF(COUNTBLANK(R698)&gt;0,"",CONCATENATE(R698," for ",N692))</f>
        <v/>
      </c>
      <c r="M698" s="117"/>
      <c r="N698" s="123" t="s">
        <v>118</v>
      </c>
      <c r="O698" s="66" t="s">
        <v>406</v>
      </c>
      <c r="P698" s="121"/>
      <c r="Q698" s="66"/>
      <c r="R698" s="121"/>
      <c r="S698" s="133">
        <f>M692</f>
        <v>0</v>
      </c>
      <c r="T698" s="120"/>
      <c r="U698" s="121" t="s">
        <v>292</v>
      </c>
      <c r="V698" s="133">
        <f t="shared" si="314"/>
        <v>0</v>
      </c>
      <c r="W698" s="133">
        <f>VLOOKUP(U698,Sheet1!$B$6:$C$45,2,FALSE)*V698</f>
        <v>0</v>
      </c>
      <c r="X698" s="141"/>
      <c r="Y698" s="121" t="s">
        <v>292</v>
      </c>
      <c r="Z698" s="146">
        <f>VLOOKUP(Takeoffs!Y698,Sheet1!$B$6:$C$124,2,FALSE)</f>
        <v>0</v>
      </c>
      <c r="AA698" s="146">
        <f t="shared" si="315"/>
        <v>0</v>
      </c>
      <c r="AB698" s="143">
        <f t="shared" si="316"/>
        <v>0</v>
      </c>
      <c r="AC698" s="133">
        <f t="shared" si="317"/>
        <v>0</v>
      </c>
      <c r="AD698" s="142">
        <v>1</v>
      </c>
      <c r="AE698" s="141"/>
      <c r="AF698" s="121" t="s">
        <v>292</v>
      </c>
      <c r="AG698" s="146">
        <f>VLOOKUP(Takeoffs!AF698,Sheet1!$B$6:$C$124,2,FALSE)</f>
        <v>0</v>
      </c>
      <c r="AH698" s="146">
        <f t="shared" si="318"/>
        <v>0</v>
      </c>
      <c r="AI698" s="143">
        <f t="shared" si="319"/>
        <v>0</v>
      </c>
      <c r="AJ698" s="133">
        <f t="shared" si="320"/>
        <v>0</v>
      </c>
      <c r="AK698" s="142">
        <f>T698</f>
        <v>0</v>
      </c>
      <c r="AL698" s="141"/>
      <c r="AO698" s="286"/>
      <c r="AP698" s="284">
        <f t="shared" si="300"/>
        <v>0</v>
      </c>
      <c r="AQ698" s="281">
        <f t="shared" si="301"/>
        <v>0</v>
      </c>
      <c r="AR698" s="284">
        <f t="shared" si="302"/>
        <v>0</v>
      </c>
      <c r="AS698" s="281">
        <f t="shared" si="303"/>
        <v>0</v>
      </c>
      <c r="AT698" s="284">
        <f t="shared" si="304"/>
        <v>0</v>
      </c>
    </row>
    <row r="699" spans="1:97" s="114" customFormat="1" ht="30.9" x14ac:dyDescent="0.8">
      <c r="A699" s="262">
        <f>ROW()</f>
        <v>699</v>
      </c>
      <c r="C699" s="208"/>
      <c r="D699" s="208"/>
      <c r="E699" s="208"/>
      <c r="F699" s="208"/>
      <c r="G699" s="208"/>
      <c r="H699" s="208"/>
      <c r="J699" s="114" t="str">
        <f t="shared" si="321"/>
        <v/>
      </c>
      <c r="K699" s="114" t="str">
        <f>IF(COUNTBLANK(R699)&gt;0,"",CONCATENATE(R699," for ",N692))</f>
        <v/>
      </c>
      <c r="N699" s="123" t="s">
        <v>119</v>
      </c>
      <c r="O699" s="66"/>
      <c r="P699" s="121"/>
      <c r="Q699" s="66"/>
      <c r="R699" s="121"/>
      <c r="S699" s="133">
        <f>M692</f>
        <v>0</v>
      </c>
      <c r="T699" s="120"/>
      <c r="U699" s="121" t="s">
        <v>292</v>
      </c>
      <c r="V699" s="133">
        <f t="shared" si="314"/>
        <v>0</v>
      </c>
      <c r="W699" s="133">
        <f>VLOOKUP(U699,Sheet1!$B$6:$C$45,2,FALSE)*V699</f>
        <v>0</v>
      </c>
      <c r="X699" s="141"/>
      <c r="Y699" s="121" t="s">
        <v>292</v>
      </c>
      <c r="Z699" s="146">
        <f>VLOOKUP(Takeoffs!Y699,Sheet1!$B$6:$C$124,2,FALSE)</f>
        <v>0</v>
      </c>
      <c r="AA699" s="146">
        <f t="shared" si="315"/>
        <v>0</v>
      </c>
      <c r="AB699" s="143">
        <f t="shared" si="316"/>
        <v>0</v>
      </c>
      <c r="AC699" s="133">
        <f t="shared" si="317"/>
        <v>0</v>
      </c>
      <c r="AD699" s="142">
        <v>1</v>
      </c>
      <c r="AE699" s="141"/>
      <c r="AF699" s="121" t="s">
        <v>292</v>
      </c>
      <c r="AG699" s="146">
        <f>VLOOKUP(Takeoffs!AF699,Sheet1!$B$6:$C$124,2,FALSE)</f>
        <v>0</v>
      </c>
      <c r="AH699" s="146">
        <f t="shared" si="318"/>
        <v>0</v>
      </c>
      <c r="AI699" s="143">
        <f t="shared" si="319"/>
        <v>0</v>
      </c>
      <c r="AJ699" s="133">
        <f t="shared" si="320"/>
        <v>0</v>
      </c>
      <c r="AK699" s="142">
        <f>T699</f>
        <v>0</v>
      </c>
      <c r="AL699" s="141"/>
      <c r="AO699" s="286"/>
      <c r="AP699" s="284">
        <f t="shared" si="300"/>
        <v>0</v>
      </c>
      <c r="AQ699" s="281">
        <f t="shared" si="301"/>
        <v>0</v>
      </c>
      <c r="AR699" s="284">
        <f t="shared" si="302"/>
        <v>0</v>
      </c>
      <c r="AS699" s="281">
        <f t="shared" si="303"/>
        <v>0</v>
      </c>
      <c r="AT699" s="284">
        <f t="shared" si="304"/>
        <v>0</v>
      </c>
    </row>
    <row r="700" spans="1:97" s="114" customFormat="1" ht="30.9" x14ac:dyDescent="0.8">
      <c r="A700" s="262">
        <f>ROW()</f>
        <v>700</v>
      </c>
      <c r="C700" s="208"/>
      <c r="D700" s="208"/>
      <c r="E700" s="208"/>
      <c r="F700" s="208"/>
      <c r="G700" s="208"/>
      <c r="H700" s="208"/>
      <c r="J700" s="114" t="str">
        <f t="shared" si="321"/>
        <v/>
      </c>
      <c r="K700" s="114" t="str">
        <f>IF(COUNTBLANK(R700)&gt;0,"",CONCATENATE(R700," for ",N692))</f>
        <v/>
      </c>
      <c r="N700" s="123" t="s">
        <v>120</v>
      </c>
      <c r="O700" s="66" t="s">
        <v>328</v>
      </c>
      <c r="P700" s="121"/>
      <c r="Q700" s="66"/>
      <c r="R700" s="121"/>
      <c r="S700" s="133">
        <f>M692</f>
        <v>0</v>
      </c>
      <c r="T700" s="120"/>
      <c r="U700" s="121" t="s">
        <v>364</v>
      </c>
      <c r="V700" s="133">
        <f t="shared" si="314"/>
        <v>0</v>
      </c>
      <c r="W700" s="133">
        <f>VLOOKUP(U700,Sheet1!$B$6:$C$45,2,FALSE)*V700</f>
        <v>0</v>
      </c>
      <c r="X700" s="141"/>
      <c r="Y700" s="121" t="s">
        <v>292</v>
      </c>
      <c r="Z700" s="146">
        <f>VLOOKUP(Takeoffs!Y700,Sheet1!$B$6:$C$124,2,FALSE)</f>
        <v>0</v>
      </c>
      <c r="AA700" s="146">
        <f t="shared" si="315"/>
        <v>0</v>
      </c>
      <c r="AB700" s="143">
        <f t="shared" si="316"/>
        <v>0</v>
      </c>
      <c r="AC700" s="133">
        <f t="shared" si="317"/>
        <v>0</v>
      </c>
      <c r="AD700" s="142">
        <v>1</v>
      </c>
      <c r="AE700" s="141"/>
      <c r="AF700" s="121" t="s">
        <v>292</v>
      </c>
      <c r="AG700" s="146">
        <f>VLOOKUP(Takeoffs!AF700,Sheet1!$B$6:$C$124,2,FALSE)</f>
        <v>0</v>
      </c>
      <c r="AH700" s="146">
        <f t="shared" si="318"/>
        <v>0</v>
      </c>
      <c r="AI700" s="143">
        <f t="shared" si="319"/>
        <v>0</v>
      </c>
      <c r="AJ700" s="133">
        <f t="shared" si="320"/>
        <v>0</v>
      </c>
      <c r="AK700" s="142">
        <f>T700</f>
        <v>0</v>
      </c>
      <c r="AL700" s="141"/>
      <c r="AO700" s="286"/>
      <c r="AP700" s="284">
        <f t="shared" si="300"/>
        <v>0</v>
      </c>
      <c r="AQ700" s="281">
        <f t="shared" si="301"/>
        <v>0</v>
      </c>
      <c r="AR700" s="284">
        <f t="shared" si="302"/>
        <v>0</v>
      </c>
      <c r="AS700" s="281">
        <f t="shared" si="303"/>
        <v>0</v>
      </c>
      <c r="AT700" s="284">
        <f t="shared" si="304"/>
        <v>0</v>
      </c>
    </row>
    <row r="701" spans="1:97" s="114" customFormat="1" ht="30.9" x14ac:dyDescent="0.8">
      <c r="A701" s="262">
        <f>ROW()</f>
        <v>701</v>
      </c>
      <c r="C701" s="208"/>
      <c r="D701" s="208"/>
      <c r="E701" s="208"/>
      <c r="F701" s="208"/>
      <c r="G701" s="208"/>
      <c r="H701" s="208"/>
      <c r="J701" s="114" t="str">
        <f t="shared" si="321"/>
        <v/>
      </c>
      <c r="K701" s="114" t="str">
        <f>IF(COUNTBLANK(R701)&gt;0,"",CONCATENATE(R701," for ",N692))</f>
        <v/>
      </c>
      <c r="N701" s="123" t="s">
        <v>121</v>
      </c>
      <c r="O701" s="66"/>
      <c r="P701" s="121"/>
      <c r="Q701" s="66"/>
      <c r="R701" s="121"/>
      <c r="S701" s="133">
        <f>M692</f>
        <v>0</v>
      </c>
      <c r="T701" s="120"/>
      <c r="U701" s="121" t="s">
        <v>292</v>
      </c>
      <c r="V701" s="133">
        <f t="shared" si="314"/>
        <v>0</v>
      </c>
      <c r="W701" s="133">
        <f>VLOOKUP(U701,Sheet1!$B$6:$C$45,2,FALSE)*V701</f>
        <v>0</v>
      </c>
      <c r="X701" s="141"/>
      <c r="Y701" s="121" t="s">
        <v>292</v>
      </c>
      <c r="Z701" s="146">
        <f>VLOOKUP(Takeoffs!Y701,Sheet1!$B$6:$C$124,2,FALSE)</f>
        <v>0</v>
      </c>
      <c r="AA701" s="146">
        <f t="shared" si="315"/>
        <v>0</v>
      </c>
      <c r="AB701" s="143">
        <f t="shared" si="316"/>
        <v>0</v>
      </c>
      <c r="AC701" s="133">
        <f t="shared" si="317"/>
        <v>0</v>
      </c>
      <c r="AD701" s="142">
        <v>1</v>
      </c>
      <c r="AE701" s="141"/>
      <c r="AF701" s="121" t="s">
        <v>292</v>
      </c>
      <c r="AG701" s="146">
        <f>VLOOKUP(Takeoffs!AF701,Sheet1!$B$6:$C$124,2,FALSE)</f>
        <v>0</v>
      </c>
      <c r="AH701" s="146">
        <f t="shared" si="318"/>
        <v>0</v>
      </c>
      <c r="AI701" s="143">
        <f t="shared" si="319"/>
        <v>0</v>
      </c>
      <c r="AJ701" s="133">
        <f t="shared" si="320"/>
        <v>0</v>
      </c>
      <c r="AK701" s="142">
        <f>T701</f>
        <v>0</v>
      </c>
      <c r="AL701" s="141"/>
      <c r="AO701" s="286"/>
      <c r="AP701" s="284">
        <f t="shared" si="300"/>
        <v>0</v>
      </c>
      <c r="AQ701" s="281">
        <f t="shared" si="301"/>
        <v>0</v>
      </c>
      <c r="AR701" s="284">
        <f t="shared" si="302"/>
        <v>0</v>
      </c>
      <c r="AS701" s="281">
        <f t="shared" si="303"/>
        <v>0</v>
      </c>
      <c r="AT701" s="284">
        <f t="shared" si="304"/>
        <v>0</v>
      </c>
    </row>
    <row r="702" spans="1:97" s="114" customFormat="1" ht="30.9" x14ac:dyDescent="0.8">
      <c r="A702" s="262">
        <f>ROW()</f>
        <v>702</v>
      </c>
      <c r="C702" s="208"/>
      <c r="D702" s="208"/>
      <c r="E702" s="208"/>
      <c r="F702" s="208"/>
      <c r="G702" s="208"/>
      <c r="H702" s="208"/>
      <c r="J702" s="114" t="str">
        <f t="shared" si="321"/>
        <v/>
      </c>
      <c r="K702" s="114" t="str">
        <f>IF(COUNTBLANK(R702)&gt;0,"",CONCATENATE(R702," for ",N692))</f>
        <v/>
      </c>
      <c r="N702" s="123" t="s">
        <v>122</v>
      </c>
      <c r="O702" s="66"/>
      <c r="P702" s="121"/>
      <c r="Q702" s="66"/>
      <c r="R702" s="121"/>
      <c r="S702" s="133">
        <f>M692</f>
        <v>0</v>
      </c>
      <c r="T702" s="120"/>
      <c r="U702" s="121" t="s">
        <v>292</v>
      </c>
      <c r="V702" s="133">
        <f t="shared" si="314"/>
        <v>0</v>
      </c>
      <c r="W702" s="133">
        <f>VLOOKUP(U702,Sheet1!$B$6:$C$45,2,FALSE)*V702</f>
        <v>0</v>
      </c>
      <c r="X702" s="141"/>
      <c r="Y702" s="121" t="s">
        <v>292</v>
      </c>
      <c r="Z702" s="146">
        <f>VLOOKUP(Takeoffs!Y702,Sheet1!$B$6:$C$124,2,FALSE)</f>
        <v>0</v>
      </c>
      <c r="AA702" s="146">
        <f t="shared" si="315"/>
        <v>0</v>
      </c>
      <c r="AB702" s="143">
        <f t="shared" si="316"/>
        <v>0</v>
      </c>
      <c r="AC702" s="133">
        <f t="shared" si="317"/>
        <v>0</v>
      </c>
      <c r="AD702" s="142">
        <v>1</v>
      </c>
      <c r="AE702" s="141"/>
      <c r="AF702" s="121" t="s">
        <v>292</v>
      </c>
      <c r="AG702" s="146">
        <f>VLOOKUP(Takeoffs!AF702,Sheet1!$B$6:$C$124,2,FALSE)</f>
        <v>0</v>
      </c>
      <c r="AH702" s="146">
        <f t="shared" si="318"/>
        <v>0</v>
      </c>
      <c r="AI702" s="143">
        <f t="shared" si="319"/>
        <v>0</v>
      </c>
      <c r="AJ702" s="133">
        <f t="shared" si="320"/>
        <v>0</v>
      </c>
      <c r="AK702" s="142">
        <f>T702</f>
        <v>0</v>
      </c>
      <c r="AL702" s="141"/>
      <c r="AO702" s="286"/>
      <c r="AP702" s="284">
        <f t="shared" si="300"/>
        <v>0</v>
      </c>
      <c r="AQ702" s="281">
        <f t="shared" si="301"/>
        <v>0</v>
      </c>
      <c r="AR702" s="284">
        <f t="shared" si="302"/>
        <v>0</v>
      </c>
      <c r="AS702" s="281">
        <f t="shared" si="303"/>
        <v>0</v>
      </c>
      <c r="AT702" s="284">
        <f t="shared" si="304"/>
        <v>0</v>
      </c>
    </row>
    <row r="703" spans="1:97" s="114" customFormat="1" ht="30.9" x14ac:dyDescent="0.8">
      <c r="A703" s="262">
        <f>ROW()</f>
        <v>703</v>
      </c>
      <c r="C703" s="208"/>
      <c r="D703" s="208"/>
      <c r="E703" s="208"/>
      <c r="F703" s="208"/>
      <c r="G703" s="208"/>
      <c r="H703" s="208"/>
      <c r="J703" s="114" t="str">
        <f t="shared" si="321"/>
        <v/>
      </c>
      <c r="K703" s="114" t="str">
        <f>IF(COUNTBLANK(R703)&gt;0,"",CONCATENATE(R703," for ",N692))</f>
        <v/>
      </c>
      <c r="N703" s="123" t="s">
        <v>123</v>
      </c>
      <c r="O703" s="66" t="s">
        <v>589</v>
      </c>
      <c r="P703" s="121"/>
      <c r="Q703" s="66"/>
      <c r="R703" s="121"/>
      <c r="S703" s="133">
        <f>M692</f>
        <v>0</v>
      </c>
      <c r="T703" s="120"/>
      <c r="U703" s="121" t="s">
        <v>292</v>
      </c>
      <c r="V703" s="133">
        <f t="shared" si="314"/>
        <v>0</v>
      </c>
      <c r="W703" s="133">
        <f>VLOOKUP(U703,Sheet1!$B$6:$C$45,2,FALSE)*V703</f>
        <v>0</v>
      </c>
      <c r="X703" s="141"/>
      <c r="Y703" s="135" t="s">
        <v>588</v>
      </c>
      <c r="Z703" s="146">
        <f>VLOOKUP(Takeoffs!Y703,Sheet1!$B$6:$C$124,2,FALSE)</f>
        <v>96</v>
      </c>
      <c r="AA703" s="146">
        <f t="shared" si="315"/>
        <v>0</v>
      </c>
      <c r="AB703" s="143">
        <f t="shared" si="316"/>
        <v>0</v>
      </c>
      <c r="AC703" s="133">
        <f t="shared" si="317"/>
        <v>0</v>
      </c>
      <c r="AD703" s="142">
        <v>1</v>
      </c>
      <c r="AE703" s="141"/>
      <c r="AF703" s="121" t="s">
        <v>292</v>
      </c>
      <c r="AG703" s="146">
        <f>VLOOKUP(Takeoffs!AF703,Sheet1!$B$6:$C$124,2,FALSE)</f>
        <v>0</v>
      </c>
      <c r="AH703" s="146">
        <f t="shared" si="318"/>
        <v>0</v>
      </c>
      <c r="AI703" s="143">
        <f t="shared" si="319"/>
        <v>0</v>
      </c>
      <c r="AJ703" s="133">
        <f t="shared" si="320"/>
        <v>0</v>
      </c>
      <c r="AK703" s="142">
        <v>0</v>
      </c>
      <c r="AL703" s="141"/>
      <c r="AO703" s="286"/>
      <c r="AP703" s="284">
        <f t="shared" si="300"/>
        <v>0</v>
      </c>
      <c r="AQ703" s="281">
        <f t="shared" si="301"/>
        <v>0</v>
      </c>
      <c r="AR703" s="284">
        <f t="shared" si="302"/>
        <v>0</v>
      </c>
      <c r="AS703" s="281">
        <f t="shared" si="303"/>
        <v>0</v>
      </c>
      <c r="AT703" s="284">
        <f t="shared" si="304"/>
        <v>0</v>
      </c>
    </row>
    <row r="704" spans="1:97" s="114" customFormat="1" ht="30.9" x14ac:dyDescent="0.8">
      <c r="A704" s="262">
        <f>ROW()</f>
        <v>704</v>
      </c>
      <c r="C704" s="208"/>
      <c r="D704" s="208"/>
      <c r="E704" s="208"/>
      <c r="F704" s="208"/>
      <c r="G704" s="208"/>
      <c r="H704" s="208"/>
      <c r="J704" s="114" t="str">
        <f t="shared" si="321"/>
        <v/>
      </c>
      <c r="K704" s="114" t="str">
        <f>IF(COUNTBLANK(R704)&gt;0,"",CONCATENATE(R704," for ",N692))</f>
        <v/>
      </c>
      <c r="N704" s="123" t="s">
        <v>124</v>
      </c>
      <c r="O704" s="66" t="s">
        <v>140</v>
      </c>
      <c r="P704" s="121"/>
      <c r="Q704" s="66"/>
      <c r="R704" s="121"/>
      <c r="S704" s="133">
        <f>M692</f>
        <v>0</v>
      </c>
      <c r="T704" s="120"/>
      <c r="U704" s="121" t="s">
        <v>292</v>
      </c>
      <c r="V704" s="133">
        <f t="shared" si="314"/>
        <v>0</v>
      </c>
      <c r="W704" s="133">
        <f>VLOOKUP(U704,Sheet1!$B$6:$C$45,2,FALSE)*V704</f>
        <v>0</v>
      </c>
      <c r="X704" s="141"/>
      <c r="Y704" s="121" t="s">
        <v>292</v>
      </c>
      <c r="Z704" s="146">
        <f>VLOOKUP(Takeoffs!Y704,Sheet1!$B$6:$C$124,2,FALSE)</f>
        <v>0</v>
      </c>
      <c r="AA704" s="146">
        <f t="shared" si="315"/>
        <v>0</v>
      </c>
      <c r="AB704" s="143">
        <f t="shared" si="316"/>
        <v>0</v>
      </c>
      <c r="AC704" s="133">
        <f t="shared" si="317"/>
        <v>0</v>
      </c>
      <c r="AD704" s="142">
        <v>1</v>
      </c>
      <c r="AE704" s="141"/>
      <c r="AF704" s="152" t="s">
        <v>418</v>
      </c>
      <c r="AG704" s="146">
        <f>VLOOKUP(Takeoffs!AF704,Sheet1!$B$6:$C$124,2,FALSE)</f>
        <v>0.33600000000000002</v>
      </c>
      <c r="AH704" s="146">
        <f t="shared" si="318"/>
        <v>0</v>
      </c>
      <c r="AI704" s="143">
        <f t="shared" si="319"/>
        <v>0</v>
      </c>
      <c r="AJ704" s="133">
        <f t="shared" si="320"/>
        <v>0</v>
      </c>
      <c r="AK704" s="142">
        <v>1</v>
      </c>
      <c r="AL704" s="141"/>
      <c r="AO704" s="286"/>
      <c r="AP704" s="284">
        <f t="shared" si="300"/>
        <v>0</v>
      </c>
      <c r="AQ704" s="281">
        <f t="shared" si="301"/>
        <v>0</v>
      </c>
      <c r="AR704" s="284">
        <f t="shared" si="302"/>
        <v>0</v>
      </c>
      <c r="AS704" s="281">
        <f t="shared" si="303"/>
        <v>0</v>
      </c>
      <c r="AT704" s="284">
        <f t="shared" si="304"/>
        <v>0</v>
      </c>
    </row>
    <row r="705" spans="1:97" s="114" customFormat="1" ht="30.9" x14ac:dyDescent="0.8">
      <c r="A705" s="262">
        <f>ROW()</f>
        <v>705</v>
      </c>
      <c r="C705" s="208"/>
      <c r="D705" s="208"/>
      <c r="E705" s="208"/>
      <c r="F705" s="208"/>
      <c r="G705" s="208"/>
      <c r="H705" s="208"/>
      <c r="J705" s="114" t="str">
        <f t="shared" si="321"/>
        <v/>
      </c>
      <c r="K705" s="114" t="str">
        <f>IF(COUNTBLANK(R705)&gt;0,"",CONCATENATE(R705," for ",N692))</f>
        <v/>
      </c>
      <c r="N705" s="123" t="s">
        <v>125</v>
      </c>
      <c r="O705" s="66" t="s">
        <v>312</v>
      </c>
      <c r="P705" s="121"/>
      <c r="Q705" s="66"/>
      <c r="R705" s="121"/>
      <c r="S705" s="133">
        <f>M692</f>
        <v>0</v>
      </c>
      <c r="T705" s="120"/>
      <c r="U705" s="121" t="s">
        <v>232</v>
      </c>
      <c r="V705" s="133">
        <f t="shared" si="314"/>
        <v>0</v>
      </c>
      <c r="W705" s="133">
        <f>VLOOKUP(U705,Sheet1!$B$6:$C$45,2,FALSE)*V705</f>
        <v>0</v>
      </c>
      <c r="X705" s="141"/>
      <c r="Y705" s="122" t="s">
        <v>1345</v>
      </c>
      <c r="Z705" s="146">
        <f>VLOOKUP(Takeoffs!Y705,Sheet1!$B$6:$C$124,2,FALSE)</f>
        <v>109.25999999999999</v>
      </c>
      <c r="AA705" s="146">
        <f t="shared" si="315"/>
        <v>0</v>
      </c>
      <c r="AB705" s="143">
        <f t="shared" si="316"/>
        <v>0</v>
      </c>
      <c r="AC705" s="133">
        <f t="shared" si="317"/>
        <v>0</v>
      </c>
      <c r="AD705" s="142">
        <v>1</v>
      </c>
      <c r="AE705" s="141"/>
      <c r="AF705" s="121" t="s">
        <v>292</v>
      </c>
      <c r="AG705" s="146">
        <f>VLOOKUP(Takeoffs!AF705,Sheet1!$B$6:$C$124,2,FALSE)</f>
        <v>0</v>
      </c>
      <c r="AH705" s="146">
        <f t="shared" si="318"/>
        <v>0</v>
      </c>
      <c r="AI705" s="143">
        <f t="shared" si="319"/>
        <v>0</v>
      </c>
      <c r="AJ705" s="133">
        <f t="shared" si="320"/>
        <v>0</v>
      </c>
      <c r="AK705" s="142">
        <f t="shared" ref="AK705:AK712" si="322">T705</f>
        <v>0</v>
      </c>
      <c r="AL705" s="141"/>
      <c r="AO705" s="286"/>
      <c r="AP705" s="284">
        <f t="shared" si="300"/>
        <v>0</v>
      </c>
      <c r="AQ705" s="281">
        <f t="shared" si="301"/>
        <v>0</v>
      </c>
      <c r="AR705" s="284">
        <f t="shared" si="302"/>
        <v>0</v>
      </c>
      <c r="AS705" s="281">
        <f t="shared" si="303"/>
        <v>0</v>
      </c>
      <c r="AT705" s="284">
        <f t="shared" si="304"/>
        <v>0</v>
      </c>
    </row>
    <row r="706" spans="1:97" s="114" customFormat="1" ht="30.9" x14ac:dyDescent="0.8">
      <c r="A706" s="262">
        <f>ROW()</f>
        <v>706</v>
      </c>
      <c r="C706" s="208"/>
      <c r="D706" s="208"/>
      <c r="E706" s="208"/>
      <c r="F706" s="208"/>
      <c r="G706" s="208"/>
      <c r="H706" s="208"/>
      <c r="J706" s="114" t="str">
        <f t="shared" si="321"/>
        <v>Coordination Note: - Fire trade: Please refer to our exclusions relating to fire cabling from FIP.</v>
      </c>
      <c r="K706" s="114" t="str">
        <f>IF(COUNTBLANK(R706)&gt;0,"",CONCATENATE(R706," for ",N692))</f>
        <v/>
      </c>
      <c r="N706" s="123" t="s">
        <v>126</v>
      </c>
      <c r="O706" s="66" t="s">
        <v>345</v>
      </c>
      <c r="P706" s="121" t="s">
        <v>380</v>
      </c>
      <c r="Q706" s="66" t="s">
        <v>384</v>
      </c>
      <c r="R706" s="121"/>
      <c r="S706" s="133">
        <f>M692</f>
        <v>0</v>
      </c>
      <c r="T706" s="120"/>
      <c r="U706" s="121" t="s">
        <v>292</v>
      </c>
      <c r="V706" s="133">
        <f t="shared" si="314"/>
        <v>0</v>
      </c>
      <c r="W706" s="133">
        <f>VLOOKUP(U706,Sheet1!$B$6:$C$45,2,FALSE)*V706</f>
        <v>0</v>
      </c>
      <c r="X706" s="141"/>
      <c r="Y706" s="122" t="s">
        <v>326</v>
      </c>
      <c r="Z706" s="146">
        <f>VLOOKUP(Takeoffs!Y706,Sheet1!$B$6:$C$124,2,FALSE)</f>
        <v>29.04</v>
      </c>
      <c r="AA706" s="146">
        <f t="shared" si="315"/>
        <v>0</v>
      </c>
      <c r="AB706" s="143">
        <f t="shared" si="316"/>
        <v>0</v>
      </c>
      <c r="AC706" s="133">
        <f t="shared" si="317"/>
        <v>0</v>
      </c>
      <c r="AD706" s="142">
        <v>1</v>
      </c>
      <c r="AE706" s="141"/>
      <c r="AF706" s="121" t="s">
        <v>292</v>
      </c>
      <c r="AG706" s="146">
        <f>VLOOKUP(Takeoffs!AF706,Sheet1!$B$6:$C$124,2,FALSE)</f>
        <v>0</v>
      </c>
      <c r="AH706" s="146">
        <f t="shared" si="318"/>
        <v>0</v>
      </c>
      <c r="AI706" s="143">
        <f t="shared" si="319"/>
        <v>0</v>
      </c>
      <c r="AJ706" s="133">
        <f t="shared" si="320"/>
        <v>0</v>
      </c>
      <c r="AK706" s="142">
        <f t="shared" si="322"/>
        <v>0</v>
      </c>
      <c r="AL706" s="141"/>
      <c r="AO706" s="286"/>
      <c r="AP706" s="284">
        <f t="shared" si="300"/>
        <v>0</v>
      </c>
      <c r="AQ706" s="281">
        <f t="shared" si="301"/>
        <v>0</v>
      </c>
      <c r="AR706" s="284">
        <f t="shared" si="302"/>
        <v>0</v>
      </c>
      <c r="AS706" s="281">
        <f t="shared" si="303"/>
        <v>0</v>
      </c>
      <c r="AT706" s="284">
        <f t="shared" si="304"/>
        <v>0</v>
      </c>
    </row>
    <row r="707" spans="1:97" s="114" customFormat="1" ht="30.9" x14ac:dyDescent="0.8">
      <c r="A707" s="262">
        <f>ROW()</f>
        <v>707</v>
      </c>
      <c r="C707" s="208"/>
      <c r="D707" s="208"/>
      <c r="E707" s="208"/>
      <c r="F707" s="208"/>
      <c r="G707" s="208"/>
      <c r="H707" s="208"/>
      <c r="J707" s="114" t="str">
        <f t="shared" si="321"/>
        <v/>
      </c>
      <c r="K707" s="114" t="str">
        <f>IF(COUNTBLANK(R707)&gt;0,"",CONCATENATE(R707," for ",N692))</f>
        <v>run and fault lights for DOL timeclock controlled fan with fire shutdown - from MSSB power supply and</v>
      </c>
      <c r="N707" s="123" t="s">
        <v>127</v>
      </c>
      <c r="O707" s="66" t="s">
        <v>337</v>
      </c>
      <c r="P707" s="121"/>
      <c r="Q707" s="66"/>
      <c r="R707" s="121" t="s">
        <v>331</v>
      </c>
      <c r="S707" s="133">
        <f>M692</f>
        <v>0</v>
      </c>
      <c r="T707" s="120"/>
      <c r="U707" s="121" t="s">
        <v>292</v>
      </c>
      <c r="V707" s="133">
        <f t="shared" si="314"/>
        <v>0</v>
      </c>
      <c r="W707" s="133">
        <f>VLOOKUP(U707,Sheet1!$B$6:$C$45,2,FALSE)*V707</f>
        <v>0</v>
      </c>
      <c r="X707" s="141"/>
      <c r="Y707" s="122" t="s">
        <v>280</v>
      </c>
      <c r="Z707" s="146">
        <f>VLOOKUP(Takeoffs!Y707,Sheet1!$B$6:$C$124,2,FALSE)</f>
        <v>19.2</v>
      </c>
      <c r="AA707" s="146">
        <f t="shared" si="315"/>
        <v>0</v>
      </c>
      <c r="AB707" s="143">
        <f t="shared" si="316"/>
        <v>0</v>
      </c>
      <c r="AC707" s="133">
        <f t="shared" si="317"/>
        <v>0</v>
      </c>
      <c r="AD707" s="142">
        <v>2</v>
      </c>
      <c r="AE707" s="141"/>
      <c r="AF707" s="121" t="s">
        <v>292</v>
      </c>
      <c r="AG707" s="146">
        <f>VLOOKUP(Takeoffs!AF707,Sheet1!$B$6:$C$124,2,FALSE)</f>
        <v>0</v>
      </c>
      <c r="AH707" s="146">
        <f t="shared" si="318"/>
        <v>0</v>
      </c>
      <c r="AI707" s="143">
        <f t="shared" si="319"/>
        <v>0</v>
      </c>
      <c r="AJ707" s="133">
        <f t="shared" si="320"/>
        <v>0</v>
      </c>
      <c r="AK707" s="142">
        <f t="shared" si="322"/>
        <v>0</v>
      </c>
      <c r="AL707" s="141"/>
      <c r="AO707" s="286"/>
      <c r="AP707" s="284">
        <f t="shared" si="300"/>
        <v>0</v>
      </c>
      <c r="AQ707" s="281">
        <f t="shared" si="301"/>
        <v>0</v>
      </c>
      <c r="AR707" s="284">
        <f t="shared" si="302"/>
        <v>0</v>
      </c>
      <c r="AS707" s="281">
        <f t="shared" si="303"/>
        <v>0</v>
      </c>
      <c r="AT707" s="284">
        <f t="shared" si="304"/>
        <v>0</v>
      </c>
    </row>
    <row r="708" spans="1:97" s="114" customFormat="1" ht="30.9" x14ac:dyDescent="0.8">
      <c r="A708" s="262">
        <f>ROW()</f>
        <v>708</v>
      </c>
      <c r="C708" s="208"/>
      <c r="D708" s="208"/>
      <c r="E708" s="208"/>
      <c r="F708" s="208"/>
      <c r="G708" s="208"/>
      <c r="H708" s="208"/>
      <c r="J708" s="114" t="str">
        <f t="shared" si="321"/>
        <v/>
      </c>
      <c r="K708" s="114" t="str">
        <f>IF(COUNTBLANK(R708)&gt;0,"",CONCATENATE(R708," for ",N692))</f>
        <v/>
      </c>
      <c r="N708" s="123" t="s">
        <v>128</v>
      </c>
      <c r="O708" s="66" t="s">
        <v>499</v>
      </c>
      <c r="P708" s="121"/>
      <c r="Q708" s="66"/>
      <c r="R708" s="121"/>
      <c r="S708" s="133">
        <f>M692</f>
        <v>0</v>
      </c>
      <c r="T708" s="120"/>
      <c r="U708" s="121" t="s">
        <v>292</v>
      </c>
      <c r="V708" s="133">
        <f t="shared" si="314"/>
        <v>0</v>
      </c>
      <c r="W708" s="133">
        <f>VLOOKUP(U708,Sheet1!$B$6:$C$45,2,FALSE)*V708</f>
        <v>0</v>
      </c>
      <c r="X708" s="141"/>
      <c r="Y708" s="135" t="s">
        <v>422</v>
      </c>
      <c r="Z708" s="146">
        <f>VLOOKUP(Takeoffs!Y708,Sheet1!$B$6:$C$124,2,FALSE)</f>
        <v>23.4</v>
      </c>
      <c r="AA708" s="146">
        <f t="shared" si="315"/>
        <v>0</v>
      </c>
      <c r="AB708" s="143">
        <f t="shared" si="316"/>
        <v>0</v>
      </c>
      <c r="AC708" s="133">
        <f t="shared" si="317"/>
        <v>0</v>
      </c>
      <c r="AD708" s="142">
        <v>1</v>
      </c>
      <c r="AE708" s="141"/>
      <c r="AF708" s="121" t="s">
        <v>292</v>
      </c>
      <c r="AG708" s="146">
        <f>VLOOKUP(Takeoffs!AF708,Sheet1!$B$6:$C$124,2,FALSE)</f>
        <v>0</v>
      </c>
      <c r="AH708" s="146">
        <f t="shared" si="318"/>
        <v>0</v>
      </c>
      <c r="AI708" s="143">
        <f t="shared" si="319"/>
        <v>0</v>
      </c>
      <c r="AJ708" s="133">
        <f t="shared" si="320"/>
        <v>0</v>
      </c>
      <c r="AK708" s="142">
        <f t="shared" si="322"/>
        <v>0</v>
      </c>
      <c r="AL708" s="141"/>
      <c r="AO708" s="286"/>
      <c r="AP708" s="284">
        <f t="shared" si="300"/>
        <v>0</v>
      </c>
      <c r="AQ708" s="281">
        <f t="shared" si="301"/>
        <v>0</v>
      </c>
      <c r="AR708" s="284">
        <f t="shared" si="302"/>
        <v>0</v>
      </c>
      <c r="AS708" s="281">
        <f t="shared" si="303"/>
        <v>0</v>
      </c>
      <c r="AT708" s="284">
        <f t="shared" si="304"/>
        <v>0</v>
      </c>
    </row>
    <row r="709" spans="1:97" s="114" customFormat="1" ht="30.9" x14ac:dyDescent="0.8">
      <c r="A709" s="262">
        <f>ROW()</f>
        <v>709</v>
      </c>
      <c r="C709" s="208"/>
      <c r="D709" s="208"/>
      <c r="E709" s="208"/>
      <c r="F709" s="208"/>
      <c r="G709" s="208"/>
      <c r="H709" s="208"/>
      <c r="J709" s="114" t="str">
        <f t="shared" si="321"/>
        <v/>
      </c>
      <c r="K709" s="114" t="str">
        <f>IF(COUNTBLANK(R709)&gt;0,"",CONCATENATE(R709," for ",N692))</f>
        <v>Auto/Off/On switch for DOL timeclock controlled fan with fire shutdown - from MSSB power supply and</v>
      </c>
      <c r="N709" s="123" t="s">
        <v>129</v>
      </c>
      <c r="O709" s="66" t="s">
        <v>329</v>
      </c>
      <c r="P709" s="121"/>
      <c r="Q709" s="66"/>
      <c r="R709" s="121" t="s">
        <v>304</v>
      </c>
      <c r="S709" s="133">
        <f>M692</f>
        <v>0</v>
      </c>
      <c r="T709" s="120"/>
      <c r="U709" s="121" t="s">
        <v>292</v>
      </c>
      <c r="V709" s="133">
        <f t="shared" si="314"/>
        <v>0</v>
      </c>
      <c r="W709" s="133">
        <f>VLOOKUP(U709,Sheet1!$B$6:$C$45,2,FALSE)*V709</f>
        <v>0</v>
      </c>
      <c r="X709" s="141"/>
      <c r="Y709" s="122" t="s">
        <v>277</v>
      </c>
      <c r="Z709" s="146">
        <f>VLOOKUP(Takeoffs!Y709,Sheet1!$B$6:$C$124,2,FALSE)</f>
        <v>69.540000000000006</v>
      </c>
      <c r="AA709" s="146">
        <f t="shared" si="315"/>
        <v>0</v>
      </c>
      <c r="AB709" s="143">
        <f t="shared" si="316"/>
        <v>0</v>
      </c>
      <c r="AC709" s="133">
        <f t="shared" si="317"/>
        <v>0</v>
      </c>
      <c r="AD709" s="142">
        <v>1</v>
      </c>
      <c r="AE709" s="141"/>
      <c r="AF709" s="121" t="s">
        <v>292</v>
      </c>
      <c r="AG709" s="146">
        <f>VLOOKUP(Takeoffs!AF709,Sheet1!$B$6:$C$124,2,FALSE)</f>
        <v>0</v>
      </c>
      <c r="AH709" s="146">
        <f t="shared" si="318"/>
        <v>0</v>
      </c>
      <c r="AI709" s="143">
        <f t="shared" si="319"/>
        <v>0</v>
      </c>
      <c r="AJ709" s="133">
        <f t="shared" si="320"/>
        <v>0</v>
      </c>
      <c r="AK709" s="142">
        <f t="shared" si="322"/>
        <v>0</v>
      </c>
      <c r="AL709" s="141"/>
      <c r="AO709" s="286"/>
      <c r="AP709" s="284">
        <f t="shared" si="300"/>
        <v>0</v>
      </c>
      <c r="AQ709" s="281">
        <f t="shared" si="301"/>
        <v>0</v>
      </c>
      <c r="AR709" s="284">
        <f t="shared" si="302"/>
        <v>0</v>
      </c>
      <c r="AS709" s="281">
        <f t="shared" si="303"/>
        <v>0</v>
      </c>
      <c r="AT709" s="284">
        <f t="shared" si="304"/>
        <v>0</v>
      </c>
    </row>
    <row r="710" spans="1:97" s="114" customFormat="1" ht="30.9" x14ac:dyDescent="0.8">
      <c r="A710" s="262">
        <f>ROW()</f>
        <v>710</v>
      </c>
      <c r="C710" s="208"/>
      <c r="D710" s="208"/>
      <c r="E710" s="208"/>
      <c r="F710" s="208"/>
      <c r="G710" s="208"/>
      <c r="H710" s="208"/>
      <c r="J710" s="114" t="str">
        <f t="shared" si="321"/>
        <v/>
      </c>
      <c r="K710" s="114" t="str">
        <f>IF(COUNTBLANK(R710)&gt;0,"",CONCATENATE(R710," for ",N692))</f>
        <v/>
      </c>
      <c r="N710" s="123" t="s">
        <v>130</v>
      </c>
      <c r="O710" s="66"/>
      <c r="P710" s="121"/>
      <c r="Q710" s="66"/>
      <c r="R710" s="121"/>
      <c r="S710" s="133">
        <f>M692</f>
        <v>0</v>
      </c>
      <c r="T710" s="120"/>
      <c r="U710" s="121" t="s">
        <v>292</v>
      </c>
      <c r="V710" s="133">
        <f t="shared" si="314"/>
        <v>0</v>
      </c>
      <c r="W710" s="133">
        <f>VLOOKUP(U710,Sheet1!$B$6:$C$45,2,FALSE)*V710</f>
        <v>0</v>
      </c>
      <c r="X710" s="141"/>
      <c r="Y710" s="121" t="s">
        <v>292</v>
      </c>
      <c r="Z710" s="146">
        <f>VLOOKUP(Takeoffs!Y710,Sheet1!$B$6:$C$124,2,FALSE)</f>
        <v>0</v>
      </c>
      <c r="AA710" s="146">
        <f t="shared" si="315"/>
        <v>0</v>
      </c>
      <c r="AB710" s="143">
        <f t="shared" si="316"/>
        <v>0</v>
      </c>
      <c r="AC710" s="133">
        <f t="shared" si="317"/>
        <v>0</v>
      </c>
      <c r="AD710" s="142">
        <v>1</v>
      </c>
      <c r="AE710" s="141"/>
      <c r="AF710" s="121" t="s">
        <v>292</v>
      </c>
      <c r="AG710" s="146">
        <f>VLOOKUP(Takeoffs!AF710,Sheet1!$B$6:$C$124,2,FALSE)</f>
        <v>0</v>
      </c>
      <c r="AH710" s="146">
        <f t="shared" si="318"/>
        <v>0</v>
      </c>
      <c r="AI710" s="143">
        <f t="shared" si="319"/>
        <v>0</v>
      </c>
      <c r="AJ710" s="133">
        <f t="shared" si="320"/>
        <v>0</v>
      </c>
      <c r="AK710" s="142">
        <f t="shared" si="322"/>
        <v>0</v>
      </c>
      <c r="AL710" s="141"/>
      <c r="AO710" s="286"/>
      <c r="AP710" s="284">
        <f t="shared" si="300"/>
        <v>0</v>
      </c>
      <c r="AQ710" s="281">
        <f t="shared" si="301"/>
        <v>0</v>
      </c>
      <c r="AR710" s="284">
        <f t="shared" si="302"/>
        <v>0</v>
      </c>
      <c r="AS710" s="281">
        <f t="shared" si="303"/>
        <v>0</v>
      </c>
      <c r="AT710" s="284">
        <f t="shared" si="304"/>
        <v>0</v>
      </c>
    </row>
    <row r="711" spans="1:97" s="114" customFormat="1" ht="30.9" x14ac:dyDescent="0.8">
      <c r="A711" s="262">
        <f>ROW()</f>
        <v>711</v>
      </c>
      <c r="C711" s="208"/>
      <c r="D711" s="208"/>
      <c r="E711" s="208"/>
      <c r="F711" s="208"/>
      <c r="G711" s="208"/>
      <c r="H711" s="208"/>
      <c r="J711" s="114" t="str">
        <f t="shared" si="321"/>
        <v/>
      </c>
      <c r="K711" s="114" t="str">
        <f>IF(COUNTBLANK(R711)&gt;0,"",CONCATENATE(R711," for ",N692))</f>
        <v/>
      </c>
      <c r="N711" s="123" t="s">
        <v>131</v>
      </c>
      <c r="O711" s="66" t="s">
        <v>407</v>
      </c>
      <c r="P711" s="121"/>
      <c r="Q711" s="66"/>
      <c r="R711" s="121"/>
      <c r="S711" s="133">
        <f>M692</f>
        <v>0</v>
      </c>
      <c r="T711" s="120"/>
      <c r="U711" s="121" t="s">
        <v>292</v>
      </c>
      <c r="V711" s="133">
        <f t="shared" si="314"/>
        <v>0</v>
      </c>
      <c r="W711" s="133">
        <f>VLOOKUP(U711,Sheet1!$B$6:$C$45,2,FALSE)*V711</f>
        <v>0</v>
      </c>
      <c r="X711" s="141"/>
      <c r="Y711" s="121" t="s">
        <v>274</v>
      </c>
      <c r="Z711" s="146">
        <f>VLOOKUP(Takeoffs!Y711,Sheet1!$B$6:$C$124,2,FALSE)</f>
        <v>360</v>
      </c>
      <c r="AA711" s="146">
        <f t="shared" si="315"/>
        <v>0</v>
      </c>
      <c r="AB711" s="143">
        <f t="shared" si="316"/>
        <v>0</v>
      </c>
      <c r="AC711" s="133">
        <f t="shared" si="317"/>
        <v>0</v>
      </c>
      <c r="AD711" s="142">
        <v>1</v>
      </c>
      <c r="AE711" s="141"/>
      <c r="AF711" s="121" t="s">
        <v>292</v>
      </c>
      <c r="AG711" s="146">
        <f>VLOOKUP(Takeoffs!AF711,Sheet1!$B$6:$C$124,2,FALSE)</f>
        <v>0</v>
      </c>
      <c r="AH711" s="146">
        <f t="shared" si="318"/>
        <v>0</v>
      </c>
      <c r="AI711" s="143">
        <f t="shared" si="319"/>
        <v>0</v>
      </c>
      <c r="AJ711" s="133">
        <f t="shared" si="320"/>
        <v>0</v>
      </c>
      <c r="AK711" s="142">
        <f t="shared" si="322"/>
        <v>0</v>
      </c>
      <c r="AL711" s="141"/>
      <c r="AO711" s="286"/>
      <c r="AP711" s="284">
        <f t="shared" si="300"/>
        <v>0</v>
      </c>
      <c r="AQ711" s="281">
        <f t="shared" si="301"/>
        <v>0</v>
      </c>
      <c r="AR711" s="284">
        <f t="shared" si="302"/>
        <v>0</v>
      </c>
      <c r="AS711" s="281">
        <f t="shared" si="303"/>
        <v>0</v>
      </c>
      <c r="AT711" s="284">
        <f t="shared" si="304"/>
        <v>0</v>
      </c>
    </row>
    <row r="712" spans="1:97" s="114" customFormat="1" ht="30.9" x14ac:dyDescent="0.8">
      <c r="A712" s="262">
        <f>ROW()</f>
        <v>712</v>
      </c>
      <c r="C712" s="208"/>
      <c r="D712" s="208"/>
      <c r="E712" s="208"/>
      <c r="F712" s="208"/>
      <c r="G712" s="208"/>
      <c r="H712" s="208"/>
      <c r="J712" s="114" t="str">
        <f t="shared" si="321"/>
        <v/>
      </c>
      <c r="K712" s="114" t="str">
        <f>IF(COUNTBLANK(R712)&gt;0,"",CONCATENATE(R712," for ",N692))</f>
        <v/>
      </c>
      <c r="N712" s="123" t="s">
        <v>132</v>
      </c>
      <c r="O712" s="66" t="s">
        <v>408</v>
      </c>
      <c r="P712" s="121"/>
      <c r="Q712" s="66"/>
      <c r="R712" s="121"/>
      <c r="S712" s="133">
        <f>M692</f>
        <v>0</v>
      </c>
      <c r="T712" s="120"/>
      <c r="U712" s="121" t="s">
        <v>362</v>
      </c>
      <c r="V712" s="133">
        <f t="shared" si="314"/>
        <v>0</v>
      </c>
      <c r="W712" s="133">
        <f>VLOOKUP(U712,Sheet1!$B$6:$C$45,2,FALSE)*V712</f>
        <v>0</v>
      </c>
      <c r="X712" s="141"/>
      <c r="Y712" s="121" t="s">
        <v>292</v>
      </c>
      <c r="Z712" s="146">
        <f>VLOOKUP(Takeoffs!Y712,Sheet1!$B$6:$C$124,2,FALSE)</f>
        <v>0</v>
      </c>
      <c r="AA712" s="146">
        <f t="shared" si="315"/>
        <v>0</v>
      </c>
      <c r="AB712" s="143">
        <f t="shared" si="316"/>
        <v>0</v>
      </c>
      <c r="AC712" s="133">
        <f t="shared" si="317"/>
        <v>0</v>
      </c>
      <c r="AD712" s="142">
        <v>1</v>
      </c>
      <c r="AE712" s="141"/>
      <c r="AF712" s="121" t="s">
        <v>292</v>
      </c>
      <c r="AG712" s="146">
        <f>VLOOKUP(Takeoffs!AF712,Sheet1!$B$6:$C$124,2,FALSE)</f>
        <v>0</v>
      </c>
      <c r="AH712" s="146">
        <f t="shared" si="318"/>
        <v>0</v>
      </c>
      <c r="AI712" s="143">
        <f t="shared" si="319"/>
        <v>0</v>
      </c>
      <c r="AJ712" s="133">
        <f t="shared" si="320"/>
        <v>0</v>
      </c>
      <c r="AK712" s="142">
        <f t="shared" si="322"/>
        <v>0</v>
      </c>
      <c r="AL712" s="141"/>
      <c r="AO712" s="286"/>
      <c r="AP712" s="284">
        <f t="shared" si="300"/>
        <v>0</v>
      </c>
      <c r="AQ712" s="281">
        <f t="shared" si="301"/>
        <v>0</v>
      </c>
      <c r="AR712" s="284">
        <f t="shared" si="302"/>
        <v>0</v>
      </c>
      <c r="AS712" s="281">
        <f t="shared" si="303"/>
        <v>0</v>
      </c>
      <c r="AT712" s="284">
        <f t="shared" si="304"/>
        <v>0</v>
      </c>
    </row>
    <row r="713" spans="1:97" s="128" customFormat="1" ht="32.25" customHeight="1" thickBot="1" x14ac:dyDescent="0.85">
      <c r="A713" s="262">
        <f>ROW()</f>
        <v>713</v>
      </c>
      <c r="C713" s="212"/>
      <c r="D713" s="212"/>
      <c r="E713" s="212"/>
      <c r="F713" s="212"/>
      <c r="G713" s="212"/>
      <c r="H713" s="212"/>
      <c r="J713" s="128" t="s">
        <v>377</v>
      </c>
      <c r="L713" s="128" t="s">
        <v>378</v>
      </c>
      <c r="N713" s="129"/>
      <c r="O713" s="130" t="s">
        <v>357</v>
      </c>
      <c r="P713" s="155">
        <f>V713+AA713+AH713</f>
        <v>0</v>
      </c>
      <c r="Q713" s="155"/>
      <c r="R713" s="131"/>
      <c r="S713" s="130"/>
      <c r="T713" s="127"/>
      <c r="U713" s="126" t="s">
        <v>351</v>
      </c>
      <c r="V713" s="127">
        <f>W713*80</f>
        <v>0</v>
      </c>
      <c r="W713" s="147">
        <f>SUM(W692:W712)</f>
        <v>0</v>
      </c>
      <c r="X713" s="148"/>
      <c r="Y713" s="127" t="s">
        <v>352</v>
      </c>
      <c r="Z713" s="116"/>
      <c r="AA713" s="116">
        <f>SUM(AA692:AA712)</f>
        <v>0</v>
      </c>
      <c r="AB713" s="149"/>
      <c r="AC713" s="149"/>
      <c r="AD713" s="149"/>
      <c r="AE713" s="149"/>
      <c r="AF713" s="127" t="s">
        <v>356</v>
      </c>
      <c r="AG713" s="116"/>
      <c r="AH713" s="116">
        <f>SUM(AH692:AH712)</f>
        <v>0</v>
      </c>
      <c r="AI713" s="149"/>
      <c r="AJ713" s="149"/>
      <c r="AK713" s="149"/>
      <c r="AL713" s="149"/>
      <c r="AM713" s="150">
        <f>P713</f>
        <v>0</v>
      </c>
      <c r="AO713" s="286"/>
      <c r="AP713" s="284">
        <f t="shared" si="300"/>
        <v>0</v>
      </c>
      <c r="AQ713" s="281">
        <f t="shared" si="301"/>
        <v>0</v>
      </c>
      <c r="AR713" s="284">
        <f t="shared" si="302"/>
        <v>0</v>
      </c>
      <c r="AS713" s="281">
        <f t="shared" si="303"/>
        <v>0</v>
      </c>
      <c r="AT713" s="284">
        <f t="shared" si="304"/>
        <v>0</v>
      </c>
    </row>
    <row r="714" spans="1:97" s="234" customFormat="1" ht="158.15" thickBot="1" x14ac:dyDescent="1.25">
      <c r="A714" s="262">
        <f>ROW()</f>
        <v>714</v>
      </c>
      <c r="B714" s="234" t="s">
        <v>491</v>
      </c>
      <c r="C714" s="217" t="str">
        <f>N692</f>
        <v>DOL timeclock controlled fan with fire shutdown - from MSSB power supply and</v>
      </c>
      <c r="D714" s="260" t="str">
        <f>IF(B714="Shopping List",IF(ISNUMBER(SEARCH("MSSB",C714)),"MSSB",IF(ISNUMBER(SEARCH("local",C714)),"LOCAL","")))</f>
        <v>MSSB</v>
      </c>
      <c r="E714" s="238"/>
      <c r="F714" s="217"/>
      <c r="G714" s="217"/>
      <c r="H714" s="245">
        <v>4</v>
      </c>
      <c r="I714" s="270"/>
      <c r="J714" s="241" t="str">
        <f>CONCATENATE(O692," ",L692, " (",M692,") ",N692,".", IF(M692&gt;1," Each "," This "),"includes supply and install of ",O693,O694,O695,O696,O697,O698,O699,O700,O701,O702,O703,O704,O705,O706,O707,O708,O709,O710,O711,O712,J693,J694,J695,J696,J697,J698,J699,J700,J701,J702,J703,J704,J705,J706,J707,J708,J709,J710,J711,J712)</f>
        <v>Electrical power supply and controls ( Excluding BMS) to Zero (0) DOL timeclock controlled fan with fire shutdown - from MSSB power supply and. This includes supply and install of power and controls. Power for system includes: CB, cabling from MSSB,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Fire trade: Please refer to our exclusions relating to fire cabling from FIP.</v>
      </c>
      <c r="K714" s="248">
        <f>P713</f>
        <v>0</v>
      </c>
      <c r="L714" s="235" t="str">
        <f>CONCATENATE(Q693,Q694,Q695,Q696,Q697,Q698,Q699,Q700,Q701,Q702,Q703,Q704,Q705,Q706,Q707,Q708,Q709,Q710,Q711,Q712,)</f>
        <v>fire cabling from FIP.</v>
      </c>
      <c r="M714" s="166" t="s">
        <v>367</v>
      </c>
      <c r="N714" s="160" t="str">
        <f>N692</f>
        <v>DOL timeclock controlled fan with fire shutdown - from MSSB power supply and</v>
      </c>
      <c r="O714" s="185" t="s">
        <v>365</v>
      </c>
      <c r="P714" s="203" t="e">
        <f>P713/M692</f>
        <v>#DIV/0!</v>
      </c>
      <c r="Q714" s="195"/>
      <c r="R714" s="188"/>
      <c r="S714" s="160"/>
      <c r="T714" s="161"/>
      <c r="U714" s="503" t="s">
        <v>366</v>
      </c>
      <c r="V714" s="503"/>
      <c r="W714" s="162" t="e">
        <f>W713/M692</f>
        <v>#DIV/0!</v>
      </c>
      <c r="X714" s="163"/>
      <c r="Y714" s="501" t="s">
        <v>365</v>
      </c>
      <c r="Z714" s="501"/>
      <c r="AA714" s="164" t="e">
        <f>AA713/M692</f>
        <v>#DIV/0!</v>
      </c>
      <c r="AB714" s="161"/>
      <c r="AC714" s="161"/>
      <c r="AD714" s="161"/>
      <c r="AE714" s="161"/>
      <c r="AF714" s="501" t="s">
        <v>365</v>
      </c>
      <c r="AG714" s="501"/>
      <c r="AH714" s="164" t="e">
        <f>AH713/M692</f>
        <v>#DIV/0!</v>
      </c>
      <c r="AI714" s="161"/>
      <c r="AJ714" s="161"/>
      <c r="AK714" s="161"/>
      <c r="AL714" s="247"/>
      <c r="AM714" s="257"/>
      <c r="AN714" s="230">
        <f>K714*1.25</f>
        <v>0</v>
      </c>
      <c r="AO714" s="286"/>
      <c r="AP714" s="284">
        <f t="shared" si="300"/>
        <v>0</v>
      </c>
      <c r="AQ714" s="281">
        <f t="shared" si="301"/>
        <v>0</v>
      </c>
      <c r="AR714" s="284">
        <f t="shared" si="302"/>
        <v>0</v>
      </c>
      <c r="AS714" s="281">
        <f t="shared" si="303"/>
        <v>0</v>
      </c>
      <c r="AT714" s="284">
        <f t="shared" si="304"/>
        <v>0</v>
      </c>
      <c r="AU714" s="117"/>
      <c r="AV714" s="117"/>
      <c r="AW714" s="117"/>
      <c r="AX714" s="117"/>
      <c r="AY714" s="117"/>
      <c r="AZ714" s="117"/>
      <c r="BA714" s="117"/>
      <c r="BB714" s="117"/>
      <c r="BC714" s="117"/>
      <c r="BD714" s="117"/>
      <c r="BE714" s="117"/>
      <c r="BF714" s="117"/>
      <c r="BG714" s="117"/>
      <c r="BH714" s="117"/>
      <c r="BI714" s="117"/>
      <c r="BJ714" s="117"/>
      <c r="BK714" s="117"/>
      <c r="BL714" s="117"/>
      <c r="BM714" s="117"/>
      <c r="BN714" s="117"/>
      <c r="BO714" s="117"/>
      <c r="BP714" s="117"/>
      <c r="BQ714" s="117"/>
      <c r="BR714" s="117"/>
      <c r="BS714" s="117"/>
      <c r="BT714" s="117"/>
      <c r="BU714" s="117"/>
      <c r="BV714" s="117"/>
      <c r="BW714" s="117"/>
      <c r="BX714" s="117"/>
      <c r="BY714" s="117"/>
      <c r="BZ714" s="117"/>
      <c r="CA714" s="117"/>
      <c r="CB714" s="117"/>
      <c r="CC714" s="117"/>
      <c r="CD714" s="117"/>
      <c r="CE714" s="117"/>
      <c r="CF714" s="117"/>
      <c r="CG714" s="117"/>
      <c r="CH714" s="117"/>
      <c r="CI714" s="117"/>
      <c r="CJ714" s="117"/>
      <c r="CK714" s="117"/>
      <c r="CL714" s="117"/>
      <c r="CM714" s="117"/>
      <c r="CN714" s="117"/>
      <c r="CO714" s="117"/>
      <c r="CP714" s="117"/>
      <c r="CQ714" s="117"/>
      <c r="CR714" s="117"/>
      <c r="CS714" s="117"/>
    </row>
    <row r="715" spans="1:97" s="116" customFormat="1" ht="193.5" customHeight="1" x14ac:dyDescent="0.8">
      <c r="A715" s="262">
        <f>ROW()</f>
        <v>715</v>
      </c>
      <c r="C715" s="211"/>
      <c r="D715" s="211"/>
      <c r="E715" s="211"/>
      <c r="F715" s="211"/>
      <c r="G715" s="211"/>
      <c r="H715" s="211"/>
      <c r="K715" s="116" t="s">
        <v>452</v>
      </c>
      <c r="M715" s="116" t="s">
        <v>107</v>
      </c>
      <c r="N715" s="116" t="s">
        <v>108</v>
      </c>
      <c r="O715" s="170" t="s">
        <v>386</v>
      </c>
      <c r="P715" s="502" t="s">
        <v>375</v>
      </c>
      <c r="Q715" s="502"/>
      <c r="R715" s="101" t="s">
        <v>452</v>
      </c>
      <c r="S715" s="116" t="s">
        <v>0</v>
      </c>
      <c r="T715" s="118"/>
      <c r="U715" s="116" t="s">
        <v>287</v>
      </c>
      <c r="V715" s="116" t="s">
        <v>288</v>
      </c>
      <c r="W715" s="116" t="s">
        <v>291</v>
      </c>
      <c r="X715" s="140"/>
      <c r="Y715" s="116" t="s">
        <v>289</v>
      </c>
      <c r="Z715" s="116" t="s">
        <v>354</v>
      </c>
      <c r="AA715" s="116" t="s">
        <v>355</v>
      </c>
      <c r="AB715" s="116" t="s">
        <v>317</v>
      </c>
      <c r="AC715" s="116" t="s">
        <v>318</v>
      </c>
      <c r="AD715" s="116" t="s">
        <v>316</v>
      </c>
      <c r="AE715" s="140"/>
      <c r="AF715" s="116" t="s">
        <v>293</v>
      </c>
      <c r="AG715" s="116" t="s">
        <v>354</v>
      </c>
      <c r="AH715" s="116" t="s">
        <v>355</v>
      </c>
      <c r="AI715" s="116" t="s">
        <v>296</v>
      </c>
      <c r="AJ715" s="116" t="s">
        <v>294</v>
      </c>
      <c r="AK715" s="116" t="s">
        <v>295</v>
      </c>
      <c r="AL715" s="140"/>
      <c r="AO715" s="288"/>
      <c r="AP715" s="284">
        <f t="shared" si="300"/>
        <v>0</v>
      </c>
      <c r="AQ715" s="281">
        <f t="shared" si="301"/>
        <v>0</v>
      </c>
      <c r="AR715" s="284">
        <f t="shared" si="302"/>
        <v>0</v>
      </c>
      <c r="AS715" s="281">
        <f t="shared" si="303"/>
        <v>0</v>
      </c>
      <c r="AT715" s="284">
        <f t="shared" si="304"/>
        <v>0</v>
      </c>
    </row>
    <row r="716" spans="1:97" s="114" customFormat="1" ht="41.25" customHeight="1" x14ac:dyDescent="0.8">
      <c r="A716" s="262">
        <f>ROW()</f>
        <v>716</v>
      </c>
      <c r="C716" s="208"/>
      <c r="D716" s="208"/>
      <c r="E716" s="208"/>
      <c r="F716" s="208"/>
      <c r="G716" s="208"/>
      <c r="H716" s="208"/>
      <c r="L716" s="124" t="str">
        <f>VLOOKUP(M716,Sheet2!$D$2:$E$1024,2,FALSE)</f>
        <v>Zero</v>
      </c>
      <c r="M716" s="121">
        <f>I738</f>
        <v>0</v>
      </c>
      <c r="N716" s="132" t="s">
        <v>612</v>
      </c>
      <c r="O716" s="121" t="s">
        <v>488</v>
      </c>
      <c r="P716" s="169" t="s">
        <v>379</v>
      </c>
      <c r="Q716" s="169" t="s">
        <v>375</v>
      </c>
      <c r="R716" s="169"/>
      <c r="S716" s="133">
        <f>M716</f>
        <v>0</v>
      </c>
      <c r="T716" s="119"/>
      <c r="U716" s="121" t="s">
        <v>292</v>
      </c>
      <c r="V716" s="133">
        <f>S716</f>
        <v>0</v>
      </c>
      <c r="W716" s="133">
        <f>VLOOKUP(U716,Sheet1!$B$6:$C$45,2,FALSE)*V716</f>
        <v>0</v>
      </c>
      <c r="X716" s="141"/>
      <c r="Y716" s="121" t="s">
        <v>292</v>
      </c>
      <c r="Z716" s="146">
        <f>VLOOKUP(Takeoffs!Y716,Sheet1!$B$6:$C$124,2,FALSE)</f>
        <v>0</v>
      </c>
      <c r="AA716" s="146">
        <f>Z716*AB716</f>
        <v>0</v>
      </c>
      <c r="AB716" s="143">
        <f>AD716*AC716</f>
        <v>0</v>
      </c>
      <c r="AC716" s="133">
        <f>S716</f>
        <v>0</v>
      </c>
      <c r="AD716" s="142">
        <v>1</v>
      </c>
      <c r="AE716" s="141"/>
      <c r="AF716" s="121" t="s">
        <v>292</v>
      </c>
      <c r="AG716" s="146">
        <f>VLOOKUP(Takeoffs!AF716,Sheet1!$B$6:$C$124,2,FALSE)</f>
        <v>0</v>
      </c>
      <c r="AH716" s="146">
        <f>AG716*AI716</f>
        <v>0</v>
      </c>
      <c r="AI716" s="143">
        <f>AK716*AJ716</f>
        <v>0</v>
      </c>
      <c r="AJ716" s="133">
        <f>S716</f>
        <v>0</v>
      </c>
      <c r="AK716" s="142">
        <f>T716</f>
        <v>0</v>
      </c>
      <c r="AL716" s="141"/>
      <c r="AO716" s="286"/>
      <c r="AP716" s="284">
        <f t="shared" si="300"/>
        <v>0</v>
      </c>
      <c r="AQ716" s="281">
        <f t="shared" si="301"/>
        <v>0</v>
      </c>
      <c r="AR716" s="284">
        <f t="shared" si="302"/>
        <v>0</v>
      </c>
      <c r="AS716" s="281">
        <f t="shared" si="303"/>
        <v>0</v>
      </c>
      <c r="AT716" s="284">
        <f t="shared" si="304"/>
        <v>0</v>
      </c>
    </row>
    <row r="717" spans="1:97" s="114" customFormat="1" ht="30.9" x14ac:dyDescent="0.8">
      <c r="A717" s="262">
        <f>ROW()</f>
        <v>717</v>
      </c>
      <c r="C717" s="208"/>
      <c r="D717" s="208"/>
      <c r="E717" s="208"/>
      <c r="F717" s="208"/>
      <c r="G717" s="208"/>
      <c r="H717" s="208"/>
      <c r="J717" s="114" t="str">
        <f>IF(COUNTBLANK(Q717)&gt;0,"",CONCATENATE("Coordination Note: - ",P717,": Please refer to our exclusions relating to ",Q717))</f>
        <v/>
      </c>
      <c r="K717" s="114" t="str">
        <f>IF(COUNTBLANK(R717)&gt;0,"",CONCATENATE(R717," for ",N716))</f>
        <v/>
      </c>
      <c r="M717" s="117"/>
      <c r="N717" s="123" t="s">
        <v>113</v>
      </c>
      <c r="O717" s="66" t="s">
        <v>340</v>
      </c>
      <c r="P717" s="121"/>
      <c r="Q717" s="66"/>
      <c r="R717" s="121"/>
      <c r="S717" s="133">
        <f>M716</f>
        <v>0</v>
      </c>
      <c r="T717" s="120"/>
      <c r="U717" s="121" t="s">
        <v>292</v>
      </c>
      <c r="V717" s="133">
        <f t="shared" ref="V717:V736" si="323">S717</f>
        <v>0</v>
      </c>
      <c r="W717" s="133">
        <f>VLOOKUP(U717,Sheet1!$B$6:$C$45,2,FALSE)*V717</f>
        <v>0</v>
      </c>
      <c r="X717" s="141"/>
      <c r="Y717" s="121" t="s">
        <v>292</v>
      </c>
      <c r="Z717" s="146">
        <f>VLOOKUP(Takeoffs!Y717,Sheet1!$B$6:$C$124,2,FALSE)</f>
        <v>0</v>
      </c>
      <c r="AA717" s="146">
        <f t="shared" ref="AA717:AA736" si="324">Z717*AB717</f>
        <v>0</v>
      </c>
      <c r="AB717" s="143">
        <f t="shared" ref="AB717:AB736" si="325">AD717*AC717</f>
        <v>0</v>
      </c>
      <c r="AC717" s="133">
        <f t="shared" ref="AC717:AC736" si="326">S717</f>
        <v>0</v>
      </c>
      <c r="AD717" s="142">
        <v>1</v>
      </c>
      <c r="AE717" s="141"/>
      <c r="AF717" s="121" t="s">
        <v>292</v>
      </c>
      <c r="AG717" s="146">
        <f>VLOOKUP(Takeoffs!AF717,Sheet1!$B$6:$C$124,2,FALSE)</f>
        <v>0</v>
      </c>
      <c r="AH717" s="146">
        <f t="shared" ref="AH717:AH736" si="327">AG717*AI717</f>
        <v>0</v>
      </c>
      <c r="AI717" s="143">
        <f t="shared" ref="AI717:AI736" si="328">AK717*AJ717</f>
        <v>0</v>
      </c>
      <c r="AJ717" s="133">
        <f t="shared" ref="AJ717:AJ736" si="329">S717</f>
        <v>0</v>
      </c>
      <c r="AK717" s="142">
        <f>T717</f>
        <v>0</v>
      </c>
      <c r="AL717" s="141"/>
      <c r="AO717" s="286"/>
      <c r="AP717" s="284">
        <f t="shared" si="300"/>
        <v>0</v>
      </c>
      <c r="AQ717" s="281">
        <f t="shared" si="301"/>
        <v>0</v>
      </c>
      <c r="AR717" s="284">
        <f t="shared" si="302"/>
        <v>0</v>
      </c>
      <c r="AS717" s="281">
        <f t="shared" si="303"/>
        <v>0</v>
      </c>
      <c r="AT717" s="284">
        <f t="shared" si="304"/>
        <v>0</v>
      </c>
    </row>
    <row r="718" spans="1:97" s="114" customFormat="1" ht="30.9" x14ac:dyDescent="0.8">
      <c r="A718" s="262">
        <f>ROW()</f>
        <v>718</v>
      </c>
      <c r="C718" s="208"/>
      <c r="D718" s="208"/>
      <c r="E718" s="208"/>
      <c r="F718" s="208"/>
      <c r="G718" s="208"/>
      <c r="H718" s="208"/>
      <c r="J718" s="114" t="str">
        <f t="shared" ref="J718:J736" si="330">IF(COUNTBLANK(Q718)&gt;0,"",CONCATENATE("Coordination Note: - ",P718,": Please refer to our exclusions relating to ",Q718))</f>
        <v>Coordination Note: - Customers in-house electrician: Please refer to our exclusions relating to Power cabling from MSSB to fans. Customers electrician to leave tails adjacent MSSB for Controlworks to connect.</v>
      </c>
      <c r="K718" s="114" t="str">
        <f>IF(COUNTBLANK(R718)&gt;0,"",CONCATENATE(R718," for ",N716))</f>
        <v/>
      </c>
      <c r="M718" s="117"/>
      <c r="N718" s="123" t="s">
        <v>114</v>
      </c>
      <c r="O718" s="66" t="s">
        <v>308</v>
      </c>
      <c r="P718" s="121" t="s">
        <v>593</v>
      </c>
      <c r="Q718" s="121" t="s">
        <v>614</v>
      </c>
      <c r="R718" s="121"/>
      <c r="S718" s="133">
        <f>M716</f>
        <v>0</v>
      </c>
      <c r="T718" s="120"/>
      <c r="U718" s="121" t="s">
        <v>292</v>
      </c>
      <c r="V718" s="133">
        <f t="shared" si="323"/>
        <v>0</v>
      </c>
      <c r="W718" s="133">
        <f>VLOOKUP(U718,Sheet1!$B$6:$C$45,2,FALSE)*V718</f>
        <v>0</v>
      </c>
      <c r="X718" s="141"/>
      <c r="Y718" s="122" t="s">
        <v>252</v>
      </c>
      <c r="Z718" s="146">
        <f>VLOOKUP(Takeoffs!Y718,Sheet1!$B$6:$C$124,2,FALSE)</f>
        <v>43.440000000000005</v>
      </c>
      <c r="AA718" s="146">
        <f t="shared" si="324"/>
        <v>0</v>
      </c>
      <c r="AB718" s="143">
        <f t="shared" si="325"/>
        <v>0</v>
      </c>
      <c r="AC718" s="133">
        <f t="shared" si="326"/>
        <v>0</v>
      </c>
      <c r="AD718" s="142">
        <v>1</v>
      </c>
      <c r="AE718" s="141"/>
      <c r="AF718" s="122" t="s">
        <v>268</v>
      </c>
      <c r="AG718" s="146">
        <f>VLOOKUP(Takeoffs!AF718,Sheet1!$B$6:$C$124,2,FALSE)</f>
        <v>1.02</v>
      </c>
      <c r="AH718" s="146">
        <f t="shared" si="327"/>
        <v>0</v>
      </c>
      <c r="AI718" s="143">
        <f t="shared" si="328"/>
        <v>0</v>
      </c>
      <c r="AJ718" s="133">
        <f t="shared" si="329"/>
        <v>0</v>
      </c>
      <c r="AK718" s="142">
        <v>20</v>
      </c>
      <c r="AL718" s="141"/>
      <c r="AO718" s="286"/>
      <c r="AP718" s="284">
        <f t="shared" si="300"/>
        <v>0</v>
      </c>
      <c r="AQ718" s="281">
        <f t="shared" si="301"/>
        <v>0</v>
      </c>
      <c r="AR718" s="284">
        <f t="shared" si="302"/>
        <v>0</v>
      </c>
      <c r="AS718" s="281">
        <f t="shared" si="303"/>
        <v>0</v>
      </c>
      <c r="AT718" s="284">
        <f t="shared" si="304"/>
        <v>0</v>
      </c>
    </row>
    <row r="719" spans="1:97" s="114" customFormat="1" ht="30.9" x14ac:dyDescent="0.8">
      <c r="A719" s="262">
        <f>ROW()</f>
        <v>719</v>
      </c>
      <c r="C719" s="208"/>
      <c r="D719" s="208"/>
      <c r="E719" s="208"/>
      <c r="F719" s="208"/>
      <c r="G719" s="208"/>
      <c r="H719" s="208"/>
      <c r="J719" s="114" t="str">
        <f t="shared" si="330"/>
        <v xml:space="preserve">Coordination Note: - Customers in-house electrician: Please refer to our exclusions relating to and local power isolator ( for fan). </v>
      </c>
      <c r="K719" s="114" t="str">
        <f>IF(COUNTBLANK(R719)&gt;0,"",CONCATENATE(R719," for ",N716))</f>
        <v/>
      </c>
      <c r="M719" s="117"/>
      <c r="N719" s="123" t="s">
        <v>115</v>
      </c>
      <c r="O719" s="66" t="s">
        <v>613</v>
      </c>
      <c r="P719" s="121" t="s">
        <v>593</v>
      </c>
      <c r="Q719" s="66" t="s">
        <v>615</v>
      </c>
      <c r="R719" s="121"/>
      <c r="S719" s="133">
        <f>M716</f>
        <v>0</v>
      </c>
      <c r="T719" s="120"/>
      <c r="U719" s="121" t="s">
        <v>292</v>
      </c>
      <c r="V719" s="133">
        <f t="shared" si="323"/>
        <v>0</v>
      </c>
      <c r="W719" s="133">
        <f>VLOOKUP(U719,Sheet1!$B$6:$C$45,2,FALSE)*V719</f>
        <v>0</v>
      </c>
      <c r="X719" s="141"/>
      <c r="Y719" s="121" t="s">
        <v>292</v>
      </c>
      <c r="Z719" s="146">
        <f>VLOOKUP(Takeoffs!Y719,Sheet1!$B$6:$C$124,2,FALSE)</f>
        <v>0</v>
      </c>
      <c r="AA719" s="146">
        <f t="shared" si="324"/>
        <v>0</v>
      </c>
      <c r="AB719" s="143">
        <f t="shared" si="325"/>
        <v>0</v>
      </c>
      <c r="AC719" s="133">
        <f t="shared" si="326"/>
        <v>0</v>
      </c>
      <c r="AD719" s="142">
        <v>1</v>
      </c>
      <c r="AE719" s="141"/>
      <c r="AF719" s="121" t="s">
        <v>292</v>
      </c>
      <c r="AG719" s="146">
        <f>VLOOKUP(Takeoffs!AF719,Sheet1!$B$6:$C$124,2,FALSE)</f>
        <v>0</v>
      </c>
      <c r="AH719" s="146">
        <f t="shared" si="327"/>
        <v>0</v>
      </c>
      <c r="AI719" s="143">
        <f t="shared" si="328"/>
        <v>0</v>
      </c>
      <c r="AJ719" s="133">
        <f t="shared" si="329"/>
        <v>0</v>
      </c>
      <c r="AK719" s="142">
        <f>T719</f>
        <v>0</v>
      </c>
      <c r="AL719" s="141"/>
      <c r="AO719" s="286"/>
      <c r="AP719" s="284">
        <f t="shared" si="300"/>
        <v>0</v>
      </c>
      <c r="AQ719" s="281">
        <f t="shared" si="301"/>
        <v>0</v>
      </c>
      <c r="AR719" s="284">
        <f t="shared" si="302"/>
        <v>0</v>
      </c>
      <c r="AS719" s="281">
        <f t="shared" si="303"/>
        <v>0</v>
      </c>
      <c r="AT719" s="284">
        <f t="shared" si="304"/>
        <v>0</v>
      </c>
    </row>
    <row r="720" spans="1:97" s="114" customFormat="1" ht="30.9" x14ac:dyDescent="0.8">
      <c r="A720" s="262">
        <f>ROW()</f>
        <v>720</v>
      </c>
      <c r="C720" s="208"/>
      <c r="D720" s="208"/>
      <c r="E720" s="208"/>
      <c r="F720" s="208"/>
      <c r="G720" s="208"/>
      <c r="H720" s="208"/>
      <c r="J720" s="114" t="str">
        <f t="shared" si="330"/>
        <v/>
      </c>
      <c r="K720" s="114" t="str">
        <f>IF(COUNTBLANK(R720)&gt;0,"",CONCATENATE(R720," for ",N716))</f>
        <v/>
      </c>
      <c r="M720" s="117"/>
      <c r="N720" s="123" t="s">
        <v>116</v>
      </c>
      <c r="O720" s="66" t="s">
        <v>596</v>
      </c>
      <c r="P720" s="121"/>
      <c r="Q720" s="121"/>
      <c r="R720" s="121"/>
      <c r="S720" s="133">
        <f>M716</f>
        <v>0</v>
      </c>
      <c r="T720" s="120"/>
      <c r="U720" s="121" t="s">
        <v>292</v>
      </c>
      <c r="V720" s="133">
        <f t="shared" si="323"/>
        <v>0</v>
      </c>
      <c r="W720" s="133">
        <f>VLOOKUP(U720,Sheet1!$B$6:$C$45,2,FALSE)*V720</f>
        <v>0</v>
      </c>
      <c r="X720" s="141"/>
      <c r="Y720" s="121" t="s">
        <v>292</v>
      </c>
      <c r="Z720" s="146">
        <f>VLOOKUP(Takeoffs!Y720,Sheet1!$B$6:$C$124,2,FALSE)</f>
        <v>0</v>
      </c>
      <c r="AA720" s="146">
        <f t="shared" si="324"/>
        <v>0</v>
      </c>
      <c r="AB720" s="143">
        <f t="shared" si="325"/>
        <v>0</v>
      </c>
      <c r="AC720" s="133">
        <f t="shared" si="326"/>
        <v>0</v>
      </c>
      <c r="AD720" s="142">
        <v>1</v>
      </c>
      <c r="AE720" s="141"/>
      <c r="AF720" s="121" t="s">
        <v>292</v>
      </c>
      <c r="AG720" s="146">
        <f>VLOOKUP(Takeoffs!AF720,Sheet1!$B$6:$C$124,2,FALSE)</f>
        <v>0</v>
      </c>
      <c r="AH720" s="146">
        <f t="shared" si="327"/>
        <v>0</v>
      </c>
      <c r="AI720" s="143">
        <f t="shared" si="328"/>
        <v>0</v>
      </c>
      <c r="AJ720" s="133">
        <f t="shared" si="329"/>
        <v>0</v>
      </c>
      <c r="AK720" s="142">
        <f>T720</f>
        <v>0</v>
      </c>
      <c r="AL720" s="141"/>
      <c r="AO720" s="286"/>
      <c r="AP720" s="284">
        <f t="shared" si="300"/>
        <v>0</v>
      </c>
      <c r="AQ720" s="281">
        <f t="shared" si="301"/>
        <v>0</v>
      </c>
      <c r="AR720" s="284">
        <f t="shared" si="302"/>
        <v>0</v>
      </c>
      <c r="AS720" s="281">
        <f t="shared" si="303"/>
        <v>0</v>
      </c>
      <c r="AT720" s="284">
        <f t="shared" si="304"/>
        <v>0</v>
      </c>
    </row>
    <row r="721" spans="1:46" s="114" customFormat="1" ht="30.9" x14ac:dyDescent="0.8">
      <c r="A721" s="262">
        <f>ROW()</f>
        <v>721</v>
      </c>
      <c r="C721" s="208"/>
      <c r="D721" s="208"/>
      <c r="E721" s="208"/>
      <c r="F721" s="208"/>
      <c r="G721" s="208"/>
      <c r="H721" s="208"/>
      <c r="J721" s="114" t="str">
        <f t="shared" si="330"/>
        <v/>
      </c>
      <c r="K721" s="114" t="str">
        <f>IF(COUNTBLANK(R721)&gt;0,"",CONCATENATE(R721," for ",N716))</f>
        <v/>
      </c>
      <c r="M721" s="117"/>
      <c r="N721" s="123" t="s">
        <v>117</v>
      </c>
      <c r="O721" s="66" t="s">
        <v>597</v>
      </c>
      <c r="P721" s="121"/>
      <c r="Q721" s="121"/>
      <c r="R721" s="121"/>
      <c r="S721" s="133">
        <f>M716</f>
        <v>0</v>
      </c>
      <c r="T721" s="120"/>
      <c r="U721" s="121" t="s">
        <v>292</v>
      </c>
      <c r="V721" s="133">
        <f t="shared" si="323"/>
        <v>0</v>
      </c>
      <c r="W721" s="133">
        <f>VLOOKUP(U721,Sheet1!$B$6:$C$45,2,FALSE)*V721</f>
        <v>0</v>
      </c>
      <c r="X721" s="141"/>
      <c r="Y721" s="121" t="s">
        <v>292</v>
      </c>
      <c r="Z721" s="146">
        <f>VLOOKUP(Takeoffs!Y721,Sheet1!$B$6:$C$124,2,FALSE)</f>
        <v>0</v>
      </c>
      <c r="AA721" s="146">
        <f t="shared" si="324"/>
        <v>0</v>
      </c>
      <c r="AB721" s="143">
        <f t="shared" si="325"/>
        <v>0</v>
      </c>
      <c r="AC721" s="133">
        <f t="shared" si="326"/>
        <v>0</v>
      </c>
      <c r="AD721" s="142">
        <v>1</v>
      </c>
      <c r="AE721" s="141"/>
      <c r="AF721" s="122" t="s">
        <v>268</v>
      </c>
      <c r="AG721" s="146">
        <f>VLOOKUP(Takeoffs!AF721,Sheet1!$B$6:$C$124,2,FALSE)</f>
        <v>1.02</v>
      </c>
      <c r="AH721" s="146">
        <f t="shared" si="327"/>
        <v>0</v>
      </c>
      <c r="AI721" s="143">
        <f t="shared" si="328"/>
        <v>0</v>
      </c>
      <c r="AJ721" s="133">
        <f t="shared" si="329"/>
        <v>0</v>
      </c>
      <c r="AK721" s="142">
        <v>3</v>
      </c>
      <c r="AL721" s="141"/>
      <c r="AO721" s="286"/>
      <c r="AP721" s="284">
        <f t="shared" si="300"/>
        <v>0</v>
      </c>
      <c r="AQ721" s="281">
        <f t="shared" si="301"/>
        <v>0</v>
      </c>
      <c r="AR721" s="284">
        <f t="shared" si="302"/>
        <v>0</v>
      </c>
      <c r="AS721" s="281">
        <f t="shared" si="303"/>
        <v>0</v>
      </c>
      <c r="AT721" s="284">
        <f t="shared" si="304"/>
        <v>0</v>
      </c>
    </row>
    <row r="722" spans="1:46" s="114" customFormat="1" ht="30.9" x14ac:dyDescent="0.8">
      <c r="A722" s="262">
        <f>ROW()</f>
        <v>722</v>
      </c>
      <c r="C722" s="208"/>
      <c r="D722" s="208"/>
      <c r="E722" s="208"/>
      <c r="F722" s="208"/>
      <c r="G722" s="208"/>
      <c r="H722" s="208"/>
      <c r="J722" s="114" t="str">
        <f t="shared" si="330"/>
        <v/>
      </c>
      <c r="K722" s="114" t="str">
        <f>IF(COUNTBLANK(R722)&gt;0,"",CONCATENATE(R722," for ",N716))</f>
        <v/>
      </c>
      <c r="M722" s="117"/>
      <c r="N722" s="123" t="s">
        <v>118</v>
      </c>
      <c r="O722" s="66" t="s">
        <v>406</v>
      </c>
      <c r="P722" s="121"/>
      <c r="Q722" s="121"/>
      <c r="R722" s="121"/>
      <c r="S722" s="133">
        <f>M716</f>
        <v>0</v>
      </c>
      <c r="T722" s="120"/>
      <c r="U722" s="121" t="s">
        <v>292</v>
      </c>
      <c r="V722" s="133">
        <f t="shared" si="323"/>
        <v>0</v>
      </c>
      <c r="W722" s="133">
        <f>VLOOKUP(U722,Sheet1!$B$6:$C$45,2,FALSE)*V722</f>
        <v>0</v>
      </c>
      <c r="X722" s="141"/>
      <c r="Y722" s="121" t="s">
        <v>292</v>
      </c>
      <c r="Z722" s="146">
        <f>VLOOKUP(Takeoffs!Y722,Sheet1!$B$6:$C$124,2,FALSE)</f>
        <v>0</v>
      </c>
      <c r="AA722" s="146">
        <f t="shared" si="324"/>
        <v>0</v>
      </c>
      <c r="AB722" s="143">
        <f t="shared" si="325"/>
        <v>0</v>
      </c>
      <c r="AC722" s="133">
        <f t="shared" si="326"/>
        <v>0</v>
      </c>
      <c r="AD722" s="142">
        <v>1</v>
      </c>
      <c r="AE722" s="141"/>
      <c r="AF722" s="121" t="s">
        <v>292</v>
      </c>
      <c r="AG722" s="146">
        <f>VLOOKUP(Takeoffs!AF722,Sheet1!$B$6:$C$124,2,FALSE)</f>
        <v>0</v>
      </c>
      <c r="AH722" s="146">
        <f t="shared" si="327"/>
        <v>0</v>
      </c>
      <c r="AI722" s="143">
        <f t="shared" si="328"/>
        <v>0</v>
      </c>
      <c r="AJ722" s="133">
        <f t="shared" si="329"/>
        <v>0</v>
      </c>
      <c r="AK722" s="142">
        <f>T722</f>
        <v>0</v>
      </c>
      <c r="AL722" s="141"/>
      <c r="AO722" s="286"/>
      <c r="AP722" s="284">
        <f t="shared" si="300"/>
        <v>0</v>
      </c>
      <c r="AQ722" s="281">
        <f t="shared" si="301"/>
        <v>0</v>
      </c>
      <c r="AR722" s="284">
        <f t="shared" si="302"/>
        <v>0</v>
      </c>
      <c r="AS722" s="281">
        <f t="shared" si="303"/>
        <v>0</v>
      </c>
      <c r="AT722" s="284">
        <f t="shared" si="304"/>
        <v>0</v>
      </c>
    </row>
    <row r="723" spans="1:46" s="114" customFormat="1" ht="30.9" x14ac:dyDescent="0.8">
      <c r="A723" s="262">
        <f>ROW()</f>
        <v>723</v>
      </c>
      <c r="C723" s="208"/>
      <c r="D723" s="208"/>
      <c r="E723" s="208"/>
      <c r="F723" s="208"/>
      <c r="G723" s="208"/>
      <c r="H723" s="208"/>
      <c r="J723" s="114" t="str">
        <f t="shared" si="330"/>
        <v/>
      </c>
      <c r="K723" s="114" t="str">
        <f>IF(COUNTBLANK(R723)&gt;0,"",CONCATENATE(R723," for ",N716))</f>
        <v/>
      </c>
      <c r="N723" s="123" t="s">
        <v>119</v>
      </c>
      <c r="O723" s="66"/>
      <c r="P723" s="121"/>
      <c r="Q723" s="121"/>
      <c r="R723" s="121"/>
      <c r="S723" s="133">
        <f>M716</f>
        <v>0</v>
      </c>
      <c r="T723" s="120"/>
      <c r="U723" s="121" t="s">
        <v>292</v>
      </c>
      <c r="V723" s="133">
        <f t="shared" si="323"/>
        <v>0</v>
      </c>
      <c r="W723" s="133">
        <f>VLOOKUP(U723,Sheet1!$B$6:$C$45,2,FALSE)*V723</f>
        <v>0</v>
      </c>
      <c r="X723" s="141"/>
      <c r="Y723" s="121" t="s">
        <v>292</v>
      </c>
      <c r="Z723" s="146">
        <f>VLOOKUP(Takeoffs!Y723,Sheet1!$B$6:$C$124,2,FALSE)</f>
        <v>0</v>
      </c>
      <c r="AA723" s="146">
        <f t="shared" si="324"/>
        <v>0</v>
      </c>
      <c r="AB723" s="143">
        <f t="shared" si="325"/>
        <v>0</v>
      </c>
      <c r="AC723" s="133">
        <f t="shared" si="326"/>
        <v>0</v>
      </c>
      <c r="AD723" s="142">
        <v>1</v>
      </c>
      <c r="AE723" s="141"/>
      <c r="AF723" s="121" t="s">
        <v>292</v>
      </c>
      <c r="AG723" s="146">
        <f>VLOOKUP(Takeoffs!AF723,Sheet1!$B$6:$C$124,2,FALSE)</f>
        <v>0</v>
      </c>
      <c r="AH723" s="146">
        <f t="shared" si="327"/>
        <v>0</v>
      </c>
      <c r="AI723" s="143">
        <f t="shared" si="328"/>
        <v>0</v>
      </c>
      <c r="AJ723" s="133">
        <f t="shared" si="329"/>
        <v>0</v>
      </c>
      <c r="AK723" s="142">
        <f>T723</f>
        <v>0</v>
      </c>
      <c r="AL723" s="141"/>
      <c r="AO723" s="286"/>
      <c r="AP723" s="284">
        <f t="shared" si="300"/>
        <v>0</v>
      </c>
      <c r="AQ723" s="281">
        <f t="shared" si="301"/>
        <v>0</v>
      </c>
      <c r="AR723" s="284">
        <f t="shared" si="302"/>
        <v>0</v>
      </c>
      <c r="AS723" s="281">
        <f t="shared" si="303"/>
        <v>0</v>
      </c>
      <c r="AT723" s="284">
        <f t="shared" si="304"/>
        <v>0</v>
      </c>
    </row>
    <row r="724" spans="1:46" s="114" customFormat="1" ht="30.9" x14ac:dyDescent="0.8">
      <c r="A724" s="262">
        <f>ROW()</f>
        <v>724</v>
      </c>
      <c r="C724" s="208"/>
      <c r="D724" s="208"/>
      <c r="E724" s="208"/>
      <c r="F724" s="208"/>
      <c r="G724" s="208"/>
      <c r="H724" s="208"/>
      <c r="J724" s="114" t="str">
        <f t="shared" si="330"/>
        <v/>
      </c>
      <c r="K724" s="114" t="str">
        <f>IF(COUNTBLANK(R724)&gt;0,"",CONCATENATE(R724," for ",N716))</f>
        <v/>
      </c>
      <c r="N724" s="123" t="s">
        <v>120</v>
      </c>
      <c r="O724" s="66" t="s">
        <v>328</v>
      </c>
      <c r="P724" s="121"/>
      <c r="Q724" s="121"/>
      <c r="R724" s="121"/>
      <c r="S724" s="133">
        <f>M716</f>
        <v>0</v>
      </c>
      <c r="T724" s="120"/>
      <c r="U724" s="121" t="s">
        <v>364</v>
      </c>
      <c r="V724" s="133">
        <f t="shared" si="323"/>
        <v>0</v>
      </c>
      <c r="W724" s="133">
        <f>VLOOKUP(U724,Sheet1!$B$6:$C$45,2,FALSE)*V724</f>
        <v>0</v>
      </c>
      <c r="X724" s="141"/>
      <c r="Y724" s="121" t="s">
        <v>292</v>
      </c>
      <c r="Z724" s="146">
        <f>VLOOKUP(Takeoffs!Y724,Sheet1!$B$6:$C$124,2,FALSE)</f>
        <v>0</v>
      </c>
      <c r="AA724" s="146">
        <f t="shared" si="324"/>
        <v>0</v>
      </c>
      <c r="AB724" s="143">
        <f t="shared" si="325"/>
        <v>0</v>
      </c>
      <c r="AC724" s="133">
        <f t="shared" si="326"/>
        <v>0</v>
      </c>
      <c r="AD724" s="142">
        <v>1</v>
      </c>
      <c r="AE724" s="141"/>
      <c r="AF724" s="121" t="s">
        <v>292</v>
      </c>
      <c r="AG724" s="146">
        <f>VLOOKUP(Takeoffs!AF724,Sheet1!$B$6:$C$124,2,FALSE)</f>
        <v>0</v>
      </c>
      <c r="AH724" s="146">
        <f t="shared" si="327"/>
        <v>0</v>
      </c>
      <c r="AI724" s="143">
        <f t="shared" si="328"/>
        <v>0</v>
      </c>
      <c r="AJ724" s="133">
        <f t="shared" si="329"/>
        <v>0</v>
      </c>
      <c r="AK724" s="142">
        <f>T724</f>
        <v>0</v>
      </c>
      <c r="AL724" s="141"/>
      <c r="AO724" s="286"/>
      <c r="AP724" s="284">
        <f t="shared" ref="AP724:AP787" si="331">IF(AND(I724&gt;0, ISNUMBER(I724)),I724*P724,0)</f>
        <v>0</v>
      </c>
      <c r="AQ724" s="281">
        <f t="shared" ref="AQ724:AQ787" si="332">IF(AND(I724&gt;0, ISNUMBER(I724)),I724*W724*80,0)</f>
        <v>0</v>
      </c>
      <c r="AR724" s="284">
        <f t="shared" ref="AR724:AR787" si="333">IF(AND(I724&gt;0, ISNUMBER(I724)),I724*AA724,0)</f>
        <v>0</v>
      </c>
      <c r="AS724" s="281">
        <f t="shared" ref="AS724:AS787" si="334">IF(AND(I724&gt;0, ISNUMBER(I724)),I724*AH724,0)</f>
        <v>0</v>
      </c>
      <c r="AT724" s="284">
        <f t="shared" ref="AT724:AT787" si="335">IF(AND(I724&gt;0, ISNUMBER(I724)),I724*(AP724-(AQ724+AR724+AS724)),0)</f>
        <v>0</v>
      </c>
    </row>
    <row r="725" spans="1:46" s="114" customFormat="1" ht="30.9" x14ac:dyDescent="0.8">
      <c r="A725" s="262">
        <f>ROW()</f>
        <v>725</v>
      </c>
      <c r="C725" s="208"/>
      <c r="D725" s="208"/>
      <c r="E725" s="208"/>
      <c r="F725" s="208"/>
      <c r="G725" s="208"/>
      <c r="H725" s="208"/>
      <c r="J725" s="114" t="str">
        <f t="shared" si="330"/>
        <v/>
      </c>
      <c r="K725" s="114" t="str">
        <f>IF(COUNTBLANK(R725)&gt;0,"",CONCATENATE(R725," for ",N716))</f>
        <v/>
      </c>
      <c r="N725" s="123" t="s">
        <v>121</v>
      </c>
      <c r="O725" s="66"/>
      <c r="P725" s="121"/>
      <c r="Q725" s="121"/>
      <c r="R725" s="121"/>
      <c r="S725" s="133">
        <f>M716</f>
        <v>0</v>
      </c>
      <c r="T725" s="120"/>
      <c r="U725" s="121" t="s">
        <v>292</v>
      </c>
      <c r="V725" s="133">
        <f t="shared" si="323"/>
        <v>0</v>
      </c>
      <c r="W725" s="133">
        <f>VLOOKUP(U725,Sheet1!$B$6:$C$45,2,FALSE)*V725</f>
        <v>0</v>
      </c>
      <c r="X725" s="141"/>
      <c r="Y725" s="121" t="s">
        <v>292</v>
      </c>
      <c r="Z725" s="146">
        <f>VLOOKUP(Takeoffs!Y725,Sheet1!$B$6:$C$124,2,FALSE)</f>
        <v>0</v>
      </c>
      <c r="AA725" s="146">
        <f t="shared" si="324"/>
        <v>0</v>
      </c>
      <c r="AB725" s="143">
        <f t="shared" si="325"/>
        <v>0</v>
      </c>
      <c r="AC725" s="133">
        <f t="shared" si="326"/>
        <v>0</v>
      </c>
      <c r="AD725" s="142">
        <v>1</v>
      </c>
      <c r="AE725" s="141"/>
      <c r="AF725" s="121" t="s">
        <v>292</v>
      </c>
      <c r="AG725" s="146">
        <f>VLOOKUP(Takeoffs!AF725,Sheet1!$B$6:$C$124,2,FALSE)</f>
        <v>0</v>
      </c>
      <c r="AH725" s="146">
        <f t="shared" si="327"/>
        <v>0</v>
      </c>
      <c r="AI725" s="143">
        <f t="shared" si="328"/>
        <v>0</v>
      </c>
      <c r="AJ725" s="133">
        <f t="shared" si="329"/>
        <v>0</v>
      </c>
      <c r="AK725" s="142">
        <f>T725</f>
        <v>0</v>
      </c>
      <c r="AL725" s="141"/>
      <c r="AO725" s="286"/>
      <c r="AP725" s="284">
        <f t="shared" si="331"/>
        <v>0</v>
      </c>
      <c r="AQ725" s="281">
        <f t="shared" si="332"/>
        <v>0</v>
      </c>
      <c r="AR725" s="284">
        <f t="shared" si="333"/>
        <v>0</v>
      </c>
      <c r="AS725" s="281">
        <f t="shared" si="334"/>
        <v>0</v>
      </c>
      <c r="AT725" s="284">
        <f t="shared" si="335"/>
        <v>0</v>
      </c>
    </row>
    <row r="726" spans="1:46" s="114" customFormat="1" ht="30.9" x14ac:dyDescent="0.8">
      <c r="A726" s="262">
        <f>ROW()</f>
        <v>726</v>
      </c>
      <c r="C726" s="208"/>
      <c r="D726" s="208"/>
      <c r="E726" s="208"/>
      <c r="F726" s="208"/>
      <c r="G726" s="208"/>
      <c r="H726" s="208"/>
      <c r="J726" s="114" t="str">
        <f t="shared" si="330"/>
        <v/>
      </c>
      <c r="K726" s="114" t="str">
        <f>IF(COUNTBLANK(R726)&gt;0,"",CONCATENATE(R726," for ",N716))</f>
        <v/>
      </c>
      <c r="N726" s="123" t="s">
        <v>122</v>
      </c>
      <c r="O726" s="66"/>
      <c r="P726" s="121"/>
      <c r="Q726" s="121"/>
      <c r="R726" s="121"/>
      <c r="S726" s="133">
        <f>M716</f>
        <v>0</v>
      </c>
      <c r="T726" s="120"/>
      <c r="U726" s="121" t="s">
        <v>292</v>
      </c>
      <c r="V726" s="133">
        <f t="shared" si="323"/>
        <v>0</v>
      </c>
      <c r="W726" s="133">
        <f>VLOOKUP(U726,Sheet1!$B$6:$C$45,2,FALSE)*V726</f>
        <v>0</v>
      </c>
      <c r="X726" s="141"/>
      <c r="Y726" s="121" t="s">
        <v>292</v>
      </c>
      <c r="Z726" s="146">
        <f>VLOOKUP(Takeoffs!Y726,Sheet1!$B$6:$C$124,2,FALSE)</f>
        <v>0</v>
      </c>
      <c r="AA726" s="146">
        <f t="shared" si="324"/>
        <v>0</v>
      </c>
      <c r="AB726" s="143">
        <f t="shared" si="325"/>
        <v>0</v>
      </c>
      <c r="AC726" s="133">
        <f t="shared" si="326"/>
        <v>0</v>
      </c>
      <c r="AD726" s="142">
        <v>1</v>
      </c>
      <c r="AE726" s="141"/>
      <c r="AF726" s="121" t="s">
        <v>292</v>
      </c>
      <c r="AG726" s="146">
        <f>VLOOKUP(Takeoffs!AF726,Sheet1!$B$6:$C$124,2,FALSE)</f>
        <v>0</v>
      </c>
      <c r="AH726" s="146">
        <f t="shared" si="327"/>
        <v>0</v>
      </c>
      <c r="AI726" s="143">
        <f t="shared" si="328"/>
        <v>0</v>
      </c>
      <c r="AJ726" s="133">
        <f t="shared" si="329"/>
        <v>0</v>
      </c>
      <c r="AK726" s="142">
        <f>T726</f>
        <v>0</v>
      </c>
      <c r="AL726" s="141"/>
      <c r="AO726" s="286"/>
      <c r="AP726" s="284">
        <f t="shared" si="331"/>
        <v>0</v>
      </c>
      <c r="AQ726" s="281">
        <f t="shared" si="332"/>
        <v>0</v>
      </c>
      <c r="AR726" s="284">
        <f t="shared" si="333"/>
        <v>0</v>
      </c>
      <c r="AS726" s="281">
        <f t="shared" si="334"/>
        <v>0</v>
      </c>
      <c r="AT726" s="284">
        <f t="shared" si="335"/>
        <v>0</v>
      </c>
    </row>
    <row r="727" spans="1:46" s="114" customFormat="1" ht="30.9" x14ac:dyDescent="0.8">
      <c r="A727" s="262">
        <f>ROW()</f>
        <v>727</v>
      </c>
      <c r="C727" s="208"/>
      <c r="D727" s="208"/>
      <c r="E727" s="208"/>
      <c r="F727" s="208"/>
      <c r="G727" s="208"/>
      <c r="H727" s="208"/>
      <c r="J727" s="114" t="str">
        <f t="shared" si="330"/>
        <v/>
      </c>
      <c r="K727" s="114" t="str">
        <f>IF(COUNTBLANK(R727)&gt;0,"",CONCATENATE(R727," for ",N716))</f>
        <v/>
      </c>
      <c r="N727" s="123" t="s">
        <v>123</v>
      </c>
      <c r="O727" s="66" t="s">
        <v>589</v>
      </c>
      <c r="P727" s="121"/>
      <c r="Q727" s="121"/>
      <c r="R727" s="121"/>
      <c r="S727" s="133">
        <f>M716</f>
        <v>0</v>
      </c>
      <c r="T727" s="120"/>
      <c r="U727" s="121" t="s">
        <v>292</v>
      </c>
      <c r="V727" s="133">
        <f t="shared" si="323"/>
        <v>0</v>
      </c>
      <c r="W727" s="133">
        <f>VLOOKUP(U727,Sheet1!$B$6:$C$45,2,FALSE)*V727</f>
        <v>0</v>
      </c>
      <c r="X727" s="141"/>
      <c r="Y727" s="135" t="s">
        <v>588</v>
      </c>
      <c r="Z727" s="146">
        <f>VLOOKUP(Takeoffs!Y727,Sheet1!$B$6:$C$124,2,FALSE)</f>
        <v>96</v>
      </c>
      <c r="AA727" s="146">
        <f t="shared" si="324"/>
        <v>0</v>
      </c>
      <c r="AB727" s="143">
        <f t="shared" si="325"/>
        <v>0</v>
      </c>
      <c r="AC727" s="133">
        <f t="shared" si="326"/>
        <v>0</v>
      </c>
      <c r="AD727" s="142">
        <v>1</v>
      </c>
      <c r="AE727" s="141"/>
      <c r="AF727" s="121" t="s">
        <v>292</v>
      </c>
      <c r="AG727" s="146">
        <f>VLOOKUP(Takeoffs!AF727,Sheet1!$B$6:$C$124,2,FALSE)</f>
        <v>0</v>
      </c>
      <c r="AH727" s="146">
        <f t="shared" si="327"/>
        <v>0</v>
      </c>
      <c r="AI727" s="143">
        <f t="shared" si="328"/>
        <v>0</v>
      </c>
      <c r="AJ727" s="133">
        <f t="shared" si="329"/>
        <v>0</v>
      </c>
      <c r="AK727" s="142">
        <v>0</v>
      </c>
      <c r="AL727" s="141"/>
      <c r="AO727" s="286"/>
      <c r="AP727" s="284">
        <f t="shared" si="331"/>
        <v>0</v>
      </c>
      <c r="AQ727" s="281">
        <f t="shared" si="332"/>
        <v>0</v>
      </c>
      <c r="AR727" s="284">
        <f t="shared" si="333"/>
        <v>0</v>
      </c>
      <c r="AS727" s="281">
        <f t="shared" si="334"/>
        <v>0</v>
      </c>
      <c r="AT727" s="284">
        <f t="shared" si="335"/>
        <v>0</v>
      </c>
    </row>
    <row r="728" spans="1:46" s="114" customFormat="1" ht="30.9" x14ac:dyDescent="0.8">
      <c r="A728" s="262">
        <f>ROW()</f>
        <v>728</v>
      </c>
      <c r="C728" s="208"/>
      <c r="D728" s="208"/>
      <c r="E728" s="208"/>
      <c r="F728" s="208"/>
      <c r="G728" s="208"/>
      <c r="H728" s="208"/>
      <c r="J728" s="114" t="str">
        <f t="shared" si="330"/>
        <v/>
      </c>
      <c r="K728" s="114" t="str">
        <f>IF(COUNTBLANK(R728)&gt;0,"",CONCATENATE(R728," for ",N716))</f>
        <v/>
      </c>
      <c r="N728" s="123" t="s">
        <v>124</v>
      </c>
      <c r="O728" s="66" t="s">
        <v>140</v>
      </c>
      <c r="P728" s="121"/>
      <c r="Q728" s="121"/>
      <c r="R728" s="121"/>
      <c r="S728" s="133">
        <f>M716</f>
        <v>0</v>
      </c>
      <c r="T728" s="120"/>
      <c r="U728" s="121" t="s">
        <v>292</v>
      </c>
      <c r="V728" s="133">
        <f t="shared" si="323"/>
        <v>0</v>
      </c>
      <c r="W728" s="133">
        <f>VLOOKUP(U728,Sheet1!$B$6:$C$45,2,FALSE)*V728</f>
        <v>0</v>
      </c>
      <c r="X728" s="141"/>
      <c r="Y728" s="121" t="s">
        <v>292</v>
      </c>
      <c r="Z728" s="146">
        <f>VLOOKUP(Takeoffs!Y728,Sheet1!$B$6:$C$124,2,FALSE)</f>
        <v>0</v>
      </c>
      <c r="AA728" s="146">
        <f t="shared" si="324"/>
        <v>0</v>
      </c>
      <c r="AB728" s="143">
        <f t="shared" si="325"/>
        <v>0</v>
      </c>
      <c r="AC728" s="133">
        <f t="shared" si="326"/>
        <v>0</v>
      </c>
      <c r="AD728" s="142">
        <v>1</v>
      </c>
      <c r="AE728" s="141"/>
      <c r="AF728" s="152" t="s">
        <v>418</v>
      </c>
      <c r="AG728" s="146">
        <f>VLOOKUP(Takeoffs!AF728,Sheet1!$B$6:$C$124,2,FALSE)</f>
        <v>0.33600000000000002</v>
      </c>
      <c r="AH728" s="146">
        <f t="shared" si="327"/>
        <v>0</v>
      </c>
      <c r="AI728" s="143">
        <f t="shared" si="328"/>
        <v>0</v>
      </c>
      <c r="AJ728" s="133">
        <f t="shared" si="329"/>
        <v>0</v>
      </c>
      <c r="AK728" s="142">
        <v>1</v>
      </c>
      <c r="AL728" s="141"/>
      <c r="AO728" s="286"/>
      <c r="AP728" s="284">
        <f t="shared" si="331"/>
        <v>0</v>
      </c>
      <c r="AQ728" s="281">
        <f t="shared" si="332"/>
        <v>0</v>
      </c>
      <c r="AR728" s="284">
        <f t="shared" si="333"/>
        <v>0</v>
      </c>
      <c r="AS728" s="281">
        <f t="shared" si="334"/>
        <v>0</v>
      </c>
      <c r="AT728" s="284">
        <f t="shared" si="335"/>
        <v>0</v>
      </c>
    </row>
    <row r="729" spans="1:46" s="114" customFormat="1" ht="30.9" x14ac:dyDescent="0.8">
      <c r="A729" s="262">
        <f>ROW()</f>
        <v>729</v>
      </c>
      <c r="C729" s="208"/>
      <c r="D729" s="208"/>
      <c r="E729" s="208"/>
      <c r="F729" s="208"/>
      <c r="G729" s="208"/>
      <c r="H729" s="208"/>
      <c r="J729" s="114" t="str">
        <f t="shared" si="330"/>
        <v/>
      </c>
      <c r="K729" s="114" t="str">
        <f>IF(COUNTBLANK(R729)&gt;0,"",CONCATENATE(R729," for ",N716))</f>
        <v/>
      </c>
      <c r="N729" s="123" t="s">
        <v>125</v>
      </c>
      <c r="O729" s="66" t="s">
        <v>312</v>
      </c>
      <c r="P729" s="121"/>
      <c r="Q729" s="121"/>
      <c r="R729" s="121"/>
      <c r="S729" s="133">
        <f>M716</f>
        <v>0</v>
      </c>
      <c r="T729" s="120"/>
      <c r="U729" s="121" t="s">
        <v>232</v>
      </c>
      <c r="V729" s="133">
        <f t="shared" si="323"/>
        <v>0</v>
      </c>
      <c r="W729" s="133">
        <f>VLOOKUP(U729,Sheet1!$B$6:$C$45,2,FALSE)*V729</f>
        <v>0</v>
      </c>
      <c r="X729" s="141"/>
      <c r="Y729" s="122" t="s">
        <v>1345</v>
      </c>
      <c r="Z729" s="146">
        <f>VLOOKUP(Takeoffs!Y729,Sheet1!$B$6:$C$124,2,FALSE)</f>
        <v>109.25999999999999</v>
      </c>
      <c r="AA729" s="146">
        <f t="shared" si="324"/>
        <v>0</v>
      </c>
      <c r="AB729" s="143">
        <f t="shared" si="325"/>
        <v>0</v>
      </c>
      <c r="AC729" s="133">
        <f t="shared" si="326"/>
        <v>0</v>
      </c>
      <c r="AD729" s="142">
        <v>1</v>
      </c>
      <c r="AE729" s="141"/>
      <c r="AF729" s="121" t="s">
        <v>292</v>
      </c>
      <c r="AG729" s="146">
        <f>VLOOKUP(Takeoffs!AF729,Sheet1!$B$6:$C$124,2,FALSE)</f>
        <v>0</v>
      </c>
      <c r="AH729" s="146">
        <f t="shared" si="327"/>
        <v>0</v>
      </c>
      <c r="AI729" s="143">
        <f t="shared" si="328"/>
        <v>0</v>
      </c>
      <c r="AJ729" s="133">
        <f t="shared" si="329"/>
        <v>0</v>
      </c>
      <c r="AK729" s="142">
        <f t="shared" ref="AK729:AK736" si="336">T729</f>
        <v>0</v>
      </c>
      <c r="AL729" s="141"/>
      <c r="AO729" s="286"/>
      <c r="AP729" s="284">
        <f t="shared" si="331"/>
        <v>0</v>
      </c>
      <c r="AQ729" s="281">
        <f t="shared" si="332"/>
        <v>0</v>
      </c>
      <c r="AR729" s="284">
        <f t="shared" si="333"/>
        <v>0</v>
      </c>
      <c r="AS729" s="281">
        <f t="shared" si="334"/>
        <v>0</v>
      </c>
      <c r="AT729" s="284">
        <f t="shared" si="335"/>
        <v>0</v>
      </c>
    </row>
    <row r="730" spans="1:46" s="114" customFormat="1" ht="30.9" x14ac:dyDescent="0.8">
      <c r="A730" s="262">
        <f>ROW()</f>
        <v>730</v>
      </c>
      <c r="C730" s="208"/>
      <c r="D730" s="208"/>
      <c r="E730" s="208"/>
      <c r="F730" s="208"/>
      <c r="G730" s="208"/>
      <c r="H730" s="208"/>
      <c r="J730" s="114" t="str">
        <f t="shared" si="330"/>
        <v>Coordination Note: - fire trade: Please refer to our exclusions relating to fire cabling from FIP.</v>
      </c>
      <c r="K730" s="114" t="str">
        <f>IF(COUNTBLANK(R730)&gt;0,"",CONCATENATE(R730," for ",N716))</f>
        <v/>
      </c>
      <c r="N730" s="123" t="s">
        <v>126</v>
      </c>
      <c r="O730" s="66" t="s">
        <v>345</v>
      </c>
      <c r="P730" s="121" t="s">
        <v>616</v>
      </c>
      <c r="Q730" s="121" t="s">
        <v>384</v>
      </c>
      <c r="R730" s="121"/>
      <c r="S730" s="133">
        <f>M716</f>
        <v>0</v>
      </c>
      <c r="T730" s="120"/>
      <c r="U730" s="121" t="s">
        <v>292</v>
      </c>
      <c r="V730" s="133">
        <f t="shared" si="323"/>
        <v>0</v>
      </c>
      <c r="W730" s="133">
        <f>VLOOKUP(U730,Sheet1!$B$6:$C$45,2,FALSE)*V730</f>
        <v>0</v>
      </c>
      <c r="X730" s="141"/>
      <c r="Y730" s="122" t="s">
        <v>326</v>
      </c>
      <c r="Z730" s="146">
        <f>VLOOKUP(Takeoffs!Y730,Sheet1!$B$6:$C$124,2,FALSE)</f>
        <v>29.04</v>
      </c>
      <c r="AA730" s="146">
        <f t="shared" si="324"/>
        <v>0</v>
      </c>
      <c r="AB730" s="143">
        <f t="shared" si="325"/>
        <v>0</v>
      </c>
      <c r="AC730" s="133">
        <f t="shared" si="326"/>
        <v>0</v>
      </c>
      <c r="AD730" s="142">
        <v>1</v>
      </c>
      <c r="AE730" s="141"/>
      <c r="AF730" s="121" t="s">
        <v>292</v>
      </c>
      <c r="AG730" s="146">
        <f>VLOOKUP(Takeoffs!AF730,Sheet1!$B$6:$C$124,2,FALSE)</f>
        <v>0</v>
      </c>
      <c r="AH730" s="146">
        <f t="shared" si="327"/>
        <v>0</v>
      </c>
      <c r="AI730" s="143">
        <f t="shared" si="328"/>
        <v>0</v>
      </c>
      <c r="AJ730" s="133">
        <f t="shared" si="329"/>
        <v>0</v>
      </c>
      <c r="AK730" s="142">
        <f t="shared" si="336"/>
        <v>0</v>
      </c>
      <c r="AL730" s="141"/>
      <c r="AO730" s="286"/>
      <c r="AP730" s="284">
        <f t="shared" si="331"/>
        <v>0</v>
      </c>
      <c r="AQ730" s="281">
        <f t="shared" si="332"/>
        <v>0</v>
      </c>
      <c r="AR730" s="284">
        <f t="shared" si="333"/>
        <v>0</v>
      </c>
      <c r="AS730" s="281">
        <f t="shared" si="334"/>
        <v>0</v>
      </c>
      <c r="AT730" s="284">
        <f t="shared" si="335"/>
        <v>0</v>
      </c>
    </row>
    <row r="731" spans="1:46" s="114" customFormat="1" ht="30.9" x14ac:dyDescent="0.8">
      <c r="A731" s="262">
        <f>ROW()</f>
        <v>731</v>
      </c>
      <c r="C731" s="208"/>
      <c r="D731" s="208"/>
      <c r="E731" s="208"/>
      <c r="F731" s="208"/>
      <c r="G731" s="208"/>
      <c r="H731" s="208"/>
      <c r="J731" s="114" t="str">
        <f t="shared" si="330"/>
        <v/>
      </c>
      <c r="K731" s="114" t="str">
        <f>IF(COUNTBLANK(R731)&gt;0,"",CONCATENATE(R731," for ",N716))</f>
        <v>run and fault lights for DOL fan with fire shutdown - from MSSB power supply and timeclock control ( field wiring outside MSSB by customer)</v>
      </c>
      <c r="N731" s="123" t="s">
        <v>127</v>
      </c>
      <c r="O731" s="66" t="s">
        <v>337</v>
      </c>
      <c r="P731" s="121"/>
      <c r="Q731" s="121"/>
      <c r="R731" s="121" t="s">
        <v>331</v>
      </c>
      <c r="S731" s="133">
        <f>M716</f>
        <v>0</v>
      </c>
      <c r="T731" s="120"/>
      <c r="U731" s="121" t="s">
        <v>292</v>
      </c>
      <c r="V731" s="133">
        <f t="shared" si="323"/>
        <v>0</v>
      </c>
      <c r="W731" s="133">
        <f>VLOOKUP(U731,Sheet1!$B$6:$C$45,2,FALSE)*V731</f>
        <v>0</v>
      </c>
      <c r="X731" s="141"/>
      <c r="Y731" s="122" t="s">
        <v>280</v>
      </c>
      <c r="Z731" s="146">
        <f>VLOOKUP(Takeoffs!Y731,Sheet1!$B$6:$C$124,2,FALSE)</f>
        <v>19.2</v>
      </c>
      <c r="AA731" s="146">
        <f t="shared" si="324"/>
        <v>0</v>
      </c>
      <c r="AB731" s="143">
        <f t="shared" si="325"/>
        <v>0</v>
      </c>
      <c r="AC731" s="133">
        <f t="shared" si="326"/>
        <v>0</v>
      </c>
      <c r="AD731" s="142">
        <v>2</v>
      </c>
      <c r="AE731" s="141"/>
      <c r="AF731" s="121" t="s">
        <v>292</v>
      </c>
      <c r="AG731" s="146">
        <f>VLOOKUP(Takeoffs!AF731,Sheet1!$B$6:$C$124,2,FALSE)</f>
        <v>0</v>
      </c>
      <c r="AH731" s="146">
        <f t="shared" si="327"/>
        <v>0</v>
      </c>
      <c r="AI731" s="143">
        <f t="shared" si="328"/>
        <v>0</v>
      </c>
      <c r="AJ731" s="133">
        <f t="shared" si="329"/>
        <v>0</v>
      </c>
      <c r="AK731" s="142">
        <f t="shared" si="336"/>
        <v>0</v>
      </c>
      <c r="AL731" s="141"/>
      <c r="AO731" s="286"/>
      <c r="AP731" s="284">
        <f t="shared" si="331"/>
        <v>0</v>
      </c>
      <c r="AQ731" s="281">
        <f t="shared" si="332"/>
        <v>0</v>
      </c>
      <c r="AR731" s="284">
        <f t="shared" si="333"/>
        <v>0</v>
      </c>
      <c r="AS731" s="281">
        <f t="shared" si="334"/>
        <v>0</v>
      </c>
      <c r="AT731" s="284">
        <f t="shared" si="335"/>
        <v>0</v>
      </c>
    </row>
    <row r="732" spans="1:46" s="114" customFormat="1" ht="30.9" x14ac:dyDescent="0.8">
      <c r="A732" s="262">
        <f>ROW()</f>
        <v>732</v>
      </c>
      <c r="C732" s="208"/>
      <c r="D732" s="208"/>
      <c r="E732" s="208"/>
      <c r="F732" s="208"/>
      <c r="G732" s="208"/>
      <c r="H732" s="208"/>
      <c r="J732" s="114" t="str">
        <f t="shared" si="330"/>
        <v/>
      </c>
      <c r="K732" s="114" t="str">
        <f>IF(COUNTBLANK(R732)&gt;0,"",CONCATENATE(R732," for ",N716))</f>
        <v/>
      </c>
      <c r="N732" s="123" t="s">
        <v>128</v>
      </c>
      <c r="O732" s="66" t="s">
        <v>499</v>
      </c>
      <c r="P732" s="121">
        <v>0</v>
      </c>
      <c r="Q732" s="121"/>
      <c r="R732" s="121"/>
      <c r="S732" s="133">
        <f>M716</f>
        <v>0</v>
      </c>
      <c r="T732" s="120"/>
      <c r="U732" s="121" t="s">
        <v>292</v>
      </c>
      <c r="V732" s="133">
        <f t="shared" si="323"/>
        <v>0</v>
      </c>
      <c r="W732" s="133">
        <f>VLOOKUP(U732,Sheet1!$B$6:$C$45,2,FALSE)*V732</f>
        <v>0</v>
      </c>
      <c r="X732" s="141"/>
      <c r="Y732" s="135" t="s">
        <v>422</v>
      </c>
      <c r="Z732" s="146">
        <f>VLOOKUP(Takeoffs!Y732,Sheet1!$B$6:$C$124,2,FALSE)</f>
        <v>23.4</v>
      </c>
      <c r="AA732" s="146">
        <f t="shared" si="324"/>
        <v>0</v>
      </c>
      <c r="AB732" s="143">
        <f t="shared" si="325"/>
        <v>0</v>
      </c>
      <c r="AC732" s="133">
        <f t="shared" si="326"/>
        <v>0</v>
      </c>
      <c r="AD732" s="142">
        <v>1</v>
      </c>
      <c r="AE732" s="141"/>
      <c r="AF732" s="121" t="s">
        <v>292</v>
      </c>
      <c r="AG732" s="146">
        <f>VLOOKUP(Takeoffs!AF732,Sheet1!$B$6:$C$124,2,FALSE)</f>
        <v>0</v>
      </c>
      <c r="AH732" s="146">
        <f t="shared" si="327"/>
        <v>0</v>
      </c>
      <c r="AI732" s="143">
        <f t="shared" si="328"/>
        <v>0</v>
      </c>
      <c r="AJ732" s="133">
        <f t="shared" si="329"/>
        <v>0</v>
      </c>
      <c r="AK732" s="142">
        <f t="shared" si="336"/>
        <v>0</v>
      </c>
      <c r="AL732" s="141"/>
      <c r="AO732" s="286"/>
      <c r="AP732" s="284">
        <f t="shared" si="331"/>
        <v>0</v>
      </c>
      <c r="AQ732" s="281">
        <f t="shared" si="332"/>
        <v>0</v>
      </c>
      <c r="AR732" s="284">
        <f t="shared" si="333"/>
        <v>0</v>
      </c>
      <c r="AS732" s="281">
        <f t="shared" si="334"/>
        <v>0</v>
      </c>
      <c r="AT732" s="284">
        <f t="shared" si="335"/>
        <v>0</v>
      </c>
    </row>
    <row r="733" spans="1:46" s="114" customFormat="1" ht="30.9" x14ac:dyDescent="0.8">
      <c r="A733" s="262">
        <f>ROW()</f>
        <v>733</v>
      </c>
      <c r="C733" s="208"/>
      <c r="D733" s="208"/>
      <c r="E733" s="208"/>
      <c r="F733" s="208"/>
      <c r="G733" s="208"/>
      <c r="H733" s="208"/>
      <c r="J733" s="114" t="str">
        <f t="shared" si="330"/>
        <v/>
      </c>
      <c r="K733" s="114" t="str">
        <f>IF(COUNTBLANK(R733)&gt;0,"",CONCATENATE(R733," for ",N716))</f>
        <v>Auto/Off/On switch for DOL fan with fire shutdown - from MSSB power supply and timeclock control ( field wiring outside MSSB by customer)</v>
      </c>
      <c r="N733" s="123" t="s">
        <v>129</v>
      </c>
      <c r="O733" s="66" t="s">
        <v>329</v>
      </c>
      <c r="P733" s="121"/>
      <c r="Q733" s="121"/>
      <c r="R733" s="121" t="s">
        <v>304</v>
      </c>
      <c r="S733" s="133">
        <f>M716</f>
        <v>0</v>
      </c>
      <c r="T733" s="120"/>
      <c r="U733" s="121" t="s">
        <v>292</v>
      </c>
      <c r="V733" s="133">
        <f t="shared" si="323"/>
        <v>0</v>
      </c>
      <c r="W733" s="133">
        <f>VLOOKUP(U733,Sheet1!$B$6:$C$45,2,FALSE)*V733</f>
        <v>0</v>
      </c>
      <c r="X733" s="141"/>
      <c r="Y733" s="122" t="s">
        <v>277</v>
      </c>
      <c r="Z733" s="146">
        <f>VLOOKUP(Takeoffs!Y733,Sheet1!$B$6:$C$124,2,FALSE)</f>
        <v>69.540000000000006</v>
      </c>
      <c r="AA733" s="146">
        <f t="shared" si="324"/>
        <v>0</v>
      </c>
      <c r="AB733" s="143">
        <f t="shared" si="325"/>
        <v>0</v>
      </c>
      <c r="AC733" s="133">
        <f t="shared" si="326"/>
        <v>0</v>
      </c>
      <c r="AD733" s="142">
        <v>1</v>
      </c>
      <c r="AE733" s="141"/>
      <c r="AF733" s="121" t="s">
        <v>292</v>
      </c>
      <c r="AG733" s="146">
        <f>VLOOKUP(Takeoffs!AF733,Sheet1!$B$6:$C$124,2,FALSE)</f>
        <v>0</v>
      </c>
      <c r="AH733" s="146">
        <f t="shared" si="327"/>
        <v>0</v>
      </c>
      <c r="AI733" s="143">
        <f t="shared" si="328"/>
        <v>0</v>
      </c>
      <c r="AJ733" s="133">
        <f t="shared" si="329"/>
        <v>0</v>
      </c>
      <c r="AK733" s="142">
        <f t="shared" si="336"/>
        <v>0</v>
      </c>
      <c r="AL733" s="141"/>
      <c r="AO733" s="286"/>
      <c r="AP733" s="284">
        <f t="shared" si="331"/>
        <v>0</v>
      </c>
      <c r="AQ733" s="281">
        <f t="shared" si="332"/>
        <v>0</v>
      </c>
      <c r="AR733" s="284">
        <f t="shared" si="333"/>
        <v>0</v>
      </c>
      <c r="AS733" s="281">
        <f t="shared" si="334"/>
        <v>0</v>
      </c>
      <c r="AT733" s="284">
        <f t="shared" si="335"/>
        <v>0</v>
      </c>
    </row>
    <row r="734" spans="1:46" s="114" customFormat="1" ht="30.9" x14ac:dyDescent="0.8">
      <c r="A734" s="262">
        <f>ROW()</f>
        <v>734</v>
      </c>
      <c r="C734" s="208"/>
      <c r="D734" s="208"/>
      <c r="E734" s="208"/>
      <c r="F734" s="208"/>
      <c r="G734" s="208"/>
      <c r="H734" s="208"/>
      <c r="J734" s="114" t="str">
        <f t="shared" si="330"/>
        <v/>
      </c>
      <c r="K734" s="114" t="str">
        <f>IF(COUNTBLANK(R734)&gt;0,"",CONCATENATE(R734," for ",N716))</f>
        <v/>
      </c>
      <c r="N734" s="123" t="s">
        <v>130</v>
      </c>
      <c r="O734" s="66"/>
      <c r="P734" s="121"/>
      <c r="Q734" s="121"/>
      <c r="R734" s="121"/>
      <c r="S734" s="133">
        <f>M716</f>
        <v>0</v>
      </c>
      <c r="T734" s="120"/>
      <c r="U734" s="121" t="s">
        <v>292</v>
      </c>
      <c r="V734" s="133">
        <f t="shared" si="323"/>
        <v>0</v>
      </c>
      <c r="W734" s="133">
        <f>VLOOKUP(U734,Sheet1!$B$6:$C$45,2,FALSE)*V734</f>
        <v>0</v>
      </c>
      <c r="X734" s="141"/>
      <c r="Y734" s="121" t="s">
        <v>292</v>
      </c>
      <c r="Z734" s="146">
        <f>VLOOKUP(Takeoffs!Y734,Sheet1!$B$6:$C$124,2,FALSE)</f>
        <v>0</v>
      </c>
      <c r="AA734" s="146">
        <f t="shared" si="324"/>
        <v>0</v>
      </c>
      <c r="AB734" s="143">
        <f t="shared" si="325"/>
        <v>0</v>
      </c>
      <c r="AC734" s="133">
        <f t="shared" si="326"/>
        <v>0</v>
      </c>
      <c r="AD734" s="142">
        <v>1</v>
      </c>
      <c r="AE734" s="141"/>
      <c r="AF734" s="121" t="s">
        <v>292</v>
      </c>
      <c r="AG734" s="146">
        <f>VLOOKUP(Takeoffs!AF734,Sheet1!$B$6:$C$124,2,FALSE)</f>
        <v>0</v>
      </c>
      <c r="AH734" s="146">
        <f t="shared" si="327"/>
        <v>0</v>
      </c>
      <c r="AI734" s="143">
        <f t="shared" si="328"/>
        <v>0</v>
      </c>
      <c r="AJ734" s="133">
        <f t="shared" si="329"/>
        <v>0</v>
      </c>
      <c r="AK734" s="142">
        <f t="shared" si="336"/>
        <v>0</v>
      </c>
      <c r="AL734" s="141"/>
      <c r="AO734" s="286"/>
      <c r="AP734" s="284">
        <f t="shared" si="331"/>
        <v>0</v>
      </c>
      <c r="AQ734" s="281">
        <f t="shared" si="332"/>
        <v>0</v>
      </c>
      <c r="AR734" s="284">
        <f t="shared" si="333"/>
        <v>0</v>
      </c>
      <c r="AS734" s="281">
        <f t="shared" si="334"/>
        <v>0</v>
      </c>
      <c r="AT734" s="284">
        <f t="shared" si="335"/>
        <v>0</v>
      </c>
    </row>
    <row r="735" spans="1:46" s="114" customFormat="1" ht="30.9" x14ac:dyDescent="0.8">
      <c r="A735" s="262">
        <f>ROW()</f>
        <v>735</v>
      </c>
      <c r="C735" s="208"/>
      <c r="D735" s="208"/>
      <c r="E735" s="208"/>
      <c r="F735" s="208"/>
      <c r="G735" s="208"/>
      <c r="H735" s="208"/>
      <c r="J735" s="114" t="str">
        <f t="shared" si="330"/>
        <v/>
      </c>
      <c r="K735" s="114" t="str">
        <f>IF(COUNTBLANK(R735)&gt;0,"",CONCATENATE(R735," for ",N716))</f>
        <v/>
      </c>
      <c r="N735" s="123" t="s">
        <v>131</v>
      </c>
      <c r="O735" s="66" t="s">
        <v>407</v>
      </c>
      <c r="P735" s="121"/>
      <c r="Q735" s="121"/>
      <c r="R735" s="121"/>
      <c r="S735" s="133">
        <f>M716</f>
        <v>0</v>
      </c>
      <c r="T735" s="120"/>
      <c r="U735" s="121" t="s">
        <v>292</v>
      </c>
      <c r="V735" s="133">
        <f t="shared" si="323"/>
        <v>0</v>
      </c>
      <c r="W735" s="133">
        <f>VLOOKUP(U735,Sheet1!$B$6:$C$45,2,FALSE)*V735</f>
        <v>0</v>
      </c>
      <c r="X735" s="141"/>
      <c r="Y735" s="121" t="s">
        <v>274</v>
      </c>
      <c r="Z735" s="146">
        <f>VLOOKUP(Takeoffs!Y735,Sheet1!$B$6:$C$124,2,FALSE)</f>
        <v>360</v>
      </c>
      <c r="AA735" s="146">
        <f t="shared" si="324"/>
        <v>0</v>
      </c>
      <c r="AB735" s="143">
        <f t="shared" si="325"/>
        <v>0</v>
      </c>
      <c r="AC735" s="133">
        <f t="shared" si="326"/>
        <v>0</v>
      </c>
      <c r="AD735" s="142">
        <v>1</v>
      </c>
      <c r="AE735" s="141"/>
      <c r="AF735" s="121" t="s">
        <v>292</v>
      </c>
      <c r="AG735" s="146">
        <f>VLOOKUP(Takeoffs!AF735,Sheet1!$B$6:$C$124,2,FALSE)</f>
        <v>0</v>
      </c>
      <c r="AH735" s="146">
        <f t="shared" si="327"/>
        <v>0</v>
      </c>
      <c r="AI735" s="143">
        <f t="shared" si="328"/>
        <v>0</v>
      </c>
      <c r="AJ735" s="133">
        <f t="shared" si="329"/>
        <v>0</v>
      </c>
      <c r="AK735" s="142">
        <f t="shared" si="336"/>
        <v>0</v>
      </c>
      <c r="AL735" s="141"/>
      <c r="AO735" s="286"/>
      <c r="AP735" s="284">
        <f t="shared" si="331"/>
        <v>0</v>
      </c>
      <c r="AQ735" s="281">
        <f t="shared" si="332"/>
        <v>0</v>
      </c>
      <c r="AR735" s="284">
        <f t="shared" si="333"/>
        <v>0</v>
      </c>
      <c r="AS735" s="281">
        <f t="shared" si="334"/>
        <v>0</v>
      </c>
      <c r="AT735" s="284">
        <f t="shared" si="335"/>
        <v>0</v>
      </c>
    </row>
    <row r="736" spans="1:46" s="114" customFormat="1" ht="30.9" x14ac:dyDescent="0.8">
      <c r="A736" s="262">
        <f>ROW()</f>
        <v>736</v>
      </c>
      <c r="C736" s="208"/>
      <c r="D736" s="208"/>
      <c r="E736" s="208"/>
      <c r="F736" s="208"/>
      <c r="G736" s="208"/>
      <c r="H736" s="208"/>
      <c r="J736" s="114" t="str">
        <f t="shared" si="330"/>
        <v/>
      </c>
      <c r="K736" s="114" t="str">
        <f>IF(COUNTBLANK(R736)&gt;0,"",CONCATENATE(R736," for ",N716))</f>
        <v/>
      </c>
      <c r="N736" s="123" t="s">
        <v>132</v>
      </c>
      <c r="O736" s="66" t="s">
        <v>408</v>
      </c>
      <c r="P736" s="121"/>
      <c r="Q736" s="121"/>
      <c r="R736" s="121"/>
      <c r="S736" s="133">
        <f>M716</f>
        <v>0</v>
      </c>
      <c r="T736" s="120"/>
      <c r="U736" s="121" t="s">
        <v>362</v>
      </c>
      <c r="V736" s="133">
        <f t="shared" si="323"/>
        <v>0</v>
      </c>
      <c r="W736" s="133">
        <f>VLOOKUP(U736,Sheet1!$B$6:$C$45,2,FALSE)*V736</f>
        <v>0</v>
      </c>
      <c r="X736" s="141"/>
      <c r="Y736" s="121" t="s">
        <v>292</v>
      </c>
      <c r="Z736" s="146">
        <f>VLOOKUP(Takeoffs!Y736,Sheet1!$B$6:$C$124,2,FALSE)</f>
        <v>0</v>
      </c>
      <c r="AA736" s="146">
        <f t="shared" si="324"/>
        <v>0</v>
      </c>
      <c r="AB736" s="143">
        <f t="shared" si="325"/>
        <v>0</v>
      </c>
      <c r="AC736" s="133">
        <f t="shared" si="326"/>
        <v>0</v>
      </c>
      <c r="AD736" s="142">
        <v>1</v>
      </c>
      <c r="AE736" s="141"/>
      <c r="AF736" s="121" t="s">
        <v>292</v>
      </c>
      <c r="AG736" s="146">
        <f>VLOOKUP(Takeoffs!AF736,Sheet1!$B$6:$C$124,2,FALSE)</f>
        <v>0</v>
      </c>
      <c r="AH736" s="146">
        <f t="shared" si="327"/>
        <v>0</v>
      </c>
      <c r="AI736" s="143">
        <f t="shared" si="328"/>
        <v>0</v>
      </c>
      <c r="AJ736" s="133">
        <f t="shared" si="329"/>
        <v>0</v>
      </c>
      <c r="AK736" s="142">
        <f t="shared" si="336"/>
        <v>0</v>
      </c>
      <c r="AL736" s="141"/>
      <c r="AO736" s="286"/>
      <c r="AP736" s="284">
        <f t="shared" si="331"/>
        <v>0</v>
      </c>
      <c r="AQ736" s="281">
        <f t="shared" si="332"/>
        <v>0</v>
      </c>
      <c r="AR736" s="284">
        <f t="shared" si="333"/>
        <v>0</v>
      </c>
      <c r="AS736" s="281">
        <f t="shared" si="334"/>
        <v>0</v>
      </c>
      <c r="AT736" s="284">
        <f t="shared" si="335"/>
        <v>0</v>
      </c>
    </row>
    <row r="737" spans="1:97" s="128" customFormat="1" ht="32.25" customHeight="1" thickBot="1" x14ac:dyDescent="0.85">
      <c r="A737" s="262">
        <f>ROW()</f>
        <v>737</v>
      </c>
      <c r="C737" s="212"/>
      <c r="D737" s="212"/>
      <c r="E737" s="212"/>
      <c r="F737" s="212"/>
      <c r="G737" s="212"/>
      <c r="H737" s="212"/>
      <c r="J737" s="128" t="s">
        <v>377</v>
      </c>
      <c r="L737" s="128" t="s">
        <v>378</v>
      </c>
      <c r="N737" s="129"/>
      <c r="O737" s="130" t="s">
        <v>357</v>
      </c>
      <c r="P737" s="155">
        <f>V737+AA737+AH737</f>
        <v>0</v>
      </c>
      <c r="Q737" s="155"/>
      <c r="R737" s="131"/>
      <c r="S737" s="130"/>
      <c r="T737" s="127"/>
      <c r="U737" s="126" t="s">
        <v>351</v>
      </c>
      <c r="V737" s="127">
        <f>W737*80</f>
        <v>0</v>
      </c>
      <c r="W737" s="147">
        <f>SUM(W716:W736)</f>
        <v>0</v>
      </c>
      <c r="X737" s="148"/>
      <c r="Y737" s="127" t="s">
        <v>352</v>
      </c>
      <c r="Z737" s="116"/>
      <c r="AA737" s="116">
        <f>SUM(AA716:AA736)</f>
        <v>0</v>
      </c>
      <c r="AB737" s="149"/>
      <c r="AC737" s="149"/>
      <c r="AD737" s="149"/>
      <c r="AE737" s="149"/>
      <c r="AF737" s="127" t="s">
        <v>356</v>
      </c>
      <c r="AG737" s="116"/>
      <c r="AH737" s="116">
        <f>SUM(AH716:AH736)</f>
        <v>0</v>
      </c>
      <c r="AI737" s="149"/>
      <c r="AJ737" s="149"/>
      <c r="AK737" s="149"/>
      <c r="AL737" s="149"/>
      <c r="AM737" s="150">
        <f>P737</f>
        <v>0</v>
      </c>
      <c r="AO737" s="286"/>
      <c r="AP737" s="284">
        <f t="shared" si="331"/>
        <v>0</v>
      </c>
      <c r="AQ737" s="281">
        <f t="shared" si="332"/>
        <v>0</v>
      </c>
      <c r="AR737" s="284">
        <f t="shared" si="333"/>
        <v>0</v>
      </c>
      <c r="AS737" s="281">
        <f t="shared" si="334"/>
        <v>0</v>
      </c>
      <c r="AT737" s="284">
        <f t="shared" si="335"/>
        <v>0</v>
      </c>
    </row>
    <row r="738" spans="1:97" s="234" customFormat="1" ht="312.45" thickBot="1" x14ac:dyDescent="1.25">
      <c r="A738" s="262">
        <f>ROW()</f>
        <v>738</v>
      </c>
      <c r="B738" s="234" t="s">
        <v>491</v>
      </c>
      <c r="C738" s="217" t="str">
        <f>N716</f>
        <v>DOL fan with fire shutdown - from MSSB power supply and timeclock control ( field wiring outside MSSB by customer)</v>
      </c>
      <c r="D738" s="260" t="str">
        <f>IF(B738="Shopping List",IF(ISNUMBER(SEARCH("MSSB",C738)),"MSSB",IF(ISNUMBER(SEARCH("local",C738)),"LOCAL","")))</f>
        <v>MSSB</v>
      </c>
      <c r="E738" s="238"/>
      <c r="F738" s="217"/>
      <c r="G738" s="217"/>
      <c r="H738" s="245"/>
      <c r="I738" s="270"/>
      <c r="J738" s="241" t="str">
        <f>CONCATENATE(O716," ",L716, " (",M716,") ",N716,".", IF(M716&gt;1," Each "," This "),"includes supply and install of ",O717,O718,O719,O720,O721,O722,O723,O724,O725,O726,O727,O728,O729,O730,O731,O732,O733,O734,O735,O736,J717,J718,J719,J720,J721,J722,J723,J724,J725,J726,J727,J728,J729,J730,J731,J732,J733,J734,J735,J736)</f>
        <v>Electrical power supply and controls ( Excluding BMS) to Zero (0) DOL fan with fire shutdown - from MSSB power supply and timeclock control ( field wiring outside MSSB by customer). This includes supply and install of power and controls. Power for system includes: CB, connections power cabling into MSSB, testing of customer installed power cabling for compliance with AS3000 ( including polarity, insulation resistance, earth continuity and fault loop impedence), Documented test results of final electrical systems and Form 16 certification. and local isolator. Controls for system includes: adjustable timeclock controller, controls cabling, contactors/relays, fire relay for interface with fire trade, run and fault lights, current switch for fan status, Auto/Off/On switch, trefolyte labelling, and commissioning/testing. Coordination Note: - Customers in-house electrician: Please refer to our exclusions relating to Power cabling from MSSB to fans. Customers electrician to leave tails adjacent MSSB for Controlworks to connect.Coordination Note: - Customers in-house electrician: Please refer to our exclusions relating to and local power isolator ( for fan). Coordination Note: - fire trade: Please refer to our exclusions relating to fire cabling from FIP.</v>
      </c>
      <c r="K738" s="248">
        <f>P737</f>
        <v>0</v>
      </c>
      <c r="L738" s="235" t="str">
        <f>CONCATENATE(Q717,Q718,Q719,Q720,Q721,Q722,Q723,Q724,Q725,Q726,Q727,Q728,Q729,Q730,Q731,Q732,Q733,Q734,Q735,Q736,)</f>
        <v>Power cabling from MSSB to fans. Customers electrician to leave tails adjacent MSSB for Controlworks to connect.and local power isolator ( for fan). fire cabling from FIP.</v>
      </c>
      <c r="M738" s="166" t="s">
        <v>367</v>
      </c>
      <c r="N738" s="160" t="str">
        <f>N716</f>
        <v>DOL fan with fire shutdown - from MSSB power supply and timeclock control ( field wiring outside MSSB by customer)</v>
      </c>
      <c r="O738" s="185" t="s">
        <v>365</v>
      </c>
      <c r="P738" s="203" t="e">
        <f>P737/M716</f>
        <v>#DIV/0!</v>
      </c>
      <c r="Q738" s="195"/>
      <c r="R738" s="188"/>
      <c r="S738" s="160"/>
      <c r="T738" s="161"/>
      <c r="U738" s="503" t="s">
        <v>366</v>
      </c>
      <c r="V738" s="503"/>
      <c r="W738" s="162" t="e">
        <f>W737/M716</f>
        <v>#DIV/0!</v>
      </c>
      <c r="X738" s="163"/>
      <c r="Y738" s="501" t="s">
        <v>365</v>
      </c>
      <c r="Z738" s="501"/>
      <c r="AA738" s="164" t="e">
        <f>AA737/M716</f>
        <v>#DIV/0!</v>
      </c>
      <c r="AB738" s="161"/>
      <c r="AC738" s="161"/>
      <c r="AD738" s="161"/>
      <c r="AE738" s="161"/>
      <c r="AF738" s="501" t="s">
        <v>365</v>
      </c>
      <c r="AG738" s="501"/>
      <c r="AH738" s="164" t="e">
        <f>AH737/M716</f>
        <v>#DIV/0!</v>
      </c>
      <c r="AI738" s="161"/>
      <c r="AJ738" s="161"/>
      <c r="AK738" s="161"/>
      <c r="AL738" s="247"/>
      <c r="AM738" s="257"/>
      <c r="AN738" s="230">
        <f>K738*1.25</f>
        <v>0</v>
      </c>
      <c r="AO738" s="286"/>
      <c r="AP738" s="284">
        <f t="shared" si="331"/>
        <v>0</v>
      </c>
      <c r="AQ738" s="281">
        <f t="shared" si="332"/>
        <v>0</v>
      </c>
      <c r="AR738" s="284">
        <f t="shared" si="333"/>
        <v>0</v>
      </c>
      <c r="AS738" s="281">
        <f t="shared" si="334"/>
        <v>0</v>
      </c>
      <c r="AT738" s="284">
        <f t="shared" si="335"/>
        <v>0</v>
      </c>
      <c r="AU738" s="117"/>
      <c r="AV738" s="117"/>
      <c r="AW738" s="117"/>
      <c r="AX738" s="117"/>
      <c r="AY738" s="117"/>
      <c r="AZ738" s="117"/>
      <c r="BA738" s="117"/>
      <c r="BB738" s="117"/>
      <c r="BC738" s="117"/>
      <c r="BD738" s="117"/>
      <c r="BE738" s="117"/>
      <c r="BF738" s="117"/>
      <c r="BG738" s="117"/>
      <c r="BH738" s="117"/>
      <c r="BI738" s="117"/>
      <c r="BJ738" s="117"/>
      <c r="BK738" s="117"/>
      <c r="BL738" s="117"/>
      <c r="BM738" s="117"/>
      <c r="BN738" s="117"/>
      <c r="BO738" s="117"/>
      <c r="BP738" s="117"/>
      <c r="BQ738" s="117"/>
      <c r="BR738" s="117"/>
      <c r="BS738" s="117"/>
      <c r="BT738" s="117"/>
      <c r="BU738" s="117"/>
      <c r="BV738" s="117"/>
      <c r="BW738" s="117"/>
      <c r="BX738" s="117"/>
      <c r="BY738" s="117"/>
      <c r="BZ738" s="117"/>
      <c r="CA738" s="117"/>
      <c r="CB738" s="117"/>
      <c r="CC738" s="117"/>
      <c r="CD738" s="117"/>
      <c r="CE738" s="117"/>
      <c r="CF738" s="117"/>
      <c r="CG738" s="117"/>
      <c r="CH738" s="117"/>
      <c r="CI738" s="117"/>
      <c r="CJ738" s="117"/>
      <c r="CK738" s="117"/>
      <c r="CL738" s="117"/>
      <c r="CM738" s="117"/>
      <c r="CN738" s="117"/>
      <c r="CO738" s="117"/>
      <c r="CP738" s="117"/>
      <c r="CQ738" s="117"/>
      <c r="CR738" s="117"/>
      <c r="CS738" s="117"/>
    </row>
    <row r="739" spans="1:97" s="116" customFormat="1" ht="193.5" customHeight="1" x14ac:dyDescent="0.8">
      <c r="A739" s="262">
        <f>ROW()</f>
        <v>739</v>
      </c>
      <c r="C739" s="211"/>
      <c r="D739" s="211"/>
      <c r="E739" s="211"/>
      <c r="F739" s="211"/>
      <c r="G739" s="211"/>
      <c r="H739" s="211"/>
      <c r="K739" s="116" t="s">
        <v>452</v>
      </c>
      <c r="M739" s="116" t="s">
        <v>107</v>
      </c>
      <c r="N739" s="116" t="s">
        <v>108</v>
      </c>
      <c r="O739" s="170" t="s">
        <v>386</v>
      </c>
      <c r="P739" s="502" t="s">
        <v>375</v>
      </c>
      <c r="Q739" s="502"/>
      <c r="R739" s="101" t="s">
        <v>452</v>
      </c>
      <c r="S739" s="116" t="s">
        <v>0</v>
      </c>
      <c r="T739" s="118"/>
      <c r="U739" s="116" t="s">
        <v>287</v>
      </c>
      <c r="V739" s="116" t="s">
        <v>288</v>
      </c>
      <c r="W739" s="116" t="s">
        <v>291</v>
      </c>
      <c r="X739" s="140"/>
      <c r="Y739" s="116" t="s">
        <v>289</v>
      </c>
      <c r="Z739" s="116" t="s">
        <v>354</v>
      </c>
      <c r="AA739" s="116" t="s">
        <v>355</v>
      </c>
      <c r="AB739" s="116" t="s">
        <v>317</v>
      </c>
      <c r="AC739" s="116" t="s">
        <v>318</v>
      </c>
      <c r="AD739" s="116" t="s">
        <v>316</v>
      </c>
      <c r="AE739" s="140"/>
      <c r="AF739" s="116" t="s">
        <v>293</v>
      </c>
      <c r="AG739" s="116" t="s">
        <v>354</v>
      </c>
      <c r="AH739" s="116" t="s">
        <v>355</v>
      </c>
      <c r="AI739" s="116" t="s">
        <v>296</v>
      </c>
      <c r="AJ739" s="116" t="s">
        <v>294</v>
      </c>
      <c r="AK739" s="116" t="s">
        <v>295</v>
      </c>
      <c r="AL739" s="140"/>
      <c r="AO739" s="288"/>
      <c r="AP739" s="284">
        <f t="shared" si="331"/>
        <v>0</v>
      </c>
      <c r="AQ739" s="281">
        <f t="shared" si="332"/>
        <v>0</v>
      </c>
      <c r="AR739" s="284">
        <f t="shared" si="333"/>
        <v>0</v>
      </c>
      <c r="AS739" s="281">
        <f t="shared" si="334"/>
        <v>0</v>
      </c>
      <c r="AT739" s="284">
        <f t="shared" si="335"/>
        <v>0</v>
      </c>
    </row>
    <row r="740" spans="1:97" s="114" customFormat="1" ht="60" customHeight="1" x14ac:dyDescent="0.8">
      <c r="A740" s="262">
        <f>ROW()</f>
        <v>740</v>
      </c>
      <c r="C740" s="208"/>
      <c r="D740" s="208"/>
      <c r="E740" s="208"/>
      <c r="F740" s="208"/>
      <c r="G740" s="208"/>
      <c r="H740" s="208"/>
      <c r="L740" s="124" t="str">
        <f>VLOOKUP(M740,Sheet2!$D$2:$E$1024,2,FALSE)</f>
        <v>Zero</v>
      </c>
      <c r="M740" s="121">
        <f>I762</f>
        <v>0</v>
      </c>
      <c r="N740" s="132" t="s">
        <v>652</v>
      </c>
      <c r="O740" s="121" t="s">
        <v>488</v>
      </c>
      <c r="P740" s="169" t="s">
        <v>379</v>
      </c>
      <c r="Q740" s="169" t="s">
        <v>375</v>
      </c>
      <c r="R740" s="169"/>
      <c r="S740" s="133">
        <f>M740</f>
        <v>0</v>
      </c>
      <c r="T740" s="119"/>
      <c r="U740" s="121" t="s">
        <v>292</v>
      </c>
      <c r="V740" s="133">
        <f>S740</f>
        <v>0</v>
      </c>
      <c r="W740" s="133">
        <f>VLOOKUP(U740,Sheet1!$B$6:$C$45,2,FALSE)*V740</f>
        <v>0</v>
      </c>
      <c r="X740" s="141"/>
      <c r="Y740" s="121" t="s">
        <v>292</v>
      </c>
      <c r="Z740" s="146">
        <f>VLOOKUP(Takeoffs!Y740,Sheet1!$B$6:$C$124,2,FALSE)</f>
        <v>0</v>
      </c>
      <c r="AA740" s="146">
        <f>Z740*AB740</f>
        <v>0</v>
      </c>
      <c r="AB740" s="143">
        <f>AD740*AC740</f>
        <v>0</v>
      </c>
      <c r="AC740" s="133">
        <f>S740</f>
        <v>0</v>
      </c>
      <c r="AD740" s="142">
        <v>1</v>
      </c>
      <c r="AE740" s="141"/>
      <c r="AF740" s="121" t="s">
        <v>292</v>
      </c>
      <c r="AG740" s="146">
        <f>VLOOKUP(Takeoffs!AF740,Sheet1!$B$6:$C$124,2,FALSE)</f>
        <v>0</v>
      </c>
      <c r="AH740" s="146">
        <f>AG740*AI740</f>
        <v>0</v>
      </c>
      <c r="AI740" s="143">
        <f>AK740*AJ740</f>
        <v>0</v>
      </c>
      <c r="AJ740" s="133">
        <f>S740</f>
        <v>0</v>
      </c>
      <c r="AK740" s="142">
        <f>T740</f>
        <v>0</v>
      </c>
      <c r="AL740" s="141"/>
      <c r="AO740" s="286"/>
      <c r="AP740" s="284">
        <f t="shared" si="331"/>
        <v>0</v>
      </c>
      <c r="AQ740" s="281">
        <f t="shared" si="332"/>
        <v>0</v>
      </c>
      <c r="AR740" s="284">
        <f t="shared" si="333"/>
        <v>0</v>
      </c>
      <c r="AS740" s="281">
        <f t="shared" si="334"/>
        <v>0</v>
      </c>
      <c r="AT740" s="284">
        <f t="shared" si="335"/>
        <v>0</v>
      </c>
    </row>
    <row r="741" spans="1:97" s="114" customFormat="1" ht="30.9" x14ac:dyDescent="0.8">
      <c r="A741" s="262">
        <f>ROW()</f>
        <v>741</v>
      </c>
      <c r="C741" s="208"/>
      <c r="D741" s="208"/>
      <c r="E741" s="208"/>
      <c r="F741" s="208"/>
      <c r="G741" s="208"/>
      <c r="H741" s="208"/>
      <c r="J741" s="114" t="str">
        <f>IF(COUNTBLANK(Q741)&gt;0,"",CONCATENATE("Coordination Note: - ",P741,": Please refer to our exclusions relating to ",Q741))</f>
        <v/>
      </c>
      <c r="K741" s="114" t="str">
        <f>IF(COUNTBLANK(R741)&gt;0,"",CONCATENATE(R741," for ",N740))</f>
        <v/>
      </c>
      <c r="M741" s="117"/>
      <c r="N741" s="123" t="s">
        <v>113</v>
      </c>
      <c r="O741" s="66" t="s">
        <v>340</v>
      </c>
      <c r="P741" s="121"/>
      <c r="Q741" s="66"/>
      <c r="R741" s="121"/>
      <c r="S741" s="133">
        <f>M740</f>
        <v>0</v>
      </c>
      <c r="T741" s="120"/>
      <c r="U741" s="121" t="s">
        <v>292</v>
      </c>
      <c r="V741" s="133">
        <f t="shared" ref="V741:V760" si="337">S741</f>
        <v>0</v>
      </c>
      <c r="W741" s="133">
        <f>VLOOKUP(U741,Sheet1!$B$6:$C$45,2,FALSE)*V741</f>
        <v>0</v>
      </c>
      <c r="X741" s="141"/>
      <c r="Y741" s="121" t="s">
        <v>292</v>
      </c>
      <c r="Z741" s="146">
        <f>VLOOKUP(Takeoffs!Y741,Sheet1!$B$6:$C$124,2,FALSE)</f>
        <v>0</v>
      </c>
      <c r="AA741" s="146">
        <f t="shared" ref="AA741:AA760" si="338">Z741*AB741</f>
        <v>0</v>
      </c>
      <c r="AB741" s="143">
        <f t="shared" ref="AB741:AB760" si="339">AD741*AC741</f>
        <v>0</v>
      </c>
      <c r="AC741" s="133">
        <f t="shared" ref="AC741:AC760" si="340">S741</f>
        <v>0</v>
      </c>
      <c r="AD741" s="142">
        <v>1</v>
      </c>
      <c r="AE741" s="141"/>
      <c r="AF741" s="121" t="s">
        <v>292</v>
      </c>
      <c r="AG741" s="146">
        <f>VLOOKUP(Takeoffs!AF741,Sheet1!$B$6:$C$124,2,FALSE)</f>
        <v>0</v>
      </c>
      <c r="AH741" s="146">
        <f t="shared" ref="AH741:AH760" si="341">AG741*AI741</f>
        <v>0</v>
      </c>
      <c r="AI741" s="143">
        <f t="shared" ref="AI741:AI760" si="342">AK741*AJ741</f>
        <v>0</v>
      </c>
      <c r="AJ741" s="133">
        <f t="shared" ref="AJ741:AJ760" si="343">S741</f>
        <v>0</v>
      </c>
      <c r="AK741" s="142">
        <f>T741</f>
        <v>0</v>
      </c>
      <c r="AL741" s="141"/>
      <c r="AO741" s="286"/>
      <c r="AP741" s="284">
        <f t="shared" si="331"/>
        <v>0</v>
      </c>
      <c r="AQ741" s="281">
        <f t="shared" si="332"/>
        <v>0</v>
      </c>
      <c r="AR741" s="284">
        <f t="shared" si="333"/>
        <v>0</v>
      </c>
      <c r="AS741" s="281">
        <f t="shared" si="334"/>
        <v>0</v>
      </c>
      <c r="AT741" s="284">
        <f t="shared" si="335"/>
        <v>0</v>
      </c>
    </row>
    <row r="742" spans="1:97" s="114" customFormat="1" ht="30.9" x14ac:dyDescent="0.8">
      <c r="A742" s="262">
        <f>ROW()</f>
        <v>742</v>
      </c>
      <c r="C742" s="208"/>
      <c r="D742" s="208"/>
      <c r="E742" s="208"/>
      <c r="F742" s="208"/>
      <c r="G742" s="208"/>
      <c r="H742" s="208"/>
      <c r="J742" s="114" t="str">
        <f t="shared" ref="J742:J760" si="344">IF(COUNTBLANK(Q742)&gt;0,"",CONCATENATE("Coordination Note: - ",P742,": Please refer to our exclusions relating to ",Q742))</f>
        <v/>
      </c>
      <c r="K742" s="114" t="str">
        <f>IF(COUNTBLANK(R742)&gt;0,"",CONCATENATE(R742," for ",N740))</f>
        <v/>
      </c>
      <c r="M742" s="117"/>
      <c r="N742" s="123" t="s">
        <v>114</v>
      </c>
      <c r="O742" s="66" t="s">
        <v>653</v>
      </c>
      <c r="P742" s="121"/>
      <c r="Q742" s="66"/>
      <c r="R742" s="121"/>
      <c r="S742" s="133">
        <f>M740</f>
        <v>0</v>
      </c>
      <c r="T742" s="120"/>
      <c r="U742" s="117" t="s">
        <v>478</v>
      </c>
      <c r="V742" s="133">
        <f t="shared" si="337"/>
        <v>0</v>
      </c>
      <c r="W742" s="133">
        <f>VLOOKUP(U742,Sheet1!$B$6:$C$45,2,FALSE)*V742</f>
        <v>0</v>
      </c>
      <c r="X742" s="141"/>
      <c r="Y742" s="122" t="s">
        <v>252</v>
      </c>
      <c r="Z742" s="146">
        <f>VLOOKUP(Takeoffs!Y742,Sheet1!$B$6:$C$124,2,FALSE)</f>
        <v>43.440000000000005</v>
      </c>
      <c r="AA742" s="146">
        <f t="shared" si="338"/>
        <v>0</v>
      </c>
      <c r="AB742" s="143">
        <f t="shared" si="339"/>
        <v>0</v>
      </c>
      <c r="AC742" s="133">
        <f t="shared" si="340"/>
        <v>0</v>
      </c>
      <c r="AD742" s="142">
        <v>2</v>
      </c>
      <c r="AE742" s="141"/>
      <c r="AF742" s="122" t="s">
        <v>268</v>
      </c>
      <c r="AG742" s="146">
        <f>VLOOKUP(Takeoffs!AF742,Sheet1!$B$6:$C$124,2,FALSE)</f>
        <v>1.02</v>
      </c>
      <c r="AH742" s="146">
        <f t="shared" si="341"/>
        <v>0</v>
      </c>
      <c r="AI742" s="143">
        <f t="shared" si="342"/>
        <v>0</v>
      </c>
      <c r="AJ742" s="133">
        <f t="shared" si="343"/>
        <v>0</v>
      </c>
      <c r="AK742" s="142">
        <v>20</v>
      </c>
      <c r="AL742" s="141"/>
      <c r="AO742" s="286"/>
      <c r="AP742" s="284">
        <f t="shared" si="331"/>
        <v>0</v>
      </c>
      <c r="AQ742" s="281">
        <f t="shared" si="332"/>
        <v>0</v>
      </c>
      <c r="AR742" s="284">
        <f t="shared" si="333"/>
        <v>0</v>
      </c>
      <c r="AS742" s="281">
        <f t="shared" si="334"/>
        <v>0</v>
      </c>
      <c r="AT742" s="284">
        <f t="shared" si="335"/>
        <v>0</v>
      </c>
    </row>
    <row r="743" spans="1:97" s="114" customFormat="1" ht="30.9" x14ac:dyDescent="0.8">
      <c r="A743" s="262">
        <f>ROW()</f>
        <v>743</v>
      </c>
      <c r="C743" s="208"/>
      <c r="D743" s="208"/>
      <c r="E743" s="208"/>
      <c r="F743" s="208"/>
      <c r="G743" s="208"/>
      <c r="H743" s="208"/>
      <c r="J743" s="114" t="str">
        <f t="shared" si="344"/>
        <v/>
      </c>
      <c r="K743" s="114" t="str">
        <f>IF(COUNTBLANK(R743)&gt;0,"",CONCATENATE(R743," for ",N740))</f>
        <v/>
      </c>
      <c r="M743" s="117"/>
      <c r="N743" s="123" t="s">
        <v>115</v>
      </c>
      <c r="O743" s="66" t="s">
        <v>654</v>
      </c>
      <c r="P743" s="121"/>
      <c r="Q743" s="66"/>
      <c r="R743" s="121"/>
      <c r="S743" s="133">
        <f>M740</f>
        <v>0</v>
      </c>
      <c r="T743" s="120"/>
      <c r="U743" s="117" t="s">
        <v>478</v>
      </c>
      <c r="V743" s="133">
        <f t="shared" si="337"/>
        <v>0</v>
      </c>
      <c r="W743" s="133">
        <f>VLOOKUP(U743,Sheet1!$B$6:$C$45,2,FALSE)*V743</f>
        <v>0</v>
      </c>
      <c r="X743" s="141"/>
      <c r="Y743" s="121" t="s">
        <v>292</v>
      </c>
      <c r="Z743" s="146">
        <f>VLOOKUP(Takeoffs!Y743,Sheet1!$B$6:$C$124,2,FALSE)</f>
        <v>0</v>
      </c>
      <c r="AA743" s="146">
        <f t="shared" si="338"/>
        <v>0</v>
      </c>
      <c r="AB743" s="143">
        <f t="shared" si="339"/>
        <v>0</v>
      </c>
      <c r="AC743" s="133">
        <f t="shared" si="340"/>
        <v>0</v>
      </c>
      <c r="AD743" s="142">
        <v>1</v>
      </c>
      <c r="AE743" s="141"/>
      <c r="AF743" s="121" t="s">
        <v>292</v>
      </c>
      <c r="AG743" s="146">
        <f>VLOOKUP(Takeoffs!AF743,Sheet1!$B$6:$C$124,2,FALSE)</f>
        <v>0</v>
      </c>
      <c r="AH743" s="146">
        <f t="shared" si="341"/>
        <v>0</v>
      </c>
      <c r="AI743" s="143">
        <f t="shared" si="342"/>
        <v>0</v>
      </c>
      <c r="AJ743" s="133">
        <f t="shared" si="343"/>
        <v>0</v>
      </c>
      <c r="AK743" s="142">
        <f>T743</f>
        <v>0</v>
      </c>
      <c r="AL743" s="141"/>
      <c r="AO743" s="286"/>
      <c r="AP743" s="284">
        <f t="shared" si="331"/>
        <v>0</v>
      </c>
      <c r="AQ743" s="281">
        <f t="shared" si="332"/>
        <v>0</v>
      </c>
      <c r="AR743" s="284">
        <f t="shared" si="333"/>
        <v>0</v>
      </c>
      <c r="AS743" s="281">
        <f t="shared" si="334"/>
        <v>0</v>
      </c>
      <c r="AT743" s="284">
        <f t="shared" si="335"/>
        <v>0</v>
      </c>
    </row>
    <row r="744" spans="1:97" s="114" customFormat="1" ht="30.9" x14ac:dyDescent="0.8">
      <c r="A744" s="262">
        <f>ROW()</f>
        <v>744</v>
      </c>
      <c r="C744" s="208"/>
      <c r="D744" s="208"/>
      <c r="E744" s="208"/>
      <c r="F744" s="208"/>
      <c r="G744" s="208"/>
      <c r="H744" s="208"/>
      <c r="J744" s="114" t="str">
        <f t="shared" si="344"/>
        <v/>
      </c>
      <c r="K744" s="114" t="str">
        <f>IF(COUNTBLANK(R744)&gt;0,"",CONCATENATE(R744," for ",N740))</f>
        <v/>
      </c>
      <c r="M744" s="117"/>
      <c r="N744" s="123" t="s">
        <v>116</v>
      </c>
      <c r="O744" s="66"/>
      <c r="P744" s="121"/>
      <c r="Q744" s="66"/>
      <c r="R744" s="121"/>
      <c r="S744" s="133">
        <f>M740</f>
        <v>0</v>
      </c>
      <c r="T744" s="120"/>
      <c r="U744" s="121" t="s">
        <v>235</v>
      </c>
      <c r="V744" s="133">
        <f t="shared" si="337"/>
        <v>0</v>
      </c>
      <c r="W744" s="133">
        <f>VLOOKUP(U744,Sheet1!$B$6:$C$45,2,FALSE)*V744</f>
        <v>0</v>
      </c>
      <c r="X744" s="141"/>
      <c r="Y744" s="121" t="s">
        <v>292</v>
      </c>
      <c r="Z744" s="146">
        <f>VLOOKUP(Takeoffs!Y744,Sheet1!$B$6:$C$124,2,FALSE)</f>
        <v>0</v>
      </c>
      <c r="AA744" s="146">
        <f t="shared" si="338"/>
        <v>0</v>
      </c>
      <c r="AB744" s="143">
        <f t="shared" si="339"/>
        <v>0</v>
      </c>
      <c r="AC744" s="133">
        <f t="shared" si="340"/>
        <v>0</v>
      </c>
      <c r="AD744" s="142">
        <v>1</v>
      </c>
      <c r="AE744" s="141"/>
      <c r="AF744" s="121" t="s">
        <v>292</v>
      </c>
      <c r="AG744" s="146">
        <f>VLOOKUP(Takeoffs!AF744,Sheet1!$B$6:$C$124,2,FALSE)</f>
        <v>0</v>
      </c>
      <c r="AH744" s="146">
        <f t="shared" si="341"/>
        <v>0</v>
      </c>
      <c r="AI744" s="143">
        <f t="shared" si="342"/>
        <v>0</v>
      </c>
      <c r="AJ744" s="133">
        <f t="shared" si="343"/>
        <v>0</v>
      </c>
      <c r="AK744" s="142">
        <f>T744</f>
        <v>0</v>
      </c>
      <c r="AL744" s="141"/>
      <c r="AO744" s="286"/>
      <c r="AP744" s="284">
        <f t="shared" si="331"/>
        <v>0</v>
      </c>
      <c r="AQ744" s="281">
        <f t="shared" si="332"/>
        <v>0</v>
      </c>
      <c r="AR744" s="284">
        <f t="shared" si="333"/>
        <v>0</v>
      </c>
      <c r="AS744" s="281">
        <f t="shared" si="334"/>
        <v>0</v>
      </c>
      <c r="AT744" s="284">
        <f t="shared" si="335"/>
        <v>0</v>
      </c>
    </row>
    <row r="745" spans="1:97" s="114" customFormat="1" ht="30.9" x14ac:dyDescent="0.8">
      <c r="A745" s="262">
        <f>ROW()</f>
        <v>745</v>
      </c>
      <c r="C745" s="208"/>
      <c r="D745" s="208"/>
      <c r="E745" s="208"/>
      <c r="F745" s="208"/>
      <c r="G745" s="208"/>
      <c r="H745" s="208"/>
      <c r="J745" s="114" t="str">
        <f t="shared" si="344"/>
        <v/>
      </c>
      <c r="K745" s="114" t="str">
        <f>IF(COUNTBLANK(R745)&gt;0,"",CONCATENATE(R745," for ",N740))</f>
        <v/>
      </c>
      <c r="M745" s="117"/>
      <c r="N745" s="123" t="s">
        <v>117</v>
      </c>
      <c r="O745" s="66"/>
      <c r="P745" s="121"/>
      <c r="Q745" s="66"/>
      <c r="R745" s="121"/>
      <c r="S745" s="133">
        <f>M740</f>
        <v>0</v>
      </c>
      <c r="T745" s="120"/>
      <c r="U745" s="121" t="s">
        <v>292</v>
      </c>
      <c r="V745" s="133">
        <f t="shared" si="337"/>
        <v>0</v>
      </c>
      <c r="W745" s="133">
        <f>VLOOKUP(U745,Sheet1!$B$6:$C$45,2,FALSE)*V745</f>
        <v>0</v>
      </c>
      <c r="X745" s="141"/>
      <c r="Y745" s="121" t="s">
        <v>292</v>
      </c>
      <c r="Z745" s="146">
        <f>VLOOKUP(Takeoffs!Y745,Sheet1!$B$6:$C$124,2,FALSE)</f>
        <v>0</v>
      </c>
      <c r="AA745" s="146">
        <f t="shared" si="338"/>
        <v>0</v>
      </c>
      <c r="AB745" s="143">
        <f t="shared" si="339"/>
        <v>0</v>
      </c>
      <c r="AC745" s="133">
        <f t="shared" si="340"/>
        <v>0</v>
      </c>
      <c r="AD745" s="142">
        <v>1</v>
      </c>
      <c r="AE745" s="141"/>
      <c r="AF745" s="122" t="s">
        <v>268</v>
      </c>
      <c r="AG745" s="146">
        <f>VLOOKUP(Takeoffs!AF745,Sheet1!$B$6:$C$124,2,FALSE)</f>
        <v>1.02</v>
      </c>
      <c r="AH745" s="146">
        <f t="shared" si="341"/>
        <v>0</v>
      </c>
      <c r="AI745" s="143">
        <f t="shared" si="342"/>
        <v>0</v>
      </c>
      <c r="AJ745" s="133">
        <f t="shared" si="343"/>
        <v>0</v>
      </c>
      <c r="AK745" s="142">
        <v>3</v>
      </c>
      <c r="AL745" s="141"/>
      <c r="AO745" s="286"/>
      <c r="AP745" s="284">
        <f t="shared" si="331"/>
        <v>0</v>
      </c>
      <c r="AQ745" s="281">
        <f t="shared" si="332"/>
        <v>0</v>
      </c>
      <c r="AR745" s="284">
        <f t="shared" si="333"/>
        <v>0</v>
      </c>
      <c r="AS745" s="281">
        <f t="shared" si="334"/>
        <v>0</v>
      </c>
      <c r="AT745" s="284">
        <f t="shared" si="335"/>
        <v>0</v>
      </c>
    </row>
    <row r="746" spans="1:97" s="114" customFormat="1" ht="30.9" x14ac:dyDescent="0.8">
      <c r="A746" s="262">
        <f>ROW()</f>
        <v>746</v>
      </c>
      <c r="C746" s="208"/>
      <c r="D746" s="208"/>
      <c r="E746" s="208"/>
      <c r="F746" s="208"/>
      <c r="G746" s="208"/>
      <c r="H746" s="208"/>
      <c r="J746" s="114" t="str">
        <f t="shared" si="344"/>
        <v/>
      </c>
      <c r="K746" s="114" t="str">
        <f>IF(COUNTBLANK(R746)&gt;0,"",CONCATENATE(R746," for ",N740))</f>
        <v/>
      </c>
      <c r="M746" s="117"/>
      <c r="N746" s="123" t="s">
        <v>118</v>
      </c>
      <c r="O746" s="66" t="s">
        <v>655</v>
      </c>
      <c r="P746" s="121"/>
      <c r="Q746" s="66"/>
      <c r="R746" s="121"/>
      <c r="S746" s="133">
        <f>M740</f>
        <v>0</v>
      </c>
      <c r="T746" s="120"/>
      <c r="U746" s="121" t="s">
        <v>292</v>
      </c>
      <c r="V746" s="133">
        <f t="shared" si="337"/>
        <v>0</v>
      </c>
      <c r="W746" s="133">
        <f>VLOOKUP(U746,Sheet1!$B$6:$C$45,2,FALSE)*V746</f>
        <v>0</v>
      </c>
      <c r="X746" s="141"/>
      <c r="Y746" s="121" t="s">
        <v>292</v>
      </c>
      <c r="Z746" s="146">
        <f>VLOOKUP(Takeoffs!Y746,Sheet1!$B$6:$C$124,2,FALSE)</f>
        <v>0</v>
      </c>
      <c r="AA746" s="146">
        <f t="shared" si="338"/>
        <v>0</v>
      </c>
      <c r="AB746" s="143">
        <f t="shared" si="339"/>
        <v>0</v>
      </c>
      <c r="AC746" s="133">
        <f t="shared" si="340"/>
        <v>0</v>
      </c>
      <c r="AD746" s="142">
        <v>1</v>
      </c>
      <c r="AE746" s="141"/>
      <c r="AF746" s="121" t="s">
        <v>292</v>
      </c>
      <c r="AG746" s="146">
        <f>VLOOKUP(Takeoffs!AF746,Sheet1!$B$6:$C$124,2,FALSE)</f>
        <v>0</v>
      </c>
      <c r="AH746" s="146">
        <f t="shared" si="341"/>
        <v>0</v>
      </c>
      <c r="AI746" s="143">
        <f t="shared" si="342"/>
        <v>0</v>
      </c>
      <c r="AJ746" s="133">
        <f t="shared" si="343"/>
        <v>0</v>
      </c>
      <c r="AK746" s="142">
        <f>T746</f>
        <v>0</v>
      </c>
      <c r="AL746" s="141"/>
      <c r="AO746" s="286"/>
      <c r="AP746" s="284">
        <f t="shared" si="331"/>
        <v>0</v>
      </c>
      <c r="AQ746" s="281">
        <f t="shared" si="332"/>
        <v>0</v>
      </c>
      <c r="AR746" s="284">
        <f t="shared" si="333"/>
        <v>0</v>
      </c>
      <c r="AS746" s="281">
        <f t="shared" si="334"/>
        <v>0</v>
      </c>
      <c r="AT746" s="284">
        <f t="shared" si="335"/>
        <v>0</v>
      </c>
    </row>
    <row r="747" spans="1:97" s="114" customFormat="1" ht="30.9" x14ac:dyDescent="0.8">
      <c r="A747" s="262">
        <f>ROW()</f>
        <v>747</v>
      </c>
      <c r="C747" s="208"/>
      <c r="D747" s="208"/>
      <c r="E747" s="208"/>
      <c r="F747" s="208"/>
      <c r="G747" s="208"/>
      <c r="H747" s="208"/>
      <c r="J747" s="114" t="str">
        <f t="shared" si="344"/>
        <v/>
      </c>
      <c r="K747" s="114" t="str">
        <f>IF(COUNTBLANK(R747)&gt;0,"",CONCATENATE(R747," for ",N740))</f>
        <v/>
      </c>
      <c r="N747" s="123" t="s">
        <v>119</v>
      </c>
      <c r="O747" s="66"/>
      <c r="P747" s="121"/>
      <c r="Q747" s="66"/>
      <c r="R747" s="121"/>
      <c r="S747" s="133">
        <f>M740</f>
        <v>0</v>
      </c>
      <c r="T747" s="120"/>
      <c r="U747" s="121" t="s">
        <v>292</v>
      </c>
      <c r="V747" s="133">
        <f t="shared" si="337"/>
        <v>0</v>
      </c>
      <c r="W747" s="133">
        <f>VLOOKUP(U747,Sheet1!$B$6:$C$45,2,FALSE)*V747</f>
        <v>0</v>
      </c>
      <c r="X747" s="141"/>
      <c r="Y747" s="121" t="s">
        <v>292</v>
      </c>
      <c r="Z747" s="146">
        <f>VLOOKUP(Takeoffs!Y747,Sheet1!$B$6:$C$124,2,FALSE)</f>
        <v>0</v>
      </c>
      <c r="AA747" s="146">
        <f t="shared" si="338"/>
        <v>0</v>
      </c>
      <c r="AB747" s="143">
        <f t="shared" si="339"/>
        <v>0</v>
      </c>
      <c r="AC747" s="133">
        <f t="shared" si="340"/>
        <v>0</v>
      </c>
      <c r="AD747" s="142">
        <v>1</v>
      </c>
      <c r="AE747" s="141"/>
      <c r="AF747" s="121" t="s">
        <v>292</v>
      </c>
      <c r="AG747" s="146">
        <f>VLOOKUP(Takeoffs!AF747,Sheet1!$B$6:$C$124,2,FALSE)</f>
        <v>0</v>
      </c>
      <c r="AH747" s="146">
        <f t="shared" si="341"/>
        <v>0</v>
      </c>
      <c r="AI747" s="143">
        <f t="shared" si="342"/>
        <v>0</v>
      </c>
      <c r="AJ747" s="133">
        <f t="shared" si="343"/>
        <v>0</v>
      </c>
      <c r="AK747" s="142">
        <f>T747</f>
        <v>0</v>
      </c>
      <c r="AL747" s="141"/>
      <c r="AO747" s="286"/>
      <c r="AP747" s="284">
        <f t="shared" si="331"/>
        <v>0</v>
      </c>
      <c r="AQ747" s="281">
        <f t="shared" si="332"/>
        <v>0</v>
      </c>
      <c r="AR747" s="284">
        <f t="shared" si="333"/>
        <v>0</v>
      </c>
      <c r="AS747" s="281">
        <f t="shared" si="334"/>
        <v>0</v>
      </c>
      <c r="AT747" s="284">
        <f t="shared" si="335"/>
        <v>0</v>
      </c>
    </row>
    <row r="748" spans="1:97" s="114" customFormat="1" ht="30.9" x14ac:dyDescent="0.8">
      <c r="A748" s="262">
        <f>ROW()</f>
        <v>748</v>
      </c>
      <c r="C748" s="208"/>
      <c r="D748" s="208"/>
      <c r="E748" s="208"/>
      <c r="F748" s="208"/>
      <c r="G748" s="208"/>
      <c r="H748" s="208"/>
      <c r="J748" s="114" t="str">
        <f t="shared" si="344"/>
        <v/>
      </c>
      <c r="K748" s="114" t="str">
        <f>IF(COUNTBLANK(R748)&gt;0,"",CONCATENATE(R748," for ",N740))</f>
        <v/>
      </c>
      <c r="N748" s="123" t="s">
        <v>120</v>
      </c>
      <c r="O748" s="66" t="s">
        <v>328</v>
      </c>
      <c r="P748" s="121"/>
      <c r="Q748" s="66"/>
      <c r="R748" s="121"/>
      <c r="S748" s="133">
        <f>M740</f>
        <v>0</v>
      </c>
      <c r="T748" s="120"/>
      <c r="U748" s="121" t="s">
        <v>364</v>
      </c>
      <c r="V748" s="133">
        <f t="shared" si="337"/>
        <v>0</v>
      </c>
      <c r="W748" s="133">
        <f>VLOOKUP(U748,Sheet1!$B$6:$C$45,2,FALSE)*V748</f>
        <v>0</v>
      </c>
      <c r="X748" s="141"/>
      <c r="Y748" s="121" t="s">
        <v>292</v>
      </c>
      <c r="Z748" s="146">
        <f>VLOOKUP(Takeoffs!Y748,Sheet1!$B$6:$C$124,2,FALSE)</f>
        <v>0</v>
      </c>
      <c r="AA748" s="146">
        <f t="shared" si="338"/>
        <v>0</v>
      </c>
      <c r="AB748" s="143">
        <f t="shared" si="339"/>
        <v>0</v>
      </c>
      <c r="AC748" s="133">
        <f t="shared" si="340"/>
        <v>0</v>
      </c>
      <c r="AD748" s="142">
        <v>1</v>
      </c>
      <c r="AE748" s="141"/>
      <c r="AF748" s="121" t="s">
        <v>292</v>
      </c>
      <c r="AG748" s="146">
        <f>VLOOKUP(Takeoffs!AF748,Sheet1!$B$6:$C$124,2,FALSE)</f>
        <v>0</v>
      </c>
      <c r="AH748" s="146">
        <f t="shared" si="341"/>
        <v>0</v>
      </c>
      <c r="AI748" s="143">
        <f t="shared" si="342"/>
        <v>0</v>
      </c>
      <c r="AJ748" s="133">
        <f t="shared" si="343"/>
        <v>0</v>
      </c>
      <c r="AK748" s="142">
        <f>T748</f>
        <v>0</v>
      </c>
      <c r="AL748" s="141"/>
      <c r="AO748" s="286"/>
      <c r="AP748" s="284">
        <f t="shared" si="331"/>
        <v>0</v>
      </c>
      <c r="AQ748" s="281">
        <f t="shared" si="332"/>
        <v>0</v>
      </c>
      <c r="AR748" s="284">
        <f t="shared" si="333"/>
        <v>0</v>
      </c>
      <c r="AS748" s="281">
        <f t="shared" si="334"/>
        <v>0</v>
      </c>
      <c r="AT748" s="284">
        <f t="shared" si="335"/>
        <v>0</v>
      </c>
    </row>
    <row r="749" spans="1:97" s="114" customFormat="1" ht="30.9" x14ac:dyDescent="0.8">
      <c r="A749" s="262">
        <f>ROW()</f>
        <v>749</v>
      </c>
      <c r="C749" s="208"/>
      <c r="D749" s="208"/>
      <c r="E749" s="208"/>
      <c r="F749" s="208"/>
      <c r="G749" s="208"/>
      <c r="H749" s="208"/>
      <c r="J749" s="114" t="str">
        <f t="shared" si="344"/>
        <v/>
      </c>
      <c r="K749" s="114" t="str">
        <f>IF(COUNTBLANK(R749)&gt;0,"",CONCATENATE(R749," for ",N740))</f>
        <v/>
      </c>
      <c r="N749" s="123" t="s">
        <v>121</v>
      </c>
      <c r="O749" s="66"/>
      <c r="P749" s="121"/>
      <c r="Q749" s="66"/>
      <c r="R749" s="121"/>
      <c r="S749" s="133">
        <f>M740</f>
        <v>0</v>
      </c>
      <c r="T749" s="120"/>
      <c r="U749" s="121" t="s">
        <v>292</v>
      </c>
      <c r="V749" s="133">
        <f t="shared" si="337"/>
        <v>0</v>
      </c>
      <c r="W749" s="133">
        <f>VLOOKUP(U749,Sheet1!$B$6:$C$45,2,FALSE)*V749</f>
        <v>0</v>
      </c>
      <c r="X749" s="141"/>
      <c r="Y749" s="121" t="s">
        <v>292</v>
      </c>
      <c r="Z749" s="146">
        <f>VLOOKUP(Takeoffs!Y749,Sheet1!$B$6:$C$124,2,FALSE)</f>
        <v>0</v>
      </c>
      <c r="AA749" s="146">
        <f t="shared" si="338"/>
        <v>0</v>
      </c>
      <c r="AB749" s="143">
        <f t="shared" si="339"/>
        <v>0</v>
      </c>
      <c r="AC749" s="133">
        <f t="shared" si="340"/>
        <v>0</v>
      </c>
      <c r="AD749" s="142">
        <v>1</v>
      </c>
      <c r="AE749" s="141"/>
      <c r="AF749" s="121" t="s">
        <v>292</v>
      </c>
      <c r="AG749" s="146">
        <f>VLOOKUP(Takeoffs!AF749,Sheet1!$B$6:$C$124,2,FALSE)</f>
        <v>0</v>
      </c>
      <c r="AH749" s="146">
        <f t="shared" si="341"/>
        <v>0</v>
      </c>
      <c r="AI749" s="143">
        <f t="shared" si="342"/>
        <v>0</v>
      </c>
      <c r="AJ749" s="133">
        <f t="shared" si="343"/>
        <v>0</v>
      </c>
      <c r="AK749" s="142">
        <f>T749</f>
        <v>0</v>
      </c>
      <c r="AL749" s="141"/>
      <c r="AO749" s="286"/>
      <c r="AP749" s="284">
        <f t="shared" si="331"/>
        <v>0</v>
      </c>
      <c r="AQ749" s="281">
        <f t="shared" si="332"/>
        <v>0</v>
      </c>
      <c r="AR749" s="284">
        <f t="shared" si="333"/>
        <v>0</v>
      </c>
      <c r="AS749" s="281">
        <f t="shared" si="334"/>
        <v>0</v>
      </c>
      <c r="AT749" s="284">
        <f t="shared" si="335"/>
        <v>0</v>
      </c>
    </row>
    <row r="750" spans="1:97" s="114" customFormat="1" ht="30.9" x14ac:dyDescent="0.8">
      <c r="A750" s="262">
        <f>ROW()</f>
        <v>750</v>
      </c>
      <c r="C750" s="208"/>
      <c r="D750" s="208"/>
      <c r="E750" s="208"/>
      <c r="F750" s="208"/>
      <c r="G750" s="208"/>
      <c r="H750" s="208"/>
      <c r="J750" s="114" t="str">
        <f t="shared" si="344"/>
        <v/>
      </c>
      <c r="K750" s="114" t="str">
        <f>IF(COUNTBLANK(R750)&gt;0,"",CONCATENATE(R750," for ",N740))</f>
        <v/>
      </c>
      <c r="N750" s="123" t="s">
        <v>122</v>
      </c>
      <c r="O750" s="66"/>
      <c r="P750" s="121"/>
      <c r="Q750" s="66"/>
      <c r="R750" s="121"/>
      <c r="S750" s="133">
        <f>M740</f>
        <v>0</v>
      </c>
      <c r="T750" s="120"/>
      <c r="U750" s="121" t="s">
        <v>292</v>
      </c>
      <c r="V750" s="133">
        <f t="shared" si="337"/>
        <v>0</v>
      </c>
      <c r="W750" s="133">
        <f>VLOOKUP(U750,Sheet1!$B$6:$C$45,2,FALSE)*V750</f>
        <v>0</v>
      </c>
      <c r="X750" s="141"/>
      <c r="Y750" s="121" t="s">
        <v>292</v>
      </c>
      <c r="Z750" s="146">
        <f>VLOOKUP(Takeoffs!Y750,Sheet1!$B$6:$C$124,2,FALSE)</f>
        <v>0</v>
      </c>
      <c r="AA750" s="146">
        <f t="shared" si="338"/>
        <v>0</v>
      </c>
      <c r="AB750" s="143">
        <f t="shared" si="339"/>
        <v>0</v>
      </c>
      <c r="AC750" s="133">
        <f t="shared" si="340"/>
        <v>0</v>
      </c>
      <c r="AD750" s="142">
        <v>1</v>
      </c>
      <c r="AE750" s="141"/>
      <c r="AF750" s="121" t="s">
        <v>292</v>
      </c>
      <c r="AG750" s="146">
        <f>VLOOKUP(Takeoffs!AF750,Sheet1!$B$6:$C$124,2,FALSE)</f>
        <v>0</v>
      </c>
      <c r="AH750" s="146">
        <f t="shared" si="341"/>
        <v>0</v>
      </c>
      <c r="AI750" s="143">
        <f t="shared" si="342"/>
        <v>0</v>
      </c>
      <c r="AJ750" s="133">
        <f t="shared" si="343"/>
        <v>0</v>
      </c>
      <c r="AK750" s="142">
        <f>T750</f>
        <v>0</v>
      </c>
      <c r="AL750" s="141"/>
      <c r="AO750" s="286"/>
      <c r="AP750" s="284">
        <f t="shared" si="331"/>
        <v>0</v>
      </c>
      <c r="AQ750" s="281">
        <f t="shared" si="332"/>
        <v>0</v>
      </c>
      <c r="AR750" s="284">
        <f t="shared" si="333"/>
        <v>0</v>
      </c>
      <c r="AS750" s="281">
        <f t="shared" si="334"/>
        <v>0</v>
      </c>
      <c r="AT750" s="284">
        <f t="shared" si="335"/>
        <v>0</v>
      </c>
    </row>
    <row r="751" spans="1:97" s="114" customFormat="1" ht="30.9" x14ac:dyDescent="0.8">
      <c r="A751" s="262">
        <f>ROW()</f>
        <v>751</v>
      </c>
      <c r="C751" s="208"/>
      <c r="D751" s="208"/>
      <c r="E751" s="208"/>
      <c r="F751" s="208"/>
      <c r="G751" s="208"/>
      <c r="H751" s="208"/>
      <c r="J751" s="114" t="str">
        <f t="shared" si="344"/>
        <v/>
      </c>
      <c r="K751" s="114" t="str">
        <f>IF(COUNTBLANK(R751)&gt;0,"",CONCATENATE(R751," for ",N740))</f>
        <v/>
      </c>
      <c r="N751" s="123" t="s">
        <v>123</v>
      </c>
      <c r="O751" s="66"/>
      <c r="P751" s="121"/>
      <c r="Q751" s="66"/>
      <c r="R751" s="121"/>
      <c r="S751" s="133">
        <f>M740</f>
        <v>0</v>
      </c>
      <c r="T751" s="120"/>
      <c r="U751" s="121" t="s">
        <v>292</v>
      </c>
      <c r="V751" s="133">
        <f t="shared" si="337"/>
        <v>0</v>
      </c>
      <c r="W751" s="133">
        <f>VLOOKUP(U751,Sheet1!$B$6:$C$45,2,FALSE)*V751</f>
        <v>0</v>
      </c>
      <c r="X751" s="141"/>
      <c r="Y751" s="121" t="s">
        <v>292</v>
      </c>
      <c r="Z751" s="146">
        <f>VLOOKUP(Takeoffs!Y751,Sheet1!$B$6:$C$124,2,FALSE)</f>
        <v>0</v>
      </c>
      <c r="AA751" s="146">
        <f t="shared" si="338"/>
        <v>0</v>
      </c>
      <c r="AB751" s="143">
        <f t="shared" si="339"/>
        <v>0</v>
      </c>
      <c r="AC751" s="133">
        <f t="shared" si="340"/>
        <v>0</v>
      </c>
      <c r="AD751" s="142">
        <v>1</v>
      </c>
      <c r="AE751" s="141"/>
      <c r="AF751" s="121" t="s">
        <v>292</v>
      </c>
      <c r="AG751" s="146">
        <f>VLOOKUP(Takeoffs!AF751,Sheet1!$B$6:$C$124,2,FALSE)</f>
        <v>0</v>
      </c>
      <c r="AH751" s="146">
        <f t="shared" si="341"/>
        <v>0</v>
      </c>
      <c r="AI751" s="143">
        <f t="shared" si="342"/>
        <v>0</v>
      </c>
      <c r="AJ751" s="133">
        <f t="shared" si="343"/>
        <v>0</v>
      </c>
      <c r="AK751" s="142">
        <v>0</v>
      </c>
      <c r="AL751" s="141"/>
      <c r="AO751" s="286"/>
      <c r="AP751" s="284">
        <f t="shared" si="331"/>
        <v>0</v>
      </c>
      <c r="AQ751" s="281">
        <f t="shared" si="332"/>
        <v>0</v>
      </c>
      <c r="AR751" s="284">
        <f t="shared" si="333"/>
        <v>0</v>
      </c>
      <c r="AS751" s="281">
        <f t="shared" si="334"/>
        <v>0</v>
      </c>
      <c r="AT751" s="284">
        <f t="shared" si="335"/>
        <v>0</v>
      </c>
    </row>
    <row r="752" spans="1:97" s="114" customFormat="1" ht="30.9" x14ac:dyDescent="0.8">
      <c r="A752" s="262">
        <f>ROW()</f>
        <v>752</v>
      </c>
      <c r="C752" s="208"/>
      <c r="D752" s="208"/>
      <c r="E752" s="208"/>
      <c r="F752" s="208"/>
      <c r="G752" s="208"/>
      <c r="H752" s="208"/>
      <c r="J752" s="114" t="str">
        <f t="shared" si="344"/>
        <v/>
      </c>
      <c r="K752" s="114" t="str">
        <f>IF(COUNTBLANK(R752)&gt;0,"",CONCATENATE(R752," for ",N740))</f>
        <v/>
      </c>
      <c r="N752" s="123" t="s">
        <v>124</v>
      </c>
      <c r="O752" s="66" t="s">
        <v>140</v>
      </c>
      <c r="P752" s="121"/>
      <c r="Q752" s="66"/>
      <c r="R752" s="121"/>
      <c r="S752" s="133">
        <f>M740</f>
        <v>0</v>
      </c>
      <c r="T752" s="120"/>
      <c r="U752" s="121" t="s">
        <v>292</v>
      </c>
      <c r="V752" s="133">
        <f t="shared" si="337"/>
        <v>0</v>
      </c>
      <c r="W752" s="133">
        <f>VLOOKUP(U752,Sheet1!$B$6:$C$45,2,FALSE)*V752</f>
        <v>0</v>
      </c>
      <c r="X752" s="141"/>
      <c r="Y752" s="121" t="s">
        <v>292</v>
      </c>
      <c r="Z752" s="146">
        <f>VLOOKUP(Takeoffs!Y752,Sheet1!$B$6:$C$124,2,FALSE)</f>
        <v>0</v>
      </c>
      <c r="AA752" s="146">
        <f t="shared" si="338"/>
        <v>0</v>
      </c>
      <c r="AB752" s="143">
        <f t="shared" si="339"/>
        <v>0</v>
      </c>
      <c r="AC752" s="133">
        <f t="shared" si="340"/>
        <v>0</v>
      </c>
      <c r="AD752" s="142">
        <v>1</v>
      </c>
      <c r="AE752" s="141"/>
      <c r="AF752" s="152" t="s">
        <v>418</v>
      </c>
      <c r="AG752" s="146">
        <f>VLOOKUP(Takeoffs!AF752,Sheet1!$B$6:$C$124,2,FALSE)</f>
        <v>0.33600000000000002</v>
      </c>
      <c r="AH752" s="146">
        <f t="shared" si="341"/>
        <v>0</v>
      </c>
      <c r="AI752" s="143">
        <f t="shared" si="342"/>
        <v>0</v>
      </c>
      <c r="AJ752" s="133">
        <f t="shared" si="343"/>
        <v>0</v>
      </c>
      <c r="AK752" s="142">
        <v>1</v>
      </c>
      <c r="AL752" s="141"/>
      <c r="AO752" s="286"/>
      <c r="AP752" s="284">
        <f t="shared" si="331"/>
        <v>0</v>
      </c>
      <c r="AQ752" s="281">
        <f t="shared" si="332"/>
        <v>0</v>
      </c>
      <c r="AR752" s="284">
        <f t="shared" si="333"/>
        <v>0</v>
      </c>
      <c r="AS752" s="281">
        <f t="shared" si="334"/>
        <v>0</v>
      </c>
      <c r="AT752" s="284">
        <f t="shared" si="335"/>
        <v>0</v>
      </c>
    </row>
    <row r="753" spans="1:97" s="114" customFormat="1" ht="30.9" x14ac:dyDescent="0.8">
      <c r="A753" s="262">
        <f>ROW()</f>
        <v>753</v>
      </c>
      <c r="C753" s="208"/>
      <c r="D753" s="208"/>
      <c r="E753" s="208"/>
      <c r="F753" s="208"/>
      <c r="G753" s="208"/>
      <c r="H753" s="208"/>
      <c r="J753" s="114" t="str">
        <f t="shared" si="344"/>
        <v/>
      </c>
      <c r="K753" s="114" t="str">
        <f>IF(COUNTBLANK(R753)&gt;0,"",CONCATENATE(R753," for ",N740))</f>
        <v/>
      </c>
      <c r="N753" s="123" t="s">
        <v>125</v>
      </c>
      <c r="O753" s="66" t="s">
        <v>656</v>
      </c>
      <c r="P753" s="121"/>
      <c r="Q753" s="66"/>
      <c r="R753" s="121"/>
      <c r="S753" s="133">
        <f>M740</f>
        <v>0</v>
      </c>
      <c r="T753" s="120"/>
      <c r="U753" s="121" t="s">
        <v>232</v>
      </c>
      <c r="V753" s="133">
        <f t="shared" si="337"/>
        <v>0</v>
      </c>
      <c r="W753" s="133">
        <f>VLOOKUP(U753,Sheet1!$B$6:$C$45,2,FALSE)*V753</f>
        <v>0</v>
      </c>
      <c r="X753" s="141"/>
      <c r="Y753" s="122" t="s">
        <v>1345</v>
      </c>
      <c r="Z753" s="146">
        <f>VLOOKUP(Takeoffs!Y753,Sheet1!$B$6:$C$124,2,FALSE)</f>
        <v>109.25999999999999</v>
      </c>
      <c r="AA753" s="146">
        <f t="shared" si="338"/>
        <v>0</v>
      </c>
      <c r="AB753" s="143">
        <f t="shared" si="339"/>
        <v>0</v>
      </c>
      <c r="AC753" s="133">
        <f t="shared" si="340"/>
        <v>0</v>
      </c>
      <c r="AD753" s="142">
        <v>2</v>
      </c>
      <c r="AE753" s="141"/>
      <c r="AF753" s="121" t="s">
        <v>292</v>
      </c>
      <c r="AG753" s="146">
        <f>VLOOKUP(Takeoffs!AF753,Sheet1!$B$6:$C$124,2,FALSE)</f>
        <v>0</v>
      </c>
      <c r="AH753" s="146">
        <f t="shared" si="341"/>
        <v>0</v>
      </c>
      <c r="AI753" s="143">
        <f t="shared" si="342"/>
        <v>0</v>
      </c>
      <c r="AJ753" s="133">
        <f t="shared" si="343"/>
        <v>0</v>
      </c>
      <c r="AK753" s="142">
        <f t="shared" ref="AK753:AK760" si="345">T753</f>
        <v>0</v>
      </c>
      <c r="AL753" s="141"/>
      <c r="AO753" s="286"/>
      <c r="AP753" s="284">
        <f t="shared" si="331"/>
        <v>0</v>
      </c>
      <c r="AQ753" s="281">
        <f t="shared" si="332"/>
        <v>0</v>
      </c>
      <c r="AR753" s="284">
        <f t="shared" si="333"/>
        <v>0</v>
      </c>
      <c r="AS753" s="281">
        <f t="shared" si="334"/>
        <v>0</v>
      </c>
      <c r="AT753" s="284">
        <f t="shared" si="335"/>
        <v>0</v>
      </c>
    </row>
    <row r="754" spans="1:97" s="114" customFormat="1" ht="30.9" x14ac:dyDescent="0.8">
      <c r="A754" s="262">
        <f>ROW()</f>
        <v>754</v>
      </c>
      <c r="C754" s="208"/>
      <c r="D754" s="208"/>
      <c r="E754" s="208"/>
      <c r="F754" s="208"/>
      <c r="G754" s="208"/>
      <c r="H754" s="208"/>
      <c r="J754" s="114" t="str">
        <f t="shared" si="344"/>
        <v>Coordination Note: - Fire trade: Please refer to our exclusions relating to fire cabling from FIP.</v>
      </c>
      <c r="K754" s="114" t="str">
        <f>IF(COUNTBLANK(R754)&gt;0,"",CONCATENATE(R754," for ",N740))</f>
        <v/>
      </c>
      <c r="N754" s="123" t="s">
        <v>126</v>
      </c>
      <c r="O754" s="66" t="s">
        <v>345</v>
      </c>
      <c r="P754" s="121" t="s">
        <v>380</v>
      </c>
      <c r="Q754" s="66" t="s">
        <v>384</v>
      </c>
      <c r="R754" s="121"/>
      <c r="S754" s="133">
        <f>M740</f>
        <v>0</v>
      </c>
      <c r="T754" s="120"/>
      <c r="U754" s="121" t="s">
        <v>292</v>
      </c>
      <c r="V754" s="133">
        <f t="shared" si="337"/>
        <v>0</v>
      </c>
      <c r="W754" s="133">
        <f>VLOOKUP(U754,Sheet1!$B$6:$C$45,2,FALSE)*V754</f>
        <v>0</v>
      </c>
      <c r="X754" s="141"/>
      <c r="Y754" s="122" t="s">
        <v>326</v>
      </c>
      <c r="Z754" s="146">
        <f>VLOOKUP(Takeoffs!Y754,Sheet1!$B$6:$C$124,2,FALSE)</f>
        <v>29.04</v>
      </c>
      <c r="AA754" s="146">
        <f t="shared" si="338"/>
        <v>0</v>
      </c>
      <c r="AB754" s="143">
        <f t="shared" si="339"/>
        <v>0</v>
      </c>
      <c r="AC754" s="133">
        <f t="shared" si="340"/>
        <v>0</v>
      </c>
      <c r="AD754" s="142">
        <v>1</v>
      </c>
      <c r="AE754" s="141"/>
      <c r="AF754" s="121" t="s">
        <v>292</v>
      </c>
      <c r="AG754" s="146">
        <f>VLOOKUP(Takeoffs!AF754,Sheet1!$B$6:$C$124,2,FALSE)</f>
        <v>0</v>
      </c>
      <c r="AH754" s="146">
        <f t="shared" si="341"/>
        <v>0</v>
      </c>
      <c r="AI754" s="143">
        <f t="shared" si="342"/>
        <v>0</v>
      </c>
      <c r="AJ754" s="133">
        <f t="shared" si="343"/>
        <v>0</v>
      </c>
      <c r="AK754" s="142">
        <f t="shared" si="345"/>
        <v>0</v>
      </c>
      <c r="AL754" s="141"/>
      <c r="AO754" s="286"/>
      <c r="AP754" s="284">
        <f t="shared" si="331"/>
        <v>0</v>
      </c>
      <c r="AQ754" s="281">
        <f t="shared" si="332"/>
        <v>0</v>
      </c>
      <c r="AR754" s="284">
        <f t="shared" si="333"/>
        <v>0</v>
      </c>
      <c r="AS754" s="281">
        <f t="shared" si="334"/>
        <v>0</v>
      </c>
      <c r="AT754" s="284">
        <f t="shared" si="335"/>
        <v>0</v>
      </c>
    </row>
    <row r="755" spans="1:97" s="114" customFormat="1" ht="30.9" x14ac:dyDescent="0.8">
      <c r="A755" s="262">
        <f>ROW()</f>
        <v>755</v>
      </c>
      <c r="C755" s="208"/>
      <c r="D755" s="208"/>
      <c r="E755" s="208"/>
      <c r="F755" s="208"/>
      <c r="G755" s="208"/>
      <c r="H755" s="208"/>
      <c r="J755" s="114" t="str">
        <f t="shared" si="344"/>
        <v/>
      </c>
      <c r="K755" s="114" t="str">
        <f>IF(COUNTBLANK(R755)&gt;0,"",CONCATENATE(R755," for ",N740))</f>
        <v xml:space="preserve">run and fault lights for 2 speed DOL fan with fire shutdown - from MSSB power supply </v>
      </c>
      <c r="N755" s="123" t="s">
        <v>127</v>
      </c>
      <c r="O755" s="66" t="s">
        <v>337</v>
      </c>
      <c r="P755" s="121"/>
      <c r="Q755" s="66"/>
      <c r="R755" s="121" t="s">
        <v>331</v>
      </c>
      <c r="S755" s="133">
        <f>M740</f>
        <v>0</v>
      </c>
      <c r="T755" s="120"/>
      <c r="U755" s="121" t="s">
        <v>292</v>
      </c>
      <c r="V755" s="133">
        <f t="shared" si="337"/>
        <v>0</v>
      </c>
      <c r="W755" s="133">
        <f>VLOOKUP(U755,Sheet1!$B$6:$C$45,2,FALSE)*V755</f>
        <v>0</v>
      </c>
      <c r="X755" s="141"/>
      <c r="Y755" s="122" t="s">
        <v>280</v>
      </c>
      <c r="Z755" s="146">
        <f>VLOOKUP(Takeoffs!Y755,Sheet1!$B$6:$C$124,2,FALSE)</f>
        <v>19.2</v>
      </c>
      <c r="AA755" s="146">
        <f t="shared" si="338"/>
        <v>0</v>
      </c>
      <c r="AB755" s="143">
        <f t="shared" si="339"/>
        <v>0</v>
      </c>
      <c r="AC755" s="133">
        <f t="shared" si="340"/>
        <v>0</v>
      </c>
      <c r="AD755" s="142">
        <v>2</v>
      </c>
      <c r="AE755" s="141"/>
      <c r="AF755" s="121" t="s">
        <v>292</v>
      </c>
      <c r="AG755" s="146">
        <f>VLOOKUP(Takeoffs!AF755,Sheet1!$B$6:$C$124,2,FALSE)</f>
        <v>0</v>
      </c>
      <c r="AH755" s="146">
        <f t="shared" si="341"/>
        <v>0</v>
      </c>
      <c r="AI755" s="143">
        <f t="shared" si="342"/>
        <v>0</v>
      </c>
      <c r="AJ755" s="133">
        <f t="shared" si="343"/>
        <v>0</v>
      </c>
      <c r="AK755" s="142">
        <f t="shared" si="345"/>
        <v>0</v>
      </c>
      <c r="AL755" s="141"/>
      <c r="AO755" s="286"/>
      <c r="AP755" s="284">
        <f t="shared" si="331"/>
        <v>0</v>
      </c>
      <c r="AQ755" s="281">
        <f t="shared" si="332"/>
        <v>0</v>
      </c>
      <c r="AR755" s="284">
        <f t="shared" si="333"/>
        <v>0</v>
      </c>
      <c r="AS755" s="281">
        <f t="shared" si="334"/>
        <v>0</v>
      </c>
      <c r="AT755" s="284">
        <f t="shared" si="335"/>
        <v>0</v>
      </c>
    </row>
    <row r="756" spans="1:97" s="114" customFormat="1" ht="30.9" x14ac:dyDescent="0.8">
      <c r="A756" s="262">
        <f>ROW()</f>
        <v>756</v>
      </c>
      <c r="C756" s="208"/>
      <c r="D756" s="208"/>
      <c r="E756" s="208"/>
      <c r="F756" s="208"/>
      <c r="G756" s="208"/>
      <c r="H756" s="208"/>
      <c r="J756" s="114" t="str">
        <f t="shared" si="344"/>
        <v/>
      </c>
      <c r="K756" s="114" t="str">
        <f>IF(COUNTBLANK(R756)&gt;0,"",CONCATENATE(R756," for ",N740))</f>
        <v/>
      </c>
      <c r="N756" s="123" t="s">
        <v>128</v>
      </c>
      <c r="O756" s="66" t="s">
        <v>499</v>
      </c>
      <c r="P756" s="121"/>
      <c r="Q756" s="66"/>
      <c r="R756" s="121"/>
      <c r="S756" s="133">
        <f>M740</f>
        <v>0</v>
      </c>
      <c r="T756" s="120"/>
      <c r="U756" s="121" t="s">
        <v>292</v>
      </c>
      <c r="V756" s="133">
        <f t="shared" si="337"/>
        <v>0</v>
      </c>
      <c r="W756" s="133">
        <f>VLOOKUP(U756,Sheet1!$B$6:$C$45,2,FALSE)*V756</f>
        <v>0</v>
      </c>
      <c r="X756" s="141"/>
      <c r="Y756" s="135" t="s">
        <v>422</v>
      </c>
      <c r="Z756" s="146">
        <f>VLOOKUP(Takeoffs!Y756,Sheet1!$B$6:$C$124,2,FALSE)</f>
        <v>23.4</v>
      </c>
      <c r="AA756" s="146">
        <f t="shared" si="338"/>
        <v>0</v>
      </c>
      <c r="AB756" s="143">
        <f t="shared" si="339"/>
        <v>0</v>
      </c>
      <c r="AC756" s="133">
        <f t="shared" si="340"/>
        <v>0</v>
      </c>
      <c r="AD756" s="142">
        <v>2</v>
      </c>
      <c r="AE756" s="141"/>
      <c r="AF756" s="121" t="s">
        <v>292</v>
      </c>
      <c r="AG756" s="146">
        <f>VLOOKUP(Takeoffs!AF756,Sheet1!$B$6:$C$124,2,FALSE)</f>
        <v>0</v>
      </c>
      <c r="AH756" s="146">
        <f t="shared" si="341"/>
        <v>0</v>
      </c>
      <c r="AI756" s="143">
        <f t="shared" si="342"/>
        <v>0</v>
      </c>
      <c r="AJ756" s="133">
        <f t="shared" si="343"/>
        <v>0</v>
      </c>
      <c r="AK756" s="142">
        <f t="shared" si="345"/>
        <v>0</v>
      </c>
      <c r="AL756" s="141"/>
      <c r="AO756" s="286"/>
      <c r="AP756" s="284">
        <f t="shared" si="331"/>
        <v>0</v>
      </c>
      <c r="AQ756" s="281">
        <f t="shared" si="332"/>
        <v>0</v>
      </c>
      <c r="AR756" s="284">
        <f t="shared" si="333"/>
        <v>0</v>
      </c>
      <c r="AS756" s="281">
        <f t="shared" si="334"/>
        <v>0</v>
      </c>
      <c r="AT756" s="284">
        <f t="shared" si="335"/>
        <v>0</v>
      </c>
    </row>
    <row r="757" spans="1:97" s="114" customFormat="1" ht="30.9" x14ac:dyDescent="0.8">
      <c r="A757" s="262">
        <f>ROW()</f>
        <v>757</v>
      </c>
      <c r="C757" s="208">
        <v>5</v>
      </c>
      <c r="D757" s="208"/>
      <c r="E757" s="208"/>
      <c r="F757" s="208"/>
      <c r="G757" s="208"/>
      <c r="H757" s="208"/>
      <c r="J757" s="114" t="str">
        <f t="shared" si="344"/>
        <v/>
      </c>
      <c r="K757" s="114" t="str">
        <f>IF(COUNTBLANK(R757)&gt;0,"",CONCATENATE(R757," for ",N740))</f>
        <v xml:space="preserve">Auto/Off/On switch for 2 speed DOL fan with fire shutdown - from MSSB power supply </v>
      </c>
      <c r="N757" s="123" t="s">
        <v>129</v>
      </c>
      <c r="O757" s="66" t="s">
        <v>329</v>
      </c>
      <c r="P757" s="121"/>
      <c r="Q757" s="66"/>
      <c r="R757" s="121" t="s">
        <v>304</v>
      </c>
      <c r="S757" s="133">
        <f>M740</f>
        <v>0</v>
      </c>
      <c r="T757" s="120"/>
      <c r="U757" s="121" t="s">
        <v>292</v>
      </c>
      <c r="V757" s="133">
        <f t="shared" si="337"/>
        <v>0</v>
      </c>
      <c r="W757" s="133">
        <f>VLOOKUP(U757,Sheet1!$B$6:$C$45,2,FALSE)*V757</f>
        <v>0</v>
      </c>
      <c r="X757" s="141"/>
      <c r="Y757" s="122" t="s">
        <v>277</v>
      </c>
      <c r="Z757" s="146">
        <f>VLOOKUP(Takeoffs!Y757,Sheet1!$B$6:$C$124,2,FALSE)</f>
        <v>69.540000000000006</v>
      </c>
      <c r="AA757" s="146">
        <f t="shared" si="338"/>
        <v>0</v>
      </c>
      <c r="AB757" s="143">
        <f t="shared" si="339"/>
        <v>0</v>
      </c>
      <c r="AC757" s="133">
        <f t="shared" si="340"/>
        <v>0</v>
      </c>
      <c r="AD757" s="142">
        <v>1</v>
      </c>
      <c r="AE757" s="141"/>
      <c r="AF757" s="121" t="s">
        <v>292</v>
      </c>
      <c r="AG757" s="146">
        <f>VLOOKUP(Takeoffs!AF757,Sheet1!$B$6:$C$124,2,FALSE)</f>
        <v>0</v>
      </c>
      <c r="AH757" s="146">
        <f t="shared" si="341"/>
        <v>0</v>
      </c>
      <c r="AI757" s="143">
        <f t="shared" si="342"/>
        <v>0</v>
      </c>
      <c r="AJ757" s="133">
        <f t="shared" si="343"/>
        <v>0</v>
      </c>
      <c r="AK757" s="142">
        <f t="shared" si="345"/>
        <v>0</v>
      </c>
      <c r="AL757" s="141"/>
      <c r="AO757" s="286"/>
      <c r="AP757" s="284">
        <f t="shared" si="331"/>
        <v>0</v>
      </c>
      <c r="AQ757" s="281">
        <f t="shared" si="332"/>
        <v>0</v>
      </c>
      <c r="AR757" s="284">
        <f t="shared" si="333"/>
        <v>0</v>
      </c>
      <c r="AS757" s="281">
        <f t="shared" si="334"/>
        <v>0</v>
      </c>
      <c r="AT757" s="284">
        <f t="shared" si="335"/>
        <v>0</v>
      </c>
    </row>
    <row r="758" spans="1:97" s="114" customFormat="1" ht="30.9" x14ac:dyDescent="0.8">
      <c r="A758" s="262">
        <f>ROW()</f>
        <v>758</v>
      </c>
      <c r="C758" s="208"/>
      <c r="D758" s="208"/>
      <c r="E758" s="208"/>
      <c r="F758" s="208"/>
      <c r="G758" s="208"/>
      <c r="H758" s="208"/>
      <c r="J758" s="114" t="str">
        <f t="shared" si="344"/>
        <v/>
      </c>
      <c r="K758" s="114" t="str">
        <f>IF(COUNTBLANK(R758)&gt;0,"",CONCATENATE(R758," for ",N740))</f>
        <v/>
      </c>
      <c r="N758" s="123" t="s">
        <v>130</v>
      </c>
      <c r="O758" s="66" t="s">
        <v>657</v>
      </c>
      <c r="P758" s="121"/>
      <c r="Q758" s="66"/>
      <c r="R758" s="121"/>
      <c r="S758" s="133">
        <f>M740</f>
        <v>0</v>
      </c>
      <c r="T758" s="120"/>
      <c r="U758" s="121" t="s">
        <v>292</v>
      </c>
      <c r="V758" s="133">
        <f t="shared" si="337"/>
        <v>0</v>
      </c>
      <c r="W758" s="133">
        <f>VLOOKUP(U758,Sheet1!$B$6:$C$45,2,FALSE)*V758</f>
        <v>0</v>
      </c>
      <c r="X758" s="141"/>
      <c r="Y758" s="122" t="s">
        <v>277</v>
      </c>
      <c r="Z758" s="146">
        <f>VLOOKUP(Takeoffs!Y758,Sheet1!$B$6:$C$124,2,FALSE)</f>
        <v>69.540000000000006</v>
      </c>
      <c r="AA758" s="146">
        <f t="shared" si="338"/>
        <v>0</v>
      </c>
      <c r="AB758" s="143">
        <f t="shared" si="339"/>
        <v>0</v>
      </c>
      <c r="AC758" s="133">
        <f t="shared" si="340"/>
        <v>0</v>
      </c>
      <c r="AD758" s="142">
        <v>1</v>
      </c>
      <c r="AE758" s="141"/>
      <c r="AF758" s="121" t="s">
        <v>292</v>
      </c>
      <c r="AG758" s="146">
        <f>VLOOKUP(Takeoffs!AF758,Sheet1!$B$6:$C$124,2,FALSE)</f>
        <v>0</v>
      </c>
      <c r="AH758" s="146">
        <f t="shared" si="341"/>
        <v>0</v>
      </c>
      <c r="AI758" s="143">
        <f t="shared" si="342"/>
        <v>0</v>
      </c>
      <c r="AJ758" s="133">
        <f t="shared" si="343"/>
        <v>0</v>
      </c>
      <c r="AK758" s="142">
        <f t="shared" si="345"/>
        <v>0</v>
      </c>
      <c r="AL758" s="141"/>
      <c r="AO758" s="286"/>
      <c r="AP758" s="284">
        <f t="shared" si="331"/>
        <v>0</v>
      </c>
      <c r="AQ758" s="281">
        <f t="shared" si="332"/>
        <v>0</v>
      </c>
      <c r="AR758" s="284">
        <f t="shared" si="333"/>
        <v>0</v>
      </c>
      <c r="AS758" s="281">
        <f t="shared" si="334"/>
        <v>0</v>
      </c>
      <c r="AT758" s="284">
        <f t="shared" si="335"/>
        <v>0</v>
      </c>
    </row>
    <row r="759" spans="1:97" s="114" customFormat="1" ht="30.9" x14ac:dyDescent="0.8">
      <c r="A759" s="262">
        <f>ROW()</f>
        <v>759</v>
      </c>
      <c r="C759" s="208"/>
      <c r="D759" s="208"/>
      <c r="E759" s="208"/>
      <c r="F759" s="208"/>
      <c r="G759" s="208"/>
      <c r="H759" s="208"/>
      <c r="J759" s="114" t="str">
        <f t="shared" si="344"/>
        <v/>
      </c>
      <c r="K759" s="114" t="str">
        <f>IF(COUNTBLANK(R759)&gt;0,"",CONCATENATE(R759," for ",N740))</f>
        <v/>
      </c>
      <c r="N759" s="123" t="s">
        <v>131</v>
      </c>
      <c r="O759" s="66" t="s">
        <v>407</v>
      </c>
      <c r="P759" s="121"/>
      <c r="Q759" s="66"/>
      <c r="R759" s="121"/>
      <c r="S759" s="133">
        <f>M740</f>
        <v>0</v>
      </c>
      <c r="T759" s="120"/>
      <c r="U759" s="121" t="s">
        <v>292</v>
      </c>
      <c r="V759" s="133">
        <f t="shared" si="337"/>
        <v>0</v>
      </c>
      <c r="W759" s="133">
        <f>VLOOKUP(U759,Sheet1!$B$6:$C$45,2,FALSE)*V759</f>
        <v>0</v>
      </c>
      <c r="X759" s="141"/>
      <c r="Y759" s="121" t="s">
        <v>274</v>
      </c>
      <c r="Z759" s="146">
        <f>VLOOKUP(Takeoffs!Y759,Sheet1!$B$6:$C$124,2,FALSE)</f>
        <v>360</v>
      </c>
      <c r="AA759" s="146">
        <f t="shared" si="338"/>
        <v>0</v>
      </c>
      <c r="AB759" s="143">
        <f t="shared" si="339"/>
        <v>0</v>
      </c>
      <c r="AC759" s="133">
        <f t="shared" si="340"/>
        <v>0</v>
      </c>
      <c r="AD759" s="142">
        <v>1</v>
      </c>
      <c r="AE759" s="141"/>
      <c r="AF759" s="121" t="s">
        <v>292</v>
      </c>
      <c r="AG759" s="146">
        <f>VLOOKUP(Takeoffs!AF759,Sheet1!$B$6:$C$124,2,FALSE)</f>
        <v>0</v>
      </c>
      <c r="AH759" s="146">
        <f t="shared" si="341"/>
        <v>0</v>
      </c>
      <c r="AI759" s="143">
        <f t="shared" si="342"/>
        <v>0</v>
      </c>
      <c r="AJ759" s="133">
        <f t="shared" si="343"/>
        <v>0</v>
      </c>
      <c r="AK759" s="142">
        <f t="shared" si="345"/>
        <v>0</v>
      </c>
      <c r="AL759" s="141"/>
      <c r="AO759" s="286"/>
      <c r="AP759" s="284">
        <f t="shared" si="331"/>
        <v>0</v>
      </c>
      <c r="AQ759" s="281">
        <f t="shared" si="332"/>
        <v>0</v>
      </c>
      <c r="AR759" s="284">
        <f t="shared" si="333"/>
        <v>0</v>
      </c>
      <c r="AS759" s="281">
        <f t="shared" si="334"/>
        <v>0</v>
      </c>
      <c r="AT759" s="284">
        <f t="shared" si="335"/>
        <v>0</v>
      </c>
    </row>
    <row r="760" spans="1:97" s="114" customFormat="1" ht="30.9" x14ac:dyDescent="0.8">
      <c r="A760" s="262">
        <f>ROW()</f>
        <v>760</v>
      </c>
      <c r="C760" s="208"/>
      <c r="D760" s="208"/>
      <c r="E760" s="208"/>
      <c r="F760" s="208"/>
      <c r="G760" s="208"/>
      <c r="H760" s="208"/>
      <c r="J760" s="114" t="str">
        <f t="shared" si="344"/>
        <v/>
      </c>
      <c r="K760" s="114" t="str">
        <f>IF(COUNTBLANK(R760)&gt;0,"",CONCATENATE(R760," for ",N740))</f>
        <v/>
      </c>
      <c r="N760" s="123" t="s">
        <v>132</v>
      </c>
      <c r="O760" s="66" t="s">
        <v>408</v>
      </c>
      <c r="P760" s="121"/>
      <c r="Q760" s="66"/>
      <c r="R760" s="121"/>
      <c r="S760" s="133">
        <f>M740</f>
        <v>0</v>
      </c>
      <c r="T760" s="120"/>
      <c r="U760" s="121" t="s">
        <v>362</v>
      </c>
      <c r="V760" s="133">
        <f t="shared" si="337"/>
        <v>0</v>
      </c>
      <c r="W760" s="133">
        <f>VLOOKUP(U760,Sheet1!$B$6:$C$45,2,FALSE)*V760</f>
        <v>0</v>
      </c>
      <c r="X760" s="141"/>
      <c r="Y760" s="121" t="s">
        <v>292</v>
      </c>
      <c r="Z760" s="146">
        <f>VLOOKUP(Takeoffs!Y760,Sheet1!$B$6:$C$124,2,FALSE)</f>
        <v>0</v>
      </c>
      <c r="AA760" s="146">
        <f t="shared" si="338"/>
        <v>0</v>
      </c>
      <c r="AB760" s="143">
        <f t="shared" si="339"/>
        <v>0</v>
      </c>
      <c r="AC760" s="133">
        <f t="shared" si="340"/>
        <v>0</v>
      </c>
      <c r="AD760" s="142">
        <v>1</v>
      </c>
      <c r="AE760" s="141"/>
      <c r="AF760" s="121" t="s">
        <v>292</v>
      </c>
      <c r="AG760" s="146">
        <f>VLOOKUP(Takeoffs!AF760,Sheet1!$B$6:$C$124,2,FALSE)</f>
        <v>0</v>
      </c>
      <c r="AH760" s="146">
        <f t="shared" si="341"/>
        <v>0</v>
      </c>
      <c r="AI760" s="143">
        <f t="shared" si="342"/>
        <v>0</v>
      </c>
      <c r="AJ760" s="133">
        <f t="shared" si="343"/>
        <v>0</v>
      </c>
      <c r="AK760" s="142">
        <f t="shared" si="345"/>
        <v>0</v>
      </c>
      <c r="AL760" s="141"/>
      <c r="AO760" s="286"/>
      <c r="AP760" s="284">
        <f t="shared" si="331"/>
        <v>0</v>
      </c>
      <c r="AQ760" s="281">
        <f t="shared" si="332"/>
        <v>0</v>
      </c>
      <c r="AR760" s="284">
        <f t="shared" si="333"/>
        <v>0</v>
      </c>
      <c r="AS760" s="281">
        <f t="shared" si="334"/>
        <v>0</v>
      </c>
      <c r="AT760" s="284">
        <f t="shared" si="335"/>
        <v>0</v>
      </c>
    </row>
    <row r="761" spans="1:97" s="128" customFormat="1" ht="32.25" customHeight="1" thickBot="1" x14ac:dyDescent="0.85">
      <c r="A761" s="262">
        <f>ROW()</f>
        <v>761</v>
      </c>
      <c r="C761" s="212"/>
      <c r="D761" s="212"/>
      <c r="E761" s="212"/>
      <c r="F761" s="212"/>
      <c r="G761" s="212"/>
      <c r="H761" s="212"/>
      <c r="J761" s="128" t="s">
        <v>377</v>
      </c>
      <c r="L761" s="128" t="s">
        <v>378</v>
      </c>
      <c r="N761" s="129"/>
      <c r="O761" s="130" t="s">
        <v>357</v>
      </c>
      <c r="P761" s="155">
        <f>V761+AA761+AH761</f>
        <v>0</v>
      </c>
      <c r="Q761" s="155"/>
      <c r="R761" s="131"/>
      <c r="S761" s="130"/>
      <c r="T761" s="127"/>
      <c r="U761" s="126" t="s">
        <v>351</v>
      </c>
      <c r="V761" s="127">
        <f>W761*80</f>
        <v>0</v>
      </c>
      <c r="W761" s="147">
        <f>SUM(W740:W760)</f>
        <v>0</v>
      </c>
      <c r="X761" s="148"/>
      <c r="Y761" s="127" t="s">
        <v>352</v>
      </c>
      <c r="Z761" s="116"/>
      <c r="AA761" s="116">
        <f>SUM(AA740:AA760)</f>
        <v>0</v>
      </c>
      <c r="AB761" s="149"/>
      <c r="AC761" s="149"/>
      <c r="AD761" s="149"/>
      <c r="AE761" s="149"/>
      <c r="AF761" s="127" t="s">
        <v>356</v>
      </c>
      <c r="AG761" s="116"/>
      <c r="AH761" s="116">
        <f>SUM(AH740:AH760)</f>
        <v>0</v>
      </c>
      <c r="AI761" s="149"/>
      <c r="AJ761" s="149"/>
      <c r="AK761" s="149"/>
      <c r="AL761" s="149"/>
      <c r="AM761" s="150">
        <f>P761</f>
        <v>0</v>
      </c>
      <c r="AO761" s="286"/>
      <c r="AP761" s="284">
        <f t="shared" si="331"/>
        <v>0</v>
      </c>
      <c r="AQ761" s="281">
        <f t="shared" si="332"/>
        <v>0</v>
      </c>
      <c r="AR761" s="284">
        <f t="shared" si="333"/>
        <v>0</v>
      </c>
      <c r="AS761" s="281">
        <f t="shared" si="334"/>
        <v>0</v>
      </c>
      <c r="AT761" s="284">
        <f t="shared" si="335"/>
        <v>0</v>
      </c>
    </row>
    <row r="762" spans="1:97" s="234" customFormat="1" ht="158.15" thickBot="1" x14ac:dyDescent="1.25">
      <c r="A762" s="262">
        <f>ROW()</f>
        <v>762</v>
      </c>
      <c r="B762" s="234" t="s">
        <v>491</v>
      </c>
      <c r="C762" s="217" t="str">
        <f>N740</f>
        <v xml:space="preserve">2 speed DOL fan with fire shutdown - from MSSB power supply </v>
      </c>
      <c r="D762" s="260" t="str">
        <f>IF(B762="Shopping List",IF(ISNUMBER(SEARCH("MSSB",C762)),"MSSB",IF(ISNUMBER(SEARCH("local",C762)),"LOCAL","")))</f>
        <v>MSSB</v>
      </c>
      <c r="E762" s="238"/>
      <c r="F762" s="217"/>
      <c r="G762" s="217"/>
      <c r="H762" s="245">
        <v>4</v>
      </c>
      <c r="I762" s="270"/>
      <c r="J762" s="241" t="str">
        <f>CONCATENATE(O740," ",L740, " (",M740,") ",N740,".", IF(M740&gt;1," Each "," This "),"includes supply and install of ",O741,O742,O743,O744,O745,O746,O747,O748,O749,O750,O751,O752,O753,O754,O755,O756,O757,O758,O759,O760,J741,J742,J743,J744,J745,J746,J747,J748,J749,J750,J751,J752,J753,J754,J755,J756,J757,J758,J759,J760)</f>
        <v>Electrical power supply and controls ( Excluding BMS) to Zero (0) 2 speed DOL fan with fire shutdown - from MSSB power supply . This includes supply and install of power and controls. Power for system includes: 2xCB, 2xcabling from MSSB, and 2xlocal isolator. Controls for system includes: controls cabling, 2Xcontactors/relays, fire relay for interface with fire trade, run and fault lights, current switch for fan status, Auto/Off/On switch, Hi/low speed switchtrefolyte labelling, and commissioning/testing. Coordination Note: - Fire trade: Please refer to our exclusions relating to fire cabling from FIP.</v>
      </c>
      <c r="K762" s="248">
        <f>P761</f>
        <v>0</v>
      </c>
      <c r="L762" s="234" t="str">
        <f>CONCATENATE(Q741,Q742,Q743,Q744,Q745,Q746,Q747,Q748,Q749,Q750,Q751,Q752,Q753,Q754,Q755,Q756,Q757,Q758,Q759,Q760,)</f>
        <v>fire cabling from FIP.</v>
      </c>
      <c r="M762" s="166" t="s">
        <v>367</v>
      </c>
      <c r="N762" s="160" t="str">
        <f>N740</f>
        <v xml:space="preserve">2 speed DOL fan with fire shutdown - from MSSB power supply </v>
      </c>
      <c r="O762" s="185" t="s">
        <v>365</v>
      </c>
      <c r="P762" s="203" t="e">
        <f>P761/M740</f>
        <v>#DIV/0!</v>
      </c>
      <c r="Q762" s="195"/>
      <c r="R762" s="188"/>
      <c r="S762" s="160"/>
      <c r="T762" s="161"/>
      <c r="U762" s="503" t="s">
        <v>366</v>
      </c>
      <c r="V762" s="503"/>
      <c r="W762" s="162" t="e">
        <f>W761/M740</f>
        <v>#DIV/0!</v>
      </c>
      <c r="X762" s="163"/>
      <c r="Y762" s="501" t="s">
        <v>365</v>
      </c>
      <c r="Z762" s="501"/>
      <c r="AA762" s="164" t="e">
        <f>AA761/M740</f>
        <v>#DIV/0!</v>
      </c>
      <c r="AB762" s="161"/>
      <c r="AC762" s="161"/>
      <c r="AD762" s="161"/>
      <c r="AE762" s="161"/>
      <c r="AF762" s="501" t="s">
        <v>365</v>
      </c>
      <c r="AG762" s="501"/>
      <c r="AH762" s="164" t="e">
        <f>AH761/M740</f>
        <v>#DIV/0!</v>
      </c>
      <c r="AI762" s="161"/>
      <c r="AJ762" s="161"/>
      <c r="AK762" s="161"/>
      <c r="AL762" s="247"/>
      <c r="AM762" s="257"/>
      <c r="AN762" s="236">
        <f>K762*$D$9</f>
        <v>0</v>
      </c>
      <c r="AO762" s="286"/>
      <c r="AP762" s="284">
        <f t="shared" si="331"/>
        <v>0</v>
      </c>
      <c r="AQ762" s="281">
        <f t="shared" si="332"/>
        <v>0</v>
      </c>
      <c r="AR762" s="284">
        <f t="shared" si="333"/>
        <v>0</v>
      </c>
      <c r="AS762" s="281">
        <f t="shared" si="334"/>
        <v>0</v>
      </c>
      <c r="AT762" s="284">
        <f t="shared" si="335"/>
        <v>0</v>
      </c>
      <c r="AU762" s="117"/>
      <c r="AV762" s="117"/>
      <c r="AW762" s="117"/>
      <c r="AX762" s="117"/>
      <c r="AY762" s="117"/>
      <c r="AZ762" s="117"/>
      <c r="BA762" s="117"/>
      <c r="BB762" s="117"/>
      <c r="BC762" s="117"/>
      <c r="BD762" s="117"/>
      <c r="BE762" s="117"/>
      <c r="BF762" s="117"/>
      <c r="BG762" s="117"/>
      <c r="BH762" s="117"/>
      <c r="BI762" s="117"/>
      <c r="BJ762" s="117"/>
      <c r="BK762" s="117"/>
      <c r="BL762" s="117"/>
      <c r="BM762" s="117"/>
      <c r="BN762" s="117"/>
      <c r="BO762" s="117"/>
      <c r="BP762" s="117"/>
      <c r="BQ762" s="117"/>
      <c r="BR762" s="117"/>
      <c r="BS762" s="117"/>
      <c r="BT762" s="117"/>
      <c r="BU762" s="117"/>
      <c r="BV762" s="117"/>
      <c r="BW762" s="117"/>
      <c r="BX762" s="117"/>
      <c r="BY762" s="117"/>
      <c r="BZ762" s="117"/>
      <c r="CA762" s="117"/>
      <c r="CB762" s="117"/>
      <c r="CC762" s="117"/>
      <c r="CD762" s="117"/>
      <c r="CE762" s="117"/>
      <c r="CF762" s="117"/>
      <c r="CG762" s="117"/>
      <c r="CH762" s="117"/>
      <c r="CI762" s="117"/>
      <c r="CJ762" s="117"/>
      <c r="CK762" s="117"/>
      <c r="CL762" s="117"/>
      <c r="CM762" s="117"/>
      <c r="CN762" s="117"/>
      <c r="CO762" s="117"/>
      <c r="CP762" s="117"/>
      <c r="CQ762" s="117"/>
      <c r="CR762" s="117"/>
      <c r="CS762" s="117"/>
    </row>
    <row r="763" spans="1:97" s="116" customFormat="1" ht="193.5" customHeight="1" x14ac:dyDescent="0.8">
      <c r="A763" s="262">
        <f>ROW()</f>
        <v>763</v>
      </c>
      <c r="C763" s="211"/>
      <c r="D763" s="211"/>
      <c r="E763" s="211"/>
      <c r="F763" s="211"/>
      <c r="G763" s="211"/>
      <c r="H763" s="211"/>
      <c r="K763" s="116" t="s">
        <v>452</v>
      </c>
      <c r="M763" s="116" t="s">
        <v>107</v>
      </c>
      <c r="N763" s="116" t="s">
        <v>108</v>
      </c>
      <c r="O763" s="170" t="s">
        <v>386</v>
      </c>
      <c r="P763" s="502" t="s">
        <v>375</v>
      </c>
      <c r="Q763" s="502"/>
      <c r="R763" s="101" t="s">
        <v>452</v>
      </c>
      <c r="S763" s="116" t="s">
        <v>0</v>
      </c>
      <c r="T763" s="118"/>
      <c r="U763" s="116" t="s">
        <v>287</v>
      </c>
      <c r="V763" s="116" t="s">
        <v>288</v>
      </c>
      <c r="W763" s="116" t="s">
        <v>291</v>
      </c>
      <c r="X763" s="140"/>
      <c r="Y763" s="116" t="s">
        <v>289</v>
      </c>
      <c r="Z763" s="116" t="s">
        <v>354</v>
      </c>
      <c r="AA763" s="116" t="s">
        <v>355</v>
      </c>
      <c r="AB763" s="116" t="s">
        <v>317</v>
      </c>
      <c r="AC763" s="116" t="s">
        <v>318</v>
      </c>
      <c r="AD763" s="116" t="s">
        <v>316</v>
      </c>
      <c r="AE763" s="140"/>
      <c r="AF763" s="116" t="s">
        <v>293</v>
      </c>
      <c r="AG763" s="116" t="s">
        <v>354</v>
      </c>
      <c r="AH763" s="116" t="s">
        <v>355</v>
      </c>
      <c r="AI763" s="116" t="s">
        <v>296</v>
      </c>
      <c r="AJ763" s="116" t="s">
        <v>294</v>
      </c>
      <c r="AK763" s="116" t="s">
        <v>295</v>
      </c>
      <c r="AL763" s="140"/>
      <c r="AO763" s="288"/>
      <c r="AP763" s="284">
        <f t="shared" si="331"/>
        <v>0</v>
      </c>
      <c r="AQ763" s="281">
        <f t="shared" si="332"/>
        <v>0</v>
      </c>
      <c r="AR763" s="284">
        <f t="shared" si="333"/>
        <v>0</v>
      </c>
      <c r="AS763" s="281">
        <f t="shared" si="334"/>
        <v>0</v>
      </c>
      <c r="AT763" s="284">
        <f t="shared" si="335"/>
        <v>0</v>
      </c>
    </row>
    <row r="764" spans="1:97" s="114" customFormat="1" ht="60" customHeight="1" x14ac:dyDescent="0.8">
      <c r="A764" s="262">
        <f>ROW()</f>
        <v>764</v>
      </c>
      <c r="C764" s="208"/>
      <c r="D764" s="208"/>
      <c r="E764" s="208"/>
      <c r="F764" s="208"/>
      <c r="G764" s="208"/>
      <c r="H764" s="208"/>
      <c r="L764" s="124" t="str">
        <f>VLOOKUP(M764,Sheet2!$D$2:$E$1024,2,FALSE)</f>
        <v>Zero</v>
      </c>
      <c r="M764" s="121">
        <f>I786</f>
        <v>0</v>
      </c>
      <c r="N764" s="132" t="s">
        <v>487</v>
      </c>
      <c r="O764" s="121" t="s">
        <v>488</v>
      </c>
      <c r="P764" s="169" t="s">
        <v>379</v>
      </c>
      <c r="Q764" s="169" t="s">
        <v>375</v>
      </c>
      <c r="R764" s="169"/>
      <c r="S764" s="133">
        <f>M764</f>
        <v>0</v>
      </c>
      <c r="T764" s="119"/>
      <c r="U764" s="121" t="s">
        <v>292</v>
      </c>
      <c r="V764" s="133">
        <f>S764</f>
        <v>0</v>
      </c>
      <c r="W764" s="133">
        <f>VLOOKUP(U764,Sheet1!$B$6:$C$45,2,FALSE)*V764</f>
        <v>0</v>
      </c>
      <c r="X764" s="141"/>
      <c r="Y764" s="121" t="s">
        <v>292</v>
      </c>
      <c r="Z764" s="146">
        <f>VLOOKUP(Takeoffs!Y764,Sheet1!$B$6:$C$124,2,FALSE)</f>
        <v>0</v>
      </c>
      <c r="AA764" s="146">
        <f>Z764*AB764</f>
        <v>0</v>
      </c>
      <c r="AB764" s="143">
        <f>AD764*AC764</f>
        <v>0</v>
      </c>
      <c r="AC764" s="133">
        <f>S764</f>
        <v>0</v>
      </c>
      <c r="AD764" s="142">
        <v>1</v>
      </c>
      <c r="AE764" s="141"/>
      <c r="AF764" s="121" t="s">
        <v>292</v>
      </c>
      <c r="AG764" s="146">
        <f>VLOOKUP(Takeoffs!AF764,Sheet1!$B$6:$C$124,2,FALSE)</f>
        <v>0</v>
      </c>
      <c r="AH764" s="146">
        <f>AG764*AI764</f>
        <v>0</v>
      </c>
      <c r="AI764" s="143">
        <f>AK764*AJ764</f>
        <v>0</v>
      </c>
      <c r="AJ764" s="133">
        <f>S764</f>
        <v>0</v>
      </c>
      <c r="AK764" s="142">
        <f>T764</f>
        <v>0</v>
      </c>
      <c r="AL764" s="141"/>
      <c r="AO764" s="286"/>
      <c r="AP764" s="284">
        <f t="shared" si="331"/>
        <v>0</v>
      </c>
      <c r="AQ764" s="281">
        <f t="shared" si="332"/>
        <v>0</v>
      </c>
      <c r="AR764" s="284">
        <f t="shared" si="333"/>
        <v>0</v>
      </c>
      <c r="AS764" s="281">
        <f t="shared" si="334"/>
        <v>0</v>
      </c>
      <c r="AT764" s="284">
        <f t="shared" si="335"/>
        <v>0</v>
      </c>
    </row>
    <row r="765" spans="1:97" s="114" customFormat="1" ht="30.9" x14ac:dyDescent="0.8">
      <c r="A765" s="262">
        <f>ROW()</f>
        <v>765</v>
      </c>
      <c r="C765" s="208"/>
      <c r="D765" s="208"/>
      <c r="E765" s="208"/>
      <c r="F765" s="208"/>
      <c r="G765" s="208"/>
      <c r="H765" s="208"/>
      <c r="J765" s="114" t="str">
        <f>IF(COUNTBLANK(Q765)&gt;0,"",CONCATENATE("Coordination Note: - ",P765,": Please refer to our exclusions relating to ",Q765))</f>
        <v/>
      </c>
      <c r="K765" s="114" t="str">
        <f>IF(COUNTBLANK(R765)&gt;0,"",CONCATENATE(R765," for ",N764))</f>
        <v/>
      </c>
      <c r="M765" s="117"/>
      <c r="N765" s="123" t="s">
        <v>113</v>
      </c>
      <c r="O765" s="66" t="s">
        <v>340</v>
      </c>
      <c r="P765" s="121"/>
      <c r="Q765" s="66"/>
      <c r="R765" s="121"/>
      <c r="S765" s="133">
        <f>M764</f>
        <v>0</v>
      </c>
      <c r="T765" s="120"/>
      <c r="U765" s="121" t="s">
        <v>292</v>
      </c>
      <c r="V765" s="133">
        <f t="shared" ref="V765:V784" si="346">S765</f>
        <v>0</v>
      </c>
      <c r="W765" s="133">
        <f>VLOOKUP(U765,Sheet1!$B$6:$C$45,2,FALSE)*V765</f>
        <v>0</v>
      </c>
      <c r="X765" s="141"/>
      <c r="Y765" s="121" t="s">
        <v>292</v>
      </c>
      <c r="Z765" s="146">
        <f>VLOOKUP(Takeoffs!Y765,Sheet1!$B$6:$C$124,2,FALSE)</f>
        <v>0</v>
      </c>
      <c r="AA765" s="146">
        <f t="shared" ref="AA765:AA784" si="347">Z765*AB765</f>
        <v>0</v>
      </c>
      <c r="AB765" s="143">
        <f t="shared" ref="AB765:AB784" si="348">AD765*AC765</f>
        <v>0</v>
      </c>
      <c r="AC765" s="133">
        <f>S765</f>
        <v>0</v>
      </c>
      <c r="AD765" s="142">
        <v>1</v>
      </c>
      <c r="AE765" s="141"/>
      <c r="AF765" s="121" t="s">
        <v>292</v>
      </c>
      <c r="AG765" s="146">
        <f>VLOOKUP(Takeoffs!AF765,Sheet1!$B$6:$C$124,2,FALSE)</f>
        <v>0</v>
      </c>
      <c r="AH765" s="146">
        <f t="shared" ref="AH765:AH784" si="349">AG765*AI765</f>
        <v>0</v>
      </c>
      <c r="AI765" s="143">
        <f t="shared" ref="AI765:AI784" si="350">AK765*AJ765</f>
        <v>0</v>
      </c>
      <c r="AJ765" s="133">
        <f t="shared" ref="AJ765:AJ784" si="351">S765</f>
        <v>0</v>
      </c>
      <c r="AK765" s="142">
        <f>T765</f>
        <v>0</v>
      </c>
      <c r="AL765" s="141"/>
      <c r="AO765" s="286"/>
      <c r="AP765" s="284">
        <f t="shared" si="331"/>
        <v>0</v>
      </c>
      <c r="AQ765" s="281">
        <f t="shared" si="332"/>
        <v>0</v>
      </c>
      <c r="AR765" s="284">
        <f t="shared" si="333"/>
        <v>0</v>
      </c>
      <c r="AS765" s="281">
        <f t="shared" si="334"/>
        <v>0</v>
      </c>
      <c r="AT765" s="284">
        <f t="shared" si="335"/>
        <v>0</v>
      </c>
    </row>
    <row r="766" spans="1:97" s="114" customFormat="1" ht="30.9" x14ac:dyDescent="0.8">
      <c r="A766" s="262">
        <f>ROW()</f>
        <v>766</v>
      </c>
      <c r="C766" s="208"/>
      <c r="D766" s="208"/>
      <c r="E766" s="208"/>
      <c r="F766" s="208"/>
      <c r="G766" s="208"/>
      <c r="H766" s="208"/>
      <c r="J766" s="114" t="str">
        <f t="shared" ref="J766:J784" si="352">IF(COUNTBLANK(Q766)&gt;0,"",CONCATENATE("Coordination Note: - ",P766,": Please refer to our exclusions relating to ",Q766))</f>
        <v/>
      </c>
      <c r="K766" s="114" t="str">
        <f>IF(COUNTBLANK(R766)&gt;0,"",CONCATENATE(R766," for ",N764))</f>
        <v/>
      </c>
      <c r="M766" s="117"/>
      <c r="N766" s="123" t="s">
        <v>114</v>
      </c>
      <c r="O766" s="66" t="s">
        <v>308</v>
      </c>
      <c r="P766" s="121"/>
      <c r="Q766" s="66"/>
      <c r="R766" s="121"/>
      <c r="S766" s="133">
        <f>M764</f>
        <v>0</v>
      </c>
      <c r="T766" s="120"/>
      <c r="U766" s="121" t="s">
        <v>292</v>
      </c>
      <c r="V766" s="133">
        <f t="shared" si="346"/>
        <v>0</v>
      </c>
      <c r="W766" s="133">
        <f>VLOOKUP(U766,Sheet1!$B$6:$C$45,2,FALSE)*V766</f>
        <v>0</v>
      </c>
      <c r="X766" s="141"/>
      <c r="Y766" s="122" t="s">
        <v>252</v>
      </c>
      <c r="Z766" s="146">
        <f>VLOOKUP(Takeoffs!Y766,Sheet1!$B$6:$C$124,2,FALSE)</f>
        <v>43.440000000000005</v>
      </c>
      <c r="AA766" s="146">
        <f t="shared" si="347"/>
        <v>0</v>
      </c>
      <c r="AB766" s="143">
        <f t="shared" si="348"/>
        <v>0</v>
      </c>
      <c r="AC766" s="133">
        <f>S766</f>
        <v>0</v>
      </c>
      <c r="AD766" s="142">
        <v>1</v>
      </c>
      <c r="AE766" s="141"/>
      <c r="AF766" s="122" t="s">
        <v>268</v>
      </c>
      <c r="AG766" s="146">
        <f>VLOOKUP(Takeoffs!AF766,Sheet1!$B$6:$C$124,2,FALSE)</f>
        <v>1.02</v>
      </c>
      <c r="AH766" s="146">
        <f t="shared" si="349"/>
        <v>0</v>
      </c>
      <c r="AI766" s="143">
        <f t="shared" si="350"/>
        <v>0</v>
      </c>
      <c r="AJ766" s="133">
        <f t="shared" si="351"/>
        <v>0</v>
      </c>
      <c r="AK766" s="142">
        <v>20</v>
      </c>
      <c r="AL766" s="141"/>
      <c r="AO766" s="286"/>
      <c r="AP766" s="284">
        <f t="shared" si="331"/>
        <v>0</v>
      </c>
      <c r="AQ766" s="281">
        <f t="shared" si="332"/>
        <v>0</v>
      </c>
      <c r="AR766" s="284">
        <f t="shared" si="333"/>
        <v>0</v>
      </c>
      <c r="AS766" s="281">
        <f t="shared" si="334"/>
        <v>0</v>
      </c>
      <c r="AT766" s="284">
        <f t="shared" si="335"/>
        <v>0</v>
      </c>
    </row>
    <row r="767" spans="1:97" s="114" customFormat="1" ht="30.9" x14ac:dyDescent="0.8">
      <c r="A767" s="262">
        <f>ROW()</f>
        <v>767</v>
      </c>
      <c r="C767" s="208"/>
      <c r="D767" s="208"/>
      <c r="E767" s="208"/>
      <c r="F767" s="208"/>
      <c r="G767" s="208"/>
      <c r="H767" s="208"/>
      <c r="J767" s="114" t="str">
        <f t="shared" si="352"/>
        <v/>
      </c>
      <c r="K767" s="114" t="str">
        <f>IF(COUNTBLANK(R767)&gt;0,"",CONCATENATE(R767," for ",N764))</f>
        <v/>
      </c>
      <c r="M767" s="117"/>
      <c r="N767" s="123" t="s">
        <v>115</v>
      </c>
      <c r="O767" s="66" t="s">
        <v>489</v>
      </c>
      <c r="P767" s="121"/>
      <c r="Q767" s="66"/>
      <c r="R767" s="121"/>
      <c r="S767" s="133">
        <f>M764</f>
        <v>0</v>
      </c>
      <c r="T767" s="120"/>
      <c r="U767" s="117" t="s">
        <v>478</v>
      </c>
      <c r="V767" s="133">
        <f t="shared" si="346"/>
        <v>0</v>
      </c>
      <c r="W767" s="133">
        <f>VLOOKUP(U767,Sheet1!$B$6:$C$45,2,FALSE)*V767</f>
        <v>0</v>
      </c>
      <c r="X767" s="141"/>
      <c r="Y767" s="121" t="s">
        <v>292</v>
      </c>
      <c r="Z767" s="146">
        <f>VLOOKUP(Takeoffs!Y767,Sheet1!$B$6:$C$124,2,FALSE)</f>
        <v>0</v>
      </c>
      <c r="AA767" s="146">
        <f t="shared" si="347"/>
        <v>0</v>
      </c>
      <c r="AB767" s="143">
        <f t="shared" si="348"/>
        <v>0</v>
      </c>
      <c r="AC767" s="133">
        <f t="shared" ref="AC767:AC784" si="353">S767</f>
        <v>0</v>
      </c>
      <c r="AD767" s="142">
        <v>1</v>
      </c>
      <c r="AE767" s="141"/>
      <c r="AF767" s="121" t="s">
        <v>292</v>
      </c>
      <c r="AG767" s="146">
        <f>VLOOKUP(Takeoffs!AF767,Sheet1!$B$6:$C$124,2,FALSE)</f>
        <v>0</v>
      </c>
      <c r="AH767" s="146">
        <f t="shared" si="349"/>
        <v>0</v>
      </c>
      <c r="AI767" s="143">
        <f t="shared" si="350"/>
        <v>0</v>
      </c>
      <c r="AJ767" s="133">
        <f t="shared" si="351"/>
        <v>0</v>
      </c>
      <c r="AK767" s="142">
        <f>T767</f>
        <v>0</v>
      </c>
      <c r="AL767" s="141"/>
      <c r="AO767" s="286"/>
      <c r="AP767" s="284">
        <f t="shared" si="331"/>
        <v>0</v>
      </c>
      <c r="AQ767" s="281">
        <f t="shared" si="332"/>
        <v>0</v>
      </c>
      <c r="AR767" s="284">
        <f t="shared" si="333"/>
        <v>0</v>
      </c>
      <c r="AS767" s="281">
        <f t="shared" si="334"/>
        <v>0</v>
      </c>
      <c r="AT767" s="284">
        <f t="shared" si="335"/>
        <v>0</v>
      </c>
    </row>
    <row r="768" spans="1:97" s="114" customFormat="1" ht="30.9" x14ac:dyDescent="0.8">
      <c r="A768" s="262">
        <f>ROW()</f>
        <v>768</v>
      </c>
      <c r="C768" s="208"/>
      <c r="D768" s="208"/>
      <c r="E768" s="208"/>
      <c r="F768" s="208"/>
      <c r="G768" s="208"/>
      <c r="H768" s="208"/>
      <c r="J768" s="114" t="str">
        <f t="shared" si="352"/>
        <v/>
      </c>
      <c r="K768" s="114" t="str">
        <f>IF(COUNTBLANK(R768)&gt;0,"",CONCATENATE(R768," for ",N764))</f>
        <v/>
      </c>
      <c r="M768" s="117"/>
      <c r="N768" s="123" t="s">
        <v>116</v>
      </c>
      <c r="O768" s="66"/>
      <c r="P768" s="121"/>
      <c r="Q768" s="66"/>
      <c r="R768" s="121"/>
      <c r="S768" s="133">
        <f>M764</f>
        <v>0</v>
      </c>
      <c r="T768" s="120"/>
      <c r="U768" s="121" t="s">
        <v>235</v>
      </c>
      <c r="V768" s="133">
        <f t="shared" si="346"/>
        <v>0</v>
      </c>
      <c r="W768" s="133">
        <f>VLOOKUP(U768,Sheet1!$B$6:$C$45,2,FALSE)*V768</f>
        <v>0</v>
      </c>
      <c r="X768" s="141"/>
      <c r="Y768" s="121" t="s">
        <v>292</v>
      </c>
      <c r="Z768" s="146">
        <f>VLOOKUP(Takeoffs!Y768,Sheet1!$B$6:$C$124,2,FALSE)</f>
        <v>0</v>
      </c>
      <c r="AA768" s="146">
        <f t="shared" si="347"/>
        <v>0</v>
      </c>
      <c r="AB768" s="143">
        <f t="shared" si="348"/>
        <v>0</v>
      </c>
      <c r="AC768" s="133">
        <f t="shared" si="353"/>
        <v>0</v>
      </c>
      <c r="AD768" s="142">
        <v>1</v>
      </c>
      <c r="AE768" s="141"/>
      <c r="AF768" s="121" t="s">
        <v>292</v>
      </c>
      <c r="AG768" s="146">
        <f>VLOOKUP(Takeoffs!AF768,Sheet1!$B$6:$C$124,2,FALSE)</f>
        <v>0</v>
      </c>
      <c r="AH768" s="146">
        <f t="shared" si="349"/>
        <v>0</v>
      </c>
      <c r="AI768" s="143">
        <f t="shared" si="350"/>
        <v>0</v>
      </c>
      <c r="AJ768" s="133">
        <f t="shared" si="351"/>
        <v>0</v>
      </c>
      <c r="AK768" s="142">
        <f>T768</f>
        <v>0</v>
      </c>
      <c r="AL768" s="141"/>
      <c r="AO768" s="286"/>
      <c r="AP768" s="284">
        <f t="shared" si="331"/>
        <v>0</v>
      </c>
      <c r="AQ768" s="281">
        <f t="shared" si="332"/>
        <v>0</v>
      </c>
      <c r="AR768" s="284">
        <f t="shared" si="333"/>
        <v>0</v>
      </c>
      <c r="AS768" s="281">
        <f t="shared" si="334"/>
        <v>0</v>
      </c>
      <c r="AT768" s="284">
        <f t="shared" si="335"/>
        <v>0</v>
      </c>
    </row>
    <row r="769" spans="1:46" s="114" customFormat="1" ht="30.9" x14ac:dyDescent="0.8">
      <c r="A769" s="262">
        <f>ROW()</f>
        <v>769</v>
      </c>
      <c r="C769" s="208"/>
      <c r="D769" s="208"/>
      <c r="E769" s="208"/>
      <c r="F769" s="208"/>
      <c r="G769" s="208"/>
      <c r="H769" s="208"/>
      <c r="J769" s="114" t="str">
        <f t="shared" si="352"/>
        <v/>
      </c>
      <c r="K769" s="114" t="str">
        <f>IF(COUNTBLANK(R769)&gt;0,"",CONCATENATE(R769," for ",N764))</f>
        <v/>
      </c>
      <c r="M769" s="117"/>
      <c r="N769" s="123" t="s">
        <v>117</v>
      </c>
      <c r="O769" s="66"/>
      <c r="P769" s="121"/>
      <c r="Q769" s="66"/>
      <c r="R769" s="121"/>
      <c r="S769" s="133">
        <f>M764</f>
        <v>0</v>
      </c>
      <c r="T769" s="120"/>
      <c r="U769" s="121" t="s">
        <v>292</v>
      </c>
      <c r="V769" s="133">
        <f t="shared" si="346"/>
        <v>0</v>
      </c>
      <c r="W769" s="133">
        <f>VLOOKUP(U769,Sheet1!$B$6:$C$45,2,FALSE)*V769</f>
        <v>0</v>
      </c>
      <c r="X769" s="141"/>
      <c r="Y769" s="121" t="s">
        <v>292</v>
      </c>
      <c r="Z769" s="146">
        <f>VLOOKUP(Takeoffs!Y769,Sheet1!$B$6:$C$124,2,FALSE)</f>
        <v>0</v>
      </c>
      <c r="AA769" s="146">
        <f t="shared" si="347"/>
        <v>0</v>
      </c>
      <c r="AB769" s="143">
        <f t="shared" si="348"/>
        <v>0</v>
      </c>
      <c r="AC769" s="133">
        <f t="shared" si="353"/>
        <v>0</v>
      </c>
      <c r="AD769" s="142">
        <v>1</v>
      </c>
      <c r="AE769" s="141"/>
      <c r="AF769" s="122" t="s">
        <v>268</v>
      </c>
      <c r="AG769" s="146">
        <f>VLOOKUP(Takeoffs!AF769,Sheet1!$B$6:$C$124,2,FALSE)</f>
        <v>1.02</v>
      </c>
      <c r="AH769" s="146">
        <f t="shared" si="349"/>
        <v>0</v>
      </c>
      <c r="AI769" s="143">
        <f t="shared" si="350"/>
        <v>0</v>
      </c>
      <c r="AJ769" s="133">
        <f t="shared" si="351"/>
        <v>0</v>
      </c>
      <c r="AK769" s="142">
        <v>3</v>
      </c>
      <c r="AL769" s="141"/>
      <c r="AO769" s="286"/>
      <c r="AP769" s="284">
        <f t="shared" si="331"/>
        <v>0</v>
      </c>
      <c r="AQ769" s="281">
        <f t="shared" si="332"/>
        <v>0</v>
      </c>
      <c r="AR769" s="284">
        <f t="shared" si="333"/>
        <v>0</v>
      </c>
      <c r="AS769" s="281">
        <f t="shared" si="334"/>
        <v>0</v>
      </c>
      <c r="AT769" s="284">
        <f t="shared" si="335"/>
        <v>0</v>
      </c>
    </row>
    <row r="770" spans="1:46" s="114" customFormat="1" ht="30.9" x14ac:dyDescent="0.8">
      <c r="A770" s="262">
        <f>ROW()</f>
        <v>770</v>
      </c>
      <c r="C770" s="208"/>
      <c r="D770" s="208"/>
      <c r="E770" s="208"/>
      <c r="F770" s="208"/>
      <c r="G770" s="208"/>
      <c r="H770" s="208"/>
      <c r="J770" s="114" t="str">
        <f t="shared" si="352"/>
        <v/>
      </c>
      <c r="K770" s="114" t="str">
        <f>IF(COUNTBLANK(R770)&gt;0,"",CONCATENATE(R770," for ",N764))</f>
        <v/>
      </c>
      <c r="M770" s="117"/>
      <c r="N770" s="123" t="s">
        <v>118</v>
      </c>
      <c r="O770" s="66" t="s">
        <v>406</v>
      </c>
      <c r="P770" s="121"/>
      <c r="Q770" s="66"/>
      <c r="R770" s="121"/>
      <c r="S770" s="133">
        <f>M764</f>
        <v>0</v>
      </c>
      <c r="T770" s="120"/>
      <c r="U770" s="121" t="s">
        <v>292</v>
      </c>
      <c r="V770" s="133">
        <f t="shared" si="346"/>
        <v>0</v>
      </c>
      <c r="W770" s="133">
        <f>VLOOKUP(U770,Sheet1!$B$6:$C$45,2,FALSE)*V770</f>
        <v>0</v>
      </c>
      <c r="X770" s="141"/>
      <c r="Y770" s="121" t="s">
        <v>292</v>
      </c>
      <c r="Z770" s="146">
        <f>VLOOKUP(Takeoffs!Y770,Sheet1!$B$6:$C$124,2,FALSE)</f>
        <v>0</v>
      </c>
      <c r="AA770" s="146">
        <f t="shared" si="347"/>
        <v>0</v>
      </c>
      <c r="AB770" s="143">
        <f t="shared" si="348"/>
        <v>0</v>
      </c>
      <c r="AC770" s="133">
        <f t="shared" si="353"/>
        <v>0</v>
      </c>
      <c r="AD770" s="142">
        <v>1</v>
      </c>
      <c r="AE770" s="141"/>
      <c r="AF770" s="121" t="s">
        <v>292</v>
      </c>
      <c r="AG770" s="146">
        <f>VLOOKUP(Takeoffs!AF770,Sheet1!$B$6:$C$124,2,FALSE)</f>
        <v>0</v>
      </c>
      <c r="AH770" s="146">
        <f t="shared" si="349"/>
        <v>0</v>
      </c>
      <c r="AI770" s="143">
        <f t="shared" si="350"/>
        <v>0</v>
      </c>
      <c r="AJ770" s="133">
        <f t="shared" si="351"/>
        <v>0</v>
      </c>
      <c r="AK770" s="142">
        <f>T770</f>
        <v>0</v>
      </c>
      <c r="AL770" s="141"/>
      <c r="AO770" s="286"/>
      <c r="AP770" s="284">
        <f t="shared" si="331"/>
        <v>0</v>
      </c>
      <c r="AQ770" s="281">
        <f t="shared" si="332"/>
        <v>0</v>
      </c>
      <c r="AR770" s="284">
        <f t="shared" si="333"/>
        <v>0</v>
      </c>
      <c r="AS770" s="281">
        <f t="shared" si="334"/>
        <v>0</v>
      </c>
      <c r="AT770" s="284">
        <f t="shared" si="335"/>
        <v>0</v>
      </c>
    </row>
    <row r="771" spans="1:46" s="114" customFormat="1" ht="30.9" x14ac:dyDescent="0.8">
      <c r="A771" s="262">
        <f>ROW()</f>
        <v>771</v>
      </c>
      <c r="C771" s="208"/>
      <c r="D771" s="208"/>
      <c r="E771" s="208"/>
      <c r="F771" s="208"/>
      <c r="G771" s="208"/>
      <c r="H771" s="208"/>
      <c r="J771" s="114" t="str">
        <f t="shared" si="352"/>
        <v/>
      </c>
      <c r="K771" s="114" t="str">
        <f>IF(COUNTBLANK(R771)&gt;0,"",CONCATENATE(R771," for ",N764))</f>
        <v/>
      </c>
      <c r="N771" s="123" t="s">
        <v>119</v>
      </c>
      <c r="O771" s="66"/>
      <c r="P771" s="121"/>
      <c r="Q771" s="66"/>
      <c r="R771" s="121"/>
      <c r="S771" s="133">
        <f>M764</f>
        <v>0</v>
      </c>
      <c r="T771" s="120"/>
      <c r="U771" s="121" t="s">
        <v>292</v>
      </c>
      <c r="V771" s="133">
        <f t="shared" si="346"/>
        <v>0</v>
      </c>
      <c r="W771" s="133">
        <f>VLOOKUP(U771,Sheet1!$B$6:$C$45,2,FALSE)*V771</f>
        <v>0</v>
      </c>
      <c r="X771" s="141"/>
      <c r="Y771" s="121" t="s">
        <v>292</v>
      </c>
      <c r="Z771" s="146">
        <f>VLOOKUP(Takeoffs!Y771,Sheet1!$B$6:$C$124,2,FALSE)</f>
        <v>0</v>
      </c>
      <c r="AA771" s="146">
        <f t="shared" si="347"/>
        <v>0</v>
      </c>
      <c r="AB771" s="143">
        <f t="shared" si="348"/>
        <v>0</v>
      </c>
      <c r="AC771" s="133">
        <f t="shared" si="353"/>
        <v>0</v>
      </c>
      <c r="AD771" s="142">
        <v>1</v>
      </c>
      <c r="AE771" s="141"/>
      <c r="AF771" s="121" t="s">
        <v>292</v>
      </c>
      <c r="AG771" s="146">
        <f>VLOOKUP(Takeoffs!AF771,Sheet1!$B$6:$C$124,2,FALSE)</f>
        <v>0</v>
      </c>
      <c r="AH771" s="146">
        <f t="shared" si="349"/>
        <v>0</v>
      </c>
      <c r="AI771" s="143">
        <f t="shared" si="350"/>
        <v>0</v>
      </c>
      <c r="AJ771" s="133">
        <f t="shared" si="351"/>
        <v>0</v>
      </c>
      <c r="AK771" s="142">
        <f>T771</f>
        <v>0</v>
      </c>
      <c r="AL771" s="141"/>
      <c r="AO771" s="286"/>
      <c r="AP771" s="284">
        <f t="shared" si="331"/>
        <v>0</v>
      </c>
      <c r="AQ771" s="281">
        <f t="shared" si="332"/>
        <v>0</v>
      </c>
      <c r="AR771" s="284">
        <f t="shared" si="333"/>
        <v>0</v>
      </c>
      <c r="AS771" s="281">
        <f t="shared" si="334"/>
        <v>0</v>
      </c>
      <c r="AT771" s="284">
        <f t="shared" si="335"/>
        <v>0</v>
      </c>
    </row>
    <row r="772" spans="1:46" s="114" customFormat="1" ht="30.9" x14ac:dyDescent="0.8">
      <c r="A772" s="262">
        <f>ROW()</f>
        <v>772</v>
      </c>
      <c r="C772" s="208"/>
      <c r="D772" s="208"/>
      <c r="E772" s="208"/>
      <c r="F772" s="208"/>
      <c r="G772" s="208"/>
      <c r="H772" s="208"/>
      <c r="J772" s="114" t="str">
        <f t="shared" si="352"/>
        <v/>
      </c>
      <c r="K772" s="114" t="str">
        <f>IF(COUNTBLANK(R772)&gt;0,"",CONCATENATE(R772," for ",N764))</f>
        <v/>
      </c>
      <c r="N772" s="123" t="s">
        <v>120</v>
      </c>
      <c r="O772" s="66" t="s">
        <v>328</v>
      </c>
      <c r="P772" s="121"/>
      <c r="Q772" s="66"/>
      <c r="R772" s="121"/>
      <c r="S772" s="133">
        <f>M764</f>
        <v>0</v>
      </c>
      <c r="T772" s="120"/>
      <c r="U772" s="121" t="s">
        <v>364</v>
      </c>
      <c r="V772" s="133">
        <f t="shared" si="346"/>
        <v>0</v>
      </c>
      <c r="W772" s="133">
        <f>VLOOKUP(U772,Sheet1!$B$6:$C$45,2,FALSE)*V772</f>
        <v>0</v>
      </c>
      <c r="X772" s="141"/>
      <c r="Y772" s="121" t="s">
        <v>292</v>
      </c>
      <c r="Z772" s="146">
        <f>VLOOKUP(Takeoffs!Y772,Sheet1!$B$6:$C$124,2,FALSE)</f>
        <v>0</v>
      </c>
      <c r="AA772" s="146">
        <f t="shared" si="347"/>
        <v>0</v>
      </c>
      <c r="AB772" s="143">
        <f t="shared" si="348"/>
        <v>0</v>
      </c>
      <c r="AC772" s="133">
        <f t="shared" si="353"/>
        <v>0</v>
      </c>
      <c r="AD772" s="142">
        <v>1</v>
      </c>
      <c r="AE772" s="141"/>
      <c r="AF772" s="121" t="s">
        <v>292</v>
      </c>
      <c r="AG772" s="146">
        <f>VLOOKUP(Takeoffs!AF772,Sheet1!$B$6:$C$124,2,FALSE)</f>
        <v>0</v>
      </c>
      <c r="AH772" s="146">
        <f t="shared" si="349"/>
        <v>0</v>
      </c>
      <c r="AI772" s="143">
        <f t="shared" si="350"/>
        <v>0</v>
      </c>
      <c r="AJ772" s="133">
        <f t="shared" si="351"/>
        <v>0</v>
      </c>
      <c r="AK772" s="142">
        <f>T772</f>
        <v>0</v>
      </c>
      <c r="AL772" s="141"/>
      <c r="AO772" s="286"/>
      <c r="AP772" s="284">
        <f t="shared" si="331"/>
        <v>0</v>
      </c>
      <c r="AQ772" s="281">
        <f t="shared" si="332"/>
        <v>0</v>
      </c>
      <c r="AR772" s="284">
        <f t="shared" si="333"/>
        <v>0</v>
      </c>
      <c r="AS772" s="281">
        <f t="shared" si="334"/>
        <v>0</v>
      </c>
      <c r="AT772" s="284">
        <f t="shared" si="335"/>
        <v>0</v>
      </c>
    </row>
    <row r="773" spans="1:46" s="114" customFormat="1" ht="30.9" x14ac:dyDescent="0.8">
      <c r="A773" s="262">
        <f>ROW()</f>
        <v>773</v>
      </c>
      <c r="C773" s="208"/>
      <c r="D773" s="208"/>
      <c r="E773" s="208"/>
      <c r="F773" s="208"/>
      <c r="G773" s="208"/>
      <c r="H773" s="208"/>
      <c r="J773" s="114" t="str">
        <f t="shared" si="352"/>
        <v/>
      </c>
      <c r="K773" s="114" t="str">
        <f>IF(COUNTBLANK(R773)&gt;0,"",CONCATENATE(R773," for ",N764))</f>
        <v/>
      </c>
      <c r="N773" s="123" t="s">
        <v>121</v>
      </c>
      <c r="O773" s="66"/>
      <c r="P773" s="121"/>
      <c r="Q773" s="66"/>
      <c r="R773" s="121"/>
      <c r="S773" s="133">
        <f>M764</f>
        <v>0</v>
      </c>
      <c r="T773" s="120"/>
      <c r="U773" s="121" t="s">
        <v>292</v>
      </c>
      <c r="V773" s="133">
        <f t="shared" si="346"/>
        <v>0</v>
      </c>
      <c r="W773" s="133">
        <f>VLOOKUP(U773,Sheet1!$B$6:$C$45,2,FALSE)*V773</f>
        <v>0</v>
      </c>
      <c r="X773" s="141"/>
      <c r="Y773" s="121" t="s">
        <v>292</v>
      </c>
      <c r="Z773" s="146">
        <f>VLOOKUP(Takeoffs!Y773,Sheet1!$B$6:$C$124,2,FALSE)</f>
        <v>0</v>
      </c>
      <c r="AA773" s="146">
        <f t="shared" si="347"/>
        <v>0</v>
      </c>
      <c r="AB773" s="143">
        <f t="shared" si="348"/>
        <v>0</v>
      </c>
      <c r="AC773" s="133">
        <f t="shared" si="353"/>
        <v>0</v>
      </c>
      <c r="AD773" s="142">
        <v>1</v>
      </c>
      <c r="AE773" s="141"/>
      <c r="AF773" s="121" t="s">
        <v>292</v>
      </c>
      <c r="AG773" s="146">
        <f>VLOOKUP(Takeoffs!AF773,Sheet1!$B$6:$C$124,2,FALSE)</f>
        <v>0</v>
      </c>
      <c r="AH773" s="146">
        <f t="shared" si="349"/>
        <v>0</v>
      </c>
      <c r="AI773" s="143">
        <f t="shared" si="350"/>
        <v>0</v>
      </c>
      <c r="AJ773" s="133">
        <f t="shared" si="351"/>
        <v>0</v>
      </c>
      <c r="AK773" s="142">
        <f>T773</f>
        <v>0</v>
      </c>
      <c r="AL773" s="141"/>
      <c r="AO773" s="286"/>
      <c r="AP773" s="284">
        <f t="shared" si="331"/>
        <v>0</v>
      </c>
      <c r="AQ773" s="281">
        <f t="shared" si="332"/>
        <v>0</v>
      </c>
      <c r="AR773" s="284">
        <f t="shared" si="333"/>
        <v>0</v>
      </c>
      <c r="AS773" s="281">
        <f t="shared" si="334"/>
        <v>0</v>
      </c>
      <c r="AT773" s="284">
        <f t="shared" si="335"/>
        <v>0</v>
      </c>
    </row>
    <row r="774" spans="1:46" s="114" customFormat="1" ht="30.9" x14ac:dyDescent="0.8">
      <c r="A774" s="262">
        <f>ROW()</f>
        <v>774</v>
      </c>
      <c r="C774" s="208"/>
      <c r="D774" s="208"/>
      <c r="E774" s="208"/>
      <c r="F774" s="208"/>
      <c r="G774" s="208"/>
      <c r="H774" s="208"/>
      <c r="J774" s="114" t="str">
        <f t="shared" si="352"/>
        <v/>
      </c>
      <c r="K774" s="114" t="str">
        <f>IF(COUNTBLANK(R774)&gt;0,"",CONCATENATE(R774," for ",N764))</f>
        <v/>
      </c>
      <c r="N774" s="123" t="s">
        <v>122</v>
      </c>
      <c r="O774" s="66"/>
      <c r="P774" s="121"/>
      <c r="Q774" s="66"/>
      <c r="R774" s="121"/>
      <c r="S774" s="133">
        <f>M764</f>
        <v>0</v>
      </c>
      <c r="T774" s="120"/>
      <c r="U774" s="121" t="s">
        <v>292</v>
      </c>
      <c r="V774" s="133">
        <f t="shared" si="346"/>
        <v>0</v>
      </c>
      <c r="W774" s="133">
        <f>VLOOKUP(U774,Sheet1!$B$6:$C$45,2,FALSE)*V774</f>
        <v>0</v>
      </c>
      <c r="X774" s="141"/>
      <c r="Y774" s="121" t="s">
        <v>292</v>
      </c>
      <c r="Z774" s="146">
        <f>VLOOKUP(Takeoffs!Y774,Sheet1!$B$6:$C$124,2,FALSE)</f>
        <v>0</v>
      </c>
      <c r="AA774" s="146">
        <f t="shared" si="347"/>
        <v>0</v>
      </c>
      <c r="AB774" s="143">
        <f t="shared" si="348"/>
        <v>0</v>
      </c>
      <c r="AC774" s="133">
        <f t="shared" si="353"/>
        <v>0</v>
      </c>
      <c r="AD774" s="142">
        <v>1</v>
      </c>
      <c r="AE774" s="141"/>
      <c r="AF774" s="121" t="s">
        <v>292</v>
      </c>
      <c r="AG774" s="146">
        <f>VLOOKUP(Takeoffs!AF774,Sheet1!$B$6:$C$124,2,FALSE)</f>
        <v>0</v>
      </c>
      <c r="AH774" s="146">
        <f t="shared" si="349"/>
        <v>0</v>
      </c>
      <c r="AI774" s="143">
        <f t="shared" si="350"/>
        <v>0</v>
      </c>
      <c r="AJ774" s="133">
        <f t="shared" si="351"/>
        <v>0</v>
      </c>
      <c r="AK774" s="142">
        <f>T774</f>
        <v>0</v>
      </c>
      <c r="AL774" s="141"/>
      <c r="AO774" s="286"/>
      <c r="AP774" s="284">
        <f t="shared" si="331"/>
        <v>0</v>
      </c>
      <c r="AQ774" s="281">
        <f t="shared" si="332"/>
        <v>0</v>
      </c>
      <c r="AR774" s="284">
        <f t="shared" si="333"/>
        <v>0</v>
      </c>
      <c r="AS774" s="281">
        <f t="shared" si="334"/>
        <v>0</v>
      </c>
      <c r="AT774" s="284">
        <f t="shared" si="335"/>
        <v>0</v>
      </c>
    </row>
    <row r="775" spans="1:46" s="114" customFormat="1" ht="30.9" x14ac:dyDescent="0.8">
      <c r="A775" s="262">
        <f>ROW()</f>
        <v>775</v>
      </c>
      <c r="C775" s="208"/>
      <c r="D775" s="208"/>
      <c r="E775" s="208"/>
      <c r="F775" s="208"/>
      <c r="G775" s="208"/>
      <c r="H775" s="208"/>
      <c r="J775" s="114" t="str">
        <f t="shared" si="352"/>
        <v/>
      </c>
      <c r="K775" s="114" t="str">
        <f>IF(COUNTBLANK(R775)&gt;0,"",CONCATENATE(R775," for ",N764))</f>
        <v/>
      </c>
      <c r="N775" s="123" t="s">
        <v>123</v>
      </c>
      <c r="O775" s="66"/>
      <c r="P775" s="121"/>
      <c r="Q775" s="66"/>
      <c r="R775" s="121"/>
      <c r="S775" s="133">
        <f>M764</f>
        <v>0</v>
      </c>
      <c r="T775" s="120"/>
      <c r="U775" s="121" t="s">
        <v>292</v>
      </c>
      <c r="V775" s="133">
        <f t="shared" si="346"/>
        <v>0</v>
      </c>
      <c r="W775" s="133">
        <f>VLOOKUP(U775,Sheet1!$B$6:$C$45,2,FALSE)*V775</f>
        <v>0</v>
      </c>
      <c r="X775" s="141"/>
      <c r="Y775" s="121" t="s">
        <v>292</v>
      </c>
      <c r="Z775" s="146">
        <f>VLOOKUP(Takeoffs!Y775,Sheet1!$B$6:$C$124,2,FALSE)</f>
        <v>0</v>
      </c>
      <c r="AA775" s="146">
        <f t="shared" si="347"/>
        <v>0</v>
      </c>
      <c r="AB775" s="143">
        <f t="shared" si="348"/>
        <v>0</v>
      </c>
      <c r="AC775" s="133">
        <f t="shared" si="353"/>
        <v>0</v>
      </c>
      <c r="AD775" s="142">
        <v>1</v>
      </c>
      <c r="AE775" s="141"/>
      <c r="AF775" s="121" t="s">
        <v>292</v>
      </c>
      <c r="AG775" s="146">
        <f>VLOOKUP(Takeoffs!AF775,Sheet1!$B$6:$C$124,2,FALSE)</f>
        <v>0</v>
      </c>
      <c r="AH775" s="146">
        <f t="shared" si="349"/>
        <v>0</v>
      </c>
      <c r="AI775" s="143">
        <f t="shared" si="350"/>
        <v>0</v>
      </c>
      <c r="AJ775" s="133">
        <f t="shared" si="351"/>
        <v>0</v>
      </c>
      <c r="AK775" s="142">
        <v>0</v>
      </c>
      <c r="AL775" s="141"/>
      <c r="AO775" s="286"/>
      <c r="AP775" s="284">
        <f t="shared" si="331"/>
        <v>0</v>
      </c>
      <c r="AQ775" s="281">
        <f t="shared" si="332"/>
        <v>0</v>
      </c>
      <c r="AR775" s="284">
        <f t="shared" si="333"/>
        <v>0</v>
      </c>
      <c r="AS775" s="281">
        <f t="shared" si="334"/>
        <v>0</v>
      </c>
      <c r="AT775" s="284">
        <f t="shared" si="335"/>
        <v>0</v>
      </c>
    </row>
    <row r="776" spans="1:46" s="114" customFormat="1" ht="30.9" x14ac:dyDescent="0.8">
      <c r="A776" s="262">
        <f>ROW()</f>
        <v>776</v>
      </c>
      <c r="C776" s="208"/>
      <c r="D776" s="208"/>
      <c r="E776" s="208"/>
      <c r="F776" s="208"/>
      <c r="G776" s="208"/>
      <c r="H776" s="208"/>
      <c r="J776" s="114" t="str">
        <f t="shared" si="352"/>
        <v/>
      </c>
      <c r="K776" s="114" t="str">
        <f>IF(COUNTBLANK(R776)&gt;0,"",CONCATENATE(R776," for ",N764))</f>
        <v/>
      </c>
      <c r="N776" s="123" t="s">
        <v>124</v>
      </c>
      <c r="O776" s="66" t="s">
        <v>140</v>
      </c>
      <c r="P776" s="121"/>
      <c r="Q776" s="66"/>
      <c r="R776" s="121"/>
      <c r="S776" s="133">
        <f>M764</f>
        <v>0</v>
      </c>
      <c r="T776" s="120"/>
      <c r="U776" s="121" t="s">
        <v>292</v>
      </c>
      <c r="V776" s="133">
        <f t="shared" si="346"/>
        <v>0</v>
      </c>
      <c r="W776" s="133">
        <f>VLOOKUP(U776,Sheet1!$B$6:$C$45,2,FALSE)*V776</f>
        <v>0</v>
      </c>
      <c r="X776" s="141"/>
      <c r="Y776" s="121" t="s">
        <v>292</v>
      </c>
      <c r="Z776" s="146">
        <f>VLOOKUP(Takeoffs!Y776,Sheet1!$B$6:$C$124,2,FALSE)</f>
        <v>0</v>
      </c>
      <c r="AA776" s="146">
        <f t="shared" si="347"/>
        <v>0</v>
      </c>
      <c r="AB776" s="143">
        <f t="shared" si="348"/>
        <v>0</v>
      </c>
      <c r="AC776" s="133">
        <f t="shared" si="353"/>
        <v>0</v>
      </c>
      <c r="AD776" s="142">
        <v>1</v>
      </c>
      <c r="AE776" s="141"/>
      <c r="AF776" s="152" t="s">
        <v>418</v>
      </c>
      <c r="AG776" s="146">
        <f>VLOOKUP(Takeoffs!AF776,Sheet1!$B$6:$C$124,2,FALSE)</f>
        <v>0.33600000000000002</v>
      </c>
      <c r="AH776" s="146">
        <f t="shared" si="349"/>
        <v>0</v>
      </c>
      <c r="AI776" s="143">
        <f t="shared" si="350"/>
        <v>0</v>
      </c>
      <c r="AJ776" s="133">
        <f t="shared" si="351"/>
        <v>0</v>
      </c>
      <c r="AK776" s="142">
        <v>1</v>
      </c>
      <c r="AL776" s="141"/>
      <c r="AO776" s="286"/>
      <c r="AP776" s="284">
        <f t="shared" si="331"/>
        <v>0</v>
      </c>
      <c r="AQ776" s="281">
        <f t="shared" si="332"/>
        <v>0</v>
      </c>
      <c r="AR776" s="284">
        <f t="shared" si="333"/>
        <v>0</v>
      </c>
      <c r="AS776" s="281">
        <f t="shared" si="334"/>
        <v>0</v>
      </c>
      <c r="AT776" s="284">
        <f t="shared" si="335"/>
        <v>0</v>
      </c>
    </row>
    <row r="777" spans="1:46" s="114" customFormat="1" ht="30.9" x14ac:dyDescent="0.8">
      <c r="A777" s="262">
        <f>ROW()</f>
        <v>777</v>
      </c>
      <c r="C777" s="208"/>
      <c r="D777" s="208"/>
      <c r="E777" s="208"/>
      <c r="F777" s="208"/>
      <c r="G777" s="208"/>
      <c r="H777" s="208"/>
      <c r="J777" s="114" t="str">
        <f t="shared" si="352"/>
        <v/>
      </c>
      <c r="K777" s="114" t="str">
        <f>IF(COUNTBLANK(R777)&gt;0,"",CONCATENATE(R777," for ",N764))</f>
        <v/>
      </c>
      <c r="N777" s="123" t="s">
        <v>125</v>
      </c>
      <c r="O777" s="66" t="s">
        <v>312</v>
      </c>
      <c r="P777" s="121"/>
      <c r="Q777" s="66"/>
      <c r="R777" s="121"/>
      <c r="S777" s="133">
        <f>M764</f>
        <v>0</v>
      </c>
      <c r="T777" s="120"/>
      <c r="U777" s="121" t="s">
        <v>232</v>
      </c>
      <c r="V777" s="133">
        <f t="shared" si="346"/>
        <v>0</v>
      </c>
      <c r="W777" s="133">
        <f>VLOOKUP(U777,Sheet1!$B$6:$C$45,2,FALSE)*V777</f>
        <v>0</v>
      </c>
      <c r="X777" s="141"/>
      <c r="Y777" s="122" t="s">
        <v>1345</v>
      </c>
      <c r="Z777" s="146">
        <f>VLOOKUP(Takeoffs!Y777,Sheet1!$B$6:$C$124,2,FALSE)</f>
        <v>109.25999999999999</v>
      </c>
      <c r="AA777" s="146">
        <f t="shared" si="347"/>
        <v>0</v>
      </c>
      <c r="AB777" s="143">
        <f t="shared" si="348"/>
        <v>0</v>
      </c>
      <c r="AC777" s="133">
        <f t="shared" si="353"/>
        <v>0</v>
      </c>
      <c r="AD777" s="142">
        <v>1</v>
      </c>
      <c r="AE777" s="141"/>
      <c r="AF777" s="121" t="s">
        <v>292</v>
      </c>
      <c r="AG777" s="146">
        <f>VLOOKUP(Takeoffs!AF777,Sheet1!$B$6:$C$124,2,FALSE)</f>
        <v>0</v>
      </c>
      <c r="AH777" s="146">
        <f t="shared" si="349"/>
        <v>0</v>
      </c>
      <c r="AI777" s="143">
        <f t="shared" si="350"/>
        <v>0</v>
      </c>
      <c r="AJ777" s="133">
        <f t="shared" si="351"/>
        <v>0</v>
      </c>
      <c r="AK777" s="142">
        <f t="shared" ref="AK777:AK784" si="354">T777</f>
        <v>0</v>
      </c>
      <c r="AL777" s="141"/>
      <c r="AO777" s="286"/>
      <c r="AP777" s="284">
        <f t="shared" si="331"/>
        <v>0</v>
      </c>
      <c r="AQ777" s="281">
        <f t="shared" si="332"/>
        <v>0</v>
      </c>
      <c r="AR777" s="284">
        <f t="shared" si="333"/>
        <v>0</v>
      </c>
      <c r="AS777" s="281">
        <f t="shared" si="334"/>
        <v>0</v>
      </c>
      <c r="AT777" s="284">
        <f t="shared" si="335"/>
        <v>0</v>
      </c>
    </row>
    <row r="778" spans="1:46" s="114" customFormat="1" ht="30.9" x14ac:dyDescent="0.8">
      <c r="A778" s="262">
        <f>ROW()</f>
        <v>778</v>
      </c>
      <c r="C778" s="208"/>
      <c r="D778" s="208"/>
      <c r="E778" s="208"/>
      <c r="F778" s="208"/>
      <c r="G778" s="208"/>
      <c r="H778" s="208"/>
      <c r="J778" s="114" t="str">
        <f t="shared" si="352"/>
        <v>Coordination Note: - Fire trade: Please refer to our exclusions relating to fire cabling from FIP.</v>
      </c>
      <c r="K778" s="114" t="str">
        <f>IF(COUNTBLANK(R778)&gt;0,"",CONCATENATE(R778," for ",N764))</f>
        <v/>
      </c>
      <c r="N778" s="123" t="s">
        <v>126</v>
      </c>
      <c r="O778" s="66" t="s">
        <v>345</v>
      </c>
      <c r="P778" s="121" t="s">
        <v>380</v>
      </c>
      <c r="Q778" s="66" t="s">
        <v>384</v>
      </c>
      <c r="R778" s="121"/>
      <c r="S778" s="133">
        <f>M764</f>
        <v>0</v>
      </c>
      <c r="T778" s="120"/>
      <c r="U778" s="121" t="s">
        <v>292</v>
      </c>
      <c r="V778" s="133">
        <f t="shared" si="346"/>
        <v>0</v>
      </c>
      <c r="W778" s="133">
        <f>VLOOKUP(U778,Sheet1!$B$6:$C$45,2,FALSE)*V778</f>
        <v>0</v>
      </c>
      <c r="X778" s="141"/>
      <c r="Y778" s="122" t="s">
        <v>326</v>
      </c>
      <c r="Z778" s="146">
        <f>VLOOKUP(Takeoffs!Y778,Sheet1!$B$6:$C$124,2,FALSE)</f>
        <v>29.04</v>
      </c>
      <c r="AA778" s="146">
        <f t="shared" si="347"/>
        <v>0</v>
      </c>
      <c r="AB778" s="143">
        <f t="shared" si="348"/>
        <v>0</v>
      </c>
      <c r="AC778" s="133">
        <f t="shared" si="353"/>
        <v>0</v>
      </c>
      <c r="AD778" s="142">
        <v>1</v>
      </c>
      <c r="AE778" s="141"/>
      <c r="AF778" s="121" t="s">
        <v>292</v>
      </c>
      <c r="AG778" s="146">
        <f>VLOOKUP(Takeoffs!AF778,Sheet1!$B$6:$C$124,2,FALSE)</f>
        <v>0</v>
      </c>
      <c r="AH778" s="146">
        <f t="shared" si="349"/>
        <v>0</v>
      </c>
      <c r="AI778" s="143">
        <f t="shared" si="350"/>
        <v>0</v>
      </c>
      <c r="AJ778" s="133">
        <f t="shared" si="351"/>
        <v>0</v>
      </c>
      <c r="AK778" s="142">
        <f t="shared" si="354"/>
        <v>0</v>
      </c>
      <c r="AL778" s="141"/>
      <c r="AO778" s="286"/>
      <c r="AP778" s="284">
        <f t="shared" si="331"/>
        <v>0</v>
      </c>
      <c r="AQ778" s="281">
        <f t="shared" si="332"/>
        <v>0</v>
      </c>
      <c r="AR778" s="284">
        <f t="shared" si="333"/>
        <v>0</v>
      </c>
      <c r="AS778" s="281">
        <f t="shared" si="334"/>
        <v>0</v>
      </c>
      <c r="AT778" s="284">
        <f t="shared" si="335"/>
        <v>0</v>
      </c>
    </row>
    <row r="779" spans="1:46" s="114" customFormat="1" ht="30.9" x14ac:dyDescent="0.8">
      <c r="A779" s="262">
        <f>ROW()</f>
        <v>779</v>
      </c>
      <c r="C779" s="208"/>
      <c r="D779" s="208"/>
      <c r="E779" s="208"/>
      <c r="F779" s="208"/>
      <c r="G779" s="208"/>
      <c r="H779" s="208"/>
      <c r="J779" s="114" t="str">
        <f t="shared" si="352"/>
        <v/>
      </c>
      <c r="K779" s="114" t="str">
        <f>IF(COUNTBLANK(R779)&gt;0,"",CONCATENATE(R779," for ",N764))</f>
        <v>run and fault lights for DOL fan with fire shutdown - from MSSB power supply and BMS interface provisions</v>
      </c>
      <c r="N779" s="123" t="s">
        <v>127</v>
      </c>
      <c r="O779" s="66" t="s">
        <v>337</v>
      </c>
      <c r="P779" s="121"/>
      <c r="Q779" s="66"/>
      <c r="R779" s="121" t="s">
        <v>331</v>
      </c>
      <c r="S779" s="133">
        <f>M764</f>
        <v>0</v>
      </c>
      <c r="T779" s="120"/>
      <c r="U779" s="121" t="s">
        <v>292</v>
      </c>
      <c r="V779" s="133">
        <f t="shared" si="346"/>
        <v>0</v>
      </c>
      <c r="W779" s="133">
        <f>VLOOKUP(U779,Sheet1!$B$6:$C$45,2,FALSE)*V779</f>
        <v>0</v>
      </c>
      <c r="X779" s="141"/>
      <c r="Y779" s="122" t="s">
        <v>280</v>
      </c>
      <c r="Z779" s="146">
        <f>VLOOKUP(Takeoffs!Y779,Sheet1!$B$6:$C$124,2,FALSE)</f>
        <v>19.2</v>
      </c>
      <c r="AA779" s="146">
        <f t="shared" si="347"/>
        <v>0</v>
      </c>
      <c r="AB779" s="143">
        <f t="shared" si="348"/>
        <v>0</v>
      </c>
      <c r="AC779" s="133">
        <f t="shared" si="353"/>
        <v>0</v>
      </c>
      <c r="AD779" s="142">
        <v>2</v>
      </c>
      <c r="AE779" s="141"/>
      <c r="AF779" s="121" t="s">
        <v>292</v>
      </c>
      <c r="AG779" s="146">
        <f>VLOOKUP(Takeoffs!AF779,Sheet1!$B$6:$C$124,2,FALSE)</f>
        <v>0</v>
      </c>
      <c r="AH779" s="146">
        <f t="shared" si="349"/>
        <v>0</v>
      </c>
      <c r="AI779" s="143">
        <f t="shared" si="350"/>
        <v>0</v>
      </c>
      <c r="AJ779" s="133">
        <f t="shared" si="351"/>
        <v>0</v>
      </c>
      <c r="AK779" s="142">
        <f t="shared" si="354"/>
        <v>0</v>
      </c>
      <c r="AL779" s="141"/>
      <c r="AO779" s="286"/>
      <c r="AP779" s="284">
        <f t="shared" si="331"/>
        <v>0</v>
      </c>
      <c r="AQ779" s="281">
        <f t="shared" si="332"/>
        <v>0</v>
      </c>
      <c r="AR779" s="284">
        <f t="shared" si="333"/>
        <v>0</v>
      </c>
      <c r="AS779" s="281">
        <f t="shared" si="334"/>
        <v>0</v>
      </c>
      <c r="AT779" s="284">
        <f t="shared" si="335"/>
        <v>0</v>
      </c>
    </row>
    <row r="780" spans="1:46" s="114" customFormat="1" ht="30.9" x14ac:dyDescent="0.8">
      <c r="A780" s="262">
        <f>ROW()</f>
        <v>780</v>
      </c>
      <c r="C780" s="208"/>
      <c r="D780" s="208"/>
      <c r="E780" s="208"/>
      <c r="F780" s="208"/>
      <c r="G780" s="208"/>
      <c r="H780" s="208"/>
      <c r="J780" s="114" t="str">
        <f t="shared" si="352"/>
        <v/>
      </c>
      <c r="K780" s="114" t="str">
        <f>IF(COUNTBLANK(R780)&gt;0,"",CONCATENATE(R780," for ",N764))</f>
        <v/>
      </c>
      <c r="N780" s="123" t="s">
        <v>128</v>
      </c>
      <c r="O780" s="66" t="s">
        <v>499</v>
      </c>
      <c r="P780" s="121"/>
      <c r="Q780" s="66"/>
      <c r="R780" s="121"/>
      <c r="S780" s="133">
        <f>M764</f>
        <v>0</v>
      </c>
      <c r="T780" s="120"/>
      <c r="U780" s="121" t="s">
        <v>292</v>
      </c>
      <c r="V780" s="133">
        <f t="shared" si="346"/>
        <v>0</v>
      </c>
      <c r="W780" s="133">
        <f>VLOOKUP(U780,Sheet1!$B$6:$C$45,2,FALSE)*V780</f>
        <v>0</v>
      </c>
      <c r="X780" s="141"/>
      <c r="Y780" s="135" t="s">
        <v>422</v>
      </c>
      <c r="Z780" s="146">
        <f>VLOOKUP(Takeoffs!Y780,Sheet1!$B$6:$C$124,2,FALSE)</f>
        <v>23.4</v>
      </c>
      <c r="AA780" s="146">
        <f t="shared" si="347"/>
        <v>0</v>
      </c>
      <c r="AB780" s="143">
        <f t="shared" si="348"/>
        <v>0</v>
      </c>
      <c r="AC780" s="133">
        <f t="shared" si="353"/>
        <v>0</v>
      </c>
      <c r="AD780" s="142">
        <v>1</v>
      </c>
      <c r="AE780" s="141"/>
      <c r="AF780" s="121" t="s">
        <v>292</v>
      </c>
      <c r="AG780" s="146">
        <f>VLOOKUP(Takeoffs!AF780,Sheet1!$B$6:$C$124,2,FALSE)</f>
        <v>0</v>
      </c>
      <c r="AH780" s="146">
        <f t="shared" si="349"/>
        <v>0</v>
      </c>
      <c r="AI780" s="143">
        <f t="shared" si="350"/>
        <v>0</v>
      </c>
      <c r="AJ780" s="133">
        <f t="shared" si="351"/>
        <v>0</v>
      </c>
      <c r="AK780" s="142">
        <f t="shared" si="354"/>
        <v>0</v>
      </c>
      <c r="AL780" s="141"/>
      <c r="AO780" s="286"/>
      <c r="AP780" s="284">
        <f t="shared" si="331"/>
        <v>0</v>
      </c>
      <c r="AQ780" s="281">
        <f t="shared" si="332"/>
        <v>0</v>
      </c>
      <c r="AR780" s="284">
        <f t="shared" si="333"/>
        <v>0</v>
      </c>
      <c r="AS780" s="281">
        <f t="shared" si="334"/>
        <v>0</v>
      </c>
      <c r="AT780" s="284">
        <f t="shared" si="335"/>
        <v>0</v>
      </c>
    </row>
    <row r="781" spans="1:46" s="114" customFormat="1" ht="30.9" x14ac:dyDescent="0.8">
      <c r="A781" s="262">
        <f>ROW()</f>
        <v>781</v>
      </c>
      <c r="C781" s="208">
        <v>5</v>
      </c>
      <c r="D781" s="208"/>
      <c r="E781" s="208"/>
      <c r="F781" s="208"/>
      <c r="G781" s="208"/>
      <c r="H781" s="208"/>
      <c r="J781" s="114" t="str">
        <f t="shared" si="352"/>
        <v/>
      </c>
      <c r="K781" s="114" t="str">
        <f>IF(COUNTBLANK(R781)&gt;0,"",CONCATENATE(R781," for ",N764))</f>
        <v>Auto/Off/On switch for DOL fan with fire shutdown - from MSSB power supply and BMS interface provisions</v>
      </c>
      <c r="N781" s="123" t="s">
        <v>129</v>
      </c>
      <c r="O781" s="66" t="s">
        <v>329</v>
      </c>
      <c r="P781" s="121"/>
      <c r="Q781" s="66"/>
      <c r="R781" s="121" t="s">
        <v>304</v>
      </c>
      <c r="S781" s="133">
        <f>M764</f>
        <v>0</v>
      </c>
      <c r="T781" s="120"/>
      <c r="U781" s="121" t="s">
        <v>292</v>
      </c>
      <c r="V781" s="133">
        <f t="shared" si="346"/>
        <v>0</v>
      </c>
      <c r="W781" s="133">
        <f>VLOOKUP(U781,Sheet1!$B$6:$C$45,2,FALSE)*V781</f>
        <v>0</v>
      </c>
      <c r="X781" s="141"/>
      <c r="Y781" s="122" t="s">
        <v>277</v>
      </c>
      <c r="Z781" s="146">
        <f>VLOOKUP(Takeoffs!Y781,Sheet1!$B$6:$C$124,2,FALSE)</f>
        <v>69.540000000000006</v>
      </c>
      <c r="AA781" s="146">
        <f t="shared" si="347"/>
        <v>0</v>
      </c>
      <c r="AB781" s="143">
        <f t="shared" si="348"/>
        <v>0</v>
      </c>
      <c r="AC781" s="133">
        <f t="shared" si="353"/>
        <v>0</v>
      </c>
      <c r="AD781" s="142">
        <v>1</v>
      </c>
      <c r="AE781" s="141"/>
      <c r="AF781" s="121" t="s">
        <v>292</v>
      </c>
      <c r="AG781" s="146">
        <f>VLOOKUP(Takeoffs!AF781,Sheet1!$B$6:$C$124,2,FALSE)</f>
        <v>0</v>
      </c>
      <c r="AH781" s="146">
        <f t="shared" si="349"/>
        <v>0</v>
      </c>
      <c r="AI781" s="143">
        <f t="shared" si="350"/>
        <v>0</v>
      </c>
      <c r="AJ781" s="133">
        <f t="shared" si="351"/>
        <v>0</v>
      </c>
      <c r="AK781" s="142">
        <f t="shared" si="354"/>
        <v>0</v>
      </c>
      <c r="AL781" s="141"/>
      <c r="AO781" s="286"/>
      <c r="AP781" s="284">
        <f t="shared" si="331"/>
        <v>0</v>
      </c>
      <c r="AQ781" s="281">
        <f t="shared" si="332"/>
        <v>0</v>
      </c>
      <c r="AR781" s="284">
        <f t="shared" si="333"/>
        <v>0</v>
      </c>
      <c r="AS781" s="281">
        <f t="shared" si="334"/>
        <v>0</v>
      </c>
      <c r="AT781" s="284">
        <f t="shared" si="335"/>
        <v>0</v>
      </c>
    </row>
    <row r="782" spans="1:46" s="114" customFormat="1" ht="30.9" x14ac:dyDescent="0.8">
      <c r="A782" s="262">
        <f>ROW()</f>
        <v>782</v>
      </c>
      <c r="C782" s="208"/>
      <c r="D782" s="208"/>
      <c r="E782" s="208"/>
      <c r="F782" s="208"/>
      <c r="G782" s="208"/>
      <c r="H782" s="208"/>
      <c r="J782" s="114" t="str">
        <f t="shared" si="352"/>
        <v/>
      </c>
      <c r="K782" s="114" t="str">
        <f>IF(COUNTBLANK(R782)&gt;0,"",CONCATENATE(R782," for ",N764))</f>
        <v/>
      </c>
      <c r="N782" s="123" t="s">
        <v>130</v>
      </c>
      <c r="O782" s="66" t="s">
        <v>500</v>
      </c>
      <c r="P782" s="121"/>
      <c r="Q782" s="66"/>
      <c r="R782" s="121"/>
      <c r="S782" s="133">
        <f>M764</f>
        <v>0</v>
      </c>
      <c r="T782" s="120"/>
      <c r="U782" s="121" t="s">
        <v>292</v>
      </c>
      <c r="V782" s="133">
        <f t="shared" si="346"/>
        <v>0</v>
      </c>
      <c r="W782" s="133">
        <f>VLOOKUP(U782,Sheet1!$B$6:$C$45,2,FALSE)*V782</f>
        <v>0</v>
      </c>
      <c r="X782" s="141"/>
      <c r="Y782" s="121" t="s">
        <v>292</v>
      </c>
      <c r="Z782" s="146">
        <f>VLOOKUP(Takeoffs!Y782,Sheet1!$B$6:$C$124,2,FALSE)</f>
        <v>0</v>
      </c>
      <c r="AA782" s="146">
        <f t="shared" si="347"/>
        <v>0</v>
      </c>
      <c r="AB782" s="143">
        <f t="shared" si="348"/>
        <v>0</v>
      </c>
      <c r="AC782" s="133">
        <f t="shared" si="353"/>
        <v>0</v>
      </c>
      <c r="AD782" s="142">
        <v>1</v>
      </c>
      <c r="AE782" s="141"/>
      <c r="AF782" s="121" t="s">
        <v>292</v>
      </c>
      <c r="AG782" s="146">
        <f>VLOOKUP(Takeoffs!AF782,Sheet1!$B$6:$C$124,2,FALSE)</f>
        <v>0</v>
      </c>
      <c r="AH782" s="146">
        <f t="shared" si="349"/>
        <v>0</v>
      </c>
      <c r="AI782" s="143">
        <f t="shared" si="350"/>
        <v>0</v>
      </c>
      <c r="AJ782" s="133">
        <f t="shared" si="351"/>
        <v>0</v>
      </c>
      <c r="AK782" s="142">
        <f t="shared" si="354"/>
        <v>0</v>
      </c>
      <c r="AL782" s="141"/>
      <c r="AO782" s="286"/>
      <c r="AP782" s="284">
        <f t="shared" si="331"/>
        <v>0</v>
      </c>
      <c r="AQ782" s="281">
        <f t="shared" si="332"/>
        <v>0</v>
      </c>
      <c r="AR782" s="284">
        <f t="shared" si="333"/>
        <v>0</v>
      </c>
      <c r="AS782" s="281">
        <f t="shared" si="334"/>
        <v>0</v>
      </c>
      <c r="AT782" s="284">
        <f t="shared" si="335"/>
        <v>0</v>
      </c>
    </row>
    <row r="783" spans="1:46" s="114" customFormat="1" ht="30.9" x14ac:dyDescent="0.8">
      <c r="A783" s="262">
        <f>ROW()</f>
        <v>783</v>
      </c>
      <c r="C783" s="208"/>
      <c r="D783" s="208"/>
      <c r="E783" s="208"/>
      <c r="F783" s="208"/>
      <c r="G783" s="208"/>
      <c r="H783" s="208"/>
      <c r="J783" s="114" t="str">
        <f t="shared" si="352"/>
        <v/>
      </c>
      <c r="K783" s="114" t="str">
        <f>IF(COUNTBLANK(R783)&gt;0,"",CONCATENATE(R783," for ",N764))</f>
        <v/>
      </c>
      <c r="N783" s="123" t="s">
        <v>131</v>
      </c>
      <c r="O783" s="66" t="s">
        <v>407</v>
      </c>
      <c r="P783" s="121"/>
      <c r="Q783" s="66"/>
      <c r="R783" s="121"/>
      <c r="S783" s="133">
        <f>M764</f>
        <v>0</v>
      </c>
      <c r="T783" s="120"/>
      <c r="U783" s="121" t="s">
        <v>292</v>
      </c>
      <c r="V783" s="133">
        <f t="shared" si="346"/>
        <v>0</v>
      </c>
      <c r="W783" s="133">
        <f>VLOOKUP(U783,Sheet1!$B$6:$C$45,2,FALSE)*V783</f>
        <v>0</v>
      </c>
      <c r="X783" s="141"/>
      <c r="Y783" s="121" t="s">
        <v>274</v>
      </c>
      <c r="Z783" s="146">
        <f>VLOOKUP(Takeoffs!Y783,Sheet1!$B$6:$C$124,2,FALSE)</f>
        <v>360</v>
      </c>
      <c r="AA783" s="146">
        <f t="shared" si="347"/>
        <v>0</v>
      </c>
      <c r="AB783" s="143">
        <f t="shared" si="348"/>
        <v>0</v>
      </c>
      <c r="AC783" s="133">
        <f t="shared" si="353"/>
        <v>0</v>
      </c>
      <c r="AD783" s="142">
        <v>1</v>
      </c>
      <c r="AE783" s="141"/>
      <c r="AF783" s="121" t="s">
        <v>292</v>
      </c>
      <c r="AG783" s="146">
        <f>VLOOKUP(Takeoffs!AF783,Sheet1!$B$6:$C$124,2,FALSE)</f>
        <v>0</v>
      </c>
      <c r="AH783" s="146">
        <f t="shared" si="349"/>
        <v>0</v>
      </c>
      <c r="AI783" s="143">
        <f t="shared" si="350"/>
        <v>0</v>
      </c>
      <c r="AJ783" s="133">
        <f t="shared" si="351"/>
        <v>0</v>
      </c>
      <c r="AK783" s="142">
        <f t="shared" si="354"/>
        <v>0</v>
      </c>
      <c r="AL783" s="141"/>
      <c r="AO783" s="286"/>
      <c r="AP783" s="284">
        <f t="shared" si="331"/>
        <v>0</v>
      </c>
      <c r="AQ783" s="281">
        <f t="shared" si="332"/>
        <v>0</v>
      </c>
      <c r="AR783" s="284">
        <f t="shared" si="333"/>
        <v>0</v>
      </c>
      <c r="AS783" s="281">
        <f t="shared" si="334"/>
        <v>0</v>
      </c>
      <c r="AT783" s="284">
        <f t="shared" si="335"/>
        <v>0</v>
      </c>
    </row>
    <row r="784" spans="1:46" s="114" customFormat="1" ht="30.9" x14ac:dyDescent="0.8">
      <c r="A784" s="262">
        <f>ROW()</f>
        <v>784</v>
      </c>
      <c r="C784" s="208"/>
      <c r="D784" s="208"/>
      <c r="E784" s="208"/>
      <c r="F784" s="208"/>
      <c r="G784" s="208"/>
      <c r="H784" s="208"/>
      <c r="J784" s="114" t="str">
        <f t="shared" si="352"/>
        <v/>
      </c>
      <c r="K784" s="114" t="str">
        <f>IF(COUNTBLANK(R784)&gt;0,"",CONCATENATE(R784," for ",N764))</f>
        <v/>
      </c>
      <c r="N784" s="123" t="s">
        <v>132</v>
      </c>
      <c r="O784" s="66" t="s">
        <v>408</v>
      </c>
      <c r="P784" s="121"/>
      <c r="Q784" s="66"/>
      <c r="R784" s="121"/>
      <c r="S784" s="133">
        <f>M764</f>
        <v>0</v>
      </c>
      <c r="T784" s="120"/>
      <c r="U784" s="121" t="s">
        <v>362</v>
      </c>
      <c r="V784" s="133">
        <f t="shared" si="346"/>
        <v>0</v>
      </c>
      <c r="W784" s="133">
        <f>VLOOKUP(U784,Sheet1!$B$6:$C$45,2,FALSE)*V784</f>
        <v>0</v>
      </c>
      <c r="X784" s="141"/>
      <c r="Y784" s="121" t="s">
        <v>292</v>
      </c>
      <c r="Z784" s="146">
        <f>VLOOKUP(Takeoffs!Y784,Sheet1!$B$6:$C$124,2,FALSE)</f>
        <v>0</v>
      </c>
      <c r="AA784" s="146">
        <f t="shared" si="347"/>
        <v>0</v>
      </c>
      <c r="AB784" s="143">
        <f t="shared" si="348"/>
        <v>0</v>
      </c>
      <c r="AC784" s="133">
        <f t="shared" si="353"/>
        <v>0</v>
      </c>
      <c r="AD784" s="142">
        <v>1</v>
      </c>
      <c r="AE784" s="141"/>
      <c r="AF784" s="121" t="s">
        <v>292</v>
      </c>
      <c r="AG784" s="146">
        <f>VLOOKUP(Takeoffs!AF784,Sheet1!$B$6:$C$124,2,FALSE)</f>
        <v>0</v>
      </c>
      <c r="AH784" s="146">
        <f t="shared" si="349"/>
        <v>0</v>
      </c>
      <c r="AI784" s="143">
        <f t="shared" si="350"/>
        <v>0</v>
      </c>
      <c r="AJ784" s="133">
        <f t="shared" si="351"/>
        <v>0</v>
      </c>
      <c r="AK784" s="142">
        <f t="shared" si="354"/>
        <v>0</v>
      </c>
      <c r="AL784" s="141"/>
      <c r="AO784" s="286"/>
      <c r="AP784" s="284">
        <f t="shared" si="331"/>
        <v>0</v>
      </c>
      <c r="AQ784" s="281">
        <f t="shared" si="332"/>
        <v>0</v>
      </c>
      <c r="AR784" s="284">
        <f t="shared" si="333"/>
        <v>0</v>
      </c>
      <c r="AS784" s="281">
        <f t="shared" si="334"/>
        <v>0</v>
      </c>
      <c r="AT784" s="284">
        <f t="shared" si="335"/>
        <v>0</v>
      </c>
    </row>
    <row r="785" spans="1:97" s="128" customFormat="1" ht="32.25" customHeight="1" thickBot="1" x14ac:dyDescent="0.85">
      <c r="A785" s="262">
        <f>ROW()</f>
        <v>785</v>
      </c>
      <c r="C785" s="212"/>
      <c r="D785" s="212"/>
      <c r="E785" s="212"/>
      <c r="F785" s="212"/>
      <c r="G785" s="212"/>
      <c r="H785" s="212"/>
      <c r="J785" s="128" t="s">
        <v>377</v>
      </c>
      <c r="L785" s="128" t="s">
        <v>378</v>
      </c>
      <c r="N785" s="129"/>
      <c r="O785" s="130" t="s">
        <v>357</v>
      </c>
      <c r="P785" s="155">
        <f>V785+AA785+AH785</f>
        <v>0</v>
      </c>
      <c r="Q785" s="155"/>
      <c r="R785" s="131"/>
      <c r="S785" s="130"/>
      <c r="T785" s="127"/>
      <c r="U785" s="126" t="s">
        <v>351</v>
      </c>
      <c r="V785" s="127">
        <f>W785*80</f>
        <v>0</v>
      </c>
      <c r="W785" s="147">
        <f>SUM(W764:W784)</f>
        <v>0</v>
      </c>
      <c r="X785" s="148"/>
      <c r="Y785" s="127" t="s">
        <v>352</v>
      </c>
      <c r="Z785" s="116"/>
      <c r="AA785" s="116">
        <f>SUM(AA764:AA784)</f>
        <v>0</v>
      </c>
      <c r="AB785" s="149"/>
      <c r="AC785" s="149"/>
      <c r="AD785" s="149"/>
      <c r="AE785" s="149"/>
      <c r="AF785" s="127" t="s">
        <v>356</v>
      </c>
      <c r="AG785" s="116"/>
      <c r="AH785" s="116">
        <f>SUM(AH764:AH784)</f>
        <v>0</v>
      </c>
      <c r="AI785" s="149"/>
      <c r="AJ785" s="149"/>
      <c r="AK785" s="149"/>
      <c r="AL785" s="149"/>
      <c r="AM785" s="150">
        <f>P785</f>
        <v>0</v>
      </c>
      <c r="AO785" s="286"/>
      <c r="AP785" s="284">
        <f t="shared" si="331"/>
        <v>0</v>
      </c>
      <c r="AQ785" s="281">
        <f t="shared" si="332"/>
        <v>0</v>
      </c>
      <c r="AR785" s="284">
        <f t="shared" si="333"/>
        <v>0</v>
      </c>
      <c r="AS785" s="281">
        <f t="shared" si="334"/>
        <v>0</v>
      </c>
      <c r="AT785" s="284">
        <f t="shared" si="335"/>
        <v>0</v>
      </c>
    </row>
    <row r="786" spans="1:97" s="234" customFormat="1" ht="189" thickBot="1" x14ac:dyDescent="1.25">
      <c r="A786" s="262">
        <f>ROW()</f>
        <v>786</v>
      </c>
      <c r="B786" s="234" t="s">
        <v>491</v>
      </c>
      <c r="C786" s="217" t="str">
        <f>N764</f>
        <v>DOL fan with fire shutdown - from MSSB power supply and BMS interface provisions</v>
      </c>
      <c r="D786" s="260" t="str">
        <f>IF(B786="Shopping List",IF(ISNUMBER(SEARCH("MSSB",C786)),"MSSB",IF(ISNUMBER(SEARCH("local",C786)),"LOCAL","")))</f>
        <v>MSSB</v>
      </c>
      <c r="E786" s="238"/>
      <c r="F786" s="217"/>
      <c r="G786" s="217"/>
      <c r="H786" s="245">
        <v>4</v>
      </c>
      <c r="I786" s="270"/>
      <c r="J786" s="241" t="str">
        <f>CONCATENATE(O764," ",L764, " (",M764,") ",N764,".", IF(M764&gt;1," Each "," This "),"includes supply and install of ",O765,O766,O767,O768,O769,O770,O771,O772,O773,O774,O775,O776,O777,O778,O779,O780,O781,O782,O783,O784,J765,J766,J767,J768,J769,J770,J771,J772,J773,J774,J775,J776,J777,J778,J779,J780,J781,J782,J783,J784)</f>
        <v>Electrical power supply and controls ( Excluding BMS) to Zero (0) DOL fan with fire shutdown - from MSSB power supply and BMS interface provisions. This includes supply and install of power and controls. Power for system includes: CB, cabling from MSSB, and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786" s="248">
        <f>P785</f>
        <v>0</v>
      </c>
      <c r="L786" s="234" t="str">
        <f>CONCATENATE(Q765,Q766,Q767,Q768,Q769,Q770,Q771,Q772,Q773,Q774,Q775,Q776,Q777,Q778,Q779,Q780,Q781,Q782,Q783,Q784,)</f>
        <v>fire cabling from FIP.</v>
      </c>
      <c r="M786" s="166" t="s">
        <v>367</v>
      </c>
      <c r="N786" s="160" t="str">
        <f>N764</f>
        <v>DOL fan with fire shutdown - from MSSB power supply and BMS interface provisions</v>
      </c>
      <c r="O786" s="185" t="s">
        <v>365</v>
      </c>
      <c r="P786" s="203" t="e">
        <f>P785/M764</f>
        <v>#DIV/0!</v>
      </c>
      <c r="Q786" s="195"/>
      <c r="R786" s="188"/>
      <c r="S786" s="160"/>
      <c r="T786" s="161"/>
      <c r="U786" s="503" t="s">
        <v>366</v>
      </c>
      <c r="V786" s="503"/>
      <c r="W786" s="162" t="e">
        <f>W785/M764</f>
        <v>#DIV/0!</v>
      </c>
      <c r="X786" s="163"/>
      <c r="Y786" s="501" t="s">
        <v>365</v>
      </c>
      <c r="Z786" s="501"/>
      <c r="AA786" s="164" t="e">
        <f>AA785/M764</f>
        <v>#DIV/0!</v>
      </c>
      <c r="AB786" s="161"/>
      <c r="AC786" s="161"/>
      <c r="AD786" s="161"/>
      <c r="AE786" s="161"/>
      <c r="AF786" s="501" t="s">
        <v>365</v>
      </c>
      <c r="AG786" s="501"/>
      <c r="AH786" s="164" t="e">
        <f>AH785/M764</f>
        <v>#DIV/0!</v>
      </c>
      <c r="AI786" s="161"/>
      <c r="AJ786" s="161"/>
      <c r="AK786" s="161"/>
      <c r="AL786" s="247"/>
      <c r="AM786" s="257"/>
      <c r="AN786" s="236">
        <f>K786*$D$9</f>
        <v>0</v>
      </c>
      <c r="AO786" s="286"/>
      <c r="AP786" s="284">
        <f t="shared" si="331"/>
        <v>0</v>
      </c>
      <c r="AQ786" s="281">
        <f t="shared" si="332"/>
        <v>0</v>
      </c>
      <c r="AR786" s="284">
        <f t="shared" si="333"/>
        <v>0</v>
      </c>
      <c r="AS786" s="281">
        <f t="shared" si="334"/>
        <v>0</v>
      </c>
      <c r="AT786" s="284">
        <f t="shared" si="335"/>
        <v>0</v>
      </c>
      <c r="AU786" s="117"/>
      <c r="AV786" s="117"/>
      <c r="AW786" s="117"/>
      <c r="AX786" s="117"/>
      <c r="AY786" s="117"/>
      <c r="AZ786" s="117"/>
      <c r="BA786" s="117"/>
      <c r="BB786" s="117"/>
      <c r="BC786" s="117"/>
      <c r="BD786" s="117"/>
      <c r="BE786" s="117"/>
      <c r="BF786" s="117"/>
      <c r="BG786" s="117"/>
      <c r="BH786" s="117"/>
      <c r="BI786" s="117"/>
      <c r="BJ786" s="117"/>
      <c r="BK786" s="117"/>
      <c r="BL786" s="117"/>
      <c r="BM786" s="117"/>
      <c r="BN786" s="117"/>
      <c r="BO786" s="117"/>
      <c r="BP786" s="117"/>
      <c r="BQ786" s="117"/>
      <c r="BR786" s="117"/>
      <c r="BS786" s="117"/>
      <c r="BT786" s="117"/>
      <c r="BU786" s="117"/>
      <c r="BV786" s="117"/>
      <c r="BW786" s="117"/>
      <c r="BX786" s="117"/>
      <c r="BY786" s="117"/>
      <c r="BZ786" s="117"/>
      <c r="CA786" s="117"/>
      <c r="CB786" s="117"/>
      <c r="CC786" s="117"/>
      <c r="CD786" s="117"/>
      <c r="CE786" s="117"/>
      <c r="CF786" s="117"/>
      <c r="CG786" s="117"/>
      <c r="CH786" s="117"/>
      <c r="CI786" s="117"/>
      <c r="CJ786" s="117"/>
      <c r="CK786" s="117"/>
      <c r="CL786" s="117"/>
      <c r="CM786" s="117"/>
      <c r="CN786" s="117"/>
      <c r="CO786" s="117"/>
      <c r="CP786" s="117"/>
      <c r="CQ786" s="117"/>
      <c r="CR786" s="117"/>
      <c r="CS786" s="117"/>
    </row>
    <row r="787" spans="1:97" s="116" customFormat="1" ht="192.75" customHeight="1" x14ac:dyDescent="0.8">
      <c r="A787" s="262">
        <f>ROW()</f>
        <v>787</v>
      </c>
      <c r="C787" s="211"/>
      <c r="D787" s="211"/>
      <c r="E787" s="211"/>
      <c r="F787" s="211"/>
      <c r="G787" s="211"/>
      <c r="H787" s="211"/>
      <c r="K787" s="116" t="s">
        <v>452</v>
      </c>
      <c r="M787" s="116" t="s">
        <v>107</v>
      </c>
      <c r="N787" s="116" t="s">
        <v>108</v>
      </c>
      <c r="O787" s="170" t="s">
        <v>386</v>
      </c>
      <c r="P787" s="504" t="s">
        <v>375</v>
      </c>
      <c r="Q787" s="504"/>
      <c r="R787" s="101" t="s">
        <v>452</v>
      </c>
      <c r="S787" s="116" t="s">
        <v>0</v>
      </c>
      <c r="T787" s="118"/>
      <c r="U787" s="116" t="s">
        <v>287</v>
      </c>
      <c r="V787" s="116" t="s">
        <v>288</v>
      </c>
      <c r="W787" s="116" t="s">
        <v>291</v>
      </c>
      <c r="X787" s="140"/>
      <c r="Y787" s="116" t="s">
        <v>289</v>
      </c>
      <c r="Z787" s="116" t="s">
        <v>354</v>
      </c>
      <c r="AA787" s="116" t="s">
        <v>355</v>
      </c>
      <c r="AB787" s="116" t="s">
        <v>317</v>
      </c>
      <c r="AC787" s="116" t="s">
        <v>318</v>
      </c>
      <c r="AD787" s="116" t="s">
        <v>316</v>
      </c>
      <c r="AE787" s="140"/>
      <c r="AF787" s="116" t="s">
        <v>293</v>
      </c>
      <c r="AG787" s="116" t="s">
        <v>354</v>
      </c>
      <c r="AH787" s="116" t="s">
        <v>355</v>
      </c>
      <c r="AI787" s="116" t="s">
        <v>296</v>
      </c>
      <c r="AJ787" s="116" t="s">
        <v>294</v>
      </c>
      <c r="AK787" s="116" t="s">
        <v>295</v>
      </c>
      <c r="AL787" s="140"/>
      <c r="AO787" s="288"/>
      <c r="AP787" s="284">
        <f t="shared" si="331"/>
        <v>0</v>
      </c>
      <c r="AQ787" s="281">
        <f t="shared" si="332"/>
        <v>0</v>
      </c>
      <c r="AR787" s="284">
        <f t="shared" si="333"/>
        <v>0</v>
      </c>
      <c r="AS787" s="281">
        <f t="shared" si="334"/>
        <v>0</v>
      </c>
      <c r="AT787" s="284">
        <f t="shared" si="335"/>
        <v>0</v>
      </c>
    </row>
    <row r="788" spans="1:97" s="114" customFormat="1" ht="59.25" customHeight="1" x14ac:dyDescent="0.8">
      <c r="A788" s="262">
        <f>ROW()</f>
        <v>788</v>
      </c>
      <c r="C788" s="208"/>
      <c r="D788" s="208"/>
      <c r="E788" s="208"/>
      <c r="F788" s="208"/>
      <c r="G788" s="208"/>
      <c r="H788" s="208"/>
      <c r="L788" s="124" t="str">
        <f>VLOOKUP(M788,Sheet2!$D$2:$E$1024,2,FALSE)</f>
        <v>Zero</v>
      </c>
      <c r="M788" s="121">
        <f>I810</f>
        <v>0</v>
      </c>
      <c r="N788" s="132" t="s">
        <v>580</v>
      </c>
      <c r="O788" s="121" t="s">
        <v>133</v>
      </c>
      <c r="P788" s="169" t="s">
        <v>379</v>
      </c>
      <c r="Q788" s="169" t="s">
        <v>375</v>
      </c>
      <c r="R788" s="169"/>
      <c r="S788" s="133">
        <f>M788</f>
        <v>0</v>
      </c>
      <c r="T788" s="119"/>
      <c r="U788" s="121" t="s">
        <v>292</v>
      </c>
      <c r="V788" s="133">
        <f>S788</f>
        <v>0</v>
      </c>
      <c r="W788" s="133">
        <f>VLOOKUP(U788,Sheet1!$B$6:$C$45,2,FALSE)*V788</f>
        <v>0</v>
      </c>
      <c r="X788" s="141"/>
      <c r="Y788" s="121" t="s">
        <v>292</v>
      </c>
      <c r="Z788" s="146">
        <f>VLOOKUP(Takeoffs!Y788,Sheet1!$B$6:$C$124,2,FALSE)</f>
        <v>0</v>
      </c>
      <c r="AA788" s="146">
        <f>Z788*AB788</f>
        <v>0</v>
      </c>
      <c r="AB788" s="143">
        <f>AD788*AC788</f>
        <v>0</v>
      </c>
      <c r="AC788" s="133">
        <f>S788</f>
        <v>0</v>
      </c>
      <c r="AD788" s="142">
        <v>1</v>
      </c>
      <c r="AE788" s="141"/>
      <c r="AF788" s="121" t="s">
        <v>292</v>
      </c>
      <c r="AG788" s="146">
        <f>VLOOKUP(Takeoffs!AF788,Sheet1!$B$6:$C$124,2,FALSE)</f>
        <v>0</v>
      </c>
      <c r="AH788" s="146">
        <f>AG788*AI788</f>
        <v>0</v>
      </c>
      <c r="AI788" s="143">
        <f>AK788*AJ788</f>
        <v>0</v>
      </c>
      <c r="AJ788" s="133">
        <f>S788</f>
        <v>0</v>
      </c>
      <c r="AK788" s="142">
        <f>T788</f>
        <v>0</v>
      </c>
      <c r="AL788" s="141"/>
      <c r="AO788" s="286"/>
      <c r="AP788" s="284">
        <f t="shared" ref="AP788:AP851" si="355">IF(AND(I788&gt;0, ISNUMBER(I788)),I788*P788,0)</f>
        <v>0</v>
      </c>
      <c r="AQ788" s="281">
        <f t="shared" ref="AQ788:AQ851" si="356">IF(AND(I788&gt;0, ISNUMBER(I788)),I788*W788*80,0)</f>
        <v>0</v>
      </c>
      <c r="AR788" s="284">
        <f t="shared" ref="AR788:AR851" si="357">IF(AND(I788&gt;0, ISNUMBER(I788)),I788*AA788,0)</f>
        <v>0</v>
      </c>
      <c r="AS788" s="281">
        <f t="shared" ref="AS788:AS851" si="358">IF(AND(I788&gt;0, ISNUMBER(I788)),I788*AH788,0)</f>
        <v>0</v>
      </c>
      <c r="AT788" s="284">
        <f t="shared" ref="AT788:AT851" si="359">IF(AND(I788&gt;0, ISNUMBER(I788)),I788*(AP788-(AQ788+AR788+AS788)),0)</f>
        <v>0</v>
      </c>
    </row>
    <row r="789" spans="1:97" s="114" customFormat="1" ht="30.9" x14ac:dyDescent="0.8">
      <c r="A789" s="262">
        <f>ROW()</f>
        <v>789</v>
      </c>
      <c r="C789" s="208"/>
      <c r="D789" s="208"/>
      <c r="E789" s="208"/>
      <c r="F789" s="208"/>
      <c r="G789" s="208"/>
      <c r="H789" s="208"/>
      <c r="J789" s="114" t="str">
        <f>IF(COUNTBLANK(Q789)&gt;0,"",CONCATENATE("Coordination Note: - ",P789,": Please refer to our exclusions relating to ",Q789))</f>
        <v/>
      </c>
      <c r="K789" s="114" t="str">
        <f>IF(COUNTBLANK(R789)&gt;0,"",CONCATENATE(R789," for ",N788))</f>
        <v/>
      </c>
      <c r="M789" s="117"/>
      <c r="N789" s="123" t="s">
        <v>113</v>
      </c>
      <c r="O789" s="66" t="s">
        <v>340</v>
      </c>
      <c r="P789" s="121"/>
      <c r="Q789" s="66"/>
      <c r="R789" s="121"/>
      <c r="S789" s="133">
        <f>M788</f>
        <v>0</v>
      </c>
      <c r="T789" s="120"/>
      <c r="U789" s="121" t="s">
        <v>292</v>
      </c>
      <c r="V789" s="133">
        <f t="shared" ref="V789:V808" si="360">S789</f>
        <v>0</v>
      </c>
      <c r="W789" s="133">
        <f>VLOOKUP(U789,Sheet1!$B$6:$C$45,2,FALSE)*V789</f>
        <v>0</v>
      </c>
      <c r="X789" s="141"/>
      <c r="Y789" s="121" t="s">
        <v>292</v>
      </c>
      <c r="Z789" s="146">
        <f>VLOOKUP(Takeoffs!Y789,Sheet1!$B$6:$C$124,2,FALSE)</f>
        <v>0</v>
      </c>
      <c r="AA789" s="146">
        <f t="shared" ref="AA789:AA808" si="361">Z789*AB789</f>
        <v>0</v>
      </c>
      <c r="AB789" s="143">
        <f t="shared" ref="AB789:AB808" si="362">AD789*AC789</f>
        <v>0</v>
      </c>
      <c r="AC789" s="133">
        <f t="shared" ref="AC789:AC808" si="363">S789</f>
        <v>0</v>
      </c>
      <c r="AD789" s="142">
        <v>1</v>
      </c>
      <c r="AE789" s="141"/>
      <c r="AF789" s="121" t="s">
        <v>292</v>
      </c>
      <c r="AG789" s="146">
        <f>VLOOKUP(Takeoffs!AF789,Sheet1!$B$6:$C$124,2,FALSE)</f>
        <v>0</v>
      </c>
      <c r="AH789" s="146">
        <f t="shared" ref="AH789:AH808" si="364">AG789*AI789</f>
        <v>0</v>
      </c>
      <c r="AI789" s="143">
        <f t="shared" ref="AI789:AI808" si="365">AK789*AJ789</f>
        <v>0</v>
      </c>
      <c r="AJ789" s="133">
        <f t="shared" ref="AJ789:AJ808" si="366">S789</f>
        <v>0</v>
      </c>
      <c r="AK789" s="142">
        <f>T789</f>
        <v>0</v>
      </c>
      <c r="AL789" s="141"/>
      <c r="AO789" s="286"/>
      <c r="AP789" s="284">
        <f t="shared" si="355"/>
        <v>0</v>
      </c>
      <c r="AQ789" s="281">
        <f t="shared" si="356"/>
        <v>0</v>
      </c>
      <c r="AR789" s="284">
        <f t="shared" si="357"/>
        <v>0</v>
      </c>
      <c r="AS789" s="281">
        <f t="shared" si="358"/>
        <v>0</v>
      </c>
      <c r="AT789" s="284">
        <f t="shared" si="359"/>
        <v>0</v>
      </c>
    </row>
    <row r="790" spans="1:97" s="114" customFormat="1" ht="30.9" x14ac:dyDescent="0.8">
      <c r="A790" s="262">
        <f>ROW()</f>
        <v>790</v>
      </c>
      <c r="C790" s="208"/>
      <c r="D790" s="208"/>
      <c r="E790" s="208"/>
      <c r="F790" s="208"/>
      <c r="G790" s="208"/>
      <c r="H790" s="208"/>
      <c r="J790" s="114" t="str">
        <f t="shared" ref="J790:J808" si="367">IF(COUNTBLANK(Q790)&gt;0,"",CONCATENATE("Coordination Note: - ",P790,": Please refer to our exclusions relating to ",Q790))</f>
        <v/>
      </c>
      <c r="K790" s="114" t="str">
        <f>IF(COUNTBLANK(R790)&gt;0,"",CONCATENATE(R790," for ",N788))</f>
        <v/>
      </c>
      <c r="M790" s="117"/>
      <c r="N790" s="123" t="s">
        <v>114</v>
      </c>
      <c r="O790" s="66" t="s">
        <v>308</v>
      </c>
      <c r="P790" s="121"/>
      <c r="Q790" s="66"/>
      <c r="R790" s="121"/>
      <c r="S790" s="133">
        <f>M788</f>
        <v>0</v>
      </c>
      <c r="T790" s="120"/>
      <c r="U790" s="121" t="s">
        <v>292</v>
      </c>
      <c r="V790" s="133">
        <f t="shared" si="360"/>
        <v>0</v>
      </c>
      <c r="W790" s="133">
        <f>VLOOKUP(U790,Sheet1!$B$6:$C$45,2,FALSE)*V790</f>
        <v>0</v>
      </c>
      <c r="X790" s="141"/>
      <c r="Y790" s="122" t="s">
        <v>252</v>
      </c>
      <c r="Z790" s="146">
        <f>VLOOKUP(Takeoffs!Y790,Sheet1!$B$6:$C$124,2,FALSE)</f>
        <v>43.440000000000005</v>
      </c>
      <c r="AA790" s="146">
        <f t="shared" si="361"/>
        <v>0</v>
      </c>
      <c r="AB790" s="143">
        <f t="shared" si="362"/>
        <v>0</v>
      </c>
      <c r="AC790" s="133">
        <f t="shared" si="363"/>
        <v>0</v>
      </c>
      <c r="AD790" s="142">
        <v>1</v>
      </c>
      <c r="AE790" s="141"/>
      <c r="AF790" s="122" t="s">
        <v>268</v>
      </c>
      <c r="AG790" s="146">
        <f>VLOOKUP(Takeoffs!AF790,Sheet1!$B$6:$C$124,2,FALSE)</f>
        <v>1.02</v>
      </c>
      <c r="AH790" s="146">
        <f t="shared" si="364"/>
        <v>0</v>
      </c>
      <c r="AI790" s="143">
        <f t="shared" si="365"/>
        <v>0</v>
      </c>
      <c r="AJ790" s="133">
        <f t="shared" si="366"/>
        <v>0</v>
      </c>
      <c r="AK790" s="142">
        <v>20</v>
      </c>
      <c r="AL790" s="141"/>
      <c r="AO790" s="286"/>
      <c r="AP790" s="284">
        <f t="shared" si="355"/>
        <v>0</v>
      </c>
      <c r="AQ790" s="281">
        <f t="shared" si="356"/>
        <v>0</v>
      </c>
      <c r="AR790" s="284">
        <f t="shared" si="357"/>
        <v>0</v>
      </c>
      <c r="AS790" s="281">
        <f t="shared" si="358"/>
        <v>0</v>
      </c>
      <c r="AT790" s="284">
        <f t="shared" si="359"/>
        <v>0</v>
      </c>
    </row>
    <row r="791" spans="1:97" s="114" customFormat="1" ht="30.9" x14ac:dyDescent="0.8">
      <c r="A791" s="262">
        <f>ROW()</f>
        <v>791</v>
      </c>
      <c r="C791" s="208"/>
      <c r="D791" s="208"/>
      <c r="E791" s="208"/>
      <c r="F791" s="208"/>
      <c r="G791" s="208"/>
      <c r="H791" s="208"/>
      <c r="J791" s="114" t="str">
        <f t="shared" si="367"/>
        <v/>
      </c>
      <c r="K791" s="114" t="str">
        <f>IF(COUNTBLANK(R791)&gt;0,"",CONCATENATE(R791," for ",N788))</f>
        <v/>
      </c>
      <c r="M791" s="117"/>
      <c r="N791" s="123" t="s">
        <v>115</v>
      </c>
      <c r="O791" s="66" t="s">
        <v>305</v>
      </c>
      <c r="P791" s="121"/>
      <c r="Q791" s="66"/>
      <c r="R791" s="121"/>
      <c r="S791" s="133">
        <f>M788</f>
        <v>0</v>
      </c>
      <c r="T791" s="120"/>
      <c r="U791" s="117" t="s">
        <v>478</v>
      </c>
      <c r="V791" s="133">
        <f t="shared" si="360"/>
        <v>0</v>
      </c>
      <c r="W791" s="133">
        <f>VLOOKUP(U791,Sheet1!$B$6:$C$45,2,FALSE)*V791</f>
        <v>0</v>
      </c>
      <c r="X791" s="141"/>
      <c r="Y791" s="121" t="s">
        <v>292</v>
      </c>
      <c r="Z791" s="146">
        <f>VLOOKUP(Takeoffs!Y791,Sheet1!$B$6:$C$124,2,FALSE)</f>
        <v>0</v>
      </c>
      <c r="AA791" s="146">
        <f t="shared" si="361"/>
        <v>0</v>
      </c>
      <c r="AB791" s="143">
        <f t="shared" si="362"/>
        <v>0</v>
      </c>
      <c r="AC791" s="133">
        <f t="shared" si="363"/>
        <v>0</v>
      </c>
      <c r="AD791" s="142">
        <v>1</v>
      </c>
      <c r="AE791" s="141"/>
      <c r="AF791" s="121" t="s">
        <v>292</v>
      </c>
      <c r="AG791" s="146">
        <f>VLOOKUP(Takeoffs!AF791,Sheet1!$B$6:$C$124,2,FALSE)</f>
        <v>0</v>
      </c>
      <c r="AH791" s="146">
        <f t="shared" si="364"/>
        <v>0</v>
      </c>
      <c r="AI791" s="143">
        <f t="shared" si="365"/>
        <v>0</v>
      </c>
      <c r="AJ791" s="133">
        <f t="shared" si="366"/>
        <v>0</v>
      </c>
      <c r="AK791" s="142">
        <f>T791</f>
        <v>0</v>
      </c>
      <c r="AL791" s="141"/>
      <c r="AO791" s="286"/>
      <c r="AP791" s="284">
        <f t="shared" si="355"/>
        <v>0</v>
      </c>
      <c r="AQ791" s="281">
        <f t="shared" si="356"/>
        <v>0</v>
      </c>
      <c r="AR791" s="284">
        <f t="shared" si="357"/>
        <v>0</v>
      </c>
      <c r="AS791" s="281">
        <f t="shared" si="358"/>
        <v>0</v>
      </c>
      <c r="AT791" s="284">
        <f t="shared" si="359"/>
        <v>0</v>
      </c>
    </row>
    <row r="792" spans="1:97" s="114" customFormat="1" ht="30.9" x14ac:dyDescent="0.8">
      <c r="A792" s="262">
        <f>ROW()</f>
        <v>792</v>
      </c>
      <c r="C792" s="208"/>
      <c r="D792" s="208"/>
      <c r="E792" s="208"/>
      <c r="F792" s="208"/>
      <c r="G792" s="208"/>
      <c r="H792" s="208"/>
      <c r="J792" s="114" t="str">
        <f t="shared" si="367"/>
        <v>Coordination Note: - Fume cupboard specialist: Please refer to our exclusions relating to supply and commissioning of VSD, interconnect cabling between  FC and VSD.</v>
      </c>
      <c r="K792" s="114" t="str">
        <f>IF(COUNTBLANK(R792)&gt;0,"",CONCATENATE(R792," for ",N788))</f>
        <v/>
      </c>
      <c r="M792" s="117"/>
      <c r="N792" s="123" t="s">
        <v>116</v>
      </c>
      <c r="O792" s="66" t="s">
        <v>576</v>
      </c>
      <c r="P792" s="121" t="s">
        <v>577</v>
      </c>
      <c r="Q792" s="66" t="s">
        <v>578</v>
      </c>
      <c r="R792" s="121"/>
      <c r="S792" s="133">
        <f>M788</f>
        <v>0</v>
      </c>
      <c r="T792" s="120"/>
      <c r="U792" s="121" t="s">
        <v>235</v>
      </c>
      <c r="V792" s="133">
        <f t="shared" si="360"/>
        <v>0</v>
      </c>
      <c r="W792" s="133">
        <f>VLOOKUP(U792,Sheet1!$B$6:$C$45,2,FALSE)*V792</f>
        <v>0</v>
      </c>
      <c r="X792" s="141"/>
      <c r="Y792" s="121" t="s">
        <v>292</v>
      </c>
      <c r="Z792" s="146">
        <f>VLOOKUP(Takeoffs!Y792,Sheet1!$B$6:$C$124,2,FALSE)</f>
        <v>0</v>
      </c>
      <c r="AA792" s="146">
        <f t="shared" si="361"/>
        <v>0</v>
      </c>
      <c r="AB792" s="143">
        <f t="shared" si="362"/>
        <v>0</v>
      </c>
      <c r="AC792" s="133">
        <f t="shared" si="363"/>
        <v>0</v>
      </c>
      <c r="AD792" s="142">
        <v>1</v>
      </c>
      <c r="AE792" s="141"/>
      <c r="AF792" s="121" t="s">
        <v>292</v>
      </c>
      <c r="AG792" s="146">
        <f>VLOOKUP(Takeoffs!AF792,Sheet1!$B$6:$C$124,2,FALSE)</f>
        <v>0</v>
      </c>
      <c r="AH792" s="146">
        <f t="shared" si="364"/>
        <v>0</v>
      </c>
      <c r="AI792" s="143">
        <f t="shared" si="365"/>
        <v>0</v>
      </c>
      <c r="AJ792" s="133">
        <f t="shared" si="366"/>
        <v>0</v>
      </c>
      <c r="AK792" s="142">
        <f>T792</f>
        <v>0</v>
      </c>
      <c r="AL792" s="141"/>
      <c r="AO792" s="286"/>
      <c r="AP792" s="284">
        <f t="shared" si="355"/>
        <v>0</v>
      </c>
      <c r="AQ792" s="281">
        <f t="shared" si="356"/>
        <v>0</v>
      </c>
      <c r="AR792" s="284">
        <f t="shared" si="357"/>
        <v>0</v>
      </c>
      <c r="AS792" s="281">
        <f t="shared" si="358"/>
        <v>0</v>
      </c>
      <c r="AT792" s="284">
        <f t="shared" si="359"/>
        <v>0</v>
      </c>
    </row>
    <row r="793" spans="1:97" s="114" customFormat="1" ht="30.9" x14ac:dyDescent="0.8">
      <c r="A793" s="262">
        <f>ROW()</f>
        <v>793</v>
      </c>
      <c r="C793" s="208"/>
      <c r="D793" s="208"/>
      <c r="E793" s="208"/>
      <c r="F793" s="208"/>
      <c r="G793" s="208"/>
      <c r="H793" s="208"/>
      <c r="J793" s="114" t="str">
        <f t="shared" si="367"/>
        <v/>
      </c>
      <c r="K793" s="114" t="str">
        <f>IF(COUNTBLANK(R793)&gt;0,"",CONCATENATE(R793," for ",N788))</f>
        <v/>
      </c>
      <c r="M793" s="117"/>
      <c r="N793" s="123" t="s">
        <v>117</v>
      </c>
      <c r="O793" s="66" t="s">
        <v>390</v>
      </c>
      <c r="P793" s="121"/>
      <c r="Q793" s="66"/>
      <c r="R793" s="121"/>
      <c r="S793" s="133">
        <f>M788</f>
        <v>0</v>
      </c>
      <c r="T793" s="120"/>
      <c r="U793" s="121" t="s">
        <v>292</v>
      </c>
      <c r="V793" s="133">
        <f t="shared" si="360"/>
        <v>0</v>
      </c>
      <c r="W793" s="133">
        <f>VLOOKUP(U793,Sheet1!$B$6:$C$45,2,FALSE)*V793</f>
        <v>0</v>
      </c>
      <c r="X793" s="141"/>
      <c r="Y793" s="121" t="s">
        <v>292</v>
      </c>
      <c r="Z793" s="146">
        <f>VLOOKUP(Takeoffs!Y793,Sheet1!$B$6:$C$124,2,FALSE)</f>
        <v>0</v>
      </c>
      <c r="AA793" s="146">
        <f t="shared" si="361"/>
        <v>0</v>
      </c>
      <c r="AB793" s="143">
        <f t="shared" si="362"/>
        <v>0</v>
      </c>
      <c r="AC793" s="133">
        <f t="shared" si="363"/>
        <v>0</v>
      </c>
      <c r="AD793" s="142">
        <v>1</v>
      </c>
      <c r="AE793" s="141"/>
      <c r="AF793" s="122" t="s">
        <v>268</v>
      </c>
      <c r="AG793" s="146">
        <f>VLOOKUP(Takeoffs!AF793,Sheet1!$B$6:$C$124,2,FALSE)</f>
        <v>1.02</v>
      </c>
      <c r="AH793" s="146">
        <f t="shared" si="364"/>
        <v>0</v>
      </c>
      <c r="AI793" s="143">
        <f t="shared" si="365"/>
        <v>0</v>
      </c>
      <c r="AJ793" s="133">
        <f t="shared" si="366"/>
        <v>0</v>
      </c>
      <c r="AK793" s="142">
        <v>3</v>
      </c>
      <c r="AL793" s="141"/>
      <c r="AO793" s="286"/>
      <c r="AP793" s="284">
        <f t="shared" si="355"/>
        <v>0</v>
      </c>
      <c r="AQ793" s="281">
        <f t="shared" si="356"/>
        <v>0</v>
      </c>
      <c r="AR793" s="284">
        <f t="shared" si="357"/>
        <v>0</v>
      </c>
      <c r="AS793" s="281">
        <f t="shared" si="358"/>
        <v>0</v>
      </c>
      <c r="AT793" s="284">
        <f t="shared" si="359"/>
        <v>0</v>
      </c>
    </row>
    <row r="794" spans="1:97" s="114" customFormat="1" ht="30.9" x14ac:dyDescent="0.8">
      <c r="A794" s="262">
        <f>ROW()</f>
        <v>794</v>
      </c>
      <c r="C794" s="208"/>
      <c r="D794" s="208"/>
      <c r="E794" s="208"/>
      <c r="F794" s="208"/>
      <c r="G794" s="208"/>
      <c r="H794" s="208"/>
      <c r="J794" s="114" t="str">
        <f t="shared" si="367"/>
        <v/>
      </c>
      <c r="K794" s="114" t="str">
        <f>IF(COUNTBLANK(R794)&gt;0,"",CONCATENATE(R794," for ",N788))</f>
        <v/>
      </c>
      <c r="M794" s="117"/>
      <c r="N794" s="123" t="s">
        <v>118</v>
      </c>
      <c r="O794" s="66" t="s">
        <v>309</v>
      </c>
      <c r="P794" s="121"/>
      <c r="Q794" s="66"/>
      <c r="R794" s="121"/>
      <c r="S794" s="133">
        <f>M788</f>
        <v>0</v>
      </c>
      <c r="T794" s="120"/>
      <c r="U794" s="121" t="s">
        <v>292</v>
      </c>
      <c r="V794" s="133">
        <f t="shared" si="360"/>
        <v>0</v>
      </c>
      <c r="W794" s="133">
        <f>VLOOKUP(U794,Sheet1!$B$6:$C$45,2,FALSE)*V794</f>
        <v>0</v>
      </c>
      <c r="X794" s="141"/>
      <c r="Y794" s="121" t="s">
        <v>292</v>
      </c>
      <c r="Z794" s="146">
        <f>VLOOKUP(Takeoffs!Y794,Sheet1!$B$6:$C$124,2,FALSE)</f>
        <v>0</v>
      </c>
      <c r="AA794" s="146">
        <f t="shared" si="361"/>
        <v>0</v>
      </c>
      <c r="AB794" s="143">
        <f t="shared" si="362"/>
        <v>0</v>
      </c>
      <c r="AC794" s="133">
        <f t="shared" si="363"/>
        <v>0</v>
      </c>
      <c r="AD794" s="142">
        <v>1</v>
      </c>
      <c r="AE794" s="141"/>
      <c r="AF794" s="121" t="s">
        <v>292</v>
      </c>
      <c r="AG794" s="146">
        <f>VLOOKUP(Takeoffs!AF794,Sheet1!$B$6:$C$124,2,FALSE)</f>
        <v>0</v>
      </c>
      <c r="AH794" s="146">
        <f t="shared" si="364"/>
        <v>0</v>
      </c>
      <c r="AI794" s="143">
        <f t="shared" si="365"/>
        <v>0</v>
      </c>
      <c r="AJ794" s="133">
        <f t="shared" si="366"/>
        <v>0</v>
      </c>
      <c r="AK794" s="142">
        <f>T794</f>
        <v>0</v>
      </c>
      <c r="AL794" s="141"/>
      <c r="AO794" s="286"/>
      <c r="AP794" s="284">
        <f t="shared" si="355"/>
        <v>0</v>
      </c>
      <c r="AQ794" s="281">
        <f t="shared" si="356"/>
        <v>0</v>
      </c>
      <c r="AR794" s="284">
        <f t="shared" si="357"/>
        <v>0</v>
      </c>
      <c r="AS794" s="281">
        <f t="shared" si="358"/>
        <v>0</v>
      </c>
      <c r="AT794" s="284">
        <f t="shared" si="359"/>
        <v>0</v>
      </c>
    </row>
    <row r="795" spans="1:97" s="114" customFormat="1" ht="30.9" x14ac:dyDescent="0.8">
      <c r="A795" s="262">
        <f>ROW()</f>
        <v>795</v>
      </c>
      <c r="C795" s="208"/>
      <c r="D795" s="208"/>
      <c r="E795" s="208"/>
      <c r="F795" s="208"/>
      <c r="G795" s="208"/>
      <c r="H795" s="208"/>
      <c r="J795" s="114" t="str">
        <f t="shared" si="367"/>
        <v/>
      </c>
      <c r="K795" s="114" t="str">
        <f>IF(COUNTBLANK(R795)&gt;0,"",CONCATENATE(R795," for ",N788))</f>
        <v/>
      </c>
      <c r="N795" s="123" t="s">
        <v>119</v>
      </c>
      <c r="O795" s="66"/>
      <c r="P795" s="121"/>
      <c r="Q795" s="66"/>
      <c r="R795" s="121"/>
      <c r="S795" s="133">
        <f>M788</f>
        <v>0</v>
      </c>
      <c r="T795" s="120"/>
      <c r="U795" s="121" t="s">
        <v>292</v>
      </c>
      <c r="V795" s="133">
        <f t="shared" si="360"/>
        <v>0</v>
      </c>
      <c r="W795" s="133">
        <f>VLOOKUP(U795,Sheet1!$B$6:$C$45,2,FALSE)*V795</f>
        <v>0</v>
      </c>
      <c r="X795" s="141"/>
      <c r="Y795" s="121" t="s">
        <v>292</v>
      </c>
      <c r="Z795" s="146">
        <f>VLOOKUP(Takeoffs!Y795,Sheet1!$B$6:$C$124,2,FALSE)</f>
        <v>0</v>
      </c>
      <c r="AA795" s="146">
        <f t="shared" si="361"/>
        <v>0</v>
      </c>
      <c r="AB795" s="143">
        <f t="shared" si="362"/>
        <v>0</v>
      </c>
      <c r="AC795" s="133">
        <f t="shared" si="363"/>
        <v>0</v>
      </c>
      <c r="AD795" s="142">
        <v>1</v>
      </c>
      <c r="AE795" s="141"/>
      <c r="AF795" s="121" t="s">
        <v>292</v>
      </c>
      <c r="AG795" s="146">
        <f>VLOOKUP(Takeoffs!AF795,Sheet1!$B$6:$C$124,2,FALSE)</f>
        <v>0</v>
      </c>
      <c r="AH795" s="146">
        <f t="shared" si="364"/>
        <v>0</v>
      </c>
      <c r="AI795" s="143">
        <f t="shared" si="365"/>
        <v>0</v>
      </c>
      <c r="AJ795" s="133">
        <f t="shared" si="366"/>
        <v>0</v>
      </c>
      <c r="AK795" s="142">
        <f>T795</f>
        <v>0</v>
      </c>
      <c r="AL795" s="141"/>
      <c r="AO795" s="286"/>
      <c r="AP795" s="284">
        <f t="shared" si="355"/>
        <v>0</v>
      </c>
      <c r="AQ795" s="281">
        <f t="shared" si="356"/>
        <v>0</v>
      </c>
      <c r="AR795" s="284">
        <f t="shared" si="357"/>
        <v>0</v>
      </c>
      <c r="AS795" s="281">
        <f t="shared" si="358"/>
        <v>0</v>
      </c>
      <c r="AT795" s="284">
        <f t="shared" si="359"/>
        <v>0</v>
      </c>
    </row>
    <row r="796" spans="1:97" s="114" customFormat="1" ht="30.9" x14ac:dyDescent="0.8">
      <c r="A796" s="262">
        <f>ROW()</f>
        <v>796</v>
      </c>
      <c r="C796" s="208"/>
      <c r="D796" s="208"/>
      <c r="E796" s="208"/>
      <c r="F796" s="208"/>
      <c r="G796" s="208"/>
      <c r="H796" s="208"/>
      <c r="J796" s="114" t="str">
        <f t="shared" si="367"/>
        <v/>
      </c>
      <c r="K796" s="114" t="str">
        <f>IF(COUNTBLANK(R796)&gt;0,"",CONCATENATE(R796," for ",N788))</f>
        <v/>
      </c>
      <c r="N796" s="123" t="s">
        <v>120</v>
      </c>
      <c r="O796" s="66" t="s">
        <v>328</v>
      </c>
      <c r="P796" s="121"/>
      <c r="Q796" s="66"/>
      <c r="R796" s="121"/>
      <c r="S796" s="133">
        <f>M788</f>
        <v>0</v>
      </c>
      <c r="T796" s="120"/>
      <c r="U796" s="121" t="s">
        <v>364</v>
      </c>
      <c r="V796" s="133">
        <f t="shared" si="360"/>
        <v>0</v>
      </c>
      <c r="W796" s="133">
        <f>VLOOKUP(U796,Sheet1!$B$6:$C$45,2,FALSE)*V796</f>
        <v>0</v>
      </c>
      <c r="X796" s="141"/>
      <c r="Y796" s="121" t="s">
        <v>292</v>
      </c>
      <c r="Z796" s="146">
        <f>VLOOKUP(Takeoffs!Y796,Sheet1!$B$6:$C$124,2,FALSE)</f>
        <v>0</v>
      </c>
      <c r="AA796" s="146">
        <f t="shared" si="361"/>
        <v>0</v>
      </c>
      <c r="AB796" s="143">
        <f t="shared" si="362"/>
        <v>0</v>
      </c>
      <c r="AC796" s="133">
        <f t="shared" si="363"/>
        <v>0</v>
      </c>
      <c r="AD796" s="142">
        <v>1</v>
      </c>
      <c r="AE796" s="141"/>
      <c r="AF796" s="121" t="s">
        <v>292</v>
      </c>
      <c r="AG796" s="146">
        <f>VLOOKUP(Takeoffs!AF796,Sheet1!$B$6:$C$124,2,FALSE)</f>
        <v>0</v>
      </c>
      <c r="AH796" s="146">
        <f t="shared" si="364"/>
        <v>0</v>
      </c>
      <c r="AI796" s="143">
        <f t="shared" si="365"/>
        <v>0</v>
      </c>
      <c r="AJ796" s="133">
        <f t="shared" si="366"/>
        <v>0</v>
      </c>
      <c r="AK796" s="142">
        <f>T796</f>
        <v>0</v>
      </c>
      <c r="AL796" s="141"/>
      <c r="AO796" s="286"/>
      <c r="AP796" s="284">
        <f t="shared" si="355"/>
        <v>0</v>
      </c>
      <c r="AQ796" s="281">
        <f t="shared" si="356"/>
        <v>0</v>
      </c>
      <c r="AR796" s="284">
        <f t="shared" si="357"/>
        <v>0</v>
      </c>
      <c r="AS796" s="281">
        <f t="shared" si="358"/>
        <v>0</v>
      </c>
      <c r="AT796" s="284">
        <f t="shared" si="359"/>
        <v>0</v>
      </c>
    </row>
    <row r="797" spans="1:97" s="114" customFormat="1" ht="30.9" x14ac:dyDescent="0.8">
      <c r="A797" s="262">
        <f>ROW()</f>
        <v>797</v>
      </c>
      <c r="C797" s="208"/>
      <c r="D797" s="208"/>
      <c r="E797" s="208"/>
      <c r="F797" s="208"/>
      <c r="G797" s="208"/>
      <c r="H797" s="208"/>
      <c r="J797" s="114" t="str">
        <f t="shared" si="367"/>
        <v/>
      </c>
      <c r="K797" s="114" t="str">
        <f>IF(COUNTBLANK(R797)&gt;0,"",CONCATENATE(R797," for ",N788))</f>
        <v/>
      </c>
      <c r="N797" s="123" t="s">
        <v>121</v>
      </c>
      <c r="O797" s="66"/>
      <c r="P797" s="121"/>
      <c r="Q797" s="66"/>
      <c r="R797" s="121"/>
      <c r="S797" s="133">
        <f>M788</f>
        <v>0</v>
      </c>
      <c r="T797" s="120"/>
      <c r="U797" s="121" t="s">
        <v>292</v>
      </c>
      <c r="V797" s="133">
        <f t="shared" si="360"/>
        <v>0</v>
      </c>
      <c r="W797" s="133">
        <f>VLOOKUP(U797,Sheet1!$B$6:$C$45,2,FALSE)*V797</f>
        <v>0</v>
      </c>
      <c r="X797" s="141"/>
      <c r="Y797" s="121" t="s">
        <v>292</v>
      </c>
      <c r="Z797" s="146">
        <f>VLOOKUP(Takeoffs!Y797,Sheet1!$B$6:$C$124,2,FALSE)</f>
        <v>0</v>
      </c>
      <c r="AA797" s="146">
        <f t="shared" si="361"/>
        <v>0</v>
      </c>
      <c r="AB797" s="143">
        <f t="shared" si="362"/>
        <v>0</v>
      </c>
      <c r="AC797" s="133">
        <f t="shared" si="363"/>
        <v>0</v>
      </c>
      <c r="AD797" s="142">
        <v>1</v>
      </c>
      <c r="AE797" s="141"/>
      <c r="AF797" s="121" t="s">
        <v>292</v>
      </c>
      <c r="AG797" s="146">
        <f>VLOOKUP(Takeoffs!AF797,Sheet1!$B$6:$C$124,2,FALSE)</f>
        <v>0</v>
      </c>
      <c r="AH797" s="146">
        <f t="shared" si="364"/>
        <v>0</v>
      </c>
      <c r="AI797" s="143">
        <f t="shared" si="365"/>
        <v>0</v>
      </c>
      <c r="AJ797" s="133">
        <f t="shared" si="366"/>
        <v>0</v>
      </c>
      <c r="AK797" s="142">
        <f>T797</f>
        <v>0</v>
      </c>
      <c r="AL797" s="141"/>
      <c r="AO797" s="286"/>
      <c r="AP797" s="284">
        <f t="shared" si="355"/>
        <v>0</v>
      </c>
      <c r="AQ797" s="281">
        <f t="shared" si="356"/>
        <v>0</v>
      </c>
      <c r="AR797" s="284">
        <f t="shared" si="357"/>
        <v>0</v>
      </c>
      <c r="AS797" s="281">
        <f t="shared" si="358"/>
        <v>0</v>
      </c>
      <c r="AT797" s="284">
        <f t="shared" si="359"/>
        <v>0</v>
      </c>
    </row>
    <row r="798" spans="1:97" s="114" customFormat="1" ht="30.9" x14ac:dyDescent="0.8">
      <c r="A798" s="262">
        <f>ROW()</f>
        <v>798</v>
      </c>
      <c r="C798" s="208"/>
      <c r="D798" s="208"/>
      <c r="E798" s="208"/>
      <c r="F798" s="208"/>
      <c r="G798" s="208"/>
      <c r="H798" s="208"/>
      <c r="J798" s="114" t="str">
        <f t="shared" si="367"/>
        <v/>
      </c>
      <c r="K798" s="114" t="str">
        <f>IF(COUNTBLANK(R798)&gt;0,"",CONCATENATE(R798," for ",N788))</f>
        <v/>
      </c>
      <c r="N798" s="123" t="s">
        <v>122</v>
      </c>
      <c r="O798" s="66"/>
      <c r="P798" s="121"/>
      <c r="Q798" s="66"/>
      <c r="R798" s="121"/>
      <c r="S798" s="133">
        <f>M788</f>
        <v>0</v>
      </c>
      <c r="T798" s="120"/>
      <c r="U798" s="121" t="s">
        <v>292</v>
      </c>
      <c r="V798" s="133">
        <f t="shared" si="360"/>
        <v>0</v>
      </c>
      <c r="W798" s="133">
        <f>VLOOKUP(U798,Sheet1!$B$6:$C$45,2,FALSE)*V798</f>
        <v>0</v>
      </c>
      <c r="X798" s="141"/>
      <c r="Y798" s="121" t="s">
        <v>292</v>
      </c>
      <c r="Z798" s="146">
        <f>VLOOKUP(Takeoffs!Y798,Sheet1!$B$6:$C$124,2,FALSE)</f>
        <v>0</v>
      </c>
      <c r="AA798" s="146">
        <f t="shared" si="361"/>
        <v>0</v>
      </c>
      <c r="AB798" s="143">
        <f t="shared" si="362"/>
        <v>0</v>
      </c>
      <c r="AC798" s="133">
        <f t="shared" si="363"/>
        <v>0</v>
      </c>
      <c r="AD798" s="142">
        <v>1</v>
      </c>
      <c r="AE798" s="141"/>
      <c r="AF798" s="121" t="s">
        <v>292</v>
      </c>
      <c r="AG798" s="146">
        <f>VLOOKUP(Takeoffs!AF798,Sheet1!$B$6:$C$124,2,FALSE)</f>
        <v>0</v>
      </c>
      <c r="AH798" s="146">
        <f t="shared" si="364"/>
        <v>0</v>
      </c>
      <c r="AI798" s="143">
        <f t="shared" si="365"/>
        <v>0</v>
      </c>
      <c r="AJ798" s="133">
        <f t="shared" si="366"/>
        <v>0</v>
      </c>
      <c r="AK798" s="142">
        <f>T798</f>
        <v>0</v>
      </c>
      <c r="AL798" s="141"/>
      <c r="AO798" s="286"/>
      <c r="AP798" s="284">
        <f t="shared" si="355"/>
        <v>0</v>
      </c>
      <c r="AQ798" s="281">
        <f t="shared" si="356"/>
        <v>0</v>
      </c>
      <c r="AR798" s="284">
        <f t="shared" si="357"/>
        <v>0</v>
      </c>
      <c r="AS798" s="281">
        <f t="shared" si="358"/>
        <v>0</v>
      </c>
      <c r="AT798" s="284">
        <f t="shared" si="359"/>
        <v>0</v>
      </c>
    </row>
    <row r="799" spans="1:97" s="114" customFormat="1" ht="30.9" x14ac:dyDescent="0.8">
      <c r="A799" s="262">
        <f>ROW()</f>
        <v>799</v>
      </c>
      <c r="C799" s="208"/>
      <c r="D799" s="208"/>
      <c r="E799" s="208"/>
      <c r="F799" s="208"/>
      <c r="G799" s="208"/>
      <c r="H799" s="208"/>
      <c r="J799" s="114" t="str">
        <f t="shared" si="367"/>
        <v/>
      </c>
      <c r="K799" s="114" t="str">
        <f>IF(COUNTBLANK(R799)&gt;0,"",CONCATENATE(R799," for ",N788))</f>
        <v/>
      </c>
      <c r="N799" s="123" t="s">
        <v>123</v>
      </c>
      <c r="O799" s="66"/>
      <c r="P799" s="121"/>
      <c r="Q799" s="66"/>
      <c r="R799" s="121"/>
      <c r="S799" s="133">
        <f>M788</f>
        <v>0</v>
      </c>
      <c r="T799" s="120"/>
      <c r="U799" s="121" t="s">
        <v>292</v>
      </c>
      <c r="V799" s="133">
        <f t="shared" si="360"/>
        <v>0</v>
      </c>
      <c r="W799" s="133">
        <f>VLOOKUP(U799,Sheet1!$B$6:$C$45,2,FALSE)*V799</f>
        <v>0</v>
      </c>
      <c r="X799" s="141"/>
      <c r="Y799" s="121" t="s">
        <v>292</v>
      </c>
      <c r="Z799" s="146">
        <f>VLOOKUP(Takeoffs!Y799,Sheet1!$B$6:$C$124,2,FALSE)</f>
        <v>0</v>
      </c>
      <c r="AA799" s="146">
        <f t="shared" si="361"/>
        <v>0</v>
      </c>
      <c r="AB799" s="143">
        <f t="shared" si="362"/>
        <v>0</v>
      </c>
      <c r="AC799" s="133">
        <f t="shared" si="363"/>
        <v>0</v>
      </c>
      <c r="AD799" s="142">
        <v>1</v>
      </c>
      <c r="AE799" s="141"/>
      <c r="AF799" s="121" t="s">
        <v>292</v>
      </c>
      <c r="AG799" s="146">
        <f>VLOOKUP(Takeoffs!AF799,Sheet1!$B$6:$C$124,2,FALSE)</f>
        <v>0</v>
      </c>
      <c r="AH799" s="146">
        <f t="shared" si="364"/>
        <v>0</v>
      </c>
      <c r="AI799" s="143">
        <f t="shared" si="365"/>
        <v>0</v>
      </c>
      <c r="AJ799" s="133">
        <f t="shared" si="366"/>
        <v>0</v>
      </c>
      <c r="AK799" s="142">
        <v>0</v>
      </c>
      <c r="AL799" s="141"/>
      <c r="AO799" s="286"/>
      <c r="AP799" s="284">
        <f t="shared" si="355"/>
        <v>0</v>
      </c>
      <c r="AQ799" s="281">
        <f t="shared" si="356"/>
        <v>0</v>
      </c>
      <c r="AR799" s="284">
        <f t="shared" si="357"/>
        <v>0</v>
      </c>
      <c r="AS799" s="281">
        <f t="shared" si="358"/>
        <v>0</v>
      </c>
      <c r="AT799" s="284">
        <f t="shared" si="359"/>
        <v>0</v>
      </c>
    </row>
    <row r="800" spans="1:97" s="114" customFormat="1" ht="30.9" x14ac:dyDescent="0.8">
      <c r="A800" s="262">
        <f>ROW()</f>
        <v>800</v>
      </c>
      <c r="C800" s="208"/>
      <c r="D800" s="208"/>
      <c r="E800" s="208"/>
      <c r="F800" s="208"/>
      <c r="G800" s="208"/>
      <c r="H800" s="208"/>
      <c r="J800" s="114" t="str">
        <f t="shared" si="367"/>
        <v/>
      </c>
      <c r="K800" s="114" t="str">
        <f>IF(COUNTBLANK(R800)&gt;0,"",CONCATENATE(R800," for ",N788))</f>
        <v/>
      </c>
      <c r="N800" s="123" t="s">
        <v>124</v>
      </c>
      <c r="O800" s="66" t="s">
        <v>579</v>
      </c>
      <c r="P800" s="121"/>
      <c r="Q800" s="66"/>
      <c r="R800" s="121"/>
      <c r="S800" s="133">
        <f>M788</f>
        <v>0</v>
      </c>
      <c r="T800" s="120"/>
      <c r="U800" s="121" t="s">
        <v>292</v>
      </c>
      <c r="V800" s="133">
        <f t="shared" si="360"/>
        <v>0</v>
      </c>
      <c r="W800" s="133">
        <f>VLOOKUP(U800,Sheet1!$B$6:$C$45,2,FALSE)*V800</f>
        <v>0</v>
      </c>
      <c r="X800" s="141"/>
      <c r="Y800" s="121" t="s">
        <v>292</v>
      </c>
      <c r="Z800" s="146">
        <f>VLOOKUP(Takeoffs!Y800,Sheet1!$B$6:$C$124,2,FALSE)</f>
        <v>0</v>
      </c>
      <c r="AA800" s="146">
        <f t="shared" si="361"/>
        <v>0</v>
      </c>
      <c r="AB800" s="143">
        <f t="shared" si="362"/>
        <v>0</v>
      </c>
      <c r="AC800" s="133">
        <f t="shared" si="363"/>
        <v>0</v>
      </c>
      <c r="AD800" s="142">
        <v>1</v>
      </c>
      <c r="AE800" s="141"/>
      <c r="AF800" s="152" t="s">
        <v>418</v>
      </c>
      <c r="AG800" s="146">
        <f>VLOOKUP(Takeoffs!AF800,Sheet1!$B$6:$C$124,2,FALSE)</f>
        <v>0.33600000000000002</v>
      </c>
      <c r="AH800" s="146">
        <f t="shared" si="364"/>
        <v>0</v>
      </c>
      <c r="AI800" s="143">
        <f t="shared" si="365"/>
        <v>0</v>
      </c>
      <c r="AJ800" s="133">
        <f t="shared" si="366"/>
        <v>0</v>
      </c>
      <c r="AK800" s="142">
        <v>1</v>
      </c>
      <c r="AL800" s="141"/>
      <c r="AO800" s="286"/>
      <c r="AP800" s="284">
        <f t="shared" si="355"/>
        <v>0</v>
      </c>
      <c r="AQ800" s="281">
        <f t="shared" si="356"/>
        <v>0</v>
      </c>
      <c r="AR800" s="284">
        <f t="shared" si="357"/>
        <v>0</v>
      </c>
      <c r="AS800" s="281">
        <f t="shared" si="358"/>
        <v>0</v>
      </c>
      <c r="AT800" s="284">
        <f t="shared" si="359"/>
        <v>0</v>
      </c>
    </row>
    <row r="801" spans="1:97" s="114" customFormat="1" ht="30.9" x14ac:dyDescent="0.8">
      <c r="A801" s="262">
        <f>ROW()</f>
        <v>801</v>
      </c>
      <c r="C801" s="208"/>
      <c r="D801" s="208"/>
      <c r="E801" s="208"/>
      <c r="F801" s="208"/>
      <c r="G801" s="208"/>
      <c r="H801" s="208"/>
      <c r="J801" s="114" t="str">
        <f t="shared" si="367"/>
        <v/>
      </c>
      <c r="K801" s="114" t="str">
        <f>IF(COUNTBLANK(R801)&gt;0,"",CONCATENATE(R801," for ",N788))</f>
        <v/>
      </c>
      <c r="N801" s="123" t="s">
        <v>125</v>
      </c>
      <c r="O801" s="66" t="s">
        <v>312</v>
      </c>
      <c r="P801" s="121"/>
      <c r="Q801" s="66"/>
      <c r="R801" s="121"/>
      <c r="S801" s="133">
        <f>M788</f>
        <v>0</v>
      </c>
      <c r="T801" s="120"/>
      <c r="U801" s="121" t="s">
        <v>232</v>
      </c>
      <c r="V801" s="133">
        <f t="shared" si="360"/>
        <v>0</v>
      </c>
      <c r="W801" s="133">
        <f>VLOOKUP(U801,Sheet1!$B$6:$C$45,2,FALSE)*V801</f>
        <v>0</v>
      </c>
      <c r="X801" s="141"/>
      <c r="Y801" s="122" t="s">
        <v>1345</v>
      </c>
      <c r="Z801" s="146">
        <f>VLOOKUP(Takeoffs!Y801,Sheet1!$B$6:$C$124,2,FALSE)</f>
        <v>109.25999999999999</v>
      </c>
      <c r="AA801" s="146">
        <f t="shared" si="361"/>
        <v>0</v>
      </c>
      <c r="AB801" s="143">
        <f t="shared" si="362"/>
        <v>0</v>
      </c>
      <c r="AC801" s="133">
        <f t="shared" si="363"/>
        <v>0</v>
      </c>
      <c r="AD801" s="142">
        <v>1</v>
      </c>
      <c r="AE801" s="141"/>
      <c r="AF801" s="121" t="s">
        <v>292</v>
      </c>
      <c r="AG801" s="146">
        <f>VLOOKUP(Takeoffs!AF801,Sheet1!$B$6:$C$124,2,FALSE)</f>
        <v>0</v>
      </c>
      <c r="AH801" s="146">
        <f t="shared" si="364"/>
        <v>0</v>
      </c>
      <c r="AI801" s="143">
        <f t="shared" si="365"/>
        <v>0</v>
      </c>
      <c r="AJ801" s="133">
        <f t="shared" si="366"/>
        <v>0</v>
      </c>
      <c r="AK801" s="142">
        <f t="shared" ref="AK801:AK808" si="368">T801</f>
        <v>0</v>
      </c>
      <c r="AL801" s="141"/>
      <c r="AO801" s="286"/>
      <c r="AP801" s="284">
        <f t="shared" si="355"/>
        <v>0</v>
      </c>
      <c r="AQ801" s="281">
        <f t="shared" si="356"/>
        <v>0</v>
      </c>
      <c r="AR801" s="284">
        <f t="shared" si="357"/>
        <v>0</v>
      </c>
      <c r="AS801" s="281">
        <f t="shared" si="358"/>
        <v>0</v>
      </c>
      <c r="AT801" s="284">
        <f t="shared" si="359"/>
        <v>0</v>
      </c>
    </row>
    <row r="802" spans="1:97" s="114" customFormat="1" ht="30.9" x14ac:dyDescent="0.8">
      <c r="A802" s="262">
        <f>ROW()</f>
        <v>802</v>
      </c>
      <c r="C802" s="208"/>
      <c r="D802" s="208"/>
      <c r="E802" s="208"/>
      <c r="F802" s="208"/>
      <c r="G802" s="208"/>
      <c r="H802" s="208"/>
      <c r="J802" s="114" t="str">
        <f t="shared" si="367"/>
        <v/>
      </c>
      <c r="K802" s="114" t="str">
        <f>IF(COUNTBLANK(R802)&gt;0,"",CONCATENATE(R802," for ",N788))</f>
        <v/>
      </c>
      <c r="N802" s="123" t="s">
        <v>126</v>
      </c>
      <c r="O802" s="66"/>
      <c r="P802" s="121"/>
      <c r="Q802" s="66"/>
      <c r="R802" s="121"/>
      <c r="S802" s="133">
        <f>M788</f>
        <v>0</v>
      </c>
      <c r="T802" s="120"/>
      <c r="U802" s="121" t="s">
        <v>292</v>
      </c>
      <c r="V802" s="133">
        <f t="shared" si="360"/>
        <v>0</v>
      </c>
      <c r="W802" s="133">
        <f>VLOOKUP(U802,Sheet1!$B$6:$C$45,2,FALSE)*V802</f>
        <v>0</v>
      </c>
      <c r="X802" s="141"/>
      <c r="Y802" s="122" t="s">
        <v>326</v>
      </c>
      <c r="Z802" s="146">
        <f>VLOOKUP(Takeoffs!Y802,Sheet1!$B$6:$C$124,2,FALSE)</f>
        <v>29.04</v>
      </c>
      <c r="AA802" s="146">
        <f t="shared" si="361"/>
        <v>0</v>
      </c>
      <c r="AB802" s="143">
        <f t="shared" si="362"/>
        <v>0</v>
      </c>
      <c r="AC802" s="133">
        <f t="shared" si="363"/>
        <v>0</v>
      </c>
      <c r="AD802" s="142">
        <v>1</v>
      </c>
      <c r="AE802" s="141"/>
      <c r="AF802" s="121" t="s">
        <v>292</v>
      </c>
      <c r="AG802" s="146">
        <f>VLOOKUP(Takeoffs!AF802,Sheet1!$B$6:$C$124,2,FALSE)</f>
        <v>0</v>
      </c>
      <c r="AH802" s="146">
        <f t="shared" si="364"/>
        <v>0</v>
      </c>
      <c r="AI802" s="143">
        <f t="shared" si="365"/>
        <v>0</v>
      </c>
      <c r="AJ802" s="133">
        <f t="shared" si="366"/>
        <v>0</v>
      </c>
      <c r="AK802" s="142">
        <f t="shared" si="368"/>
        <v>0</v>
      </c>
      <c r="AL802" s="141"/>
      <c r="AO802" s="286"/>
      <c r="AP802" s="284">
        <f t="shared" si="355"/>
        <v>0</v>
      </c>
      <c r="AQ802" s="281">
        <f t="shared" si="356"/>
        <v>0</v>
      </c>
      <c r="AR802" s="284">
        <f t="shared" si="357"/>
        <v>0</v>
      </c>
      <c r="AS802" s="281">
        <f t="shared" si="358"/>
        <v>0</v>
      </c>
      <c r="AT802" s="284">
        <f t="shared" si="359"/>
        <v>0</v>
      </c>
    </row>
    <row r="803" spans="1:97" s="114" customFormat="1" ht="30.9" x14ac:dyDescent="0.8">
      <c r="A803" s="262">
        <f>ROW()</f>
        <v>803</v>
      </c>
      <c r="C803" s="208"/>
      <c r="D803" s="208"/>
      <c r="E803" s="208"/>
      <c r="F803" s="208"/>
      <c r="G803" s="208"/>
      <c r="H803" s="208"/>
      <c r="J803" s="114" t="str">
        <f t="shared" si="367"/>
        <v/>
      </c>
      <c r="K803" s="114" t="str">
        <f>IF(COUNTBLANK(R803)&gt;0,"",CONCATENATE(R803," for ",N788))</f>
        <v>run and fault lights for Fume Cupboard fan ( Excluding supply of VSD and FC controls) - from MSSB power supply</v>
      </c>
      <c r="N803" s="123" t="s">
        <v>127</v>
      </c>
      <c r="O803" s="66" t="s">
        <v>337</v>
      </c>
      <c r="P803" s="121"/>
      <c r="Q803" s="66"/>
      <c r="R803" s="121" t="s">
        <v>331</v>
      </c>
      <c r="S803" s="133">
        <f>M788</f>
        <v>0</v>
      </c>
      <c r="T803" s="120"/>
      <c r="U803" s="121" t="s">
        <v>292</v>
      </c>
      <c r="V803" s="133">
        <f t="shared" si="360"/>
        <v>0</v>
      </c>
      <c r="W803" s="133">
        <f>VLOOKUP(U803,Sheet1!$B$6:$C$45,2,FALSE)*V803</f>
        <v>0</v>
      </c>
      <c r="X803" s="141"/>
      <c r="Y803" s="122" t="s">
        <v>280</v>
      </c>
      <c r="Z803" s="146">
        <f>VLOOKUP(Takeoffs!Y803,Sheet1!$B$6:$C$124,2,FALSE)</f>
        <v>19.2</v>
      </c>
      <c r="AA803" s="146">
        <f t="shared" si="361"/>
        <v>0</v>
      </c>
      <c r="AB803" s="143">
        <f t="shared" si="362"/>
        <v>0</v>
      </c>
      <c r="AC803" s="133">
        <f t="shared" si="363"/>
        <v>0</v>
      </c>
      <c r="AD803" s="142">
        <v>2</v>
      </c>
      <c r="AE803" s="141"/>
      <c r="AF803" s="121" t="s">
        <v>292</v>
      </c>
      <c r="AG803" s="146">
        <f>VLOOKUP(Takeoffs!AF803,Sheet1!$B$6:$C$124,2,FALSE)</f>
        <v>0</v>
      </c>
      <c r="AH803" s="146">
        <f t="shared" si="364"/>
        <v>0</v>
      </c>
      <c r="AI803" s="143">
        <f t="shared" si="365"/>
        <v>0</v>
      </c>
      <c r="AJ803" s="133">
        <f t="shared" si="366"/>
        <v>0</v>
      </c>
      <c r="AK803" s="142">
        <f t="shared" si="368"/>
        <v>0</v>
      </c>
      <c r="AL803" s="141"/>
      <c r="AO803" s="286"/>
      <c r="AP803" s="284">
        <f t="shared" si="355"/>
        <v>0</v>
      </c>
      <c r="AQ803" s="281">
        <f t="shared" si="356"/>
        <v>0</v>
      </c>
      <c r="AR803" s="284">
        <f t="shared" si="357"/>
        <v>0</v>
      </c>
      <c r="AS803" s="281">
        <f t="shared" si="358"/>
        <v>0</v>
      </c>
      <c r="AT803" s="284">
        <f t="shared" si="359"/>
        <v>0</v>
      </c>
    </row>
    <row r="804" spans="1:97" s="114" customFormat="1" ht="30.9" x14ac:dyDescent="0.8">
      <c r="A804" s="262">
        <f>ROW()</f>
        <v>804</v>
      </c>
      <c r="C804" s="208"/>
      <c r="D804" s="208"/>
      <c r="E804" s="208"/>
      <c r="F804" s="208"/>
      <c r="G804" s="208"/>
      <c r="H804" s="208"/>
      <c r="J804" s="114" t="str">
        <f t="shared" si="367"/>
        <v/>
      </c>
      <c r="K804" s="114" t="str">
        <f>IF(COUNTBLANK(R804)&gt;0,"",CONCATENATE(R804," for ",N788))</f>
        <v/>
      </c>
      <c r="N804" s="123" t="s">
        <v>128</v>
      </c>
      <c r="O804" s="66" t="s">
        <v>499</v>
      </c>
      <c r="P804" s="121"/>
      <c r="Q804" s="66"/>
      <c r="R804" s="121"/>
      <c r="S804" s="133">
        <f>M788</f>
        <v>0</v>
      </c>
      <c r="T804" s="120"/>
      <c r="U804" s="121" t="s">
        <v>292</v>
      </c>
      <c r="V804" s="133">
        <f t="shared" si="360"/>
        <v>0</v>
      </c>
      <c r="W804" s="133">
        <f>VLOOKUP(U804,Sheet1!$B$6:$C$45,2,FALSE)*V804</f>
        <v>0</v>
      </c>
      <c r="X804" s="141"/>
      <c r="Y804" s="135" t="s">
        <v>422</v>
      </c>
      <c r="Z804" s="146">
        <f>VLOOKUP(Takeoffs!Y804,Sheet1!$B$6:$C$124,2,FALSE)</f>
        <v>23.4</v>
      </c>
      <c r="AA804" s="146">
        <f t="shared" si="361"/>
        <v>0</v>
      </c>
      <c r="AB804" s="143">
        <f t="shared" si="362"/>
        <v>0</v>
      </c>
      <c r="AC804" s="133">
        <f t="shared" si="363"/>
        <v>0</v>
      </c>
      <c r="AD804" s="142">
        <v>1</v>
      </c>
      <c r="AE804" s="141"/>
      <c r="AF804" s="121" t="s">
        <v>292</v>
      </c>
      <c r="AG804" s="146">
        <f>VLOOKUP(Takeoffs!AF804,Sheet1!$B$6:$C$124,2,FALSE)</f>
        <v>0</v>
      </c>
      <c r="AH804" s="146">
        <f t="shared" si="364"/>
        <v>0</v>
      </c>
      <c r="AI804" s="143">
        <f t="shared" si="365"/>
        <v>0</v>
      </c>
      <c r="AJ804" s="133">
        <f t="shared" si="366"/>
        <v>0</v>
      </c>
      <c r="AK804" s="142">
        <f t="shared" si="368"/>
        <v>0</v>
      </c>
      <c r="AL804" s="141"/>
      <c r="AO804" s="286"/>
      <c r="AP804" s="284">
        <f t="shared" si="355"/>
        <v>0</v>
      </c>
      <c r="AQ804" s="281">
        <f t="shared" si="356"/>
        <v>0</v>
      </c>
      <c r="AR804" s="284">
        <f t="shared" si="357"/>
        <v>0</v>
      </c>
      <c r="AS804" s="281">
        <f t="shared" si="358"/>
        <v>0</v>
      </c>
      <c r="AT804" s="284">
        <f t="shared" si="359"/>
        <v>0</v>
      </c>
    </row>
    <row r="805" spans="1:97" s="114" customFormat="1" ht="30.9" x14ac:dyDescent="0.8">
      <c r="A805" s="262">
        <f>ROW()</f>
        <v>805</v>
      </c>
      <c r="C805" s="208"/>
      <c r="D805" s="208"/>
      <c r="E805" s="208"/>
      <c r="F805" s="208"/>
      <c r="G805" s="208"/>
      <c r="H805" s="208"/>
      <c r="J805" s="114" t="str">
        <f t="shared" si="367"/>
        <v/>
      </c>
      <c r="K805" s="114" t="str">
        <f>IF(COUNTBLANK(R805)&gt;0,"",CONCATENATE(R805," for ",N788))</f>
        <v>Auto/Off/On switch for Fume Cupboard fan ( Excluding supply of VSD and FC controls) - from MSSB power supply</v>
      </c>
      <c r="N805" s="123" t="s">
        <v>129</v>
      </c>
      <c r="O805" s="66" t="s">
        <v>329</v>
      </c>
      <c r="P805" s="121"/>
      <c r="Q805" s="66"/>
      <c r="R805" s="121" t="s">
        <v>304</v>
      </c>
      <c r="S805" s="133">
        <f>M788</f>
        <v>0</v>
      </c>
      <c r="T805" s="120"/>
      <c r="U805" s="121" t="s">
        <v>292</v>
      </c>
      <c r="V805" s="133">
        <f t="shared" si="360"/>
        <v>0</v>
      </c>
      <c r="W805" s="133">
        <f>VLOOKUP(U805,Sheet1!$B$6:$C$45,2,FALSE)*V805</f>
        <v>0</v>
      </c>
      <c r="X805" s="141"/>
      <c r="Y805" s="122" t="s">
        <v>277</v>
      </c>
      <c r="Z805" s="146">
        <f>VLOOKUP(Takeoffs!Y805,Sheet1!$B$6:$C$124,2,FALSE)</f>
        <v>69.540000000000006</v>
      </c>
      <c r="AA805" s="146">
        <f t="shared" si="361"/>
        <v>0</v>
      </c>
      <c r="AB805" s="143">
        <f t="shared" si="362"/>
        <v>0</v>
      </c>
      <c r="AC805" s="133">
        <f t="shared" si="363"/>
        <v>0</v>
      </c>
      <c r="AD805" s="142">
        <v>1</v>
      </c>
      <c r="AE805" s="141"/>
      <c r="AF805" s="121" t="s">
        <v>292</v>
      </c>
      <c r="AG805" s="146">
        <f>VLOOKUP(Takeoffs!AF805,Sheet1!$B$6:$C$124,2,FALSE)</f>
        <v>0</v>
      </c>
      <c r="AH805" s="146">
        <f t="shared" si="364"/>
        <v>0</v>
      </c>
      <c r="AI805" s="143">
        <f t="shared" si="365"/>
        <v>0</v>
      </c>
      <c r="AJ805" s="133">
        <f t="shared" si="366"/>
        <v>0</v>
      </c>
      <c r="AK805" s="142">
        <f t="shared" si="368"/>
        <v>0</v>
      </c>
      <c r="AL805" s="141"/>
      <c r="AO805" s="286"/>
      <c r="AP805" s="284">
        <f t="shared" si="355"/>
        <v>0</v>
      </c>
      <c r="AQ805" s="281">
        <f t="shared" si="356"/>
        <v>0</v>
      </c>
      <c r="AR805" s="284">
        <f t="shared" si="357"/>
        <v>0</v>
      </c>
      <c r="AS805" s="281">
        <f t="shared" si="358"/>
        <v>0</v>
      </c>
      <c r="AT805" s="284">
        <f t="shared" si="359"/>
        <v>0</v>
      </c>
    </row>
    <row r="806" spans="1:97" s="114" customFormat="1" ht="30.9" x14ac:dyDescent="0.8">
      <c r="A806" s="262">
        <f>ROW()</f>
        <v>806</v>
      </c>
      <c r="C806" s="208"/>
      <c r="D806" s="208"/>
      <c r="E806" s="208"/>
      <c r="F806" s="208"/>
      <c r="G806" s="208"/>
      <c r="H806" s="208"/>
      <c r="J806" s="114" t="str">
        <f t="shared" si="367"/>
        <v/>
      </c>
      <c r="K806" s="114" t="str">
        <f>IF(COUNTBLANK(R806)&gt;0,"",CONCATENATE(R806," for ",N788))</f>
        <v/>
      </c>
      <c r="N806" s="123" t="s">
        <v>130</v>
      </c>
      <c r="O806" s="66" t="s">
        <v>500</v>
      </c>
      <c r="P806" s="121"/>
      <c r="Q806" s="66"/>
      <c r="R806" s="121"/>
      <c r="S806" s="133">
        <f>M788</f>
        <v>0</v>
      </c>
      <c r="T806" s="120"/>
      <c r="U806" s="121" t="s">
        <v>292</v>
      </c>
      <c r="V806" s="133">
        <f t="shared" si="360"/>
        <v>0</v>
      </c>
      <c r="W806" s="133">
        <f>VLOOKUP(U806,Sheet1!$B$6:$C$45,2,FALSE)*V806</f>
        <v>0</v>
      </c>
      <c r="X806" s="141"/>
      <c r="Y806" s="121" t="s">
        <v>292</v>
      </c>
      <c r="Z806" s="146">
        <f>VLOOKUP(Takeoffs!Y806,Sheet1!$B$6:$C$124,2,FALSE)</f>
        <v>0</v>
      </c>
      <c r="AA806" s="146">
        <f t="shared" si="361"/>
        <v>0</v>
      </c>
      <c r="AB806" s="143">
        <f t="shared" si="362"/>
        <v>0</v>
      </c>
      <c r="AC806" s="133">
        <f t="shared" si="363"/>
        <v>0</v>
      </c>
      <c r="AD806" s="142">
        <v>1</v>
      </c>
      <c r="AE806" s="141"/>
      <c r="AF806" s="121" t="s">
        <v>292</v>
      </c>
      <c r="AG806" s="146">
        <f>VLOOKUP(Takeoffs!AF806,Sheet1!$B$6:$C$124,2,FALSE)</f>
        <v>0</v>
      </c>
      <c r="AH806" s="146">
        <f t="shared" si="364"/>
        <v>0</v>
      </c>
      <c r="AI806" s="143">
        <f t="shared" si="365"/>
        <v>0</v>
      </c>
      <c r="AJ806" s="133">
        <f t="shared" si="366"/>
        <v>0</v>
      </c>
      <c r="AK806" s="142">
        <f t="shared" si="368"/>
        <v>0</v>
      </c>
      <c r="AL806" s="141"/>
      <c r="AO806" s="286"/>
      <c r="AP806" s="284">
        <f t="shared" si="355"/>
        <v>0</v>
      </c>
      <c r="AQ806" s="281">
        <f t="shared" si="356"/>
        <v>0</v>
      </c>
      <c r="AR806" s="284">
        <f t="shared" si="357"/>
        <v>0</v>
      </c>
      <c r="AS806" s="281">
        <f t="shared" si="358"/>
        <v>0</v>
      </c>
      <c r="AT806" s="284">
        <f t="shared" si="359"/>
        <v>0</v>
      </c>
    </row>
    <row r="807" spans="1:97" s="114" customFormat="1" ht="30.9" x14ac:dyDescent="0.8">
      <c r="A807" s="262">
        <f>ROW()</f>
        <v>807</v>
      </c>
      <c r="C807" s="208"/>
      <c r="D807" s="208"/>
      <c r="E807" s="208"/>
      <c r="F807" s="208"/>
      <c r="G807" s="208"/>
      <c r="H807" s="208"/>
      <c r="J807" s="114" t="str">
        <f t="shared" si="367"/>
        <v/>
      </c>
      <c r="K807" s="114" t="str">
        <f>IF(COUNTBLANK(R807)&gt;0,"",CONCATENATE(R807," for ",N788))</f>
        <v/>
      </c>
      <c r="N807" s="123" t="s">
        <v>131</v>
      </c>
      <c r="O807" s="66" t="s">
        <v>407</v>
      </c>
      <c r="P807" s="121"/>
      <c r="Q807" s="66"/>
      <c r="R807" s="121"/>
      <c r="S807" s="133">
        <f>M788</f>
        <v>0</v>
      </c>
      <c r="T807" s="120"/>
      <c r="U807" s="121" t="s">
        <v>292</v>
      </c>
      <c r="V807" s="133">
        <f t="shared" si="360"/>
        <v>0</v>
      </c>
      <c r="W807" s="133">
        <f>VLOOKUP(U807,Sheet1!$B$6:$C$45,2,FALSE)*V807</f>
        <v>0</v>
      </c>
      <c r="X807" s="141"/>
      <c r="Y807" s="121" t="s">
        <v>274</v>
      </c>
      <c r="Z807" s="146">
        <f>VLOOKUP(Takeoffs!Y807,Sheet1!$B$6:$C$124,2,FALSE)</f>
        <v>360</v>
      </c>
      <c r="AA807" s="146">
        <f t="shared" si="361"/>
        <v>0</v>
      </c>
      <c r="AB807" s="143">
        <f t="shared" si="362"/>
        <v>0</v>
      </c>
      <c r="AC807" s="133">
        <f t="shared" si="363"/>
        <v>0</v>
      </c>
      <c r="AD807" s="142">
        <v>1</v>
      </c>
      <c r="AE807" s="141"/>
      <c r="AF807" s="121" t="s">
        <v>292</v>
      </c>
      <c r="AG807" s="146">
        <f>VLOOKUP(Takeoffs!AF807,Sheet1!$B$6:$C$124,2,FALSE)</f>
        <v>0</v>
      </c>
      <c r="AH807" s="146">
        <f t="shared" si="364"/>
        <v>0</v>
      </c>
      <c r="AI807" s="143">
        <f t="shared" si="365"/>
        <v>0</v>
      </c>
      <c r="AJ807" s="133">
        <f t="shared" si="366"/>
        <v>0</v>
      </c>
      <c r="AK807" s="142">
        <f t="shared" si="368"/>
        <v>0</v>
      </c>
      <c r="AL807" s="141"/>
      <c r="AO807" s="286"/>
      <c r="AP807" s="284">
        <f t="shared" si="355"/>
        <v>0</v>
      </c>
      <c r="AQ807" s="281">
        <f t="shared" si="356"/>
        <v>0</v>
      </c>
      <c r="AR807" s="284">
        <f t="shared" si="357"/>
        <v>0</v>
      </c>
      <c r="AS807" s="281">
        <f t="shared" si="358"/>
        <v>0</v>
      </c>
      <c r="AT807" s="284">
        <f t="shared" si="359"/>
        <v>0</v>
      </c>
    </row>
    <row r="808" spans="1:97" s="114" customFormat="1" ht="30.9" x14ac:dyDescent="0.8">
      <c r="A808" s="262">
        <f>ROW()</f>
        <v>808</v>
      </c>
      <c r="C808" s="208"/>
      <c r="D808" s="208"/>
      <c r="E808" s="208"/>
      <c r="F808" s="208"/>
      <c r="G808" s="208"/>
      <c r="H808" s="208"/>
      <c r="J808" s="114" t="str">
        <f t="shared" si="367"/>
        <v/>
      </c>
      <c r="K808" s="114" t="str">
        <f>IF(COUNTBLANK(R808)&gt;0,"",CONCATENATE(R808," for ",N788))</f>
        <v/>
      </c>
      <c r="N808" s="123" t="s">
        <v>132</v>
      </c>
      <c r="O808" s="66" t="s">
        <v>408</v>
      </c>
      <c r="P808" s="121"/>
      <c r="Q808" s="66"/>
      <c r="R808" s="121"/>
      <c r="S808" s="133">
        <f>M788</f>
        <v>0</v>
      </c>
      <c r="T808" s="120"/>
      <c r="U808" s="121" t="s">
        <v>362</v>
      </c>
      <c r="V808" s="133">
        <f t="shared" si="360"/>
        <v>0</v>
      </c>
      <c r="W808" s="133">
        <f>VLOOKUP(U808,Sheet1!$B$6:$C$45,2,FALSE)*V808</f>
        <v>0</v>
      </c>
      <c r="X808" s="141"/>
      <c r="Y808" s="121" t="s">
        <v>292</v>
      </c>
      <c r="Z808" s="146">
        <f>VLOOKUP(Takeoffs!Y808,Sheet1!$B$6:$C$124,2,FALSE)</f>
        <v>0</v>
      </c>
      <c r="AA808" s="146">
        <f t="shared" si="361"/>
        <v>0</v>
      </c>
      <c r="AB808" s="143">
        <f t="shared" si="362"/>
        <v>0</v>
      </c>
      <c r="AC808" s="133">
        <f t="shared" si="363"/>
        <v>0</v>
      </c>
      <c r="AD808" s="142">
        <v>1</v>
      </c>
      <c r="AE808" s="141"/>
      <c r="AF808" s="121" t="s">
        <v>292</v>
      </c>
      <c r="AG808" s="146">
        <f>VLOOKUP(Takeoffs!AF808,Sheet1!$B$6:$C$124,2,FALSE)</f>
        <v>0</v>
      </c>
      <c r="AH808" s="146">
        <f t="shared" si="364"/>
        <v>0</v>
      </c>
      <c r="AI808" s="143">
        <f t="shared" si="365"/>
        <v>0</v>
      </c>
      <c r="AJ808" s="133">
        <f t="shared" si="366"/>
        <v>0</v>
      </c>
      <c r="AK808" s="142">
        <f t="shared" si="368"/>
        <v>0</v>
      </c>
      <c r="AL808" s="141"/>
      <c r="AO808" s="286"/>
      <c r="AP808" s="284">
        <f t="shared" si="355"/>
        <v>0</v>
      </c>
      <c r="AQ808" s="281">
        <f t="shared" si="356"/>
        <v>0</v>
      </c>
      <c r="AR808" s="284">
        <f t="shared" si="357"/>
        <v>0</v>
      </c>
      <c r="AS808" s="281">
        <f t="shared" si="358"/>
        <v>0</v>
      </c>
      <c r="AT808" s="284">
        <f t="shared" si="359"/>
        <v>0</v>
      </c>
    </row>
    <row r="809" spans="1:97" s="128" customFormat="1" ht="31.5" customHeight="1" x14ac:dyDescent="0.8">
      <c r="A809" s="262">
        <f>ROW()</f>
        <v>809</v>
      </c>
      <c r="C809" s="212"/>
      <c r="D809" s="212"/>
      <c r="E809" s="212"/>
      <c r="F809" s="212"/>
      <c r="G809" s="212"/>
      <c r="H809" s="212"/>
      <c r="J809" s="128" t="s">
        <v>377</v>
      </c>
      <c r="L809" s="128" t="s">
        <v>378</v>
      </c>
      <c r="N809" s="129"/>
      <c r="O809" s="130" t="s">
        <v>357</v>
      </c>
      <c r="P809" s="131">
        <f>V809+AA809+AH809</f>
        <v>0</v>
      </c>
      <c r="Q809" s="131"/>
      <c r="R809" s="131"/>
      <c r="S809" s="130"/>
      <c r="T809" s="127"/>
      <c r="U809" s="126" t="s">
        <v>351</v>
      </c>
      <c r="V809" s="127">
        <f>W809*80</f>
        <v>0</v>
      </c>
      <c r="W809" s="147">
        <f>SUM(W788:W808)</f>
        <v>0</v>
      </c>
      <c r="X809" s="148"/>
      <c r="Y809" s="127" t="s">
        <v>352</v>
      </c>
      <c r="Z809" s="116"/>
      <c r="AA809" s="116">
        <f>SUM(AA788:AA808)</f>
        <v>0</v>
      </c>
      <c r="AB809" s="149"/>
      <c r="AC809" s="149"/>
      <c r="AD809" s="149"/>
      <c r="AE809" s="149"/>
      <c r="AF809" s="127" t="s">
        <v>356</v>
      </c>
      <c r="AG809" s="116"/>
      <c r="AH809" s="116">
        <f>SUM(AH788:AH808)</f>
        <v>0</v>
      </c>
      <c r="AI809" s="149"/>
      <c r="AJ809" s="149"/>
      <c r="AK809" s="149"/>
      <c r="AL809" s="149"/>
      <c r="AM809" s="150">
        <f>P809</f>
        <v>0</v>
      </c>
      <c r="AO809" s="286"/>
      <c r="AP809" s="284">
        <f t="shared" si="355"/>
        <v>0</v>
      </c>
      <c r="AQ809" s="281">
        <f t="shared" si="356"/>
        <v>0</v>
      </c>
      <c r="AR809" s="284">
        <f t="shared" si="357"/>
        <v>0</v>
      </c>
      <c r="AS809" s="281">
        <f t="shared" si="358"/>
        <v>0</v>
      </c>
      <c r="AT809" s="284">
        <f t="shared" si="359"/>
        <v>0</v>
      </c>
    </row>
    <row r="810" spans="1:97" s="234" customFormat="1" ht="185.15" x14ac:dyDescent="0.8">
      <c r="A810" s="262">
        <f>ROW()</f>
        <v>810</v>
      </c>
      <c r="B810" s="234" t="s">
        <v>491</v>
      </c>
      <c r="C810" s="217" t="str">
        <f>N788</f>
        <v>Fume Cupboard fan ( Excluding supply of VSD and FC controls) - from MSSB power supply</v>
      </c>
      <c r="D810" s="260" t="str">
        <f>IF(B810="Shopping List",IF(ISNUMBER(SEARCH("MSSB",C810)),"MSSB",IF(ISNUMBER(SEARCH("local",C810)),"LOCAL","")))</f>
        <v>MSSB</v>
      </c>
      <c r="E810" s="238"/>
      <c r="F810" s="217"/>
      <c r="G810" s="217">
        <v>2</v>
      </c>
      <c r="H810" s="245">
        <v>1</v>
      </c>
      <c r="I810" s="270"/>
      <c r="J810" s="241" t="str">
        <f>CONCATENATE(O788," ",L788, " (",M788,") ",N788,".", IF(M788&gt;1," Each "," This "),"includes supply and install of ",O789,O790,O791,O792,O793,O794,O795,O796,O797,O798,O799,O800,O801,O802,O803,O804,O805,O806,O807,O808,J789,J790,J791,J792,J793,J794,J795,J796,J797,J798,J799,J800,J801,J802,J803,J804,J805,J806,J807,J808)</f>
        <v>Electrical power supply to Zero (0) Fume Cupboard fan ( Excluding supply of VSD and FC controls) - from MSSB power supply. This includes supply and install of power and controls. Power for system includes: CB, cabling to VSD, electrical connection of VSD ( supplied by others), shielded cabling, local isolator, Controls for system includes: controls cabling between VSD and MSSB, contactors/relays, run and fault lights, current switch for fan status, Auto/Off/On switch, BMS terminals for on/off control, trefolyte labelling, and commissioning/testing. Coordination Note: - Fume cupboard specialist: Please refer to our exclusions relating to supply and commissioning of VSD, interconnect cabling between  FC and VSD.</v>
      </c>
      <c r="K810" s="249">
        <f>P809</f>
        <v>0</v>
      </c>
      <c r="L810" s="234" t="str">
        <f>CONCATENATE(Q789,Q790,Q791,Q792,Q793,Q794,Q795,Q796,Q797,Q798,Q799,Q800,Q801,Q802,Q803,Q804,Q805,Q806,Q807,Q808,)</f>
        <v>supply and commissioning of VSD, interconnect cabling between  FC and VSD.</v>
      </c>
      <c r="M810" s="166" t="s">
        <v>367</v>
      </c>
      <c r="N810" s="160" t="str">
        <f>N788</f>
        <v>Fume Cupboard fan ( Excluding supply of VSD and FC controls) - from MSSB power supply</v>
      </c>
      <c r="O810" s="160" t="s">
        <v>365</v>
      </c>
      <c r="P810" s="183" t="e">
        <f>P809/M788</f>
        <v>#DIV/0!</v>
      </c>
      <c r="Q810" s="191"/>
      <c r="R810" s="161"/>
      <c r="S810" s="160"/>
      <c r="T810" s="161"/>
      <c r="U810" s="503" t="s">
        <v>366</v>
      </c>
      <c r="V810" s="503"/>
      <c r="W810" s="162" t="e">
        <f>W809/M788</f>
        <v>#DIV/0!</v>
      </c>
      <c r="X810" s="163"/>
      <c r="Y810" s="501" t="s">
        <v>365</v>
      </c>
      <c r="Z810" s="501"/>
      <c r="AA810" s="164" t="e">
        <f>AA809/M788</f>
        <v>#DIV/0!</v>
      </c>
      <c r="AB810" s="161"/>
      <c r="AC810" s="161"/>
      <c r="AD810" s="161"/>
      <c r="AE810" s="161"/>
      <c r="AF810" s="501" t="s">
        <v>365</v>
      </c>
      <c r="AG810" s="501"/>
      <c r="AH810" s="164" t="e">
        <f>AH809/M788</f>
        <v>#DIV/0!</v>
      </c>
      <c r="AI810" s="161"/>
      <c r="AJ810" s="161"/>
      <c r="AK810" s="161"/>
      <c r="AL810" s="247"/>
      <c r="AM810" s="257"/>
      <c r="AN810" s="236">
        <f>K810*$D$9</f>
        <v>0</v>
      </c>
      <c r="AO810" s="286"/>
      <c r="AP810" s="284">
        <f t="shared" si="355"/>
        <v>0</v>
      </c>
      <c r="AQ810" s="281">
        <f t="shared" si="356"/>
        <v>0</v>
      </c>
      <c r="AR810" s="284">
        <f t="shared" si="357"/>
        <v>0</v>
      </c>
      <c r="AS810" s="281">
        <f t="shared" si="358"/>
        <v>0</v>
      </c>
      <c r="AT810" s="284">
        <f t="shared" si="359"/>
        <v>0</v>
      </c>
      <c r="AU810" s="117"/>
      <c r="AV810" s="117"/>
      <c r="AW810" s="117"/>
      <c r="AX810" s="117"/>
      <c r="AY810" s="117"/>
      <c r="AZ810" s="117"/>
      <c r="BA810" s="117"/>
      <c r="BB810" s="117"/>
      <c r="BC810" s="117"/>
      <c r="BD810" s="117"/>
      <c r="BE810" s="117"/>
      <c r="BF810" s="117"/>
      <c r="BG810" s="117"/>
      <c r="BH810" s="117"/>
      <c r="BI810" s="117"/>
      <c r="BJ810" s="117"/>
      <c r="BK810" s="117"/>
      <c r="BL810" s="117"/>
      <c r="BM810" s="117"/>
      <c r="BN810" s="117"/>
      <c r="BO810" s="117"/>
      <c r="BP810" s="117"/>
      <c r="BQ810" s="117"/>
      <c r="BR810" s="117"/>
      <c r="BS810" s="117"/>
      <c r="BT810" s="117"/>
      <c r="BU810" s="117"/>
      <c r="BV810" s="117"/>
      <c r="BW810" s="117"/>
      <c r="BX810" s="117"/>
      <c r="BY810" s="117"/>
      <c r="BZ810" s="117"/>
      <c r="CA810" s="117"/>
      <c r="CB810" s="117"/>
      <c r="CC810" s="117"/>
      <c r="CD810" s="117"/>
      <c r="CE810" s="117"/>
      <c r="CF810" s="117"/>
      <c r="CG810" s="117"/>
      <c r="CH810" s="117"/>
      <c r="CI810" s="117"/>
      <c r="CJ810" s="117"/>
      <c r="CK810" s="117"/>
      <c r="CL810" s="117"/>
      <c r="CM810" s="117"/>
      <c r="CN810" s="117"/>
      <c r="CO810" s="117"/>
      <c r="CP810" s="117"/>
      <c r="CQ810" s="117"/>
      <c r="CR810" s="117"/>
      <c r="CS810" s="117"/>
    </row>
    <row r="811" spans="1:97" s="116" customFormat="1" ht="192.75" customHeight="1" x14ac:dyDescent="0.8">
      <c r="A811" s="262">
        <f>ROW()</f>
        <v>811</v>
      </c>
      <c r="C811" s="211"/>
      <c r="D811" s="211"/>
      <c r="E811" s="211"/>
      <c r="F811" s="211"/>
      <c r="G811" s="211"/>
      <c r="H811" s="211"/>
      <c r="K811" s="116" t="s">
        <v>452</v>
      </c>
      <c r="M811" s="116" t="s">
        <v>107</v>
      </c>
      <c r="N811" s="116" t="s">
        <v>108</v>
      </c>
      <c r="O811" s="170" t="s">
        <v>386</v>
      </c>
      <c r="P811" s="504" t="s">
        <v>375</v>
      </c>
      <c r="Q811" s="504"/>
      <c r="R811" s="101" t="s">
        <v>452</v>
      </c>
      <c r="S811" s="116" t="s">
        <v>0</v>
      </c>
      <c r="T811" s="118"/>
      <c r="U811" s="116" t="s">
        <v>287</v>
      </c>
      <c r="V811" s="116" t="s">
        <v>288</v>
      </c>
      <c r="W811" s="116" t="s">
        <v>291</v>
      </c>
      <c r="X811" s="140"/>
      <c r="Y811" s="116" t="s">
        <v>289</v>
      </c>
      <c r="Z811" s="116" t="s">
        <v>354</v>
      </c>
      <c r="AA811" s="116" t="s">
        <v>355</v>
      </c>
      <c r="AB811" s="116" t="s">
        <v>317</v>
      </c>
      <c r="AC811" s="116" t="s">
        <v>318</v>
      </c>
      <c r="AD811" s="116" t="s">
        <v>316</v>
      </c>
      <c r="AE811" s="140"/>
      <c r="AF811" s="116" t="s">
        <v>293</v>
      </c>
      <c r="AG811" s="116" t="s">
        <v>354</v>
      </c>
      <c r="AH811" s="116" t="s">
        <v>355</v>
      </c>
      <c r="AI811" s="116" t="s">
        <v>296</v>
      </c>
      <c r="AJ811" s="116" t="s">
        <v>294</v>
      </c>
      <c r="AK811" s="116" t="s">
        <v>295</v>
      </c>
      <c r="AL811" s="140"/>
      <c r="AO811" s="288"/>
      <c r="AP811" s="284">
        <f t="shared" si="355"/>
        <v>0</v>
      </c>
      <c r="AQ811" s="281">
        <f t="shared" si="356"/>
        <v>0</v>
      </c>
      <c r="AR811" s="284">
        <f t="shared" si="357"/>
        <v>0</v>
      </c>
      <c r="AS811" s="281">
        <f t="shared" si="358"/>
        <v>0</v>
      </c>
      <c r="AT811" s="284">
        <f t="shared" si="359"/>
        <v>0</v>
      </c>
    </row>
    <row r="812" spans="1:97" s="114" customFormat="1" ht="59.25" customHeight="1" x14ac:dyDescent="0.8">
      <c r="A812" s="262">
        <f>ROW()</f>
        <v>812</v>
      </c>
      <c r="C812" s="208"/>
      <c r="D812" s="208"/>
      <c r="E812" s="208"/>
      <c r="F812" s="208"/>
      <c r="G812" s="208"/>
      <c r="H812" s="208"/>
      <c r="L812" s="124" t="str">
        <f>VLOOKUP(M812,Sheet2!$D$2:$E$1024,2,FALSE)</f>
        <v>Zero</v>
      </c>
      <c r="M812" s="121">
        <f>I834</f>
        <v>0</v>
      </c>
      <c r="N812" s="132" t="s">
        <v>672</v>
      </c>
      <c r="O812" s="121" t="s">
        <v>488</v>
      </c>
      <c r="P812" s="169" t="s">
        <v>379</v>
      </c>
      <c r="Q812" s="169" t="s">
        <v>375</v>
      </c>
      <c r="R812" s="169"/>
      <c r="S812" s="133">
        <f>M812</f>
        <v>0</v>
      </c>
      <c r="T812" s="119"/>
      <c r="U812" s="121" t="s">
        <v>292</v>
      </c>
      <c r="V812" s="133">
        <f>S812</f>
        <v>0</v>
      </c>
      <c r="W812" s="133">
        <f>VLOOKUP(U812,Sheet1!$B$6:$C$45,2,FALSE)*V812</f>
        <v>0</v>
      </c>
      <c r="X812" s="141"/>
      <c r="Y812" s="121" t="s">
        <v>292</v>
      </c>
      <c r="Z812" s="146">
        <f>VLOOKUP(Takeoffs!Y812,Sheet1!$B$6:$C$124,2,FALSE)</f>
        <v>0</v>
      </c>
      <c r="AA812" s="146">
        <f>Z812*AB812</f>
        <v>0</v>
      </c>
      <c r="AB812" s="143">
        <f>AD812*AC812</f>
        <v>0</v>
      </c>
      <c r="AC812" s="133">
        <f>S812</f>
        <v>0</v>
      </c>
      <c r="AD812" s="142">
        <v>1</v>
      </c>
      <c r="AE812" s="141"/>
      <c r="AF812" s="121" t="s">
        <v>292</v>
      </c>
      <c r="AG812" s="146">
        <f>VLOOKUP(Takeoffs!AF812,Sheet1!$B$6:$C$124,2,FALSE)</f>
        <v>0</v>
      </c>
      <c r="AH812" s="146">
        <f>AG812*AI812</f>
        <v>0</v>
      </c>
      <c r="AI812" s="143">
        <f>AK812*AJ812</f>
        <v>0</v>
      </c>
      <c r="AJ812" s="133">
        <f>S812</f>
        <v>0</v>
      </c>
      <c r="AK812" s="142">
        <f>T812</f>
        <v>0</v>
      </c>
      <c r="AL812" s="141"/>
      <c r="AO812" s="286"/>
      <c r="AP812" s="284">
        <f t="shared" si="355"/>
        <v>0</v>
      </c>
      <c r="AQ812" s="281">
        <f t="shared" si="356"/>
        <v>0</v>
      </c>
      <c r="AR812" s="284">
        <f t="shared" si="357"/>
        <v>0</v>
      </c>
      <c r="AS812" s="281">
        <f t="shared" si="358"/>
        <v>0</v>
      </c>
      <c r="AT812" s="284">
        <f t="shared" si="359"/>
        <v>0</v>
      </c>
    </row>
    <row r="813" spans="1:97" s="114" customFormat="1" ht="30.9" x14ac:dyDescent="0.8">
      <c r="A813" s="262">
        <f>ROW()</f>
        <v>813</v>
      </c>
      <c r="C813" s="208"/>
      <c r="D813" s="208"/>
      <c r="E813" s="208"/>
      <c r="F813" s="208"/>
      <c r="G813" s="208"/>
      <c r="H813" s="208"/>
      <c r="J813" s="114" t="str">
        <f>IF(COUNTBLANK(Q813)&gt;0,"",CONCATENATE("Coordination Note: - ",P813,": Please refer to our exclusions relating to ",Q813))</f>
        <v/>
      </c>
      <c r="K813" s="114" t="str">
        <f>IF(COUNTBLANK(R813)&gt;0,"",CONCATENATE(R813," for ",N812))</f>
        <v/>
      </c>
      <c r="M813" s="117"/>
      <c r="N813" s="123" t="s">
        <v>113</v>
      </c>
      <c r="O813" s="66" t="s">
        <v>340</v>
      </c>
      <c r="P813" s="121"/>
      <c r="Q813" s="66"/>
      <c r="R813" s="121"/>
      <c r="S813" s="133">
        <f>M812</f>
        <v>0</v>
      </c>
      <c r="T813" s="120"/>
      <c r="U813" s="121" t="s">
        <v>292</v>
      </c>
      <c r="V813" s="133">
        <f t="shared" ref="V813:V832" si="369">S813</f>
        <v>0</v>
      </c>
      <c r="W813" s="133">
        <f>VLOOKUP(U813,Sheet1!$B$6:$C$45,2,FALSE)*V813</f>
        <v>0</v>
      </c>
      <c r="X813" s="141"/>
      <c r="Y813" s="121" t="s">
        <v>292</v>
      </c>
      <c r="Z813" s="146">
        <f>VLOOKUP(Takeoffs!Y813,Sheet1!$B$6:$C$124,2,FALSE)</f>
        <v>0</v>
      </c>
      <c r="AA813" s="146">
        <f t="shared" ref="AA813:AA832" si="370">Z813*AB813</f>
        <v>0</v>
      </c>
      <c r="AB813" s="143">
        <f t="shared" ref="AB813:AB832" si="371">AD813*AC813</f>
        <v>0</v>
      </c>
      <c r="AC813" s="133">
        <f t="shared" ref="AC813:AC832" si="372">S813</f>
        <v>0</v>
      </c>
      <c r="AD813" s="142">
        <v>1</v>
      </c>
      <c r="AE813" s="141"/>
      <c r="AF813" s="121" t="s">
        <v>292</v>
      </c>
      <c r="AG813" s="146">
        <f>VLOOKUP(Takeoffs!AF813,Sheet1!$B$6:$C$124,2,FALSE)</f>
        <v>0</v>
      </c>
      <c r="AH813" s="146">
        <f t="shared" ref="AH813:AH832" si="373">AG813*AI813</f>
        <v>0</v>
      </c>
      <c r="AI813" s="143">
        <f t="shared" ref="AI813:AI832" si="374">AK813*AJ813</f>
        <v>0</v>
      </c>
      <c r="AJ813" s="133">
        <f t="shared" ref="AJ813:AJ832" si="375">S813</f>
        <v>0</v>
      </c>
      <c r="AK813" s="142">
        <f>T813</f>
        <v>0</v>
      </c>
      <c r="AL813" s="141"/>
      <c r="AO813" s="286"/>
      <c r="AP813" s="284">
        <f t="shared" si="355"/>
        <v>0</v>
      </c>
      <c r="AQ813" s="281">
        <f t="shared" si="356"/>
        <v>0</v>
      </c>
      <c r="AR813" s="284">
        <f t="shared" si="357"/>
        <v>0</v>
      </c>
      <c r="AS813" s="281">
        <f t="shared" si="358"/>
        <v>0</v>
      </c>
      <c r="AT813" s="284">
        <f t="shared" si="359"/>
        <v>0</v>
      </c>
    </row>
    <row r="814" spans="1:97" s="114" customFormat="1" ht="30.9" x14ac:dyDescent="0.8">
      <c r="A814" s="262">
        <f>ROW()</f>
        <v>814</v>
      </c>
      <c r="C814" s="208"/>
      <c r="D814" s="208"/>
      <c r="E814" s="208"/>
      <c r="F814" s="208"/>
      <c r="G814" s="208"/>
      <c r="H814" s="208"/>
      <c r="J814" s="114" t="str">
        <f t="shared" ref="J814:J832" si="376">IF(COUNTBLANK(Q814)&gt;0,"",CONCATENATE("Coordination Note: - ",P814,": Please refer to our exclusions relating to ",Q814))</f>
        <v/>
      </c>
      <c r="K814" s="114" t="str">
        <f>IF(COUNTBLANK(R814)&gt;0,"",CONCATENATE(R814," for ",N812))</f>
        <v/>
      </c>
      <c r="M814" s="117"/>
      <c r="N814" s="123" t="s">
        <v>114</v>
      </c>
      <c r="O814" s="66"/>
      <c r="P814" s="121"/>
      <c r="Q814" s="66"/>
      <c r="R814" s="121"/>
      <c r="S814" s="133">
        <f>M812</f>
        <v>0</v>
      </c>
      <c r="T814" s="120"/>
      <c r="U814" s="121" t="s">
        <v>292</v>
      </c>
      <c r="V814" s="133">
        <f t="shared" si="369"/>
        <v>0</v>
      </c>
      <c r="W814" s="133">
        <f>VLOOKUP(U814,Sheet1!$B$6:$C$45,2,FALSE)*V814</f>
        <v>0</v>
      </c>
      <c r="X814" s="141"/>
      <c r="Y814" s="121" t="s">
        <v>292</v>
      </c>
      <c r="Z814" s="146">
        <f>VLOOKUP(Takeoffs!Y814,Sheet1!$B$6:$C$124,2,FALSE)</f>
        <v>0</v>
      </c>
      <c r="AA814" s="146">
        <f t="shared" si="370"/>
        <v>0</v>
      </c>
      <c r="AB814" s="143">
        <f t="shared" si="371"/>
        <v>0</v>
      </c>
      <c r="AC814" s="133">
        <f t="shared" si="372"/>
        <v>0</v>
      </c>
      <c r="AD814" s="142">
        <v>1</v>
      </c>
      <c r="AE814" s="141"/>
      <c r="AF814" s="122" t="s">
        <v>268</v>
      </c>
      <c r="AG814" s="146">
        <f>VLOOKUP(Takeoffs!AF814,Sheet1!$B$6:$C$124,2,FALSE)</f>
        <v>1.02</v>
      </c>
      <c r="AH814" s="146">
        <f t="shared" si="373"/>
        <v>0</v>
      </c>
      <c r="AI814" s="143">
        <f t="shared" si="374"/>
        <v>0</v>
      </c>
      <c r="AJ814" s="133">
        <f t="shared" si="375"/>
        <v>0</v>
      </c>
      <c r="AK814" s="142">
        <v>20</v>
      </c>
      <c r="AL814" s="141"/>
      <c r="AO814" s="286"/>
      <c r="AP814" s="284">
        <f t="shared" si="355"/>
        <v>0</v>
      </c>
      <c r="AQ814" s="281">
        <f t="shared" si="356"/>
        <v>0</v>
      </c>
      <c r="AR814" s="284">
        <f t="shared" si="357"/>
        <v>0</v>
      </c>
      <c r="AS814" s="281">
        <f t="shared" si="358"/>
        <v>0</v>
      </c>
      <c r="AT814" s="284">
        <f t="shared" si="359"/>
        <v>0</v>
      </c>
    </row>
    <row r="815" spans="1:97" s="114" customFormat="1" ht="30.9" x14ac:dyDescent="0.8">
      <c r="A815" s="262">
        <f>ROW()</f>
        <v>815</v>
      </c>
      <c r="C815" s="208"/>
      <c r="D815" s="208"/>
      <c r="E815" s="208"/>
      <c r="F815" s="208"/>
      <c r="G815" s="208"/>
      <c r="H815" s="208"/>
      <c r="J815" s="114" t="str">
        <f t="shared" si="376"/>
        <v>Coordination Note: - Builders electrician: Please refer to our exclusions relating to isolator adjacent fan</v>
      </c>
      <c r="K815" s="114" t="str">
        <f>IF(COUNTBLANK(R815)&gt;0,"",CONCATENATE(R815," for ",N812))</f>
        <v/>
      </c>
      <c r="M815" s="117"/>
      <c r="N815" s="123" t="s">
        <v>115</v>
      </c>
      <c r="O815" s="66" t="s">
        <v>673</v>
      </c>
      <c r="P815" s="121" t="s">
        <v>539</v>
      </c>
      <c r="Q815" s="66" t="s">
        <v>674</v>
      </c>
      <c r="R815" s="121"/>
      <c r="S815" s="133">
        <f>M812</f>
        <v>0</v>
      </c>
      <c r="T815" s="120"/>
      <c r="U815" s="117" t="s">
        <v>478</v>
      </c>
      <c r="V815" s="133">
        <f t="shared" si="369"/>
        <v>0</v>
      </c>
      <c r="W815" s="133">
        <f>VLOOKUP(U815,Sheet1!$B$6:$C$45,2,FALSE)*V815</f>
        <v>0</v>
      </c>
      <c r="X815" s="141"/>
      <c r="Y815" s="121" t="s">
        <v>292</v>
      </c>
      <c r="Z815" s="146">
        <f>VLOOKUP(Takeoffs!Y815,Sheet1!$B$6:$C$124,2,FALSE)</f>
        <v>0</v>
      </c>
      <c r="AA815" s="146">
        <f t="shared" si="370"/>
        <v>0</v>
      </c>
      <c r="AB815" s="143">
        <f t="shared" si="371"/>
        <v>0</v>
      </c>
      <c r="AC815" s="133">
        <f t="shared" si="372"/>
        <v>0</v>
      </c>
      <c r="AD815" s="142">
        <v>1</v>
      </c>
      <c r="AE815" s="141"/>
      <c r="AF815" s="121" t="s">
        <v>292</v>
      </c>
      <c r="AG815" s="146">
        <f>VLOOKUP(Takeoffs!AF815,Sheet1!$B$6:$C$124,2,FALSE)</f>
        <v>0</v>
      </c>
      <c r="AH815" s="146">
        <f t="shared" si="373"/>
        <v>0</v>
      </c>
      <c r="AI815" s="143">
        <f t="shared" si="374"/>
        <v>0</v>
      </c>
      <c r="AJ815" s="133">
        <f t="shared" si="375"/>
        <v>0</v>
      </c>
      <c r="AK815" s="142">
        <f>T815</f>
        <v>0</v>
      </c>
      <c r="AL815" s="141"/>
      <c r="AO815" s="286"/>
      <c r="AP815" s="284">
        <f t="shared" si="355"/>
        <v>0</v>
      </c>
      <c r="AQ815" s="281">
        <f t="shared" si="356"/>
        <v>0</v>
      </c>
      <c r="AR815" s="284">
        <f t="shared" si="357"/>
        <v>0</v>
      </c>
      <c r="AS815" s="281">
        <f t="shared" si="358"/>
        <v>0</v>
      </c>
      <c r="AT815" s="284">
        <f t="shared" si="359"/>
        <v>0</v>
      </c>
    </row>
    <row r="816" spans="1:97" s="114" customFormat="1" ht="30.9" x14ac:dyDescent="0.8">
      <c r="A816" s="262">
        <f>ROW()</f>
        <v>816</v>
      </c>
      <c r="C816" s="208"/>
      <c r="D816" s="208"/>
      <c r="E816" s="208"/>
      <c r="F816" s="208"/>
      <c r="G816" s="208"/>
      <c r="H816" s="208"/>
      <c r="J816" s="114" t="str">
        <f t="shared" si="376"/>
        <v/>
      </c>
      <c r="K816" s="114" t="str">
        <f>IF(COUNTBLANK(R816)&gt;0,"",CONCATENATE(R816," for ",N812))</f>
        <v/>
      </c>
      <c r="M816" s="117"/>
      <c r="N816" s="123" t="s">
        <v>116</v>
      </c>
      <c r="O816" s="66" t="s">
        <v>323</v>
      </c>
      <c r="P816" s="121"/>
      <c r="Q816" s="66"/>
      <c r="R816" s="121"/>
      <c r="S816" s="133">
        <f>M812</f>
        <v>0</v>
      </c>
      <c r="T816" s="120"/>
      <c r="U816" s="121" t="s">
        <v>235</v>
      </c>
      <c r="V816" s="133">
        <f t="shared" si="369"/>
        <v>0</v>
      </c>
      <c r="W816" s="133">
        <f>VLOOKUP(U816,Sheet1!$B$6:$C$45,2,FALSE)*V816</f>
        <v>0</v>
      </c>
      <c r="X816" s="141"/>
      <c r="Y816" s="135" t="s">
        <v>543</v>
      </c>
      <c r="Z816" s="146">
        <f>VLOOKUP(Takeoffs!Y816,Sheet1!$B$6:$C$124,2,FALSE)</f>
        <v>649.44000000000005</v>
      </c>
      <c r="AA816" s="146">
        <f t="shared" si="370"/>
        <v>0</v>
      </c>
      <c r="AB816" s="143">
        <f t="shared" si="371"/>
        <v>0</v>
      </c>
      <c r="AC816" s="133">
        <f t="shared" si="372"/>
        <v>0</v>
      </c>
      <c r="AD816" s="142">
        <v>1</v>
      </c>
      <c r="AE816" s="141"/>
      <c r="AF816" s="121" t="s">
        <v>292</v>
      </c>
      <c r="AG816" s="146">
        <f>VLOOKUP(Takeoffs!AF816,Sheet1!$B$6:$C$124,2,FALSE)</f>
        <v>0</v>
      </c>
      <c r="AH816" s="146">
        <f t="shared" si="373"/>
        <v>0</v>
      </c>
      <c r="AI816" s="143">
        <f t="shared" si="374"/>
        <v>0</v>
      </c>
      <c r="AJ816" s="133">
        <f t="shared" si="375"/>
        <v>0</v>
      </c>
      <c r="AK816" s="142">
        <f>T816</f>
        <v>0</v>
      </c>
      <c r="AL816" s="141"/>
      <c r="AO816" s="286"/>
      <c r="AP816" s="284">
        <f t="shared" si="355"/>
        <v>0</v>
      </c>
      <c r="AQ816" s="281">
        <f t="shared" si="356"/>
        <v>0</v>
      </c>
      <c r="AR816" s="284">
        <f t="shared" si="357"/>
        <v>0</v>
      </c>
      <c r="AS816" s="281">
        <f t="shared" si="358"/>
        <v>0</v>
      </c>
      <c r="AT816" s="284">
        <f t="shared" si="359"/>
        <v>0</v>
      </c>
    </row>
    <row r="817" spans="1:46" s="114" customFormat="1" ht="30.9" x14ac:dyDescent="0.8">
      <c r="A817" s="262">
        <f>ROW()</f>
        <v>817</v>
      </c>
      <c r="C817" s="208"/>
      <c r="D817" s="208"/>
      <c r="E817" s="208"/>
      <c r="F817" s="208"/>
      <c r="G817" s="208"/>
      <c r="H817" s="208"/>
      <c r="J817" s="114" t="str">
        <f t="shared" si="376"/>
        <v/>
      </c>
      <c r="K817" s="114" t="str">
        <f>IF(COUNTBLANK(R817)&gt;0,"",CONCATENATE(R817," for ",N812))</f>
        <v/>
      </c>
      <c r="M817" s="117"/>
      <c r="N817" s="123" t="s">
        <v>117</v>
      </c>
      <c r="O817" s="66" t="s">
        <v>390</v>
      </c>
      <c r="P817" s="121"/>
      <c r="Q817" s="66"/>
      <c r="R817" s="121"/>
      <c r="S817" s="133">
        <f>M812</f>
        <v>0</v>
      </c>
      <c r="T817" s="120"/>
      <c r="U817" s="121" t="s">
        <v>292</v>
      </c>
      <c r="V817" s="133">
        <f t="shared" si="369"/>
        <v>0</v>
      </c>
      <c r="W817" s="133">
        <f>VLOOKUP(U817,Sheet1!$B$6:$C$45,2,FALSE)*V817</f>
        <v>0</v>
      </c>
      <c r="X817" s="141"/>
      <c r="Y817" s="121" t="s">
        <v>292</v>
      </c>
      <c r="Z817" s="146">
        <f>VLOOKUP(Takeoffs!Y817,Sheet1!$B$6:$C$124,2,FALSE)</f>
        <v>0</v>
      </c>
      <c r="AA817" s="146">
        <f t="shared" si="370"/>
        <v>0</v>
      </c>
      <c r="AB817" s="143">
        <f t="shared" si="371"/>
        <v>0</v>
      </c>
      <c r="AC817" s="133">
        <f t="shared" si="372"/>
        <v>0</v>
      </c>
      <c r="AD817" s="142">
        <v>1</v>
      </c>
      <c r="AE817" s="141"/>
      <c r="AF817" s="122" t="s">
        <v>268</v>
      </c>
      <c r="AG817" s="146">
        <f>VLOOKUP(Takeoffs!AF817,Sheet1!$B$6:$C$124,2,FALSE)</f>
        <v>1.02</v>
      </c>
      <c r="AH817" s="146">
        <f t="shared" si="373"/>
        <v>0</v>
      </c>
      <c r="AI817" s="143">
        <f t="shared" si="374"/>
        <v>0</v>
      </c>
      <c r="AJ817" s="133">
        <f t="shared" si="375"/>
        <v>0</v>
      </c>
      <c r="AK817" s="142">
        <v>3</v>
      </c>
      <c r="AL817" s="141"/>
      <c r="AO817" s="286"/>
      <c r="AP817" s="284">
        <f t="shared" si="355"/>
        <v>0</v>
      </c>
      <c r="AQ817" s="281">
        <f t="shared" si="356"/>
        <v>0</v>
      </c>
      <c r="AR817" s="284">
        <f t="shared" si="357"/>
        <v>0</v>
      </c>
      <c r="AS817" s="281">
        <f t="shared" si="358"/>
        <v>0</v>
      </c>
      <c r="AT817" s="284">
        <f t="shared" si="359"/>
        <v>0</v>
      </c>
    </row>
    <row r="818" spans="1:46" s="114" customFormat="1" ht="30.9" x14ac:dyDescent="0.8">
      <c r="A818" s="262">
        <f>ROW()</f>
        <v>818</v>
      </c>
      <c r="C818" s="208"/>
      <c r="D818" s="208"/>
      <c r="E818" s="208"/>
      <c r="F818" s="208"/>
      <c r="G818" s="208"/>
      <c r="H818" s="208"/>
      <c r="J818" s="114" t="str">
        <f t="shared" si="376"/>
        <v/>
      </c>
      <c r="K818" s="114" t="str">
        <f>IF(COUNTBLANK(R818)&gt;0,"",CONCATENATE(R818," for ",N812))</f>
        <v/>
      </c>
      <c r="M818" s="117"/>
      <c r="N818" s="123" t="s">
        <v>118</v>
      </c>
      <c r="O818" s="66" t="s">
        <v>309</v>
      </c>
      <c r="P818" s="121"/>
      <c r="Q818" s="66"/>
      <c r="R818" s="121"/>
      <c r="S818" s="133">
        <f>M812</f>
        <v>0</v>
      </c>
      <c r="T818" s="120"/>
      <c r="U818" s="121" t="s">
        <v>292</v>
      </c>
      <c r="V818" s="133">
        <f t="shared" si="369"/>
        <v>0</v>
      </c>
      <c r="W818" s="133">
        <f>VLOOKUP(U818,Sheet1!$B$6:$C$45,2,FALSE)*V818</f>
        <v>0</v>
      </c>
      <c r="X818" s="141"/>
      <c r="Y818" s="121" t="s">
        <v>292</v>
      </c>
      <c r="Z818" s="146">
        <f>VLOOKUP(Takeoffs!Y818,Sheet1!$B$6:$C$124,2,FALSE)</f>
        <v>0</v>
      </c>
      <c r="AA818" s="146">
        <f t="shared" si="370"/>
        <v>0</v>
      </c>
      <c r="AB818" s="143">
        <f t="shared" si="371"/>
        <v>0</v>
      </c>
      <c r="AC818" s="133">
        <f t="shared" si="372"/>
        <v>0</v>
      </c>
      <c r="AD818" s="142">
        <v>1</v>
      </c>
      <c r="AE818" s="141"/>
      <c r="AF818" s="121" t="s">
        <v>292</v>
      </c>
      <c r="AG818" s="146">
        <f>VLOOKUP(Takeoffs!AF818,Sheet1!$B$6:$C$124,2,FALSE)</f>
        <v>0</v>
      </c>
      <c r="AH818" s="146">
        <f t="shared" si="373"/>
        <v>0</v>
      </c>
      <c r="AI818" s="143">
        <f t="shared" si="374"/>
        <v>0</v>
      </c>
      <c r="AJ818" s="133">
        <f t="shared" si="375"/>
        <v>0</v>
      </c>
      <c r="AK818" s="142">
        <f>T818</f>
        <v>0</v>
      </c>
      <c r="AL818" s="141"/>
      <c r="AO818" s="286"/>
      <c r="AP818" s="284">
        <f t="shared" si="355"/>
        <v>0</v>
      </c>
      <c r="AQ818" s="281">
        <f t="shared" si="356"/>
        <v>0</v>
      </c>
      <c r="AR818" s="284">
        <f t="shared" si="357"/>
        <v>0</v>
      </c>
      <c r="AS818" s="281">
        <f t="shared" si="358"/>
        <v>0</v>
      </c>
      <c r="AT818" s="284">
        <f t="shared" si="359"/>
        <v>0</v>
      </c>
    </row>
    <row r="819" spans="1:46" s="114" customFormat="1" ht="30.9" x14ac:dyDescent="0.8">
      <c r="A819" s="262">
        <f>ROW()</f>
        <v>819</v>
      </c>
      <c r="C819" s="208"/>
      <c r="D819" s="208"/>
      <c r="E819" s="208"/>
      <c r="F819" s="208"/>
      <c r="G819" s="208"/>
      <c r="H819" s="208"/>
      <c r="J819" s="114" t="str">
        <f t="shared" si="376"/>
        <v/>
      </c>
      <c r="K819" s="114" t="str">
        <f>IF(COUNTBLANK(R819)&gt;0,"",CONCATENATE(R819," for ",N812))</f>
        <v/>
      </c>
      <c r="N819" s="123" t="s">
        <v>119</v>
      </c>
      <c r="O819" s="66"/>
      <c r="P819" s="121"/>
      <c r="Q819" s="66"/>
      <c r="R819" s="121"/>
      <c r="S819" s="133">
        <f>M812</f>
        <v>0</v>
      </c>
      <c r="T819" s="120"/>
      <c r="U819" s="121" t="s">
        <v>292</v>
      </c>
      <c r="V819" s="133">
        <f t="shared" si="369"/>
        <v>0</v>
      </c>
      <c r="W819" s="133">
        <f>VLOOKUP(U819,Sheet1!$B$6:$C$45,2,FALSE)*V819</f>
        <v>0</v>
      </c>
      <c r="X819" s="141"/>
      <c r="Y819" s="121" t="s">
        <v>292</v>
      </c>
      <c r="Z819" s="146">
        <f>VLOOKUP(Takeoffs!Y819,Sheet1!$B$6:$C$124,2,FALSE)</f>
        <v>0</v>
      </c>
      <c r="AA819" s="146">
        <f t="shared" si="370"/>
        <v>0</v>
      </c>
      <c r="AB819" s="143">
        <f t="shared" si="371"/>
        <v>0</v>
      </c>
      <c r="AC819" s="133">
        <f t="shared" si="372"/>
        <v>0</v>
      </c>
      <c r="AD819" s="142">
        <v>1</v>
      </c>
      <c r="AE819" s="141"/>
      <c r="AF819" s="121" t="s">
        <v>292</v>
      </c>
      <c r="AG819" s="146">
        <f>VLOOKUP(Takeoffs!AF819,Sheet1!$B$6:$C$124,2,FALSE)</f>
        <v>0</v>
      </c>
      <c r="AH819" s="146">
        <f t="shared" si="373"/>
        <v>0</v>
      </c>
      <c r="AI819" s="143">
        <f t="shared" si="374"/>
        <v>0</v>
      </c>
      <c r="AJ819" s="133">
        <f t="shared" si="375"/>
        <v>0</v>
      </c>
      <c r="AK819" s="142">
        <f>T819</f>
        <v>0</v>
      </c>
      <c r="AL819" s="141"/>
      <c r="AO819" s="286"/>
      <c r="AP819" s="284">
        <f t="shared" si="355"/>
        <v>0</v>
      </c>
      <c r="AQ819" s="281">
        <f t="shared" si="356"/>
        <v>0</v>
      </c>
      <c r="AR819" s="284">
        <f t="shared" si="357"/>
        <v>0</v>
      </c>
      <c r="AS819" s="281">
        <f t="shared" si="358"/>
        <v>0</v>
      </c>
      <c r="AT819" s="284">
        <f t="shared" si="359"/>
        <v>0</v>
      </c>
    </row>
    <row r="820" spans="1:46" s="114" customFormat="1" ht="30.9" x14ac:dyDescent="0.8">
      <c r="A820" s="262">
        <f>ROW()</f>
        <v>820</v>
      </c>
      <c r="C820" s="208"/>
      <c r="D820" s="208"/>
      <c r="E820" s="208"/>
      <c r="F820" s="208"/>
      <c r="G820" s="208"/>
      <c r="H820" s="208"/>
      <c r="J820" s="114" t="str">
        <f t="shared" si="376"/>
        <v/>
      </c>
      <c r="K820" s="114" t="str">
        <f>IF(COUNTBLANK(R820)&gt;0,"",CONCATENATE(R820," for ",N812))</f>
        <v/>
      </c>
      <c r="N820" s="123" t="s">
        <v>120</v>
      </c>
      <c r="O820" s="66" t="s">
        <v>328</v>
      </c>
      <c r="P820" s="121"/>
      <c r="Q820" s="66"/>
      <c r="R820" s="121"/>
      <c r="S820" s="133">
        <f>M812</f>
        <v>0</v>
      </c>
      <c r="T820" s="120"/>
      <c r="U820" s="121" t="s">
        <v>364</v>
      </c>
      <c r="V820" s="133">
        <f t="shared" si="369"/>
        <v>0</v>
      </c>
      <c r="W820" s="133">
        <f>VLOOKUP(U820,Sheet1!$B$6:$C$45,2,FALSE)*V820</f>
        <v>0</v>
      </c>
      <c r="X820" s="141"/>
      <c r="Y820" s="121" t="s">
        <v>292</v>
      </c>
      <c r="Z820" s="146">
        <f>VLOOKUP(Takeoffs!Y820,Sheet1!$B$6:$C$124,2,FALSE)</f>
        <v>0</v>
      </c>
      <c r="AA820" s="146">
        <f t="shared" si="370"/>
        <v>0</v>
      </c>
      <c r="AB820" s="143">
        <f t="shared" si="371"/>
        <v>0</v>
      </c>
      <c r="AC820" s="133">
        <f t="shared" si="372"/>
        <v>0</v>
      </c>
      <c r="AD820" s="142">
        <v>1</v>
      </c>
      <c r="AE820" s="141"/>
      <c r="AF820" s="121" t="s">
        <v>292</v>
      </c>
      <c r="AG820" s="146">
        <f>VLOOKUP(Takeoffs!AF820,Sheet1!$B$6:$C$124,2,FALSE)</f>
        <v>0</v>
      </c>
      <c r="AH820" s="146">
        <f t="shared" si="373"/>
        <v>0</v>
      </c>
      <c r="AI820" s="143">
        <f t="shared" si="374"/>
        <v>0</v>
      </c>
      <c r="AJ820" s="133">
        <f t="shared" si="375"/>
        <v>0</v>
      </c>
      <c r="AK820" s="142">
        <f>T820</f>
        <v>0</v>
      </c>
      <c r="AL820" s="141"/>
      <c r="AO820" s="286"/>
      <c r="AP820" s="284">
        <f t="shared" si="355"/>
        <v>0</v>
      </c>
      <c r="AQ820" s="281">
        <f t="shared" si="356"/>
        <v>0</v>
      </c>
      <c r="AR820" s="284">
        <f t="shared" si="357"/>
        <v>0</v>
      </c>
      <c r="AS820" s="281">
        <f t="shared" si="358"/>
        <v>0</v>
      </c>
      <c r="AT820" s="284">
        <f t="shared" si="359"/>
        <v>0</v>
      </c>
    </row>
    <row r="821" spans="1:46" s="114" customFormat="1" ht="30.9" x14ac:dyDescent="0.8">
      <c r="A821" s="262">
        <f>ROW()</f>
        <v>821</v>
      </c>
      <c r="C821" s="208"/>
      <c r="D821" s="208"/>
      <c r="E821" s="208"/>
      <c r="F821" s="208"/>
      <c r="G821" s="208"/>
      <c r="H821" s="208"/>
      <c r="J821" s="114" t="str">
        <f t="shared" si="376"/>
        <v/>
      </c>
      <c r="K821" s="114" t="str">
        <f>IF(COUNTBLANK(R821)&gt;0,"",CONCATENATE(R821," for ",N812))</f>
        <v/>
      </c>
      <c r="N821" s="123" t="s">
        <v>121</v>
      </c>
      <c r="O821" s="66"/>
      <c r="P821" s="121"/>
      <c r="Q821" s="66"/>
      <c r="R821" s="121"/>
      <c r="S821" s="133">
        <f>M812</f>
        <v>0</v>
      </c>
      <c r="T821" s="120"/>
      <c r="U821" s="121" t="s">
        <v>292</v>
      </c>
      <c r="V821" s="133">
        <f t="shared" si="369"/>
        <v>0</v>
      </c>
      <c r="W821" s="133">
        <f>VLOOKUP(U821,Sheet1!$B$6:$C$45,2,FALSE)*V821</f>
        <v>0</v>
      </c>
      <c r="X821" s="141"/>
      <c r="Y821" s="121" t="s">
        <v>292</v>
      </c>
      <c r="Z821" s="146">
        <f>VLOOKUP(Takeoffs!Y821,Sheet1!$B$6:$C$124,2,FALSE)</f>
        <v>0</v>
      </c>
      <c r="AA821" s="146">
        <f t="shared" si="370"/>
        <v>0</v>
      </c>
      <c r="AB821" s="143">
        <f t="shared" si="371"/>
        <v>0</v>
      </c>
      <c r="AC821" s="133">
        <f t="shared" si="372"/>
        <v>0</v>
      </c>
      <c r="AD821" s="142">
        <v>1</v>
      </c>
      <c r="AE821" s="141"/>
      <c r="AF821" s="121" t="s">
        <v>292</v>
      </c>
      <c r="AG821" s="146">
        <f>VLOOKUP(Takeoffs!AF821,Sheet1!$B$6:$C$124,2,FALSE)</f>
        <v>0</v>
      </c>
      <c r="AH821" s="146">
        <f t="shared" si="373"/>
        <v>0</v>
      </c>
      <c r="AI821" s="143">
        <f t="shared" si="374"/>
        <v>0</v>
      </c>
      <c r="AJ821" s="133">
        <f t="shared" si="375"/>
        <v>0</v>
      </c>
      <c r="AK821" s="142">
        <f>T821</f>
        <v>0</v>
      </c>
      <c r="AL821" s="141"/>
      <c r="AO821" s="286"/>
      <c r="AP821" s="284">
        <f t="shared" si="355"/>
        <v>0</v>
      </c>
      <c r="AQ821" s="281">
        <f t="shared" si="356"/>
        <v>0</v>
      </c>
      <c r="AR821" s="284">
        <f t="shared" si="357"/>
        <v>0</v>
      </c>
      <c r="AS821" s="281">
        <f t="shared" si="358"/>
        <v>0</v>
      </c>
      <c r="AT821" s="284">
        <f t="shared" si="359"/>
        <v>0</v>
      </c>
    </row>
    <row r="822" spans="1:46" s="114" customFormat="1" ht="30.9" x14ac:dyDescent="0.8">
      <c r="A822" s="262">
        <f>ROW()</f>
        <v>822</v>
      </c>
      <c r="C822" s="208"/>
      <c r="D822" s="208"/>
      <c r="E822" s="208"/>
      <c r="F822" s="208"/>
      <c r="G822" s="208"/>
      <c r="H822" s="208"/>
      <c r="J822" s="114" t="str">
        <f t="shared" si="376"/>
        <v/>
      </c>
      <c r="K822" s="114" t="str">
        <f>IF(COUNTBLANK(R822)&gt;0,"",CONCATENATE(R822," for ",N812))</f>
        <v/>
      </c>
      <c r="N822" s="123" t="s">
        <v>122</v>
      </c>
      <c r="O822" s="66"/>
      <c r="P822" s="121"/>
      <c r="Q822" s="66"/>
      <c r="R822" s="121"/>
      <c r="S822" s="133">
        <f>M812</f>
        <v>0</v>
      </c>
      <c r="T822" s="120"/>
      <c r="U822" s="121" t="s">
        <v>292</v>
      </c>
      <c r="V822" s="133">
        <f t="shared" si="369"/>
        <v>0</v>
      </c>
      <c r="W822" s="133">
        <f>VLOOKUP(U822,Sheet1!$B$6:$C$45,2,FALSE)*V822</f>
        <v>0</v>
      </c>
      <c r="X822" s="141"/>
      <c r="Y822" s="121" t="s">
        <v>292</v>
      </c>
      <c r="Z822" s="146">
        <f>VLOOKUP(Takeoffs!Y822,Sheet1!$B$6:$C$124,2,FALSE)</f>
        <v>0</v>
      </c>
      <c r="AA822" s="146">
        <f t="shared" si="370"/>
        <v>0</v>
      </c>
      <c r="AB822" s="143">
        <f t="shared" si="371"/>
        <v>0</v>
      </c>
      <c r="AC822" s="133">
        <f t="shared" si="372"/>
        <v>0</v>
      </c>
      <c r="AD822" s="142">
        <v>1</v>
      </c>
      <c r="AE822" s="141"/>
      <c r="AF822" s="121" t="s">
        <v>292</v>
      </c>
      <c r="AG822" s="146">
        <f>VLOOKUP(Takeoffs!AF822,Sheet1!$B$6:$C$124,2,FALSE)</f>
        <v>0</v>
      </c>
      <c r="AH822" s="146">
        <f t="shared" si="373"/>
        <v>0</v>
      </c>
      <c r="AI822" s="143">
        <f t="shared" si="374"/>
        <v>0</v>
      </c>
      <c r="AJ822" s="133">
        <f t="shared" si="375"/>
        <v>0</v>
      </c>
      <c r="AK822" s="142">
        <f>T822</f>
        <v>0</v>
      </c>
      <c r="AL822" s="141"/>
      <c r="AO822" s="286"/>
      <c r="AP822" s="284">
        <f t="shared" si="355"/>
        <v>0</v>
      </c>
      <c r="AQ822" s="281">
        <f t="shared" si="356"/>
        <v>0</v>
      </c>
      <c r="AR822" s="284">
        <f t="shared" si="357"/>
        <v>0</v>
      </c>
      <c r="AS822" s="281">
        <f t="shared" si="358"/>
        <v>0</v>
      </c>
      <c r="AT822" s="284">
        <f t="shared" si="359"/>
        <v>0</v>
      </c>
    </row>
    <row r="823" spans="1:46" s="114" customFormat="1" ht="30.9" x14ac:dyDescent="0.8">
      <c r="A823" s="262">
        <f>ROW()</f>
        <v>823</v>
      </c>
      <c r="C823" s="208"/>
      <c r="D823" s="208"/>
      <c r="E823" s="208"/>
      <c r="F823" s="208"/>
      <c r="G823" s="208"/>
      <c r="H823" s="208"/>
      <c r="J823" s="114" t="str">
        <f t="shared" si="376"/>
        <v/>
      </c>
      <c r="K823" s="114" t="str">
        <f>IF(COUNTBLANK(R823)&gt;0,"",CONCATENATE(R823," for ",N812))</f>
        <v/>
      </c>
      <c r="N823" s="123" t="s">
        <v>123</v>
      </c>
      <c r="O823" s="66"/>
      <c r="P823" s="121"/>
      <c r="Q823" s="66"/>
      <c r="R823" s="121"/>
      <c r="S823" s="133">
        <f>M812</f>
        <v>0</v>
      </c>
      <c r="T823" s="120"/>
      <c r="U823" s="121" t="s">
        <v>292</v>
      </c>
      <c r="V823" s="133">
        <f t="shared" si="369"/>
        <v>0</v>
      </c>
      <c r="W823" s="133">
        <f>VLOOKUP(U823,Sheet1!$B$6:$C$45,2,FALSE)*V823</f>
        <v>0</v>
      </c>
      <c r="X823" s="141"/>
      <c r="Y823" s="121" t="s">
        <v>292</v>
      </c>
      <c r="Z823" s="146">
        <f>VLOOKUP(Takeoffs!Y823,Sheet1!$B$6:$C$124,2,FALSE)</f>
        <v>0</v>
      </c>
      <c r="AA823" s="146">
        <f t="shared" si="370"/>
        <v>0</v>
      </c>
      <c r="AB823" s="143">
        <f t="shared" si="371"/>
        <v>0</v>
      </c>
      <c r="AC823" s="133">
        <f t="shared" si="372"/>
        <v>0</v>
      </c>
      <c r="AD823" s="142">
        <v>1</v>
      </c>
      <c r="AE823" s="141"/>
      <c r="AF823" s="121" t="s">
        <v>292</v>
      </c>
      <c r="AG823" s="146">
        <f>VLOOKUP(Takeoffs!AF823,Sheet1!$B$6:$C$124,2,FALSE)</f>
        <v>0</v>
      </c>
      <c r="AH823" s="146">
        <f t="shared" si="373"/>
        <v>0</v>
      </c>
      <c r="AI823" s="143">
        <f t="shared" si="374"/>
        <v>0</v>
      </c>
      <c r="AJ823" s="133">
        <f t="shared" si="375"/>
        <v>0</v>
      </c>
      <c r="AK823" s="142">
        <v>0</v>
      </c>
      <c r="AL823" s="141"/>
      <c r="AO823" s="286"/>
      <c r="AP823" s="284">
        <f t="shared" si="355"/>
        <v>0</v>
      </c>
      <c r="AQ823" s="281">
        <f t="shared" si="356"/>
        <v>0</v>
      </c>
      <c r="AR823" s="284">
        <f t="shared" si="357"/>
        <v>0</v>
      </c>
      <c r="AS823" s="281">
        <f t="shared" si="358"/>
        <v>0</v>
      </c>
      <c r="AT823" s="284">
        <f t="shared" si="359"/>
        <v>0</v>
      </c>
    </row>
    <row r="824" spans="1:46" s="114" customFormat="1" ht="30.9" x14ac:dyDescent="0.8">
      <c r="A824" s="262">
        <f>ROW()</f>
        <v>824</v>
      </c>
      <c r="C824" s="208"/>
      <c r="D824" s="208"/>
      <c r="E824" s="208"/>
      <c r="F824" s="208"/>
      <c r="G824" s="208"/>
      <c r="H824" s="208"/>
      <c r="J824" s="114" t="str">
        <f t="shared" si="376"/>
        <v/>
      </c>
      <c r="K824" s="114" t="str">
        <f>IF(COUNTBLANK(R824)&gt;0,"",CONCATENATE(R824," for ",N812))</f>
        <v/>
      </c>
      <c r="N824" s="123" t="s">
        <v>124</v>
      </c>
      <c r="O824" s="66" t="s">
        <v>140</v>
      </c>
      <c r="P824" s="121"/>
      <c r="Q824" s="66"/>
      <c r="R824" s="121"/>
      <c r="S824" s="133">
        <f>M812</f>
        <v>0</v>
      </c>
      <c r="T824" s="120"/>
      <c r="U824" s="121" t="s">
        <v>292</v>
      </c>
      <c r="V824" s="133">
        <f t="shared" si="369"/>
        <v>0</v>
      </c>
      <c r="W824" s="133">
        <f>VLOOKUP(U824,Sheet1!$B$6:$C$45,2,FALSE)*V824</f>
        <v>0</v>
      </c>
      <c r="X824" s="141"/>
      <c r="Y824" s="121" t="s">
        <v>292</v>
      </c>
      <c r="Z824" s="146">
        <f>VLOOKUP(Takeoffs!Y824,Sheet1!$B$6:$C$124,2,FALSE)</f>
        <v>0</v>
      </c>
      <c r="AA824" s="146">
        <f t="shared" si="370"/>
        <v>0</v>
      </c>
      <c r="AB824" s="143">
        <f t="shared" si="371"/>
        <v>0</v>
      </c>
      <c r="AC824" s="133">
        <f t="shared" si="372"/>
        <v>0</v>
      </c>
      <c r="AD824" s="142">
        <v>1</v>
      </c>
      <c r="AE824" s="141"/>
      <c r="AF824" s="152" t="s">
        <v>418</v>
      </c>
      <c r="AG824" s="146">
        <f>VLOOKUP(Takeoffs!AF824,Sheet1!$B$6:$C$124,2,FALSE)</f>
        <v>0.33600000000000002</v>
      </c>
      <c r="AH824" s="146">
        <f t="shared" si="373"/>
        <v>0</v>
      </c>
      <c r="AI824" s="143">
        <f t="shared" si="374"/>
        <v>0</v>
      </c>
      <c r="AJ824" s="133">
        <f t="shared" si="375"/>
        <v>0</v>
      </c>
      <c r="AK824" s="142">
        <v>1</v>
      </c>
      <c r="AL824" s="141"/>
      <c r="AO824" s="286"/>
      <c r="AP824" s="284">
        <f t="shared" si="355"/>
        <v>0</v>
      </c>
      <c r="AQ824" s="281">
        <f t="shared" si="356"/>
        <v>0</v>
      </c>
      <c r="AR824" s="284">
        <f t="shared" si="357"/>
        <v>0</v>
      </c>
      <c r="AS824" s="281">
        <f t="shared" si="358"/>
        <v>0</v>
      </c>
      <c r="AT824" s="284">
        <f t="shared" si="359"/>
        <v>0</v>
      </c>
    </row>
    <row r="825" spans="1:46" s="114" customFormat="1" ht="30.9" x14ac:dyDescent="0.8">
      <c r="A825" s="262">
        <f>ROW()</f>
        <v>825</v>
      </c>
      <c r="C825" s="208"/>
      <c r="D825" s="208"/>
      <c r="E825" s="208"/>
      <c r="F825" s="208"/>
      <c r="G825" s="208"/>
      <c r="H825" s="208"/>
      <c r="J825" s="114" t="str">
        <f t="shared" si="376"/>
        <v/>
      </c>
      <c r="K825" s="114" t="str">
        <f>IF(COUNTBLANK(R825)&gt;0,"",CONCATENATE(R825," for ",N812))</f>
        <v/>
      </c>
      <c r="N825" s="123" t="s">
        <v>125</v>
      </c>
      <c r="O825" s="66" t="s">
        <v>312</v>
      </c>
      <c r="P825" s="121"/>
      <c r="Q825" s="66"/>
      <c r="R825" s="121"/>
      <c r="S825" s="133">
        <f>M812</f>
        <v>0</v>
      </c>
      <c r="T825" s="120"/>
      <c r="U825" s="121" t="s">
        <v>232</v>
      </c>
      <c r="V825" s="133">
        <f t="shared" si="369"/>
        <v>0</v>
      </c>
      <c r="W825" s="133">
        <f>VLOOKUP(U825,Sheet1!$B$6:$C$45,2,FALSE)*V825</f>
        <v>0</v>
      </c>
      <c r="X825" s="141"/>
      <c r="Y825" s="122" t="s">
        <v>1345</v>
      </c>
      <c r="Z825" s="146">
        <f>VLOOKUP(Takeoffs!Y825,Sheet1!$B$6:$C$124,2,FALSE)</f>
        <v>109.25999999999999</v>
      </c>
      <c r="AA825" s="146">
        <f t="shared" si="370"/>
        <v>0</v>
      </c>
      <c r="AB825" s="143">
        <f t="shared" si="371"/>
        <v>0</v>
      </c>
      <c r="AC825" s="133">
        <f t="shared" si="372"/>
        <v>0</v>
      </c>
      <c r="AD825" s="142">
        <v>1</v>
      </c>
      <c r="AE825" s="141"/>
      <c r="AF825" s="121" t="s">
        <v>292</v>
      </c>
      <c r="AG825" s="146">
        <f>VLOOKUP(Takeoffs!AF825,Sheet1!$B$6:$C$124,2,FALSE)</f>
        <v>0</v>
      </c>
      <c r="AH825" s="146">
        <f t="shared" si="373"/>
        <v>0</v>
      </c>
      <c r="AI825" s="143">
        <f t="shared" si="374"/>
        <v>0</v>
      </c>
      <c r="AJ825" s="133">
        <f t="shared" si="375"/>
        <v>0</v>
      </c>
      <c r="AK825" s="142">
        <f t="shared" ref="AK825:AK832" si="377">T825</f>
        <v>0</v>
      </c>
      <c r="AL825" s="141"/>
      <c r="AO825" s="286"/>
      <c r="AP825" s="284">
        <f t="shared" si="355"/>
        <v>0</v>
      </c>
      <c r="AQ825" s="281">
        <f t="shared" si="356"/>
        <v>0</v>
      </c>
      <c r="AR825" s="284">
        <f t="shared" si="357"/>
        <v>0</v>
      </c>
      <c r="AS825" s="281">
        <f t="shared" si="358"/>
        <v>0</v>
      </c>
      <c r="AT825" s="284">
        <f t="shared" si="359"/>
        <v>0</v>
      </c>
    </row>
    <row r="826" spans="1:46" s="114" customFormat="1" ht="30.9" x14ac:dyDescent="0.8">
      <c r="A826" s="262">
        <f>ROW()</f>
        <v>826</v>
      </c>
      <c r="C826" s="208"/>
      <c r="D826" s="208"/>
      <c r="E826" s="208"/>
      <c r="F826" s="208"/>
      <c r="G826" s="208"/>
      <c r="H826" s="208"/>
      <c r="J826" s="114" t="str">
        <f t="shared" si="376"/>
        <v>Coordination Note: - Fire trade: Please refer to our exclusions relating to fire cabling from FIP.</v>
      </c>
      <c r="K826" s="114" t="str">
        <f>IF(COUNTBLANK(R826)&gt;0,"",CONCATENATE(R826," for ",N812))</f>
        <v/>
      </c>
      <c r="N826" s="123" t="s">
        <v>126</v>
      </c>
      <c r="O826" s="66" t="s">
        <v>345</v>
      </c>
      <c r="P826" s="121" t="s">
        <v>380</v>
      </c>
      <c r="Q826" s="66" t="s">
        <v>384</v>
      </c>
      <c r="R826" s="121"/>
      <c r="S826" s="133">
        <f>M812</f>
        <v>0</v>
      </c>
      <c r="T826" s="120"/>
      <c r="U826" s="121" t="s">
        <v>292</v>
      </c>
      <c r="V826" s="133">
        <f t="shared" si="369"/>
        <v>0</v>
      </c>
      <c r="W826" s="133">
        <f>VLOOKUP(U826,Sheet1!$B$6:$C$45,2,FALSE)*V826</f>
        <v>0</v>
      </c>
      <c r="X826" s="141"/>
      <c r="Y826" s="122" t="s">
        <v>326</v>
      </c>
      <c r="Z826" s="146">
        <f>VLOOKUP(Takeoffs!Y826,Sheet1!$B$6:$C$124,2,FALSE)</f>
        <v>29.04</v>
      </c>
      <c r="AA826" s="146">
        <f t="shared" si="370"/>
        <v>0</v>
      </c>
      <c r="AB826" s="143">
        <f t="shared" si="371"/>
        <v>0</v>
      </c>
      <c r="AC826" s="133">
        <f t="shared" si="372"/>
        <v>0</v>
      </c>
      <c r="AD826" s="142">
        <v>1</v>
      </c>
      <c r="AE826" s="141"/>
      <c r="AF826" s="121" t="s">
        <v>292</v>
      </c>
      <c r="AG826" s="146">
        <f>VLOOKUP(Takeoffs!AF826,Sheet1!$B$6:$C$124,2,FALSE)</f>
        <v>0</v>
      </c>
      <c r="AH826" s="146">
        <f t="shared" si="373"/>
        <v>0</v>
      </c>
      <c r="AI826" s="143">
        <f t="shared" si="374"/>
        <v>0</v>
      </c>
      <c r="AJ826" s="133">
        <f t="shared" si="375"/>
        <v>0</v>
      </c>
      <c r="AK826" s="142">
        <f t="shared" si="377"/>
        <v>0</v>
      </c>
      <c r="AL826" s="141"/>
      <c r="AO826" s="286"/>
      <c r="AP826" s="284">
        <f t="shared" si="355"/>
        <v>0</v>
      </c>
      <c r="AQ826" s="281">
        <f t="shared" si="356"/>
        <v>0</v>
      </c>
      <c r="AR826" s="284">
        <f t="shared" si="357"/>
        <v>0</v>
      </c>
      <c r="AS826" s="281">
        <f t="shared" si="358"/>
        <v>0</v>
      </c>
      <c r="AT826" s="284">
        <f t="shared" si="359"/>
        <v>0</v>
      </c>
    </row>
    <row r="827" spans="1:46" s="114" customFormat="1" ht="30.9" x14ac:dyDescent="0.8">
      <c r="A827" s="262">
        <f>ROW()</f>
        <v>827</v>
      </c>
      <c r="C827" s="208"/>
      <c r="D827" s="208"/>
      <c r="E827" s="208"/>
      <c r="F827" s="208"/>
      <c r="G827" s="208"/>
      <c r="H827" s="208"/>
      <c r="J827" s="114" t="str">
        <f t="shared" si="376"/>
        <v/>
      </c>
      <c r="K827" s="114" t="str">
        <f>IF(COUNTBLANK(R827)&gt;0,"",CONCATENATE(R827," for ",N812))</f>
        <v>run and fault lights for Small sized VSD fan with fire shutdown - from local power supply</v>
      </c>
      <c r="N827" s="123" t="s">
        <v>127</v>
      </c>
      <c r="O827" s="66" t="s">
        <v>337</v>
      </c>
      <c r="P827" s="121"/>
      <c r="Q827" s="66"/>
      <c r="R827" s="121" t="s">
        <v>331</v>
      </c>
      <c r="S827" s="133">
        <f>M812</f>
        <v>0</v>
      </c>
      <c r="T827" s="120"/>
      <c r="U827" s="121" t="s">
        <v>292</v>
      </c>
      <c r="V827" s="133">
        <f t="shared" si="369"/>
        <v>0</v>
      </c>
      <c r="W827" s="133">
        <f>VLOOKUP(U827,Sheet1!$B$6:$C$45,2,FALSE)*V827</f>
        <v>0</v>
      </c>
      <c r="X827" s="141"/>
      <c r="Y827" s="121" t="s">
        <v>292</v>
      </c>
      <c r="Z827" s="146">
        <f>VLOOKUP(Takeoffs!Y827,Sheet1!$B$6:$C$124,2,FALSE)</f>
        <v>0</v>
      </c>
      <c r="AA827" s="146">
        <f t="shared" si="370"/>
        <v>0</v>
      </c>
      <c r="AB827" s="143">
        <f t="shared" si="371"/>
        <v>0</v>
      </c>
      <c r="AC827" s="133">
        <f t="shared" si="372"/>
        <v>0</v>
      </c>
      <c r="AD827" s="142">
        <v>2</v>
      </c>
      <c r="AE827" s="141"/>
      <c r="AF827" s="121" t="s">
        <v>292</v>
      </c>
      <c r="AG827" s="146">
        <f>VLOOKUP(Takeoffs!AF827,Sheet1!$B$6:$C$124,2,FALSE)</f>
        <v>0</v>
      </c>
      <c r="AH827" s="146">
        <f t="shared" si="373"/>
        <v>0</v>
      </c>
      <c r="AI827" s="143">
        <f t="shared" si="374"/>
        <v>0</v>
      </c>
      <c r="AJ827" s="133">
        <f t="shared" si="375"/>
        <v>0</v>
      </c>
      <c r="AK827" s="142">
        <f t="shared" si="377"/>
        <v>0</v>
      </c>
      <c r="AL827" s="141"/>
      <c r="AO827" s="286"/>
      <c r="AP827" s="284">
        <f t="shared" si="355"/>
        <v>0</v>
      </c>
      <c r="AQ827" s="281">
        <f t="shared" si="356"/>
        <v>0</v>
      </c>
      <c r="AR827" s="284">
        <f t="shared" si="357"/>
        <v>0</v>
      </c>
      <c r="AS827" s="281">
        <f t="shared" si="358"/>
        <v>0</v>
      </c>
      <c r="AT827" s="284">
        <f t="shared" si="359"/>
        <v>0</v>
      </c>
    </row>
    <row r="828" spans="1:46" s="114" customFormat="1" ht="30.9" x14ac:dyDescent="0.8">
      <c r="A828" s="262">
        <f>ROW()</f>
        <v>828</v>
      </c>
      <c r="C828" s="208"/>
      <c r="D828" s="208"/>
      <c r="E828" s="208"/>
      <c r="F828" s="208"/>
      <c r="G828" s="208"/>
      <c r="H828" s="208"/>
      <c r="J828" s="114" t="str">
        <f t="shared" si="376"/>
        <v/>
      </c>
      <c r="K828" s="114" t="str">
        <f>IF(COUNTBLANK(R828)&gt;0,"",CONCATENATE(R828," for ",N812))</f>
        <v/>
      </c>
      <c r="N828" s="123" t="s">
        <v>128</v>
      </c>
      <c r="O828" s="66" t="s">
        <v>675</v>
      </c>
      <c r="P828" s="121"/>
      <c r="Q828" s="66"/>
      <c r="R828" s="121"/>
      <c r="S828" s="133">
        <f>M812</f>
        <v>0</v>
      </c>
      <c r="T828" s="120"/>
      <c r="U828" s="121" t="s">
        <v>292</v>
      </c>
      <c r="V828" s="133">
        <f t="shared" si="369"/>
        <v>0</v>
      </c>
      <c r="W828" s="133">
        <f>VLOOKUP(U828,Sheet1!$B$6:$C$45,2,FALSE)*V828</f>
        <v>0</v>
      </c>
      <c r="X828" s="141"/>
      <c r="Y828" s="135" t="s">
        <v>333</v>
      </c>
      <c r="Z828" s="146">
        <f>VLOOKUP(Takeoffs!Y828,Sheet1!$B$6:$C$124,2,FALSE)</f>
        <v>60</v>
      </c>
      <c r="AA828" s="146">
        <f t="shared" si="370"/>
        <v>0</v>
      </c>
      <c r="AB828" s="143">
        <f t="shared" si="371"/>
        <v>0</v>
      </c>
      <c r="AC828" s="133">
        <f t="shared" si="372"/>
        <v>0</v>
      </c>
      <c r="AD828" s="142">
        <v>1</v>
      </c>
      <c r="AE828" s="141"/>
      <c r="AF828" s="121" t="s">
        <v>292</v>
      </c>
      <c r="AG828" s="146">
        <f>VLOOKUP(Takeoffs!AF828,Sheet1!$B$6:$C$124,2,FALSE)</f>
        <v>0</v>
      </c>
      <c r="AH828" s="146">
        <f t="shared" si="373"/>
        <v>0</v>
      </c>
      <c r="AI828" s="143">
        <f t="shared" si="374"/>
        <v>0</v>
      </c>
      <c r="AJ828" s="133">
        <f t="shared" si="375"/>
        <v>0</v>
      </c>
      <c r="AK828" s="142">
        <f t="shared" si="377"/>
        <v>0</v>
      </c>
      <c r="AL828" s="141"/>
      <c r="AO828" s="286"/>
      <c r="AP828" s="284">
        <f t="shared" si="355"/>
        <v>0</v>
      </c>
      <c r="AQ828" s="281">
        <f t="shared" si="356"/>
        <v>0</v>
      </c>
      <c r="AR828" s="284">
        <f t="shared" si="357"/>
        <v>0</v>
      </c>
      <c r="AS828" s="281">
        <f t="shared" si="358"/>
        <v>0</v>
      </c>
      <c r="AT828" s="284">
        <f t="shared" si="359"/>
        <v>0</v>
      </c>
    </row>
    <row r="829" spans="1:46" s="114" customFormat="1" ht="30.9" x14ac:dyDescent="0.8">
      <c r="A829" s="262">
        <f>ROW()</f>
        <v>829</v>
      </c>
      <c r="C829" s="208"/>
      <c r="D829" s="208"/>
      <c r="E829" s="208"/>
      <c r="F829" s="208"/>
      <c r="G829" s="208"/>
      <c r="H829" s="208"/>
      <c r="J829" s="114" t="str">
        <f t="shared" si="376"/>
        <v/>
      </c>
      <c r="K829" s="114" t="str">
        <f>IF(COUNTBLANK(R829)&gt;0,"",CONCATENATE(R829," for ",N812))</f>
        <v>Auto/Off/On switch for Small sized VSD fan with fire shutdown - from local power supply</v>
      </c>
      <c r="N829" s="123" t="s">
        <v>129</v>
      </c>
      <c r="O829" s="66"/>
      <c r="P829" s="121"/>
      <c r="Q829" s="66"/>
      <c r="R829" s="121" t="s">
        <v>304</v>
      </c>
      <c r="S829" s="133">
        <f>M812</f>
        <v>0</v>
      </c>
      <c r="T829" s="120"/>
      <c r="U829" s="121" t="s">
        <v>292</v>
      </c>
      <c r="V829" s="133">
        <f t="shared" si="369"/>
        <v>0</v>
      </c>
      <c r="W829" s="133">
        <f>VLOOKUP(U829,Sheet1!$B$6:$C$45,2,FALSE)*V829</f>
        <v>0</v>
      </c>
      <c r="X829" s="141"/>
      <c r="Y829" s="121" t="s">
        <v>292</v>
      </c>
      <c r="Z829" s="146">
        <f>VLOOKUP(Takeoffs!Y829,Sheet1!$B$6:$C$124,2,FALSE)</f>
        <v>0</v>
      </c>
      <c r="AA829" s="146">
        <f t="shared" si="370"/>
        <v>0</v>
      </c>
      <c r="AB829" s="143">
        <f t="shared" si="371"/>
        <v>0</v>
      </c>
      <c r="AC829" s="133">
        <f t="shared" si="372"/>
        <v>0</v>
      </c>
      <c r="AD829" s="142">
        <v>1</v>
      </c>
      <c r="AE829" s="141"/>
      <c r="AF829" s="121" t="s">
        <v>292</v>
      </c>
      <c r="AG829" s="146">
        <f>VLOOKUP(Takeoffs!AF829,Sheet1!$B$6:$C$124,2,FALSE)</f>
        <v>0</v>
      </c>
      <c r="AH829" s="146">
        <f t="shared" si="373"/>
        <v>0</v>
      </c>
      <c r="AI829" s="143">
        <f t="shared" si="374"/>
        <v>0</v>
      </c>
      <c r="AJ829" s="133">
        <f t="shared" si="375"/>
        <v>0</v>
      </c>
      <c r="AK829" s="142">
        <f t="shared" si="377"/>
        <v>0</v>
      </c>
      <c r="AL829" s="141"/>
      <c r="AO829" s="286"/>
      <c r="AP829" s="284">
        <f t="shared" si="355"/>
        <v>0</v>
      </c>
      <c r="AQ829" s="281">
        <f t="shared" si="356"/>
        <v>0</v>
      </c>
      <c r="AR829" s="284">
        <f t="shared" si="357"/>
        <v>0</v>
      </c>
      <c r="AS829" s="281">
        <f t="shared" si="358"/>
        <v>0</v>
      </c>
      <c r="AT829" s="284">
        <f t="shared" si="359"/>
        <v>0</v>
      </c>
    </row>
    <row r="830" spans="1:46" s="114" customFormat="1" ht="30.9" x14ac:dyDescent="0.8">
      <c r="A830" s="262">
        <f>ROW()</f>
        <v>830</v>
      </c>
      <c r="C830" s="208"/>
      <c r="D830" s="208"/>
      <c r="E830" s="208"/>
      <c r="F830" s="208"/>
      <c r="G830" s="208"/>
      <c r="H830" s="208"/>
      <c r="J830" s="114" t="str">
        <f t="shared" si="376"/>
        <v/>
      </c>
      <c r="K830" s="114" t="str">
        <f>IF(COUNTBLANK(R830)&gt;0,"",CONCATENATE(R830," for ",N812))</f>
        <v/>
      </c>
      <c r="N830" s="123" t="s">
        <v>130</v>
      </c>
      <c r="O830" s="66"/>
      <c r="P830" s="121"/>
      <c r="Q830" s="66"/>
      <c r="R830" s="121"/>
      <c r="S830" s="133">
        <f>M812</f>
        <v>0</v>
      </c>
      <c r="T830" s="120"/>
      <c r="U830" s="121" t="s">
        <v>292</v>
      </c>
      <c r="V830" s="133">
        <f t="shared" si="369"/>
        <v>0</v>
      </c>
      <c r="W830" s="133">
        <f>VLOOKUP(U830,Sheet1!$B$6:$C$45,2,FALSE)*V830</f>
        <v>0</v>
      </c>
      <c r="X830" s="141"/>
      <c r="Y830" s="121" t="s">
        <v>292</v>
      </c>
      <c r="Z830" s="146">
        <f>VLOOKUP(Takeoffs!Y830,Sheet1!$B$6:$C$124,2,FALSE)</f>
        <v>0</v>
      </c>
      <c r="AA830" s="146">
        <f t="shared" si="370"/>
        <v>0</v>
      </c>
      <c r="AB830" s="143">
        <f t="shared" si="371"/>
        <v>0</v>
      </c>
      <c r="AC830" s="133">
        <f t="shared" si="372"/>
        <v>0</v>
      </c>
      <c r="AD830" s="142">
        <v>1</v>
      </c>
      <c r="AE830" s="141"/>
      <c r="AF830" s="121" t="s">
        <v>292</v>
      </c>
      <c r="AG830" s="146">
        <f>VLOOKUP(Takeoffs!AF830,Sheet1!$B$6:$C$124,2,FALSE)</f>
        <v>0</v>
      </c>
      <c r="AH830" s="146">
        <f t="shared" si="373"/>
        <v>0</v>
      </c>
      <c r="AI830" s="143">
        <f t="shared" si="374"/>
        <v>0</v>
      </c>
      <c r="AJ830" s="133">
        <f t="shared" si="375"/>
        <v>0</v>
      </c>
      <c r="AK830" s="142">
        <f t="shared" si="377"/>
        <v>0</v>
      </c>
      <c r="AL830" s="141"/>
      <c r="AO830" s="286"/>
      <c r="AP830" s="284">
        <f t="shared" si="355"/>
        <v>0</v>
      </c>
      <c r="AQ830" s="281">
        <f t="shared" si="356"/>
        <v>0</v>
      </c>
      <c r="AR830" s="284">
        <f t="shared" si="357"/>
        <v>0</v>
      </c>
      <c r="AS830" s="281">
        <f t="shared" si="358"/>
        <v>0</v>
      </c>
      <c r="AT830" s="284">
        <f t="shared" si="359"/>
        <v>0</v>
      </c>
    </row>
    <row r="831" spans="1:46" s="114" customFormat="1" ht="30.9" x14ac:dyDescent="0.8">
      <c r="A831" s="262">
        <f>ROW()</f>
        <v>831</v>
      </c>
      <c r="C831" s="208"/>
      <c r="D831" s="208"/>
      <c r="E831" s="208"/>
      <c r="F831" s="208"/>
      <c r="G831" s="208"/>
      <c r="H831" s="208"/>
      <c r="J831" s="114" t="str">
        <f t="shared" si="376"/>
        <v/>
      </c>
      <c r="K831" s="114" t="str">
        <f>IF(COUNTBLANK(R831)&gt;0,"",CONCATENATE(R831," for ",N812))</f>
        <v/>
      </c>
      <c r="N831" s="123" t="s">
        <v>131</v>
      </c>
      <c r="O831" s="66" t="s">
        <v>407</v>
      </c>
      <c r="P831" s="121"/>
      <c r="Q831" s="66"/>
      <c r="R831" s="121"/>
      <c r="S831" s="133">
        <f>M812</f>
        <v>0</v>
      </c>
      <c r="T831" s="120"/>
      <c r="U831" s="121" t="s">
        <v>292</v>
      </c>
      <c r="V831" s="133">
        <f t="shared" si="369"/>
        <v>0</v>
      </c>
      <c r="W831" s="133">
        <f>VLOOKUP(U831,Sheet1!$B$6:$C$45,2,FALSE)*V831</f>
        <v>0</v>
      </c>
      <c r="X831" s="141"/>
      <c r="Y831" s="121" t="s">
        <v>274</v>
      </c>
      <c r="Z831" s="146">
        <f>VLOOKUP(Takeoffs!Y831,Sheet1!$B$6:$C$124,2,FALSE)</f>
        <v>360</v>
      </c>
      <c r="AA831" s="146">
        <f t="shared" si="370"/>
        <v>0</v>
      </c>
      <c r="AB831" s="143">
        <f t="shared" si="371"/>
        <v>0</v>
      </c>
      <c r="AC831" s="133">
        <f t="shared" si="372"/>
        <v>0</v>
      </c>
      <c r="AD831" s="142">
        <v>1</v>
      </c>
      <c r="AE831" s="141"/>
      <c r="AF831" s="121" t="s">
        <v>292</v>
      </c>
      <c r="AG831" s="146">
        <f>VLOOKUP(Takeoffs!AF831,Sheet1!$B$6:$C$124,2,FALSE)</f>
        <v>0</v>
      </c>
      <c r="AH831" s="146">
        <f t="shared" si="373"/>
        <v>0</v>
      </c>
      <c r="AI831" s="143">
        <f t="shared" si="374"/>
        <v>0</v>
      </c>
      <c r="AJ831" s="133">
        <f t="shared" si="375"/>
        <v>0</v>
      </c>
      <c r="AK831" s="142">
        <f t="shared" si="377"/>
        <v>0</v>
      </c>
      <c r="AL831" s="141"/>
      <c r="AO831" s="286"/>
      <c r="AP831" s="284">
        <f t="shared" si="355"/>
        <v>0</v>
      </c>
      <c r="AQ831" s="281">
        <f t="shared" si="356"/>
        <v>0</v>
      </c>
      <c r="AR831" s="284">
        <f t="shared" si="357"/>
        <v>0</v>
      </c>
      <c r="AS831" s="281">
        <f t="shared" si="358"/>
        <v>0</v>
      </c>
      <c r="AT831" s="284">
        <f t="shared" si="359"/>
        <v>0</v>
      </c>
    </row>
    <row r="832" spans="1:46" s="114" customFormat="1" ht="30.9" x14ac:dyDescent="0.8">
      <c r="A832" s="262">
        <f>ROW()</f>
        <v>832</v>
      </c>
      <c r="C832" s="208"/>
      <c r="D832" s="208"/>
      <c r="E832" s="208"/>
      <c r="F832" s="208"/>
      <c r="G832" s="208"/>
      <c r="H832" s="208"/>
      <c r="J832" s="114" t="str">
        <f t="shared" si="376"/>
        <v/>
      </c>
      <c r="K832" s="114" t="str">
        <f>IF(COUNTBLANK(R832)&gt;0,"",CONCATENATE(R832," for ",N812))</f>
        <v/>
      </c>
      <c r="N832" s="123" t="s">
        <v>132</v>
      </c>
      <c r="O832" s="66" t="s">
        <v>408</v>
      </c>
      <c r="P832" s="121"/>
      <c r="Q832" s="66"/>
      <c r="R832" s="121"/>
      <c r="S832" s="133">
        <f>M812</f>
        <v>0</v>
      </c>
      <c r="T832" s="120"/>
      <c r="U832" s="121" t="s">
        <v>362</v>
      </c>
      <c r="V832" s="133">
        <f t="shared" si="369"/>
        <v>0</v>
      </c>
      <c r="W832" s="133">
        <f>VLOOKUP(U832,Sheet1!$B$6:$C$45,2,FALSE)*V832</f>
        <v>0</v>
      </c>
      <c r="X832" s="141"/>
      <c r="Y832" s="121" t="s">
        <v>292</v>
      </c>
      <c r="Z832" s="146">
        <f>VLOOKUP(Takeoffs!Y832,Sheet1!$B$6:$C$124,2,FALSE)</f>
        <v>0</v>
      </c>
      <c r="AA832" s="146">
        <f t="shared" si="370"/>
        <v>0</v>
      </c>
      <c r="AB832" s="143">
        <f t="shared" si="371"/>
        <v>0</v>
      </c>
      <c r="AC832" s="133">
        <f t="shared" si="372"/>
        <v>0</v>
      </c>
      <c r="AD832" s="142">
        <v>1</v>
      </c>
      <c r="AE832" s="141"/>
      <c r="AF832" s="121" t="s">
        <v>292</v>
      </c>
      <c r="AG832" s="146">
        <f>VLOOKUP(Takeoffs!AF832,Sheet1!$B$6:$C$124,2,FALSE)</f>
        <v>0</v>
      </c>
      <c r="AH832" s="146">
        <f t="shared" si="373"/>
        <v>0</v>
      </c>
      <c r="AI832" s="143">
        <f t="shared" si="374"/>
        <v>0</v>
      </c>
      <c r="AJ832" s="133">
        <f t="shared" si="375"/>
        <v>0</v>
      </c>
      <c r="AK832" s="142">
        <f t="shared" si="377"/>
        <v>0</v>
      </c>
      <c r="AL832" s="141"/>
      <c r="AO832" s="286"/>
      <c r="AP832" s="284">
        <f t="shared" si="355"/>
        <v>0</v>
      </c>
      <c r="AQ832" s="281">
        <f t="shared" si="356"/>
        <v>0</v>
      </c>
      <c r="AR832" s="284">
        <f t="shared" si="357"/>
        <v>0</v>
      </c>
      <c r="AS832" s="281">
        <f t="shared" si="358"/>
        <v>0</v>
      </c>
      <c r="AT832" s="284">
        <f t="shared" si="359"/>
        <v>0</v>
      </c>
    </row>
    <row r="833" spans="1:97" s="128" customFormat="1" ht="31.5" customHeight="1" x14ac:dyDescent="0.8">
      <c r="A833" s="262">
        <f>ROW()</f>
        <v>833</v>
      </c>
      <c r="C833" s="212"/>
      <c r="D833" s="212"/>
      <c r="E833" s="212"/>
      <c r="F833" s="212"/>
      <c r="G833" s="212"/>
      <c r="H833" s="212"/>
      <c r="J833" s="128" t="s">
        <v>377</v>
      </c>
      <c r="L833" s="128" t="s">
        <v>378</v>
      </c>
      <c r="N833" s="129"/>
      <c r="O833" s="130" t="s">
        <v>357</v>
      </c>
      <c r="P833" s="131">
        <f>V833+AA833+AH833</f>
        <v>0</v>
      </c>
      <c r="Q833" s="131"/>
      <c r="R833" s="131"/>
      <c r="S833" s="130"/>
      <c r="T833" s="127"/>
      <c r="U833" s="126" t="s">
        <v>351</v>
      </c>
      <c r="V833" s="127">
        <f>W833*80</f>
        <v>0</v>
      </c>
      <c r="W833" s="147">
        <f>SUM(W812:W832)</f>
        <v>0</v>
      </c>
      <c r="X833" s="148"/>
      <c r="Y833" s="127" t="s">
        <v>352</v>
      </c>
      <c r="Z833" s="116"/>
      <c r="AA833" s="116">
        <f>SUM(AA812:AA832)</f>
        <v>0</v>
      </c>
      <c r="AB833" s="149"/>
      <c r="AC833" s="149"/>
      <c r="AD833" s="149"/>
      <c r="AE833" s="149"/>
      <c r="AF833" s="127" t="s">
        <v>356</v>
      </c>
      <c r="AG833" s="116"/>
      <c r="AH833" s="116">
        <f>SUM(AH812:AH832)</f>
        <v>0</v>
      </c>
      <c r="AI833" s="149"/>
      <c r="AJ833" s="149"/>
      <c r="AK833" s="149"/>
      <c r="AL833" s="149"/>
      <c r="AM833" s="150">
        <f>P833</f>
        <v>0</v>
      </c>
      <c r="AO833" s="286"/>
      <c r="AP833" s="284">
        <f t="shared" si="355"/>
        <v>0</v>
      </c>
      <c r="AQ833" s="281">
        <f t="shared" si="356"/>
        <v>0</v>
      </c>
      <c r="AR833" s="284">
        <f t="shared" si="357"/>
        <v>0</v>
      </c>
      <c r="AS833" s="281">
        <f t="shared" si="358"/>
        <v>0</v>
      </c>
      <c r="AT833" s="284">
        <f t="shared" si="359"/>
        <v>0</v>
      </c>
    </row>
    <row r="834" spans="1:97" s="234" customFormat="1" ht="185.15" x14ac:dyDescent="0.8">
      <c r="A834" s="262">
        <f>ROW()</f>
        <v>834</v>
      </c>
      <c r="B834" s="234" t="s">
        <v>491</v>
      </c>
      <c r="C834" s="217" t="str">
        <f>N812</f>
        <v>Small sized VSD fan with fire shutdown - from local power supply</v>
      </c>
      <c r="D834" s="260" t="str">
        <f>IF(B834="Shopping List",IF(ISNUMBER(SEARCH("MSSB",C834)),"MSSB",IF(ISNUMBER(SEARCH("local",C834)),"LOCAL","")))</f>
        <v>LOCAL</v>
      </c>
      <c r="E834" s="238"/>
      <c r="F834" s="217"/>
      <c r="G834" s="217">
        <v>2</v>
      </c>
      <c r="H834" s="245">
        <v>1</v>
      </c>
      <c r="I834" s="270"/>
      <c r="J834" s="241" t="str">
        <f>CONCATENATE(O812," ",L812, " (",M812,") ",N812,".", IF(M812&gt;1," Each "," This "),"includes supply and install of ",O813,O814,O815,O816,O817,O818,O819,O820,O821,O822,O823,O824,O825,O826,O827,O828,O829,O830,O831,O832,J813,J814,J815,J816,J817,J818,J819,J820,J821,J822,J823,J824,J825,J826,J827,J828,J829,J830,J831,J832)</f>
        <v>Electrical power supply and controls ( Excluding BMS) to Zero (0) Small sized VSD fan with fire shutdown - from local power supply. This includes supply and install of power and controls. Power for system includes: cabling to VSD ( from builders electricians isolator), Danfoss VSD, shielded cabling, local isolator, Controls for system includes: controls cabling, contactors/relays, fire relay for interface with fire trade, run and fault lights, enclosure, trefolyte labelling, and commissioning/testing. Coordination Note: - Builders electrician: Please refer to our exclusions relating to isolator adjacent fanCoordination Note: - Fire trade: Please refer to our exclusions relating to fire cabling from FIP.</v>
      </c>
      <c r="K834" s="249">
        <f>P833</f>
        <v>0</v>
      </c>
      <c r="L834" s="234" t="str">
        <f>CONCATENATE(Q813,Q814,Q815,Q816,Q817,Q818,Q819,Q820,Q821,Q822,Q823,Q824,Q825,Q826,Q827,Q828,Q829,Q830,Q831,Q832,)</f>
        <v>isolator adjacent fanfire cabling from FIP.</v>
      </c>
      <c r="M834" s="166" t="s">
        <v>367</v>
      </c>
      <c r="N834" s="160" t="str">
        <f>N812</f>
        <v>Small sized VSD fan with fire shutdown - from local power supply</v>
      </c>
      <c r="O834" s="160" t="s">
        <v>365</v>
      </c>
      <c r="P834" s="183" t="e">
        <f>P833/M812</f>
        <v>#DIV/0!</v>
      </c>
      <c r="Q834" s="191"/>
      <c r="R834" s="161"/>
      <c r="S834" s="160"/>
      <c r="T834" s="161"/>
      <c r="U834" s="503" t="s">
        <v>366</v>
      </c>
      <c r="V834" s="503"/>
      <c r="W834" s="162" t="e">
        <f>W833/M812</f>
        <v>#DIV/0!</v>
      </c>
      <c r="X834" s="163"/>
      <c r="Y834" s="501" t="s">
        <v>365</v>
      </c>
      <c r="Z834" s="501"/>
      <c r="AA834" s="164" t="e">
        <f>AA833/M812</f>
        <v>#DIV/0!</v>
      </c>
      <c r="AB834" s="161"/>
      <c r="AC834" s="161"/>
      <c r="AD834" s="161"/>
      <c r="AE834" s="161"/>
      <c r="AF834" s="501" t="s">
        <v>365</v>
      </c>
      <c r="AG834" s="501"/>
      <c r="AH834" s="164" t="e">
        <f>AH833/M812</f>
        <v>#DIV/0!</v>
      </c>
      <c r="AI834" s="161"/>
      <c r="AJ834" s="161"/>
      <c r="AK834" s="161"/>
      <c r="AL834" s="247"/>
      <c r="AM834" s="257"/>
      <c r="AN834" s="236">
        <f>K834*$D$9</f>
        <v>0</v>
      </c>
      <c r="AO834" s="286"/>
      <c r="AP834" s="284">
        <f t="shared" si="355"/>
        <v>0</v>
      </c>
      <c r="AQ834" s="281">
        <f t="shared" si="356"/>
        <v>0</v>
      </c>
      <c r="AR834" s="284">
        <f t="shared" si="357"/>
        <v>0</v>
      </c>
      <c r="AS834" s="281">
        <f t="shared" si="358"/>
        <v>0</v>
      </c>
      <c r="AT834" s="284">
        <f t="shared" si="359"/>
        <v>0</v>
      </c>
      <c r="AU834" s="117"/>
      <c r="AV834" s="117"/>
      <c r="AW834" s="117"/>
      <c r="AX834" s="117"/>
      <c r="AY834" s="117"/>
      <c r="AZ834" s="117"/>
      <c r="BA834" s="117"/>
      <c r="BB834" s="117"/>
      <c r="BC834" s="117"/>
      <c r="BD834" s="117"/>
      <c r="BE834" s="117"/>
      <c r="BF834" s="117"/>
      <c r="BG834" s="117"/>
      <c r="BH834" s="117"/>
      <c r="BI834" s="117"/>
      <c r="BJ834" s="117"/>
      <c r="BK834" s="117"/>
      <c r="BL834" s="117"/>
      <c r="BM834" s="117"/>
      <c r="BN834" s="117"/>
      <c r="BO834" s="117"/>
      <c r="BP834" s="117"/>
      <c r="BQ834" s="117"/>
      <c r="BR834" s="117"/>
      <c r="BS834" s="117"/>
      <c r="BT834" s="117"/>
      <c r="BU834" s="117"/>
      <c r="BV834" s="117"/>
      <c r="BW834" s="117"/>
      <c r="BX834" s="117"/>
      <c r="BY834" s="117"/>
      <c r="BZ834" s="117"/>
      <c r="CA834" s="117"/>
      <c r="CB834" s="117"/>
      <c r="CC834" s="117"/>
      <c r="CD834" s="117"/>
      <c r="CE834" s="117"/>
      <c r="CF834" s="117"/>
      <c r="CG834" s="117"/>
      <c r="CH834" s="117"/>
      <c r="CI834" s="117"/>
      <c r="CJ834" s="117"/>
      <c r="CK834" s="117"/>
      <c r="CL834" s="117"/>
      <c r="CM834" s="117"/>
      <c r="CN834" s="117"/>
      <c r="CO834" s="117"/>
      <c r="CP834" s="117"/>
      <c r="CQ834" s="117"/>
      <c r="CR834" s="117"/>
      <c r="CS834" s="117"/>
    </row>
    <row r="835" spans="1:97" s="116" customFormat="1" ht="192.75" customHeight="1" x14ac:dyDescent="0.8">
      <c r="A835" s="262">
        <f>ROW()</f>
        <v>835</v>
      </c>
      <c r="C835" s="211"/>
      <c r="D835" s="211"/>
      <c r="E835" s="211"/>
      <c r="F835" s="211"/>
      <c r="G835" s="211"/>
      <c r="H835" s="211"/>
      <c r="K835" s="116" t="s">
        <v>452</v>
      </c>
      <c r="M835" s="116" t="s">
        <v>107</v>
      </c>
      <c r="N835" s="116" t="s">
        <v>108</v>
      </c>
      <c r="O835" s="170" t="s">
        <v>386</v>
      </c>
      <c r="P835" s="504" t="s">
        <v>375</v>
      </c>
      <c r="Q835" s="504"/>
      <c r="R835" s="101" t="s">
        <v>452</v>
      </c>
      <c r="S835" s="116" t="s">
        <v>0</v>
      </c>
      <c r="T835" s="118"/>
      <c r="U835" s="116" t="s">
        <v>287</v>
      </c>
      <c r="V835" s="116" t="s">
        <v>288</v>
      </c>
      <c r="W835" s="116" t="s">
        <v>291</v>
      </c>
      <c r="X835" s="140"/>
      <c r="Y835" s="116" t="s">
        <v>289</v>
      </c>
      <c r="Z835" s="116" t="s">
        <v>354</v>
      </c>
      <c r="AA835" s="116" t="s">
        <v>355</v>
      </c>
      <c r="AB835" s="116" t="s">
        <v>317</v>
      </c>
      <c r="AC835" s="116" t="s">
        <v>318</v>
      </c>
      <c r="AD835" s="116" t="s">
        <v>316</v>
      </c>
      <c r="AE835" s="140"/>
      <c r="AF835" s="116" t="s">
        <v>293</v>
      </c>
      <c r="AG835" s="116" t="s">
        <v>354</v>
      </c>
      <c r="AH835" s="116" t="s">
        <v>355</v>
      </c>
      <c r="AI835" s="116" t="s">
        <v>296</v>
      </c>
      <c r="AJ835" s="116" t="s">
        <v>294</v>
      </c>
      <c r="AK835" s="116" t="s">
        <v>295</v>
      </c>
      <c r="AL835" s="140"/>
      <c r="AO835" s="288"/>
      <c r="AP835" s="284">
        <f t="shared" si="355"/>
        <v>0</v>
      </c>
      <c r="AQ835" s="281">
        <f t="shared" si="356"/>
        <v>0</v>
      </c>
      <c r="AR835" s="284">
        <f t="shared" si="357"/>
        <v>0</v>
      </c>
      <c r="AS835" s="281">
        <f t="shared" si="358"/>
        <v>0</v>
      </c>
      <c r="AT835" s="284">
        <f t="shared" si="359"/>
        <v>0</v>
      </c>
    </row>
    <row r="836" spans="1:97" s="114" customFormat="1" ht="59.25" customHeight="1" x14ac:dyDescent="0.8">
      <c r="A836" s="262">
        <f>ROW()</f>
        <v>836</v>
      </c>
      <c r="C836" s="208"/>
      <c r="D836" s="208"/>
      <c r="E836" s="208"/>
      <c r="F836" s="208"/>
      <c r="G836" s="208"/>
      <c r="H836" s="208"/>
      <c r="L836" s="124" t="str">
        <f>VLOOKUP(M836,Sheet2!$D$2:$E$1024,2,FALSE)</f>
        <v>Zero</v>
      </c>
      <c r="M836" s="121">
        <f>I858</f>
        <v>0</v>
      </c>
      <c r="N836" s="132" t="s">
        <v>548</v>
      </c>
      <c r="O836" s="121" t="s">
        <v>488</v>
      </c>
      <c r="P836" s="169" t="s">
        <v>379</v>
      </c>
      <c r="Q836" s="169" t="s">
        <v>375</v>
      </c>
      <c r="R836" s="169"/>
      <c r="S836" s="133">
        <f>M836</f>
        <v>0</v>
      </c>
      <c r="T836" s="119"/>
      <c r="U836" s="121" t="s">
        <v>292</v>
      </c>
      <c r="V836" s="133">
        <f>S836</f>
        <v>0</v>
      </c>
      <c r="W836" s="133">
        <f>VLOOKUP(U836,Sheet1!$B$6:$C$45,2,FALSE)*V836</f>
        <v>0</v>
      </c>
      <c r="X836" s="141"/>
      <c r="Y836" s="121" t="s">
        <v>292</v>
      </c>
      <c r="Z836" s="146">
        <f>VLOOKUP(Takeoffs!Y836,Sheet1!$B$6:$C$124,2,FALSE)</f>
        <v>0</v>
      </c>
      <c r="AA836" s="146">
        <f>Z836*AB836</f>
        <v>0</v>
      </c>
      <c r="AB836" s="143">
        <f>AD836*AC836</f>
        <v>0</v>
      </c>
      <c r="AC836" s="133">
        <f>S836</f>
        <v>0</v>
      </c>
      <c r="AD836" s="142">
        <v>1</v>
      </c>
      <c r="AE836" s="141"/>
      <c r="AF836" s="121" t="s">
        <v>292</v>
      </c>
      <c r="AG836" s="146">
        <f>VLOOKUP(Takeoffs!AF836,Sheet1!$B$6:$C$124,2,FALSE)</f>
        <v>0</v>
      </c>
      <c r="AH836" s="146">
        <f>AG836*AI836</f>
        <v>0</v>
      </c>
      <c r="AI836" s="143">
        <f>AK836*AJ836</f>
        <v>0</v>
      </c>
      <c r="AJ836" s="133">
        <f>S836</f>
        <v>0</v>
      </c>
      <c r="AK836" s="142">
        <f>T836</f>
        <v>0</v>
      </c>
      <c r="AL836" s="141"/>
      <c r="AO836" s="286"/>
      <c r="AP836" s="284">
        <f t="shared" si="355"/>
        <v>0</v>
      </c>
      <c r="AQ836" s="281">
        <f t="shared" si="356"/>
        <v>0</v>
      </c>
      <c r="AR836" s="284">
        <f t="shared" si="357"/>
        <v>0</v>
      </c>
      <c r="AS836" s="281">
        <f t="shared" si="358"/>
        <v>0</v>
      </c>
      <c r="AT836" s="284">
        <f t="shared" si="359"/>
        <v>0</v>
      </c>
    </row>
    <row r="837" spans="1:97" s="114" customFormat="1" ht="30.9" x14ac:dyDescent="0.8">
      <c r="A837" s="262">
        <f>ROW()</f>
        <v>837</v>
      </c>
      <c r="C837" s="208"/>
      <c r="D837" s="208"/>
      <c r="E837" s="208"/>
      <c r="F837" s="208"/>
      <c r="G837" s="208"/>
      <c r="H837" s="208"/>
      <c r="J837" s="114" t="str">
        <f>IF(COUNTBLANK(Q837)&gt;0,"",CONCATENATE("Coordination Note: - ",P837,": Please refer to our exclusions relating to ",Q837))</f>
        <v/>
      </c>
      <c r="K837" s="114" t="str">
        <f>IF(COUNTBLANK(R837)&gt;0,"",CONCATENATE(R837," for ",N836))</f>
        <v/>
      </c>
      <c r="M837" s="117"/>
      <c r="N837" s="123" t="s">
        <v>113</v>
      </c>
      <c r="O837" s="66" t="s">
        <v>340</v>
      </c>
      <c r="P837" s="121"/>
      <c r="Q837" s="66"/>
      <c r="R837" s="121"/>
      <c r="S837" s="133">
        <f>M836</f>
        <v>0</v>
      </c>
      <c r="T837" s="120"/>
      <c r="U837" s="121" t="s">
        <v>292</v>
      </c>
      <c r="V837" s="133">
        <f t="shared" ref="V837:V856" si="378">S837</f>
        <v>0</v>
      </c>
      <c r="W837" s="133">
        <f>VLOOKUP(U837,Sheet1!$B$6:$C$45,2,FALSE)*V837</f>
        <v>0</v>
      </c>
      <c r="X837" s="141"/>
      <c r="Y837" s="121" t="s">
        <v>292</v>
      </c>
      <c r="Z837" s="146">
        <f>VLOOKUP(Takeoffs!Y837,Sheet1!$B$6:$C$124,2,FALSE)</f>
        <v>0</v>
      </c>
      <c r="AA837" s="146">
        <f t="shared" ref="AA837:AA856" si="379">Z837*AB837</f>
        <v>0</v>
      </c>
      <c r="AB837" s="143">
        <f t="shared" ref="AB837:AB856" si="380">AD837*AC837</f>
        <v>0</v>
      </c>
      <c r="AC837" s="133">
        <f t="shared" ref="AC837:AC856" si="381">S837</f>
        <v>0</v>
      </c>
      <c r="AD837" s="142">
        <v>1</v>
      </c>
      <c r="AE837" s="141"/>
      <c r="AF837" s="121" t="s">
        <v>292</v>
      </c>
      <c r="AG837" s="146">
        <f>VLOOKUP(Takeoffs!AF837,Sheet1!$B$6:$C$124,2,FALSE)</f>
        <v>0</v>
      </c>
      <c r="AH837" s="146">
        <f t="shared" ref="AH837:AH856" si="382">AG837*AI837</f>
        <v>0</v>
      </c>
      <c r="AI837" s="143">
        <f t="shared" ref="AI837:AI856" si="383">AK837*AJ837</f>
        <v>0</v>
      </c>
      <c r="AJ837" s="133">
        <f t="shared" ref="AJ837:AJ856" si="384">S837</f>
        <v>0</v>
      </c>
      <c r="AK837" s="142">
        <f>T837</f>
        <v>0</v>
      </c>
      <c r="AL837" s="141"/>
      <c r="AO837" s="286"/>
      <c r="AP837" s="284">
        <f t="shared" si="355"/>
        <v>0</v>
      </c>
      <c r="AQ837" s="281">
        <f t="shared" si="356"/>
        <v>0</v>
      </c>
      <c r="AR837" s="284">
        <f t="shared" si="357"/>
        <v>0</v>
      </c>
      <c r="AS837" s="281">
        <f t="shared" si="358"/>
        <v>0</v>
      </c>
      <c r="AT837" s="284">
        <f t="shared" si="359"/>
        <v>0</v>
      </c>
    </row>
    <row r="838" spans="1:97" s="114" customFormat="1" ht="30.9" x14ac:dyDescent="0.8">
      <c r="A838" s="262">
        <f>ROW()</f>
        <v>838</v>
      </c>
      <c r="C838" s="208"/>
      <c r="D838" s="208"/>
      <c r="E838" s="208"/>
      <c r="F838" s="208"/>
      <c r="G838" s="208"/>
      <c r="H838" s="208"/>
      <c r="J838" s="114" t="str">
        <f t="shared" ref="J838:J856" si="385">IF(COUNTBLANK(Q838)&gt;0,"",CONCATENATE("Coordination Note: - ",P838,": Please refer to our exclusions relating to ",Q838))</f>
        <v/>
      </c>
      <c r="K838" s="114" t="str">
        <f>IF(COUNTBLANK(R838)&gt;0,"",CONCATENATE(R838," for ",N836))</f>
        <v/>
      </c>
      <c r="M838" s="117"/>
      <c r="N838" s="123" t="s">
        <v>114</v>
      </c>
      <c r="O838" s="66" t="s">
        <v>308</v>
      </c>
      <c r="P838" s="121"/>
      <c r="Q838" s="66"/>
      <c r="R838" s="121"/>
      <c r="S838" s="133">
        <f>M836</f>
        <v>0</v>
      </c>
      <c r="T838" s="120"/>
      <c r="U838" s="121" t="s">
        <v>292</v>
      </c>
      <c r="V838" s="133">
        <f t="shared" si="378"/>
        <v>0</v>
      </c>
      <c r="W838" s="133">
        <f>VLOOKUP(U838,Sheet1!$B$6:$C$45,2,FALSE)*V838</f>
        <v>0</v>
      </c>
      <c r="X838" s="141"/>
      <c r="Y838" s="122" t="s">
        <v>252</v>
      </c>
      <c r="Z838" s="146">
        <f>VLOOKUP(Takeoffs!Y838,Sheet1!$B$6:$C$124,2,FALSE)</f>
        <v>43.440000000000005</v>
      </c>
      <c r="AA838" s="146">
        <f t="shared" si="379"/>
        <v>0</v>
      </c>
      <c r="AB838" s="143">
        <f t="shared" si="380"/>
        <v>0</v>
      </c>
      <c r="AC838" s="133">
        <f t="shared" si="381"/>
        <v>0</v>
      </c>
      <c r="AD838" s="142">
        <v>1</v>
      </c>
      <c r="AE838" s="141"/>
      <c r="AF838" s="122" t="s">
        <v>268</v>
      </c>
      <c r="AG838" s="146">
        <f>VLOOKUP(Takeoffs!AF838,Sheet1!$B$6:$C$124,2,FALSE)</f>
        <v>1.02</v>
      </c>
      <c r="AH838" s="146">
        <f t="shared" si="382"/>
        <v>0</v>
      </c>
      <c r="AI838" s="143">
        <f t="shared" si="383"/>
        <v>0</v>
      </c>
      <c r="AJ838" s="133">
        <f t="shared" si="384"/>
        <v>0</v>
      </c>
      <c r="AK838" s="142">
        <v>20</v>
      </c>
      <c r="AL838" s="141"/>
      <c r="AO838" s="286"/>
      <c r="AP838" s="284">
        <f t="shared" si="355"/>
        <v>0</v>
      </c>
      <c r="AQ838" s="281">
        <f t="shared" si="356"/>
        <v>0</v>
      </c>
      <c r="AR838" s="284">
        <f t="shared" si="357"/>
        <v>0</v>
      </c>
      <c r="AS838" s="281">
        <f t="shared" si="358"/>
        <v>0</v>
      </c>
      <c r="AT838" s="284">
        <f t="shared" si="359"/>
        <v>0</v>
      </c>
    </row>
    <row r="839" spans="1:97" s="114" customFormat="1" ht="30.9" x14ac:dyDescent="0.8">
      <c r="A839" s="262">
        <f>ROW()</f>
        <v>839</v>
      </c>
      <c r="C839" s="208"/>
      <c r="D839" s="208"/>
      <c r="E839" s="208"/>
      <c r="F839" s="208"/>
      <c r="G839" s="208"/>
      <c r="H839" s="208"/>
      <c r="J839" s="114" t="str">
        <f t="shared" si="385"/>
        <v/>
      </c>
      <c r="K839" s="114" t="str">
        <f>IF(COUNTBLANK(R839)&gt;0,"",CONCATENATE(R839," for ",N836))</f>
        <v/>
      </c>
      <c r="M839" s="117"/>
      <c r="N839" s="123" t="s">
        <v>115</v>
      </c>
      <c r="O839" s="66" t="s">
        <v>305</v>
      </c>
      <c r="P839" s="121"/>
      <c r="Q839" s="66"/>
      <c r="R839" s="121"/>
      <c r="S839" s="133">
        <f>M836</f>
        <v>0</v>
      </c>
      <c r="T839" s="120"/>
      <c r="U839" s="117" t="s">
        <v>478</v>
      </c>
      <c r="V839" s="133">
        <f t="shared" si="378"/>
        <v>0</v>
      </c>
      <c r="W839" s="133">
        <f>VLOOKUP(U839,Sheet1!$B$6:$C$45,2,FALSE)*V839</f>
        <v>0</v>
      </c>
      <c r="X839" s="141"/>
      <c r="Y839" s="121" t="s">
        <v>292</v>
      </c>
      <c r="Z839" s="146">
        <f>VLOOKUP(Takeoffs!Y839,Sheet1!$B$6:$C$124,2,FALSE)</f>
        <v>0</v>
      </c>
      <c r="AA839" s="146">
        <f t="shared" si="379"/>
        <v>0</v>
      </c>
      <c r="AB839" s="143">
        <f t="shared" si="380"/>
        <v>0</v>
      </c>
      <c r="AC839" s="133">
        <f t="shared" si="381"/>
        <v>0</v>
      </c>
      <c r="AD839" s="142">
        <v>1</v>
      </c>
      <c r="AE839" s="141"/>
      <c r="AF839" s="121" t="s">
        <v>292</v>
      </c>
      <c r="AG839" s="146">
        <f>VLOOKUP(Takeoffs!AF839,Sheet1!$B$6:$C$124,2,FALSE)</f>
        <v>0</v>
      </c>
      <c r="AH839" s="146">
        <f t="shared" si="382"/>
        <v>0</v>
      </c>
      <c r="AI839" s="143">
        <f t="shared" si="383"/>
        <v>0</v>
      </c>
      <c r="AJ839" s="133">
        <f t="shared" si="384"/>
        <v>0</v>
      </c>
      <c r="AK839" s="142">
        <f>T839</f>
        <v>0</v>
      </c>
      <c r="AL839" s="141"/>
      <c r="AO839" s="286"/>
      <c r="AP839" s="284">
        <f t="shared" si="355"/>
        <v>0</v>
      </c>
      <c r="AQ839" s="281">
        <f t="shared" si="356"/>
        <v>0</v>
      </c>
      <c r="AR839" s="284">
        <f t="shared" si="357"/>
        <v>0</v>
      </c>
      <c r="AS839" s="281">
        <f t="shared" si="358"/>
        <v>0</v>
      </c>
      <c r="AT839" s="284">
        <f t="shared" si="359"/>
        <v>0</v>
      </c>
    </row>
    <row r="840" spans="1:97" s="114" customFormat="1" ht="30.9" x14ac:dyDescent="0.8">
      <c r="A840" s="262">
        <f>ROW()</f>
        <v>840</v>
      </c>
      <c r="C840" s="208"/>
      <c r="D840" s="208"/>
      <c r="E840" s="208"/>
      <c r="F840" s="208"/>
      <c r="G840" s="208"/>
      <c r="H840" s="208"/>
      <c r="J840" s="114" t="str">
        <f t="shared" si="385"/>
        <v/>
      </c>
      <c r="K840" s="114" t="str">
        <f>IF(COUNTBLANK(R840)&gt;0,"",CONCATENATE(R840," for ",N836))</f>
        <v/>
      </c>
      <c r="M840" s="117"/>
      <c r="N840" s="123" t="s">
        <v>116</v>
      </c>
      <c r="O840" s="66" t="s">
        <v>323</v>
      </c>
      <c r="P840" s="121"/>
      <c r="Q840" s="66"/>
      <c r="R840" s="121"/>
      <c r="S840" s="133">
        <f>M836</f>
        <v>0</v>
      </c>
      <c r="T840" s="120"/>
      <c r="U840" s="121" t="s">
        <v>235</v>
      </c>
      <c r="V840" s="133">
        <f t="shared" si="378"/>
        <v>0</v>
      </c>
      <c r="W840" s="133">
        <f>VLOOKUP(U840,Sheet1!$B$6:$C$45,2,FALSE)*V840</f>
        <v>0</v>
      </c>
      <c r="X840" s="141"/>
      <c r="Y840" s="135" t="s">
        <v>543</v>
      </c>
      <c r="Z840" s="146">
        <f>VLOOKUP(Takeoffs!Y840,Sheet1!$B$6:$C$124,2,FALSE)</f>
        <v>649.44000000000005</v>
      </c>
      <c r="AA840" s="146">
        <f t="shared" si="379"/>
        <v>0</v>
      </c>
      <c r="AB840" s="143">
        <f t="shared" si="380"/>
        <v>0</v>
      </c>
      <c r="AC840" s="133">
        <f t="shared" si="381"/>
        <v>0</v>
      </c>
      <c r="AD840" s="142">
        <v>1</v>
      </c>
      <c r="AE840" s="141"/>
      <c r="AF840" s="121" t="s">
        <v>292</v>
      </c>
      <c r="AG840" s="146">
        <f>VLOOKUP(Takeoffs!AF840,Sheet1!$B$6:$C$124,2,FALSE)</f>
        <v>0</v>
      </c>
      <c r="AH840" s="146">
        <f t="shared" si="382"/>
        <v>0</v>
      </c>
      <c r="AI840" s="143">
        <f t="shared" si="383"/>
        <v>0</v>
      </c>
      <c r="AJ840" s="133">
        <f t="shared" si="384"/>
        <v>0</v>
      </c>
      <c r="AK840" s="142">
        <f>T840</f>
        <v>0</v>
      </c>
      <c r="AL840" s="141"/>
      <c r="AO840" s="286"/>
      <c r="AP840" s="284">
        <f t="shared" si="355"/>
        <v>0</v>
      </c>
      <c r="AQ840" s="281">
        <f t="shared" si="356"/>
        <v>0</v>
      </c>
      <c r="AR840" s="284">
        <f t="shared" si="357"/>
        <v>0</v>
      </c>
      <c r="AS840" s="281">
        <f t="shared" si="358"/>
        <v>0</v>
      </c>
      <c r="AT840" s="284">
        <f t="shared" si="359"/>
        <v>0</v>
      </c>
    </row>
    <row r="841" spans="1:97" s="114" customFormat="1" ht="30.9" x14ac:dyDescent="0.8">
      <c r="A841" s="262">
        <f>ROW()</f>
        <v>841</v>
      </c>
      <c r="C841" s="208"/>
      <c r="D841" s="208"/>
      <c r="E841" s="208"/>
      <c r="F841" s="208"/>
      <c r="G841" s="208"/>
      <c r="H841" s="208"/>
      <c r="J841" s="114" t="str">
        <f t="shared" si="385"/>
        <v/>
      </c>
      <c r="K841" s="114" t="str">
        <f>IF(COUNTBLANK(R841)&gt;0,"",CONCATENATE(R841," for ",N836))</f>
        <v/>
      </c>
      <c r="M841" s="117"/>
      <c r="N841" s="123" t="s">
        <v>117</v>
      </c>
      <c r="O841" s="66" t="s">
        <v>390</v>
      </c>
      <c r="P841" s="121"/>
      <c r="Q841" s="66"/>
      <c r="R841" s="121"/>
      <c r="S841" s="133">
        <f>M836</f>
        <v>0</v>
      </c>
      <c r="T841" s="120"/>
      <c r="U841" s="121" t="s">
        <v>292</v>
      </c>
      <c r="V841" s="133">
        <f t="shared" si="378"/>
        <v>0</v>
      </c>
      <c r="W841" s="133">
        <f>VLOOKUP(U841,Sheet1!$B$6:$C$45,2,FALSE)*V841</f>
        <v>0</v>
      </c>
      <c r="X841" s="141"/>
      <c r="Y841" s="121" t="s">
        <v>292</v>
      </c>
      <c r="Z841" s="146">
        <f>VLOOKUP(Takeoffs!Y841,Sheet1!$B$6:$C$124,2,FALSE)</f>
        <v>0</v>
      </c>
      <c r="AA841" s="146">
        <f t="shared" si="379"/>
        <v>0</v>
      </c>
      <c r="AB841" s="143">
        <f t="shared" si="380"/>
        <v>0</v>
      </c>
      <c r="AC841" s="133">
        <f t="shared" si="381"/>
        <v>0</v>
      </c>
      <c r="AD841" s="142">
        <v>1</v>
      </c>
      <c r="AE841" s="141"/>
      <c r="AF841" s="122" t="s">
        <v>268</v>
      </c>
      <c r="AG841" s="146">
        <f>VLOOKUP(Takeoffs!AF841,Sheet1!$B$6:$C$124,2,FALSE)</f>
        <v>1.02</v>
      </c>
      <c r="AH841" s="146">
        <f t="shared" si="382"/>
        <v>0</v>
      </c>
      <c r="AI841" s="143">
        <f t="shared" si="383"/>
        <v>0</v>
      </c>
      <c r="AJ841" s="133">
        <f t="shared" si="384"/>
        <v>0</v>
      </c>
      <c r="AK841" s="142">
        <v>3</v>
      </c>
      <c r="AL841" s="141"/>
      <c r="AO841" s="286"/>
      <c r="AP841" s="284">
        <f t="shared" si="355"/>
        <v>0</v>
      </c>
      <c r="AQ841" s="281">
        <f t="shared" si="356"/>
        <v>0</v>
      </c>
      <c r="AR841" s="284">
        <f t="shared" si="357"/>
        <v>0</v>
      </c>
      <c r="AS841" s="281">
        <f t="shared" si="358"/>
        <v>0</v>
      </c>
      <c r="AT841" s="284">
        <f t="shared" si="359"/>
        <v>0</v>
      </c>
    </row>
    <row r="842" spans="1:97" s="114" customFormat="1" ht="30.9" x14ac:dyDescent="0.8">
      <c r="A842" s="262">
        <f>ROW()</f>
        <v>842</v>
      </c>
      <c r="C842" s="208"/>
      <c r="D842" s="208"/>
      <c r="E842" s="208"/>
      <c r="F842" s="208"/>
      <c r="G842" s="208"/>
      <c r="H842" s="208"/>
      <c r="J842" s="114" t="str">
        <f t="shared" si="385"/>
        <v/>
      </c>
      <c r="K842" s="114" t="str">
        <f>IF(COUNTBLANK(R842)&gt;0,"",CONCATENATE(R842," for ",N836))</f>
        <v/>
      </c>
      <c r="M842" s="117"/>
      <c r="N842" s="123" t="s">
        <v>118</v>
      </c>
      <c r="O842" s="66" t="s">
        <v>309</v>
      </c>
      <c r="P842" s="121"/>
      <c r="Q842" s="66"/>
      <c r="R842" s="121"/>
      <c r="S842" s="133">
        <f>M836</f>
        <v>0</v>
      </c>
      <c r="T842" s="120"/>
      <c r="U842" s="121" t="s">
        <v>292</v>
      </c>
      <c r="V842" s="133">
        <f t="shared" si="378"/>
        <v>0</v>
      </c>
      <c r="W842" s="133">
        <f>VLOOKUP(U842,Sheet1!$B$6:$C$45,2,FALSE)*V842</f>
        <v>0</v>
      </c>
      <c r="X842" s="141"/>
      <c r="Y842" s="121" t="s">
        <v>292</v>
      </c>
      <c r="Z842" s="146">
        <f>VLOOKUP(Takeoffs!Y842,Sheet1!$B$6:$C$124,2,FALSE)</f>
        <v>0</v>
      </c>
      <c r="AA842" s="146">
        <f t="shared" si="379"/>
        <v>0</v>
      </c>
      <c r="AB842" s="143">
        <f t="shared" si="380"/>
        <v>0</v>
      </c>
      <c r="AC842" s="133">
        <f t="shared" si="381"/>
        <v>0</v>
      </c>
      <c r="AD842" s="142">
        <v>1</v>
      </c>
      <c r="AE842" s="141"/>
      <c r="AF842" s="121" t="s">
        <v>292</v>
      </c>
      <c r="AG842" s="146">
        <f>VLOOKUP(Takeoffs!AF842,Sheet1!$B$6:$C$124,2,FALSE)</f>
        <v>0</v>
      </c>
      <c r="AH842" s="146">
        <f t="shared" si="382"/>
        <v>0</v>
      </c>
      <c r="AI842" s="143">
        <f t="shared" si="383"/>
        <v>0</v>
      </c>
      <c r="AJ842" s="133">
        <f t="shared" si="384"/>
        <v>0</v>
      </c>
      <c r="AK842" s="142">
        <f>T842</f>
        <v>0</v>
      </c>
      <c r="AL842" s="141"/>
      <c r="AO842" s="286"/>
      <c r="AP842" s="284">
        <f t="shared" si="355"/>
        <v>0</v>
      </c>
      <c r="AQ842" s="281">
        <f t="shared" si="356"/>
        <v>0</v>
      </c>
      <c r="AR842" s="284">
        <f t="shared" si="357"/>
        <v>0</v>
      </c>
      <c r="AS842" s="281">
        <f t="shared" si="358"/>
        <v>0</v>
      </c>
      <c r="AT842" s="284">
        <f t="shared" si="359"/>
        <v>0</v>
      </c>
    </row>
    <row r="843" spans="1:97" s="114" customFormat="1" ht="30.9" x14ac:dyDescent="0.8">
      <c r="A843" s="262">
        <f>ROW()</f>
        <v>843</v>
      </c>
      <c r="C843" s="208"/>
      <c r="D843" s="208"/>
      <c r="E843" s="208"/>
      <c r="F843" s="208"/>
      <c r="G843" s="208"/>
      <c r="H843" s="208"/>
      <c r="J843" s="114" t="str">
        <f t="shared" si="385"/>
        <v/>
      </c>
      <c r="K843" s="114" t="str">
        <f>IF(COUNTBLANK(R843)&gt;0,"",CONCATENATE(R843," for ",N836))</f>
        <v/>
      </c>
      <c r="N843" s="123" t="s">
        <v>119</v>
      </c>
      <c r="O843" s="66"/>
      <c r="P843" s="121"/>
      <c r="Q843" s="66"/>
      <c r="R843" s="121"/>
      <c r="S843" s="133">
        <f>M836</f>
        <v>0</v>
      </c>
      <c r="T843" s="120"/>
      <c r="U843" s="121" t="s">
        <v>292</v>
      </c>
      <c r="V843" s="133">
        <f t="shared" si="378"/>
        <v>0</v>
      </c>
      <c r="W843" s="133">
        <f>VLOOKUP(U843,Sheet1!$B$6:$C$45,2,FALSE)*V843</f>
        <v>0</v>
      </c>
      <c r="X843" s="141"/>
      <c r="Y843" s="121" t="s">
        <v>292</v>
      </c>
      <c r="Z843" s="146">
        <f>VLOOKUP(Takeoffs!Y843,Sheet1!$B$6:$C$124,2,FALSE)</f>
        <v>0</v>
      </c>
      <c r="AA843" s="146">
        <f t="shared" si="379"/>
        <v>0</v>
      </c>
      <c r="AB843" s="143">
        <f t="shared" si="380"/>
        <v>0</v>
      </c>
      <c r="AC843" s="133">
        <f t="shared" si="381"/>
        <v>0</v>
      </c>
      <c r="AD843" s="142">
        <v>1</v>
      </c>
      <c r="AE843" s="141"/>
      <c r="AF843" s="121" t="s">
        <v>292</v>
      </c>
      <c r="AG843" s="146">
        <f>VLOOKUP(Takeoffs!AF843,Sheet1!$B$6:$C$124,2,FALSE)</f>
        <v>0</v>
      </c>
      <c r="AH843" s="146">
        <f t="shared" si="382"/>
        <v>0</v>
      </c>
      <c r="AI843" s="143">
        <f t="shared" si="383"/>
        <v>0</v>
      </c>
      <c r="AJ843" s="133">
        <f t="shared" si="384"/>
        <v>0</v>
      </c>
      <c r="AK843" s="142">
        <f>T843</f>
        <v>0</v>
      </c>
      <c r="AL843" s="141"/>
      <c r="AO843" s="286"/>
      <c r="AP843" s="284">
        <f t="shared" si="355"/>
        <v>0</v>
      </c>
      <c r="AQ843" s="281">
        <f t="shared" si="356"/>
        <v>0</v>
      </c>
      <c r="AR843" s="284">
        <f t="shared" si="357"/>
        <v>0</v>
      </c>
      <c r="AS843" s="281">
        <f t="shared" si="358"/>
        <v>0</v>
      </c>
      <c r="AT843" s="284">
        <f t="shared" si="359"/>
        <v>0</v>
      </c>
    </row>
    <row r="844" spans="1:97" s="114" customFormat="1" ht="30.9" x14ac:dyDescent="0.8">
      <c r="A844" s="262">
        <f>ROW()</f>
        <v>844</v>
      </c>
      <c r="C844" s="208"/>
      <c r="D844" s="208"/>
      <c r="E844" s="208"/>
      <c r="F844" s="208"/>
      <c r="G844" s="208"/>
      <c r="H844" s="208"/>
      <c r="J844" s="114" t="str">
        <f t="shared" si="385"/>
        <v/>
      </c>
      <c r="K844" s="114" t="str">
        <f>IF(COUNTBLANK(R844)&gt;0,"",CONCATENATE(R844," for ",N836))</f>
        <v/>
      </c>
      <c r="N844" s="123" t="s">
        <v>120</v>
      </c>
      <c r="O844" s="66" t="s">
        <v>328</v>
      </c>
      <c r="P844" s="121"/>
      <c r="Q844" s="66"/>
      <c r="R844" s="121"/>
      <c r="S844" s="133">
        <f>M836</f>
        <v>0</v>
      </c>
      <c r="T844" s="120"/>
      <c r="U844" s="121" t="s">
        <v>364</v>
      </c>
      <c r="V844" s="133">
        <f t="shared" si="378"/>
        <v>0</v>
      </c>
      <c r="W844" s="133">
        <f>VLOOKUP(U844,Sheet1!$B$6:$C$45,2,FALSE)*V844</f>
        <v>0</v>
      </c>
      <c r="X844" s="141"/>
      <c r="Y844" s="121" t="s">
        <v>292</v>
      </c>
      <c r="Z844" s="146">
        <f>VLOOKUP(Takeoffs!Y844,Sheet1!$B$6:$C$124,2,FALSE)</f>
        <v>0</v>
      </c>
      <c r="AA844" s="146">
        <f t="shared" si="379"/>
        <v>0</v>
      </c>
      <c r="AB844" s="143">
        <f t="shared" si="380"/>
        <v>0</v>
      </c>
      <c r="AC844" s="133">
        <f t="shared" si="381"/>
        <v>0</v>
      </c>
      <c r="AD844" s="142">
        <v>1</v>
      </c>
      <c r="AE844" s="141"/>
      <c r="AF844" s="121" t="s">
        <v>292</v>
      </c>
      <c r="AG844" s="146">
        <f>VLOOKUP(Takeoffs!AF844,Sheet1!$B$6:$C$124,2,FALSE)</f>
        <v>0</v>
      </c>
      <c r="AH844" s="146">
        <f t="shared" si="382"/>
        <v>0</v>
      </c>
      <c r="AI844" s="143">
        <f t="shared" si="383"/>
        <v>0</v>
      </c>
      <c r="AJ844" s="133">
        <f t="shared" si="384"/>
        <v>0</v>
      </c>
      <c r="AK844" s="142">
        <f>T844</f>
        <v>0</v>
      </c>
      <c r="AL844" s="141"/>
      <c r="AO844" s="286"/>
      <c r="AP844" s="284">
        <f t="shared" si="355"/>
        <v>0</v>
      </c>
      <c r="AQ844" s="281">
        <f t="shared" si="356"/>
        <v>0</v>
      </c>
      <c r="AR844" s="284">
        <f t="shared" si="357"/>
        <v>0</v>
      </c>
      <c r="AS844" s="281">
        <f t="shared" si="358"/>
        <v>0</v>
      </c>
      <c r="AT844" s="284">
        <f t="shared" si="359"/>
        <v>0</v>
      </c>
    </row>
    <row r="845" spans="1:97" s="114" customFormat="1" ht="30.9" x14ac:dyDescent="0.8">
      <c r="A845" s="262">
        <f>ROW()</f>
        <v>845</v>
      </c>
      <c r="C845" s="208"/>
      <c r="D845" s="208"/>
      <c r="E845" s="208"/>
      <c r="F845" s="208"/>
      <c r="G845" s="208"/>
      <c r="H845" s="208"/>
      <c r="J845" s="114" t="str">
        <f t="shared" si="385"/>
        <v/>
      </c>
      <c r="K845" s="114" t="str">
        <f>IF(COUNTBLANK(R845)&gt;0,"",CONCATENATE(R845," for ",N836))</f>
        <v/>
      </c>
      <c r="N845" s="123" t="s">
        <v>121</v>
      </c>
      <c r="O845" s="66"/>
      <c r="P845" s="121"/>
      <c r="Q845" s="66"/>
      <c r="R845" s="121"/>
      <c r="S845" s="133">
        <f>M836</f>
        <v>0</v>
      </c>
      <c r="T845" s="120"/>
      <c r="U845" s="121" t="s">
        <v>292</v>
      </c>
      <c r="V845" s="133">
        <f t="shared" si="378"/>
        <v>0</v>
      </c>
      <c r="W845" s="133">
        <f>VLOOKUP(U845,Sheet1!$B$6:$C$45,2,FALSE)*V845</f>
        <v>0</v>
      </c>
      <c r="X845" s="141"/>
      <c r="Y845" s="121" t="s">
        <v>292</v>
      </c>
      <c r="Z845" s="146">
        <f>VLOOKUP(Takeoffs!Y845,Sheet1!$B$6:$C$124,2,FALSE)</f>
        <v>0</v>
      </c>
      <c r="AA845" s="146">
        <f t="shared" si="379"/>
        <v>0</v>
      </c>
      <c r="AB845" s="143">
        <f t="shared" si="380"/>
        <v>0</v>
      </c>
      <c r="AC845" s="133">
        <f t="shared" si="381"/>
        <v>0</v>
      </c>
      <c r="AD845" s="142">
        <v>1</v>
      </c>
      <c r="AE845" s="141"/>
      <c r="AF845" s="121" t="s">
        <v>292</v>
      </c>
      <c r="AG845" s="146">
        <f>VLOOKUP(Takeoffs!AF845,Sheet1!$B$6:$C$124,2,FALSE)</f>
        <v>0</v>
      </c>
      <c r="AH845" s="146">
        <f t="shared" si="382"/>
        <v>0</v>
      </c>
      <c r="AI845" s="143">
        <f t="shared" si="383"/>
        <v>0</v>
      </c>
      <c r="AJ845" s="133">
        <f t="shared" si="384"/>
        <v>0</v>
      </c>
      <c r="AK845" s="142">
        <f>T845</f>
        <v>0</v>
      </c>
      <c r="AL845" s="141"/>
      <c r="AO845" s="286"/>
      <c r="AP845" s="284">
        <f t="shared" si="355"/>
        <v>0</v>
      </c>
      <c r="AQ845" s="281">
        <f t="shared" si="356"/>
        <v>0</v>
      </c>
      <c r="AR845" s="284">
        <f t="shared" si="357"/>
        <v>0</v>
      </c>
      <c r="AS845" s="281">
        <f t="shared" si="358"/>
        <v>0</v>
      </c>
      <c r="AT845" s="284">
        <f t="shared" si="359"/>
        <v>0</v>
      </c>
    </row>
    <row r="846" spans="1:97" s="114" customFormat="1" ht="30.9" x14ac:dyDescent="0.8">
      <c r="A846" s="262">
        <f>ROW()</f>
        <v>846</v>
      </c>
      <c r="C846" s="208"/>
      <c r="D846" s="208"/>
      <c r="E846" s="208"/>
      <c r="F846" s="208"/>
      <c r="G846" s="208"/>
      <c r="H846" s="208"/>
      <c r="J846" s="114" t="str">
        <f t="shared" si="385"/>
        <v/>
      </c>
      <c r="K846" s="114" t="str">
        <f>IF(COUNTBLANK(R846)&gt;0,"",CONCATENATE(R846," for ",N836))</f>
        <v/>
      </c>
      <c r="N846" s="123" t="s">
        <v>122</v>
      </c>
      <c r="O846" s="66"/>
      <c r="P846" s="121"/>
      <c r="Q846" s="66"/>
      <c r="R846" s="121"/>
      <c r="S846" s="133">
        <f>M836</f>
        <v>0</v>
      </c>
      <c r="T846" s="120"/>
      <c r="U846" s="121" t="s">
        <v>292</v>
      </c>
      <c r="V846" s="133">
        <f t="shared" si="378"/>
        <v>0</v>
      </c>
      <c r="W846" s="133">
        <f>VLOOKUP(U846,Sheet1!$B$6:$C$45,2,FALSE)*V846</f>
        <v>0</v>
      </c>
      <c r="X846" s="141"/>
      <c r="Y846" s="121" t="s">
        <v>292</v>
      </c>
      <c r="Z846" s="146">
        <f>VLOOKUP(Takeoffs!Y846,Sheet1!$B$6:$C$124,2,FALSE)</f>
        <v>0</v>
      </c>
      <c r="AA846" s="146">
        <f t="shared" si="379"/>
        <v>0</v>
      </c>
      <c r="AB846" s="143">
        <f t="shared" si="380"/>
        <v>0</v>
      </c>
      <c r="AC846" s="133">
        <f t="shared" si="381"/>
        <v>0</v>
      </c>
      <c r="AD846" s="142">
        <v>1</v>
      </c>
      <c r="AE846" s="141"/>
      <c r="AF846" s="121" t="s">
        <v>292</v>
      </c>
      <c r="AG846" s="146">
        <f>VLOOKUP(Takeoffs!AF846,Sheet1!$B$6:$C$124,2,FALSE)</f>
        <v>0</v>
      </c>
      <c r="AH846" s="146">
        <f t="shared" si="382"/>
        <v>0</v>
      </c>
      <c r="AI846" s="143">
        <f t="shared" si="383"/>
        <v>0</v>
      </c>
      <c r="AJ846" s="133">
        <f t="shared" si="384"/>
        <v>0</v>
      </c>
      <c r="AK846" s="142">
        <f>T846</f>
        <v>0</v>
      </c>
      <c r="AL846" s="141"/>
      <c r="AO846" s="286"/>
      <c r="AP846" s="284">
        <f t="shared" si="355"/>
        <v>0</v>
      </c>
      <c r="AQ846" s="281">
        <f t="shared" si="356"/>
        <v>0</v>
      </c>
      <c r="AR846" s="284">
        <f t="shared" si="357"/>
        <v>0</v>
      </c>
      <c r="AS846" s="281">
        <f t="shared" si="358"/>
        <v>0</v>
      </c>
      <c r="AT846" s="284">
        <f t="shared" si="359"/>
        <v>0</v>
      </c>
    </row>
    <row r="847" spans="1:97" s="114" customFormat="1" ht="30.9" x14ac:dyDescent="0.8">
      <c r="A847" s="262">
        <f>ROW()</f>
        <v>847</v>
      </c>
      <c r="C847" s="208"/>
      <c r="D847" s="208"/>
      <c r="E847" s="208"/>
      <c r="F847" s="208"/>
      <c r="G847" s="208"/>
      <c r="H847" s="208"/>
      <c r="J847" s="114" t="str">
        <f t="shared" si="385"/>
        <v/>
      </c>
      <c r="K847" s="114" t="str">
        <f>IF(COUNTBLANK(R847)&gt;0,"",CONCATENATE(R847," for ",N836))</f>
        <v/>
      </c>
      <c r="N847" s="123" t="s">
        <v>123</v>
      </c>
      <c r="O847" s="66"/>
      <c r="P847" s="121"/>
      <c r="Q847" s="66"/>
      <c r="R847" s="121"/>
      <c r="S847" s="133">
        <f>M836</f>
        <v>0</v>
      </c>
      <c r="T847" s="120"/>
      <c r="U847" s="121" t="s">
        <v>292</v>
      </c>
      <c r="V847" s="133">
        <f t="shared" si="378"/>
        <v>0</v>
      </c>
      <c r="W847" s="133">
        <f>VLOOKUP(U847,Sheet1!$B$6:$C$45,2,FALSE)*V847</f>
        <v>0</v>
      </c>
      <c r="X847" s="141"/>
      <c r="Y847" s="121" t="s">
        <v>292</v>
      </c>
      <c r="Z847" s="146">
        <f>VLOOKUP(Takeoffs!Y847,Sheet1!$B$6:$C$124,2,FALSE)</f>
        <v>0</v>
      </c>
      <c r="AA847" s="146">
        <f t="shared" si="379"/>
        <v>0</v>
      </c>
      <c r="AB847" s="143">
        <f t="shared" si="380"/>
        <v>0</v>
      </c>
      <c r="AC847" s="133">
        <f t="shared" si="381"/>
        <v>0</v>
      </c>
      <c r="AD847" s="142">
        <v>1</v>
      </c>
      <c r="AE847" s="141"/>
      <c r="AF847" s="121" t="s">
        <v>292</v>
      </c>
      <c r="AG847" s="146">
        <f>VLOOKUP(Takeoffs!AF847,Sheet1!$B$6:$C$124,2,FALSE)</f>
        <v>0</v>
      </c>
      <c r="AH847" s="146">
        <f t="shared" si="382"/>
        <v>0</v>
      </c>
      <c r="AI847" s="143">
        <f t="shared" si="383"/>
        <v>0</v>
      </c>
      <c r="AJ847" s="133">
        <f t="shared" si="384"/>
        <v>0</v>
      </c>
      <c r="AK847" s="142">
        <v>0</v>
      </c>
      <c r="AL847" s="141"/>
      <c r="AO847" s="286"/>
      <c r="AP847" s="284">
        <f t="shared" si="355"/>
        <v>0</v>
      </c>
      <c r="AQ847" s="281">
        <f t="shared" si="356"/>
        <v>0</v>
      </c>
      <c r="AR847" s="284">
        <f t="shared" si="357"/>
        <v>0</v>
      </c>
      <c r="AS847" s="281">
        <f t="shared" si="358"/>
        <v>0</v>
      </c>
      <c r="AT847" s="284">
        <f t="shared" si="359"/>
        <v>0</v>
      </c>
    </row>
    <row r="848" spans="1:97" s="114" customFormat="1" ht="30.9" x14ac:dyDescent="0.8">
      <c r="A848" s="262">
        <f>ROW()</f>
        <v>848</v>
      </c>
      <c r="C848" s="208"/>
      <c r="D848" s="208"/>
      <c r="E848" s="208"/>
      <c r="F848" s="208"/>
      <c r="G848" s="208"/>
      <c r="H848" s="208"/>
      <c r="J848" s="114" t="str">
        <f t="shared" si="385"/>
        <v/>
      </c>
      <c r="K848" s="114" t="str">
        <f>IF(COUNTBLANK(R848)&gt;0,"",CONCATENATE(R848," for ",N836))</f>
        <v/>
      </c>
      <c r="N848" s="123" t="s">
        <v>124</v>
      </c>
      <c r="O848" s="66" t="s">
        <v>140</v>
      </c>
      <c r="P848" s="121"/>
      <c r="Q848" s="66"/>
      <c r="R848" s="121"/>
      <c r="S848" s="133">
        <f>M836</f>
        <v>0</v>
      </c>
      <c r="T848" s="120"/>
      <c r="U848" s="121" t="s">
        <v>292</v>
      </c>
      <c r="V848" s="133">
        <f t="shared" si="378"/>
        <v>0</v>
      </c>
      <c r="W848" s="133">
        <f>VLOOKUP(U848,Sheet1!$B$6:$C$45,2,FALSE)*V848</f>
        <v>0</v>
      </c>
      <c r="X848" s="141"/>
      <c r="Y848" s="121" t="s">
        <v>292</v>
      </c>
      <c r="Z848" s="146">
        <f>VLOOKUP(Takeoffs!Y848,Sheet1!$B$6:$C$124,2,FALSE)</f>
        <v>0</v>
      </c>
      <c r="AA848" s="146">
        <f t="shared" si="379"/>
        <v>0</v>
      </c>
      <c r="AB848" s="143">
        <f t="shared" si="380"/>
        <v>0</v>
      </c>
      <c r="AC848" s="133">
        <f t="shared" si="381"/>
        <v>0</v>
      </c>
      <c r="AD848" s="142">
        <v>1</v>
      </c>
      <c r="AE848" s="141"/>
      <c r="AF848" s="152" t="s">
        <v>418</v>
      </c>
      <c r="AG848" s="146">
        <f>VLOOKUP(Takeoffs!AF848,Sheet1!$B$6:$C$124,2,FALSE)</f>
        <v>0.33600000000000002</v>
      </c>
      <c r="AH848" s="146">
        <f t="shared" si="382"/>
        <v>0</v>
      </c>
      <c r="AI848" s="143">
        <f t="shared" si="383"/>
        <v>0</v>
      </c>
      <c r="AJ848" s="133">
        <f t="shared" si="384"/>
        <v>0</v>
      </c>
      <c r="AK848" s="142">
        <v>1</v>
      </c>
      <c r="AL848" s="141"/>
      <c r="AO848" s="286"/>
      <c r="AP848" s="284">
        <f t="shared" si="355"/>
        <v>0</v>
      </c>
      <c r="AQ848" s="281">
        <f t="shared" si="356"/>
        <v>0</v>
      </c>
      <c r="AR848" s="284">
        <f t="shared" si="357"/>
        <v>0</v>
      </c>
      <c r="AS848" s="281">
        <f t="shared" si="358"/>
        <v>0</v>
      </c>
      <c r="AT848" s="284">
        <f t="shared" si="359"/>
        <v>0</v>
      </c>
    </row>
    <row r="849" spans="1:97" s="114" customFormat="1" ht="30.9" x14ac:dyDescent="0.8">
      <c r="A849" s="262">
        <f>ROW()</f>
        <v>849</v>
      </c>
      <c r="C849" s="208"/>
      <c r="D849" s="208"/>
      <c r="E849" s="208"/>
      <c r="F849" s="208"/>
      <c r="G849" s="208"/>
      <c r="H849" s="208"/>
      <c r="J849" s="114" t="str">
        <f t="shared" si="385"/>
        <v/>
      </c>
      <c r="K849" s="114" t="str">
        <f>IF(COUNTBLANK(R849)&gt;0,"",CONCATENATE(R849," for ",N836))</f>
        <v/>
      </c>
      <c r="N849" s="123" t="s">
        <v>125</v>
      </c>
      <c r="O849" s="66" t="s">
        <v>312</v>
      </c>
      <c r="P849" s="121"/>
      <c r="Q849" s="66"/>
      <c r="R849" s="121"/>
      <c r="S849" s="133">
        <f>M836</f>
        <v>0</v>
      </c>
      <c r="T849" s="120"/>
      <c r="U849" s="121" t="s">
        <v>232</v>
      </c>
      <c r="V849" s="133">
        <f t="shared" si="378"/>
        <v>0</v>
      </c>
      <c r="W849" s="133">
        <f>VLOOKUP(U849,Sheet1!$B$6:$C$45,2,FALSE)*V849</f>
        <v>0</v>
      </c>
      <c r="X849" s="141"/>
      <c r="Y849" s="122" t="s">
        <v>1345</v>
      </c>
      <c r="Z849" s="146">
        <f>VLOOKUP(Takeoffs!Y849,Sheet1!$B$6:$C$124,2,FALSE)</f>
        <v>109.25999999999999</v>
      </c>
      <c r="AA849" s="146">
        <f t="shared" si="379"/>
        <v>0</v>
      </c>
      <c r="AB849" s="143">
        <f t="shared" si="380"/>
        <v>0</v>
      </c>
      <c r="AC849" s="133">
        <f t="shared" si="381"/>
        <v>0</v>
      </c>
      <c r="AD849" s="142">
        <v>1</v>
      </c>
      <c r="AE849" s="141"/>
      <c r="AF849" s="121" t="s">
        <v>292</v>
      </c>
      <c r="AG849" s="146">
        <f>VLOOKUP(Takeoffs!AF849,Sheet1!$B$6:$C$124,2,FALSE)</f>
        <v>0</v>
      </c>
      <c r="AH849" s="146">
        <f t="shared" si="382"/>
        <v>0</v>
      </c>
      <c r="AI849" s="143">
        <f t="shared" si="383"/>
        <v>0</v>
      </c>
      <c r="AJ849" s="133">
        <f t="shared" si="384"/>
        <v>0</v>
      </c>
      <c r="AK849" s="142">
        <f t="shared" ref="AK849:AK856" si="386">T849</f>
        <v>0</v>
      </c>
      <c r="AL849" s="141"/>
      <c r="AO849" s="286"/>
      <c r="AP849" s="284">
        <f t="shared" si="355"/>
        <v>0</v>
      </c>
      <c r="AQ849" s="281">
        <f t="shared" si="356"/>
        <v>0</v>
      </c>
      <c r="AR849" s="284">
        <f t="shared" si="357"/>
        <v>0</v>
      </c>
      <c r="AS849" s="281">
        <f t="shared" si="358"/>
        <v>0</v>
      </c>
      <c r="AT849" s="284">
        <f t="shared" si="359"/>
        <v>0</v>
      </c>
    </row>
    <row r="850" spans="1:97" s="114" customFormat="1" ht="30.9" x14ac:dyDescent="0.8">
      <c r="A850" s="262">
        <f>ROW()</f>
        <v>850</v>
      </c>
      <c r="C850" s="208"/>
      <c r="D850" s="208"/>
      <c r="E850" s="208"/>
      <c r="F850" s="208"/>
      <c r="G850" s="208"/>
      <c r="H850" s="208"/>
      <c r="J850" s="114" t="str">
        <f t="shared" si="385"/>
        <v>Coordination Note: - Fire trade: Please refer to our exclusions relating to fire cabling from FIP.</v>
      </c>
      <c r="K850" s="114" t="str">
        <f>IF(COUNTBLANK(R850)&gt;0,"",CONCATENATE(R850," for ",N836))</f>
        <v/>
      </c>
      <c r="N850" s="123" t="s">
        <v>126</v>
      </c>
      <c r="O850" s="66" t="s">
        <v>345</v>
      </c>
      <c r="P850" s="121" t="s">
        <v>380</v>
      </c>
      <c r="Q850" s="66" t="s">
        <v>384</v>
      </c>
      <c r="R850" s="121"/>
      <c r="S850" s="133">
        <f>M836</f>
        <v>0</v>
      </c>
      <c r="T850" s="120"/>
      <c r="U850" s="121" t="s">
        <v>292</v>
      </c>
      <c r="V850" s="133">
        <f t="shared" si="378"/>
        <v>0</v>
      </c>
      <c r="W850" s="133">
        <f>VLOOKUP(U850,Sheet1!$B$6:$C$45,2,FALSE)*V850</f>
        <v>0</v>
      </c>
      <c r="X850" s="141"/>
      <c r="Y850" s="122" t="s">
        <v>326</v>
      </c>
      <c r="Z850" s="146">
        <f>VLOOKUP(Takeoffs!Y850,Sheet1!$B$6:$C$124,2,FALSE)</f>
        <v>29.04</v>
      </c>
      <c r="AA850" s="146">
        <f t="shared" si="379"/>
        <v>0</v>
      </c>
      <c r="AB850" s="143">
        <f t="shared" si="380"/>
        <v>0</v>
      </c>
      <c r="AC850" s="133">
        <f t="shared" si="381"/>
        <v>0</v>
      </c>
      <c r="AD850" s="142">
        <v>1</v>
      </c>
      <c r="AE850" s="141"/>
      <c r="AF850" s="121" t="s">
        <v>292</v>
      </c>
      <c r="AG850" s="146">
        <f>VLOOKUP(Takeoffs!AF850,Sheet1!$B$6:$C$124,2,FALSE)</f>
        <v>0</v>
      </c>
      <c r="AH850" s="146">
        <f t="shared" si="382"/>
        <v>0</v>
      </c>
      <c r="AI850" s="143">
        <f t="shared" si="383"/>
        <v>0</v>
      </c>
      <c r="AJ850" s="133">
        <f t="shared" si="384"/>
        <v>0</v>
      </c>
      <c r="AK850" s="142">
        <f t="shared" si="386"/>
        <v>0</v>
      </c>
      <c r="AL850" s="141"/>
      <c r="AO850" s="286"/>
      <c r="AP850" s="284">
        <f t="shared" si="355"/>
        <v>0</v>
      </c>
      <c r="AQ850" s="281">
        <f t="shared" si="356"/>
        <v>0</v>
      </c>
      <c r="AR850" s="284">
        <f t="shared" si="357"/>
        <v>0</v>
      </c>
      <c r="AS850" s="281">
        <f t="shared" si="358"/>
        <v>0</v>
      </c>
      <c r="AT850" s="284">
        <f t="shared" si="359"/>
        <v>0</v>
      </c>
    </row>
    <row r="851" spans="1:97" s="114" customFormat="1" ht="30.9" x14ac:dyDescent="0.8">
      <c r="A851" s="262">
        <f>ROW()</f>
        <v>851</v>
      </c>
      <c r="C851" s="208"/>
      <c r="D851" s="208"/>
      <c r="E851" s="208"/>
      <c r="F851" s="208"/>
      <c r="G851" s="208"/>
      <c r="H851" s="208"/>
      <c r="J851" s="114" t="str">
        <f t="shared" si="385"/>
        <v/>
      </c>
      <c r="K851" s="114" t="str">
        <f>IF(COUNTBLANK(R851)&gt;0,"",CONCATENATE(R851," for ",N836))</f>
        <v>run and fault lights for Small sized VSD fan with fire shutdown - from MSSB power supply and BMS interface provisions</v>
      </c>
      <c r="N851" s="123" t="s">
        <v>127</v>
      </c>
      <c r="O851" s="66" t="s">
        <v>337</v>
      </c>
      <c r="P851" s="121"/>
      <c r="Q851" s="66"/>
      <c r="R851" s="121" t="s">
        <v>331</v>
      </c>
      <c r="S851" s="133">
        <f>M836</f>
        <v>0</v>
      </c>
      <c r="T851" s="120"/>
      <c r="U851" s="121" t="s">
        <v>292</v>
      </c>
      <c r="V851" s="133">
        <f t="shared" si="378"/>
        <v>0</v>
      </c>
      <c r="W851" s="133">
        <f>VLOOKUP(U851,Sheet1!$B$6:$C$45,2,FALSE)*V851</f>
        <v>0</v>
      </c>
      <c r="X851" s="141"/>
      <c r="Y851" s="122" t="s">
        <v>280</v>
      </c>
      <c r="Z851" s="146">
        <f>VLOOKUP(Takeoffs!Y851,Sheet1!$B$6:$C$124,2,FALSE)</f>
        <v>19.2</v>
      </c>
      <c r="AA851" s="146">
        <f t="shared" si="379"/>
        <v>0</v>
      </c>
      <c r="AB851" s="143">
        <f t="shared" si="380"/>
        <v>0</v>
      </c>
      <c r="AC851" s="133">
        <f t="shared" si="381"/>
        <v>0</v>
      </c>
      <c r="AD851" s="142">
        <v>2</v>
      </c>
      <c r="AE851" s="141"/>
      <c r="AF851" s="121" t="s">
        <v>292</v>
      </c>
      <c r="AG851" s="146">
        <f>VLOOKUP(Takeoffs!AF851,Sheet1!$B$6:$C$124,2,FALSE)</f>
        <v>0</v>
      </c>
      <c r="AH851" s="146">
        <f t="shared" si="382"/>
        <v>0</v>
      </c>
      <c r="AI851" s="143">
        <f t="shared" si="383"/>
        <v>0</v>
      </c>
      <c r="AJ851" s="133">
        <f t="shared" si="384"/>
        <v>0</v>
      </c>
      <c r="AK851" s="142">
        <f t="shared" si="386"/>
        <v>0</v>
      </c>
      <c r="AL851" s="141"/>
      <c r="AO851" s="286"/>
      <c r="AP851" s="284">
        <f t="shared" si="355"/>
        <v>0</v>
      </c>
      <c r="AQ851" s="281">
        <f t="shared" si="356"/>
        <v>0</v>
      </c>
      <c r="AR851" s="284">
        <f t="shared" si="357"/>
        <v>0</v>
      </c>
      <c r="AS851" s="281">
        <f t="shared" si="358"/>
        <v>0</v>
      </c>
      <c r="AT851" s="284">
        <f t="shared" si="359"/>
        <v>0</v>
      </c>
    </row>
    <row r="852" spans="1:97" s="114" customFormat="1" ht="30.9" x14ac:dyDescent="0.8">
      <c r="A852" s="262">
        <f>ROW()</f>
        <v>852</v>
      </c>
      <c r="C852" s="208"/>
      <c r="D852" s="208"/>
      <c r="E852" s="208"/>
      <c r="F852" s="208"/>
      <c r="G852" s="208"/>
      <c r="H852" s="208"/>
      <c r="J852" s="114" t="str">
        <f t="shared" si="385"/>
        <v/>
      </c>
      <c r="K852" s="114" t="str">
        <f>IF(COUNTBLANK(R852)&gt;0,"",CONCATENATE(R852," for ",N836))</f>
        <v/>
      </c>
      <c r="N852" s="123" t="s">
        <v>128</v>
      </c>
      <c r="O852" s="66" t="s">
        <v>499</v>
      </c>
      <c r="P852" s="121"/>
      <c r="Q852" s="66"/>
      <c r="R852" s="121"/>
      <c r="S852" s="133">
        <f>M836</f>
        <v>0</v>
      </c>
      <c r="T852" s="120"/>
      <c r="U852" s="121" t="s">
        <v>292</v>
      </c>
      <c r="V852" s="133">
        <f t="shared" si="378"/>
        <v>0</v>
      </c>
      <c r="W852" s="133">
        <f>VLOOKUP(U852,Sheet1!$B$6:$C$45,2,FALSE)*V852</f>
        <v>0</v>
      </c>
      <c r="X852" s="141"/>
      <c r="Y852" s="135" t="s">
        <v>422</v>
      </c>
      <c r="Z852" s="146">
        <f>VLOOKUP(Takeoffs!Y852,Sheet1!$B$6:$C$124,2,FALSE)</f>
        <v>23.4</v>
      </c>
      <c r="AA852" s="146">
        <f t="shared" si="379"/>
        <v>0</v>
      </c>
      <c r="AB852" s="143">
        <f t="shared" si="380"/>
        <v>0</v>
      </c>
      <c r="AC852" s="133">
        <f t="shared" si="381"/>
        <v>0</v>
      </c>
      <c r="AD852" s="142">
        <v>1</v>
      </c>
      <c r="AE852" s="141"/>
      <c r="AF852" s="121" t="s">
        <v>292</v>
      </c>
      <c r="AG852" s="146">
        <f>VLOOKUP(Takeoffs!AF852,Sheet1!$B$6:$C$124,2,FALSE)</f>
        <v>0</v>
      </c>
      <c r="AH852" s="146">
        <f t="shared" si="382"/>
        <v>0</v>
      </c>
      <c r="AI852" s="143">
        <f t="shared" si="383"/>
        <v>0</v>
      </c>
      <c r="AJ852" s="133">
        <f t="shared" si="384"/>
        <v>0</v>
      </c>
      <c r="AK852" s="142">
        <f t="shared" si="386"/>
        <v>0</v>
      </c>
      <c r="AL852" s="141"/>
      <c r="AO852" s="286"/>
      <c r="AP852" s="284">
        <f t="shared" ref="AP852:AP915" si="387">IF(AND(I852&gt;0, ISNUMBER(I852)),I852*P852,0)</f>
        <v>0</v>
      </c>
      <c r="AQ852" s="281">
        <f t="shared" ref="AQ852:AQ915" si="388">IF(AND(I852&gt;0, ISNUMBER(I852)),I852*W852*80,0)</f>
        <v>0</v>
      </c>
      <c r="AR852" s="284">
        <f t="shared" ref="AR852:AR915" si="389">IF(AND(I852&gt;0, ISNUMBER(I852)),I852*AA852,0)</f>
        <v>0</v>
      </c>
      <c r="AS852" s="281">
        <f t="shared" ref="AS852:AS915" si="390">IF(AND(I852&gt;0, ISNUMBER(I852)),I852*AH852,0)</f>
        <v>0</v>
      </c>
      <c r="AT852" s="284">
        <f t="shared" ref="AT852:AT915" si="391">IF(AND(I852&gt;0, ISNUMBER(I852)),I852*(AP852-(AQ852+AR852+AS852)),0)</f>
        <v>0</v>
      </c>
    </row>
    <row r="853" spans="1:97" s="114" customFormat="1" ht="30.9" x14ac:dyDescent="0.8">
      <c r="A853" s="262">
        <f>ROW()</f>
        <v>853</v>
      </c>
      <c r="C853" s="208"/>
      <c r="D853" s="208"/>
      <c r="E853" s="208"/>
      <c r="F853" s="208"/>
      <c r="G853" s="208"/>
      <c r="H853" s="208"/>
      <c r="J853" s="114" t="str">
        <f t="shared" si="385"/>
        <v/>
      </c>
      <c r="K853" s="114" t="str">
        <f>IF(COUNTBLANK(R853)&gt;0,"",CONCATENATE(R853," for ",N836))</f>
        <v>Auto/Off/On switch for Small sized VSD fan with fire shutdown - from MSSB power supply and BMS interface provisions</v>
      </c>
      <c r="N853" s="123" t="s">
        <v>129</v>
      </c>
      <c r="O853" s="66" t="s">
        <v>329</v>
      </c>
      <c r="P853" s="121"/>
      <c r="Q853" s="66"/>
      <c r="R853" s="121" t="s">
        <v>304</v>
      </c>
      <c r="S853" s="133">
        <f>M836</f>
        <v>0</v>
      </c>
      <c r="T853" s="120"/>
      <c r="U853" s="121" t="s">
        <v>292</v>
      </c>
      <c r="V853" s="133">
        <f t="shared" si="378"/>
        <v>0</v>
      </c>
      <c r="W853" s="133">
        <f>VLOOKUP(U853,Sheet1!$B$6:$C$45,2,FALSE)*V853</f>
        <v>0</v>
      </c>
      <c r="X853" s="141"/>
      <c r="Y853" s="122" t="s">
        <v>277</v>
      </c>
      <c r="Z853" s="146">
        <f>VLOOKUP(Takeoffs!Y853,Sheet1!$B$6:$C$124,2,FALSE)</f>
        <v>69.540000000000006</v>
      </c>
      <c r="AA853" s="146">
        <f t="shared" si="379"/>
        <v>0</v>
      </c>
      <c r="AB853" s="143">
        <f t="shared" si="380"/>
        <v>0</v>
      </c>
      <c r="AC853" s="133">
        <f t="shared" si="381"/>
        <v>0</v>
      </c>
      <c r="AD853" s="142">
        <v>1</v>
      </c>
      <c r="AE853" s="141"/>
      <c r="AF853" s="121" t="s">
        <v>292</v>
      </c>
      <c r="AG853" s="146">
        <f>VLOOKUP(Takeoffs!AF853,Sheet1!$B$6:$C$124,2,FALSE)</f>
        <v>0</v>
      </c>
      <c r="AH853" s="146">
        <f t="shared" si="382"/>
        <v>0</v>
      </c>
      <c r="AI853" s="143">
        <f t="shared" si="383"/>
        <v>0</v>
      </c>
      <c r="AJ853" s="133">
        <f t="shared" si="384"/>
        <v>0</v>
      </c>
      <c r="AK853" s="142">
        <f t="shared" si="386"/>
        <v>0</v>
      </c>
      <c r="AL853" s="141"/>
      <c r="AO853" s="286"/>
      <c r="AP853" s="284">
        <f t="shared" si="387"/>
        <v>0</v>
      </c>
      <c r="AQ853" s="281">
        <f t="shared" si="388"/>
        <v>0</v>
      </c>
      <c r="AR853" s="284">
        <f t="shared" si="389"/>
        <v>0</v>
      </c>
      <c r="AS853" s="281">
        <f t="shared" si="390"/>
        <v>0</v>
      </c>
      <c r="AT853" s="284">
        <f t="shared" si="391"/>
        <v>0</v>
      </c>
    </row>
    <row r="854" spans="1:97" s="114" customFormat="1" ht="30.9" x14ac:dyDescent="0.8">
      <c r="A854" s="262">
        <f>ROW()</f>
        <v>854</v>
      </c>
      <c r="C854" s="208"/>
      <c r="D854" s="208"/>
      <c r="E854" s="208"/>
      <c r="F854" s="208"/>
      <c r="G854" s="208"/>
      <c r="H854" s="208"/>
      <c r="J854" s="114" t="str">
        <f t="shared" si="385"/>
        <v/>
      </c>
      <c r="K854" s="114" t="str">
        <f>IF(COUNTBLANK(R854)&gt;0,"",CONCATENATE(R854," for ",N836))</f>
        <v/>
      </c>
      <c r="N854" s="123" t="s">
        <v>130</v>
      </c>
      <c r="O854" s="66" t="s">
        <v>500</v>
      </c>
      <c r="P854" s="121"/>
      <c r="Q854" s="66"/>
      <c r="R854" s="121"/>
      <c r="S854" s="133">
        <f>M836</f>
        <v>0</v>
      </c>
      <c r="T854" s="120"/>
      <c r="U854" s="121" t="s">
        <v>292</v>
      </c>
      <c r="V854" s="133">
        <f t="shared" si="378"/>
        <v>0</v>
      </c>
      <c r="W854" s="133">
        <f>VLOOKUP(U854,Sheet1!$B$6:$C$45,2,FALSE)*V854</f>
        <v>0</v>
      </c>
      <c r="X854" s="141"/>
      <c r="Y854" s="121" t="s">
        <v>292</v>
      </c>
      <c r="Z854" s="146">
        <f>VLOOKUP(Takeoffs!Y854,Sheet1!$B$6:$C$124,2,FALSE)</f>
        <v>0</v>
      </c>
      <c r="AA854" s="146">
        <f t="shared" si="379"/>
        <v>0</v>
      </c>
      <c r="AB854" s="143">
        <f t="shared" si="380"/>
        <v>0</v>
      </c>
      <c r="AC854" s="133">
        <f t="shared" si="381"/>
        <v>0</v>
      </c>
      <c r="AD854" s="142">
        <v>1</v>
      </c>
      <c r="AE854" s="141"/>
      <c r="AF854" s="121" t="s">
        <v>292</v>
      </c>
      <c r="AG854" s="146">
        <f>VLOOKUP(Takeoffs!AF854,Sheet1!$B$6:$C$124,2,FALSE)</f>
        <v>0</v>
      </c>
      <c r="AH854" s="146">
        <f t="shared" si="382"/>
        <v>0</v>
      </c>
      <c r="AI854" s="143">
        <f t="shared" si="383"/>
        <v>0</v>
      </c>
      <c r="AJ854" s="133">
        <f t="shared" si="384"/>
        <v>0</v>
      </c>
      <c r="AK854" s="142">
        <f t="shared" si="386"/>
        <v>0</v>
      </c>
      <c r="AL854" s="141"/>
      <c r="AO854" s="286"/>
      <c r="AP854" s="284">
        <f t="shared" si="387"/>
        <v>0</v>
      </c>
      <c r="AQ854" s="281">
        <f t="shared" si="388"/>
        <v>0</v>
      </c>
      <c r="AR854" s="284">
        <f t="shared" si="389"/>
        <v>0</v>
      </c>
      <c r="AS854" s="281">
        <f t="shared" si="390"/>
        <v>0</v>
      </c>
      <c r="AT854" s="284">
        <f t="shared" si="391"/>
        <v>0</v>
      </c>
    </row>
    <row r="855" spans="1:97" s="114" customFormat="1" ht="30.9" x14ac:dyDescent="0.8">
      <c r="A855" s="262">
        <f>ROW()</f>
        <v>855</v>
      </c>
      <c r="C855" s="208"/>
      <c r="D855" s="208"/>
      <c r="E855" s="208"/>
      <c r="F855" s="208"/>
      <c r="G855" s="208"/>
      <c r="H855" s="208"/>
      <c r="J855" s="114" t="str">
        <f t="shared" si="385"/>
        <v/>
      </c>
      <c r="K855" s="114" t="str">
        <f>IF(COUNTBLANK(R855)&gt;0,"",CONCATENATE(R855," for ",N836))</f>
        <v/>
      </c>
      <c r="N855" s="123" t="s">
        <v>131</v>
      </c>
      <c r="O855" s="66" t="s">
        <v>407</v>
      </c>
      <c r="P855" s="121"/>
      <c r="Q855" s="66"/>
      <c r="R855" s="121"/>
      <c r="S855" s="133">
        <f>M836</f>
        <v>0</v>
      </c>
      <c r="T855" s="120"/>
      <c r="U855" s="121" t="s">
        <v>292</v>
      </c>
      <c r="V855" s="133">
        <f t="shared" si="378"/>
        <v>0</v>
      </c>
      <c r="W855" s="133">
        <f>VLOOKUP(U855,Sheet1!$B$6:$C$45,2,FALSE)*V855</f>
        <v>0</v>
      </c>
      <c r="X855" s="141"/>
      <c r="Y855" s="121" t="s">
        <v>274</v>
      </c>
      <c r="Z855" s="146">
        <f>VLOOKUP(Takeoffs!Y855,Sheet1!$B$6:$C$124,2,FALSE)</f>
        <v>360</v>
      </c>
      <c r="AA855" s="146">
        <f t="shared" si="379"/>
        <v>0</v>
      </c>
      <c r="AB855" s="143">
        <f t="shared" si="380"/>
        <v>0</v>
      </c>
      <c r="AC855" s="133">
        <f t="shared" si="381"/>
        <v>0</v>
      </c>
      <c r="AD855" s="142">
        <v>1</v>
      </c>
      <c r="AE855" s="141"/>
      <c r="AF855" s="121" t="s">
        <v>292</v>
      </c>
      <c r="AG855" s="146">
        <f>VLOOKUP(Takeoffs!AF855,Sheet1!$B$6:$C$124,2,FALSE)</f>
        <v>0</v>
      </c>
      <c r="AH855" s="146">
        <f t="shared" si="382"/>
        <v>0</v>
      </c>
      <c r="AI855" s="143">
        <f t="shared" si="383"/>
        <v>0</v>
      </c>
      <c r="AJ855" s="133">
        <f t="shared" si="384"/>
        <v>0</v>
      </c>
      <c r="AK855" s="142">
        <f t="shared" si="386"/>
        <v>0</v>
      </c>
      <c r="AL855" s="141"/>
      <c r="AO855" s="286"/>
      <c r="AP855" s="284">
        <f t="shared" si="387"/>
        <v>0</v>
      </c>
      <c r="AQ855" s="281">
        <f t="shared" si="388"/>
        <v>0</v>
      </c>
      <c r="AR855" s="284">
        <f t="shared" si="389"/>
        <v>0</v>
      </c>
      <c r="AS855" s="281">
        <f t="shared" si="390"/>
        <v>0</v>
      </c>
      <c r="AT855" s="284">
        <f t="shared" si="391"/>
        <v>0</v>
      </c>
    </row>
    <row r="856" spans="1:97" s="114" customFormat="1" ht="30.9" x14ac:dyDescent="0.8">
      <c r="A856" s="262">
        <f>ROW()</f>
        <v>856</v>
      </c>
      <c r="C856" s="208"/>
      <c r="D856" s="208"/>
      <c r="E856" s="208"/>
      <c r="F856" s="208"/>
      <c r="G856" s="208"/>
      <c r="H856" s="208"/>
      <c r="J856" s="114" t="str">
        <f t="shared" si="385"/>
        <v/>
      </c>
      <c r="K856" s="114" t="str">
        <f>IF(COUNTBLANK(R856)&gt;0,"",CONCATENATE(R856," for ",N836))</f>
        <v/>
      </c>
      <c r="N856" s="123" t="s">
        <v>132</v>
      </c>
      <c r="O856" s="66" t="s">
        <v>408</v>
      </c>
      <c r="P856" s="121"/>
      <c r="Q856" s="66"/>
      <c r="R856" s="121"/>
      <c r="S856" s="133">
        <f>M836</f>
        <v>0</v>
      </c>
      <c r="T856" s="120"/>
      <c r="U856" s="121" t="s">
        <v>362</v>
      </c>
      <c r="V856" s="133">
        <f t="shared" si="378"/>
        <v>0</v>
      </c>
      <c r="W856" s="133">
        <f>VLOOKUP(U856,Sheet1!$B$6:$C$45,2,FALSE)*V856</f>
        <v>0</v>
      </c>
      <c r="X856" s="141"/>
      <c r="Y856" s="121" t="s">
        <v>292</v>
      </c>
      <c r="Z856" s="146">
        <f>VLOOKUP(Takeoffs!Y856,Sheet1!$B$6:$C$124,2,FALSE)</f>
        <v>0</v>
      </c>
      <c r="AA856" s="146">
        <f t="shared" si="379"/>
        <v>0</v>
      </c>
      <c r="AB856" s="143">
        <f t="shared" si="380"/>
        <v>0</v>
      </c>
      <c r="AC856" s="133">
        <f t="shared" si="381"/>
        <v>0</v>
      </c>
      <c r="AD856" s="142">
        <v>1</v>
      </c>
      <c r="AE856" s="141"/>
      <c r="AF856" s="121" t="s">
        <v>292</v>
      </c>
      <c r="AG856" s="146">
        <f>VLOOKUP(Takeoffs!AF856,Sheet1!$B$6:$C$124,2,FALSE)</f>
        <v>0</v>
      </c>
      <c r="AH856" s="146">
        <f t="shared" si="382"/>
        <v>0</v>
      </c>
      <c r="AI856" s="143">
        <f t="shared" si="383"/>
        <v>0</v>
      </c>
      <c r="AJ856" s="133">
        <f t="shared" si="384"/>
        <v>0</v>
      </c>
      <c r="AK856" s="142">
        <f t="shared" si="386"/>
        <v>0</v>
      </c>
      <c r="AL856" s="141"/>
      <c r="AO856" s="286"/>
      <c r="AP856" s="284">
        <f t="shared" si="387"/>
        <v>0</v>
      </c>
      <c r="AQ856" s="281">
        <f t="shared" si="388"/>
        <v>0</v>
      </c>
      <c r="AR856" s="284">
        <f t="shared" si="389"/>
        <v>0</v>
      </c>
      <c r="AS856" s="281">
        <f t="shared" si="390"/>
        <v>0</v>
      </c>
      <c r="AT856" s="284">
        <f t="shared" si="391"/>
        <v>0</v>
      </c>
    </row>
    <row r="857" spans="1:97" s="128" customFormat="1" ht="31.5" customHeight="1" x14ac:dyDescent="0.8">
      <c r="A857" s="262">
        <f>ROW()</f>
        <v>857</v>
      </c>
      <c r="C857" s="212"/>
      <c r="D857" s="212"/>
      <c r="E857" s="212"/>
      <c r="F857" s="212"/>
      <c r="G857" s="212"/>
      <c r="H857" s="212"/>
      <c r="J857" s="128" t="s">
        <v>377</v>
      </c>
      <c r="L857" s="128" t="s">
        <v>378</v>
      </c>
      <c r="N857" s="129"/>
      <c r="O857" s="130" t="s">
        <v>357</v>
      </c>
      <c r="P857" s="131">
        <f>V857+AA857+AH857</f>
        <v>0</v>
      </c>
      <c r="Q857" s="131"/>
      <c r="R857" s="131"/>
      <c r="S857" s="130"/>
      <c r="T857" s="127"/>
      <c r="U857" s="126" t="s">
        <v>351</v>
      </c>
      <c r="V857" s="127">
        <f>W857*80</f>
        <v>0</v>
      </c>
      <c r="W857" s="147">
        <f>SUM(W836:W856)</f>
        <v>0</v>
      </c>
      <c r="X857" s="148"/>
      <c r="Y857" s="127" t="s">
        <v>352</v>
      </c>
      <c r="Z857" s="116"/>
      <c r="AA857" s="116">
        <f>SUM(AA836:AA856)</f>
        <v>0</v>
      </c>
      <c r="AB857" s="149"/>
      <c r="AC857" s="149"/>
      <c r="AD857" s="149"/>
      <c r="AE857" s="149"/>
      <c r="AF857" s="127" t="s">
        <v>356</v>
      </c>
      <c r="AG857" s="116"/>
      <c r="AH857" s="116">
        <f>SUM(AH836:AH856)</f>
        <v>0</v>
      </c>
      <c r="AI857" s="149"/>
      <c r="AJ857" s="149"/>
      <c r="AK857" s="149"/>
      <c r="AL857" s="149"/>
      <c r="AM857" s="150">
        <f>P857</f>
        <v>0</v>
      </c>
      <c r="AO857" s="286"/>
      <c r="AP857" s="284">
        <f t="shared" si="387"/>
        <v>0</v>
      </c>
      <c r="AQ857" s="281">
        <f t="shared" si="388"/>
        <v>0</v>
      </c>
      <c r="AR857" s="284">
        <f t="shared" si="389"/>
        <v>0</v>
      </c>
      <c r="AS857" s="281">
        <f t="shared" si="390"/>
        <v>0</v>
      </c>
      <c r="AT857" s="284">
        <f t="shared" si="391"/>
        <v>0</v>
      </c>
    </row>
    <row r="858" spans="1:97" s="234" customFormat="1" ht="185.15" x14ac:dyDescent="0.8">
      <c r="A858" s="262">
        <f>ROW()</f>
        <v>858</v>
      </c>
      <c r="B858" s="234" t="s">
        <v>491</v>
      </c>
      <c r="C858" s="217" t="str">
        <f>N836</f>
        <v>Small sized VSD fan with fire shutdown - from MSSB power supply and BMS interface provisions</v>
      </c>
      <c r="D858" s="260" t="str">
        <f>IF(B858="Shopping List",IF(ISNUMBER(SEARCH("MSSB",C858)),"MSSB",IF(ISNUMBER(SEARCH("local",C858)),"LOCAL","")))</f>
        <v>MSSB</v>
      </c>
      <c r="E858" s="238"/>
      <c r="F858" s="217"/>
      <c r="G858" s="217">
        <v>2</v>
      </c>
      <c r="H858" s="245">
        <v>1</v>
      </c>
      <c r="I858" s="270"/>
      <c r="J858" s="241" t="str">
        <f>CONCATENATE(O836," ",L836, " (",M836,") ",N836,".", IF(M836&gt;1," Each "," This "),"includes supply and install of ",O837,O838,O839,O840,O841,O842,O843,O844,O845,O846,O847,O848,O849,O850,O851,O852,O853,O854,O855,O856,J837,J838,J839,J840,J841,J842,J843,J844,J845,J846,J847,J848,J849,J850,J851,J852,J853,J854,J855,J856)</f>
        <v>Electrical power supply and controls ( Excluding BMS) to Zero (0) Small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58" s="249">
        <f>P857</f>
        <v>0</v>
      </c>
      <c r="L858" s="234" t="str">
        <f>CONCATENATE(Q837,Q838,Q839,Q840,Q841,Q842,Q843,Q844,Q845,Q846,Q847,Q848,Q849,Q850,Q851,Q852,Q853,Q854,Q855,Q856,)</f>
        <v>fire cabling from FIP.</v>
      </c>
      <c r="M858" s="166" t="s">
        <v>367</v>
      </c>
      <c r="N858" s="160" t="str">
        <f>N836</f>
        <v>Small sized VSD fan with fire shutdown - from MSSB power supply and BMS interface provisions</v>
      </c>
      <c r="O858" s="160" t="s">
        <v>365</v>
      </c>
      <c r="P858" s="183" t="e">
        <f>P857/M836</f>
        <v>#DIV/0!</v>
      </c>
      <c r="Q858" s="191"/>
      <c r="R858" s="161"/>
      <c r="S858" s="160"/>
      <c r="T858" s="161"/>
      <c r="U858" s="503" t="s">
        <v>366</v>
      </c>
      <c r="V858" s="503"/>
      <c r="W858" s="162" t="e">
        <f>W857/M836</f>
        <v>#DIV/0!</v>
      </c>
      <c r="X858" s="163"/>
      <c r="Y858" s="501" t="s">
        <v>365</v>
      </c>
      <c r="Z858" s="501"/>
      <c r="AA858" s="164" t="e">
        <f>AA857/M836</f>
        <v>#DIV/0!</v>
      </c>
      <c r="AB858" s="161"/>
      <c r="AC858" s="161"/>
      <c r="AD858" s="161"/>
      <c r="AE858" s="161"/>
      <c r="AF858" s="501" t="s">
        <v>365</v>
      </c>
      <c r="AG858" s="501"/>
      <c r="AH858" s="164" t="e">
        <f>AH857/M836</f>
        <v>#DIV/0!</v>
      </c>
      <c r="AI858" s="161"/>
      <c r="AJ858" s="161"/>
      <c r="AK858" s="161"/>
      <c r="AL858" s="247"/>
      <c r="AM858" s="257"/>
      <c r="AN858" s="236">
        <f>K858*$D$9</f>
        <v>0</v>
      </c>
      <c r="AO858" s="286"/>
      <c r="AP858" s="284">
        <f t="shared" si="387"/>
        <v>0</v>
      </c>
      <c r="AQ858" s="281">
        <f t="shared" si="388"/>
        <v>0</v>
      </c>
      <c r="AR858" s="284">
        <f t="shared" si="389"/>
        <v>0</v>
      </c>
      <c r="AS858" s="281">
        <f t="shared" si="390"/>
        <v>0</v>
      </c>
      <c r="AT858" s="284">
        <f t="shared" si="391"/>
        <v>0</v>
      </c>
      <c r="AU858" s="117"/>
      <c r="AV858" s="117"/>
      <c r="AW858" s="117"/>
      <c r="AX858" s="117"/>
      <c r="AY858" s="117"/>
      <c r="AZ858" s="117"/>
      <c r="BA858" s="117"/>
      <c r="BB858" s="117"/>
      <c r="BC858" s="117"/>
      <c r="BD858" s="117"/>
      <c r="BE858" s="117"/>
      <c r="BF858" s="117"/>
      <c r="BG858" s="117"/>
      <c r="BH858" s="117"/>
      <c r="BI858" s="117"/>
      <c r="BJ858" s="117"/>
      <c r="BK858" s="117"/>
      <c r="BL858" s="117"/>
      <c r="BM858" s="117"/>
      <c r="BN858" s="117"/>
      <c r="BO858" s="117"/>
      <c r="BP858" s="117"/>
      <c r="BQ858" s="117"/>
      <c r="BR858" s="117"/>
      <c r="BS858" s="117"/>
      <c r="BT858" s="117"/>
      <c r="BU858" s="117"/>
      <c r="BV858" s="117"/>
      <c r="BW858" s="117"/>
      <c r="BX858" s="117"/>
      <c r="BY858" s="117"/>
      <c r="BZ858" s="117"/>
      <c r="CA858" s="117"/>
      <c r="CB858" s="117"/>
      <c r="CC858" s="117"/>
      <c r="CD858" s="117"/>
      <c r="CE858" s="117"/>
      <c r="CF858" s="117"/>
      <c r="CG858" s="117"/>
      <c r="CH858" s="117"/>
      <c r="CI858" s="117"/>
      <c r="CJ858" s="117"/>
      <c r="CK858" s="117"/>
      <c r="CL858" s="117"/>
      <c r="CM858" s="117"/>
      <c r="CN858" s="117"/>
      <c r="CO858" s="117"/>
      <c r="CP858" s="117"/>
      <c r="CQ858" s="117"/>
      <c r="CR858" s="117"/>
      <c r="CS858" s="117"/>
    </row>
    <row r="859" spans="1:97" s="116" customFormat="1" ht="192.75" customHeight="1" x14ac:dyDescent="0.8">
      <c r="A859" s="262">
        <f>ROW()</f>
        <v>859</v>
      </c>
      <c r="C859" s="211"/>
      <c r="D859" s="211"/>
      <c r="E859" s="211"/>
      <c r="F859" s="211"/>
      <c r="G859" s="211"/>
      <c r="H859" s="211"/>
      <c r="K859" s="116" t="s">
        <v>452</v>
      </c>
      <c r="M859" s="116" t="s">
        <v>107</v>
      </c>
      <c r="N859" s="116" t="s">
        <v>108</v>
      </c>
      <c r="O859" s="170" t="s">
        <v>386</v>
      </c>
      <c r="P859" s="504" t="s">
        <v>375</v>
      </c>
      <c r="Q859" s="504"/>
      <c r="R859" s="101" t="s">
        <v>452</v>
      </c>
      <c r="S859" s="116" t="s">
        <v>0</v>
      </c>
      <c r="T859" s="118"/>
      <c r="U859" s="116" t="s">
        <v>287</v>
      </c>
      <c r="V859" s="116" t="s">
        <v>288</v>
      </c>
      <c r="W859" s="116" t="s">
        <v>291</v>
      </c>
      <c r="X859" s="140"/>
      <c r="Y859" s="116" t="s">
        <v>289</v>
      </c>
      <c r="Z859" s="116" t="s">
        <v>354</v>
      </c>
      <c r="AA859" s="116" t="s">
        <v>355</v>
      </c>
      <c r="AB859" s="116" t="s">
        <v>317</v>
      </c>
      <c r="AC859" s="116" t="s">
        <v>318</v>
      </c>
      <c r="AD859" s="116" t="s">
        <v>316</v>
      </c>
      <c r="AE859" s="140"/>
      <c r="AF859" s="116" t="s">
        <v>293</v>
      </c>
      <c r="AG859" s="116" t="s">
        <v>354</v>
      </c>
      <c r="AH859" s="116" t="s">
        <v>355</v>
      </c>
      <c r="AI859" s="116" t="s">
        <v>296</v>
      </c>
      <c r="AJ859" s="116" t="s">
        <v>294</v>
      </c>
      <c r="AK859" s="116" t="s">
        <v>295</v>
      </c>
      <c r="AL859" s="140"/>
      <c r="AO859" s="288"/>
      <c r="AP859" s="284">
        <f t="shared" si="387"/>
        <v>0</v>
      </c>
      <c r="AQ859" s="281">
        <f t="shared" si="388"/>
        <v>0</v>
      </c>
      <c r="AR859" s="284">
        <f t="shared" si="389"/>
        <v>0</v>
      </c>
      <c r="AS859" s="281">
        <f t="shared" si="390"/>
        <v>0</v>
      </c>
      <c r="AT859" s="284">
        <f t="shared" si="391"/>
        <v>0</v>
      </c>
    </row>
    <row r="860" spans="1:97" s="114" customFormat="1" ht="59.25" customHeight="1" x14ac:dyDescent="0.8">
      <c r="A860" s="262">
        <f>ROW()</f>
        <v>860</v>
      </c>
      <c r="C860" s="208"/>
      <c r="D860" s="208"/>
      <c r="E860" s="208"/>
      <c r="F860" s="208"/>
      <c r="G860" s="208"/>
      <c r="H860" s="208"/>
      <c r="L860" s="124" t="str">
        <f>VLOOKUP(M860,Sheet2!$D$2:$E$1024,2,FALSE)</f>
        <v>Zero</v>
      </c>
      <c r="M860" s="121">
        <f>I882</f>
        <v>0</v>
      </c>
      <c r="N860" s="132" t="s">
        <v>547</v>
      </c>
      <c r="O860" s="121" t="s">
        <v>488</v>
      </c>
      <c r="P860" s="169" t="s">
        <v>379</v>
      </c>
      <c r="Q860" s="169" t="s">
        <v>375</v>
      </c>
      <c r="R860" s="169"/>
      <c r="S860" s="133">
        <f>M860</f>
        <v>0</v>
      </c>
      <c r="T860" s="119"/>
      <c r="U860" s="121" t="s">
        <v>292</v>
      </c>
      <c r="V860" s="133">
        <f>S860</f>
        <v>0</v>
      </c>
      <c r="W860" s="133">
        <f>VLOOKUP(U860,Sheet1!$B$6:$C$45,2,FALSE)*V860</f>
        <v>0</v>
      </c>
      <c r="X860" s="141"/>
      <c r="Y860" s="121" t="s">
        <v>292</v>
      </c>
      <c r="Z860" s="146">
        <f>VLOOKUP(Takeoffs!Y860,Sheet1!$B$6:$C$124,2,FALSE)</f>
        <v>0</v>
      </c>
      <c r="AA860" s="146">
        <f>Z860*AB860</f>
        <v>0</v>
      </c>
      <c r="AB860" s="143">
        <f>AD860*AC860</f>
        <v>0</v>
      </c>
      <c r="AC860" s="133">
        <f>S860</f>
        <v>0</v>
      </c>
      <c r="AD860" s="142">
        <v>1</v>
      </c>
      <c r="AE860" s="141"/>
      <c r="AF860" s="121" t="s">
        <v>292</v>
      </c>
      <c r="AG860" s="146">
        <f>VLOOKUP(Takeoffs!AF860,Sheet1!$B$6:$C$124,2,FALSE)</f>
        <v>0</v>
      </c>
      <c r="AH860" s="146">
        <f>AG860*AI860</f>
        <v>0</v>
      </c>
      <c r="AI860" s="143">
        <f>AK860*AJ860</f>
        <v>0</v>
      </c>
      <c r="AJ860" s="133">
        <f>S860</f>
        <v>0</v>
      </c>
      <c r="AK860" s="142">
        <f>T860</f>
        <v>0</v>
      </c>
      <c r="AL860" s="141"/>
      <c r="AO860" s="286"/>
      <c r="AP860" s="284">
        <f t="shared" si="387"/>
        <v>0</v>
      </c>
      <c r="AQ860" s="281">
        <f t="shared" si="388"/>
        <v>0</v>
      </c>
      <c r="AR860" s="284">
        <f t="shared" si="389"/>
        <v>0</v>
      </c>
      <c r="AS860" s="281">
        <f t="shared" si="390"/>
        <v>0</v>
      </c>
      <c r="AT860" s="284">
        <f t="shared" si="391"/>
        <v>0</v>
      </c>
    </row>
    <row r="861" spans="1:97" s="114" customFormat="1" ht="30.9" x14ac:dyDescent="0.8">
      <c r="A861" s="262">
        <f>ROW()</f>
        <v>861</v>
      </c>
      <c r="C861" s="208"/>
      <c r="D861" s="208"/>
      <c r="E861" s="208"/>
      <c r="F861" s="208"/>
      <c r="G861" s="208"/>
      <c r="H861" s="208"/>
      <c r="J861" s="114" t="str">
        <f>IF(COUNTBLANK(Q861)&gt;0,"",CONCATENATE("Coordination Note: - ",P861,": Please refer to our exclusions relating to ",Q861))</f>
        <v/>
      </c>
      <c r="K861" s="114" t="str">
        <f>IF(COUNTBLANK(R861)&gt;0,"",CONCATENATE(R861," for ",N860))</f>
        <v/>
      </c>
      <c r="M861" s="117"/>
      <c r="N861" s="123" t="s">
        <v>113</v>
      </c>
      <c r="O861" s="66" t="s">
        <v>340</v>
      </c>
      <c r="P861" s="121"/>
      <c r="Q861" s="66"/>
      <c r="R861" s="121"/>
      <c r="S861" s="133">
        <f>M860</f>
        <v>0</v>
      </c>
      <c r="T861" s="120"/>
      <c r="U861" s="121" t="s">
        <v>292</v>
      </c>
      <c r="V861" s="133">
        <f t="shared" ref="V861:V880" si="392">S861</f>
        <v>0</v>
      </c>
      <c r="W861" s="133">
        <f>VLOOKUP(U861,Sheet1!$B$6:$C$45,2,FALSE)*V861</f>
        <v>0</v>
      </c>
      <c r="X861" s="141"/>
      <c r="Y861" s="121" t="s">
        <v>292</v>
      </c>
      <c r="Z861" s="146">
        <f>VLOOKUP(Takeoffs!Y861,Sheet1!$B$6:$C$124,2,FALSE)</f>
        <v>0</v>
      </c>
      <c r="AA861" s="146">
        <f t="shared" ref="AA861:AA880" si="393">Z861*AB861</f>
        <v>0</v>
      </c>
      <c r="AB861" s="143">
        <f t="shared" ref="AB861:AB880" si="394">AD861*AC861</f>
        <v>0</v>
      </c>
      <c r="AC861" s="133">
        <f t="shared" ref="AC861:AC880" si="395">S861</f>
        <v>0</v>
      </c>
      <c r="AD861" s="142">
        <v>1</v>
      </c>
      <c r="AE861" s="141"/>
      <c r="AF861" s="121" t="s">
        <v>292</v>
      </c>
      <c r="AG861" s="146">
        <f>VLOOKUP(Takeoffs!AF861,Sheet1!$B$6:$C$124,2,FALSE)</f>
        <v>0</v>
      </c>
      <c r="AH861" s="146">
        <f t="shared" ref="AH861:AH880" si="396">AG861*AI861</f>
        <v>0</v>
      </c>
      <c r="AI861" s="143">
        <f t="shared" ref="AI861:AI880" si="397">AK861*AJ861</f>
        <v>0</v>
      </c>
      <c r="AJ861" s="133">
        <f t="shared" ref="AJ861:AJ880" si="398">S861</f>
        <v>0</v>
      </c>
      <c r="AK861" s="142">
        <f>T861</f>
        <v>0</v>
      </c>
      <c r="AL861" s="141"/>
      <c r="AO861" s="286"/>
      <c r="AP861" s="284">
        <f t="shared" si="387"/>
        <v>0</v>
      </c>
      <c r="AQ861" s="281">
        <f t="shared" si="388"/>
        <v>0</v>
      </c>
      <c r="AR861" s="284">
        <f t="shared" si="389"/>
        <v>0</v>
      </c>
      <c r="AS861" s="281">
        <f t="shared" si="390"/>
        <v>0</v>
      </c>
      <c r="AT861" s="284">
        <f t="shared" si="391"/>
        <v>0</v>
      </c>
    </row>
    <row r="862" spans="1:97" s="114" customFormat="1" ht="30.9" x14ac:dyDescent="0.8">
      <c r="A862" s="262">
        <f>ROW()</f>
        <v>862</v>
      </c>
      <c r="C862" s="208"/>
      <c r="D862" s="208"/>
      <c r="E862" s="208"/>
      <c r="F862" s="208"/>
      <c r="G862" s="208"/>
      <c r="H862" s="208"/>
      <c r="J862" s="114" t="str">
        <f t="shared" ref="J862:J880" si="399">IF(COUNTBLANK(Q862)&gt;0,"",CONCATENATE("Coordination Note: - ",P862,": Please refer to our exclusions relating to ",Q862))</f>
        <v/>
      </c>
      <c r="K862" s="114" t="str">
        <f>IF(COUNTBLANK(R862)&gt;0,"",CONCATENATE(R862," for ",N860))</f>
        <v/>
      </c>
      <c r="M862" s="117"/>
      <c r="N862" s="123" t="s">
        <v>114</v>
      </c>
      <c r="O862" s="66" t="s">
        <v>308</v>
      </c>
      <c r="P862" s="121"/>
      <c r="Q862" s="66"/>
      <c r="R862" s="121"/>
      <c r="S862" s="133">
        <f>M860</f>
        <v>0</v>
      </c>
      <c r="T862" s="120"/>
      <c r="U862" s="121" t="s">
        <v>292</v>
      </c>
      <c r="V862" s="133">
        <f t="shared" si="392"/>
        <v>0</v>
      </c>
      <c r="W862" s="133">
        <f>VLOOKUP(U862,Sheet1!$B$6:$C$45,2,FALSE)*V862</f>
        <v>0</v>
      </c>
      <c r="X862" s="141"/>
      <c r="Y862" s="122" t="s">
        <v>252</v>
      </c>
      <c r="Z862" s="146">
        <f>VLOOKUP(Takeoffs!Y862,Sheet1!$B$6:$C$124,2,FALSE)</f>
        <v>43.440000000000005</v>
      </c>
      <c r="AA862" s="146">
        <f t="shared" si="393"/>
        <v>0</v>
      </c>
      <c r="AB862" s="143">
        <f t="shared" si="394"/>
        <v>0</v>
      </c>
      <c r="AC862" s="133">
        <f t="shared" si="395"/>
        <v>0</v>
      </c>
      <c r="AD862" s="142">
        <v>1</v>
      </c>
      <c r="AE862" s="141"/>
      <c r="AF862" s="52" t="s">
        <v>267</v>
      </c>
      <c r="AG862" s="146">
        <f>VLOOKUP(Takeoffs!AF862,Sheet1!$B$6:$C$124,2,FALSE)</f>
        <v>3.48</v>
      </c>
      <c r="AH862" s="146">
        <f t="shared" si="396"/>
        <v>0</v>
      </c>
      <c r="AI862" s="143">
        <f t="shared" si="397"/>
        <v>0</v>
      </c>
      <c r="AJ862" s="133">
        <f t="shared" si="398"/>
        <v>0</v>
      </c>
      <c r="AK862" s="142">
        <v>20</v>
      </c>
      <c r="AL862" s="141"/>
      <c r="AO862" s="286"/>
      <c r="AP862" s="284">
        <f t="shared" si="387"/>
        <v>0</v>
      </c>
      <c r="AQ862" s="281">
        <f t="shared" si="388"/>
        <v>0</v>
      </c>
      <c r="AR862" s="284">
        <f t="shared" si="389"/>
        <v>0</v>
      </c>
      <c r="AS862" s="281">
        <f t="shared" si="390"/>
        <v>0</v>
      </c>
      <c r="AT862" s="284">
        <f t="shared" si="391"/>
        <v>0</v>
      </c>
    </row>
    <row r="863" spans="1:97" s="114" customFormat="1" ht="30.9" x14ac:dyDescent="0.8">
      <c r="A863" s="262">
        <f>ROW()</f>
        <v>863</v>
      </c>
      <c r="C863" s="208"/>
      <c r="D863" s="208"/>
      <c r="E863" s="208"/>
      <c r="F863" s="208"/>
      <c r="G863" s="208"/>
      <c r="H863" s="208"/>
      <c r="J863" s="114" t="str">
        <f t="shared" si="399"/>
        <v/>
      </c>
      <c r="K863" s="114" t="str">
        <f>IF(COUNTBLANK(R863)&gt;0,"",CONCATENATE(R863," for ",N860))</f>
        <v/>
      </c>
      <c r="M863" s="117"/>
      <c r="N863" s="123" t="s">
        <v>115</v>
      </c>
      <c r="O863" s="66" t="s">
        <v>305</v>
      </c>
      <c r="P863" s="121"/>
      <c r="Q863" s="66"/>
      <c r="R863" s="121"/>
      <c r="S863" s="133">
        <f>M860</f>
        <v>0</v>
      </c>
      <c r="T863" s="120"/>
      <c r="U863" s="117" t="s">
        <v>478</v>
      </c>
      <c r="V863" s="133">
        <f t="shared" si="392"/>
        <v>0</v>
      </c>
      <c r="W863" s="133">
        <f>VLOOKUP(U863,Sheet1!$B$6:$C$45,2,FALSE)*V863</f>
        <v>0</v>
      </c>
      <c r="X863" s="141"/>
      <c r="Y863" s="121" t="s">
        <v>292</v>
      </c>
      <c r="Z863" s="146">
        <f>VLOOKUP(Takeoffs!Y863,Sheet1!$B$6:$C$124,2,FALSE)</f>
        <v>0</v>
      </c>
      <c r="AA863" s="146">
        <f t="shared" si="393"/>
        <v>0</v>
      </c>
      <c r="AB863" s="143">
        <f t="shared" si="394"/>
        <v>0</v>
      </c>
      <c r="AC863" s="133">
        <f t="shared" si="395"/>
        <v>0</v>
      </c>
      <c r="AD863" s="142">
        <v>1</v>
      </c>
      <c r="AE863" s="141"/>
      <c r="AF863" s="121" t="s">
        <v>292</v>
      </c>
      <c r="AG863" s="146">
        <f>VLOOKUP(Takeoffs!AF863,Sheet1!$B$6:$C$124,2,FALSE)</f>
        <v>0</v>
      </c>
      <c r="AH863" s="146">
        <f t="shared" si="396"/>
        <v>0</v>
      </c>
      <c r="AI863" s="143">
        <f t="shared" si="397"/>
        <v>0</v>
      </c>
      <c r="AJ863" s="133">
        <f t="shared" si="398"/>
        <v>0</v>
      </c>
      <c r="AK863" s="142">
        <f>T863</f>
        <v>0</v>
      </c>
      <c r="AL863" s="141"/>
      <c r="AO863" s="286"/>
      <c r="AP863" s="284">
        <f t="shared" si="387"/>
        <v>0</v>
      </c>
      <c r="AQ863" s="281">
        <f t="shared" si="388"/>
        <v>0</v>
      </c>
      <c r="AR863" s="284">
        <f t="shared" si="389"/>
        <v>0</v>
      </c>
      <c r="AS863" s="281">
        <f t="shared" si="390"/>
        <v>0</v>
      </c>
      <c r="AT863" s="284">
        <f t="shared" si="391"/>
        <v>0</v>
      </c>
    </row>
    <row r="864" spans="1:97" s="114" customFormat="1" ht="30.9" x14ac:dyDescent="0.8">
      <c r="A864" s="262">
        <f>ROW()</f>
        <v>864</v>
      </c>
      <c r="C864" s="208"/>
      <c r="D864" s="208"/>
      <c r="E864" s="208"/>
      <c r="F864" s="208"/>
      <c r="G864" s="208"/>
      <c r="H864" s="208"/>
      <c r="J864" s="114" t="str">
        <f t="shared" si="399"/>
        <v/>
      </c>
      <c r="K864" s="114" t="str">
        <f>IF(COUNTBLANK(R864)&gt;0,"",CONCATENATE(R864," for ",N860))</f>
        <v/>
      </c>
      <c r="M864" s="117"/>
      <c r="N864" s="123" t="s">
        <v>116</v>
      </c>
      <c r="O864" s="66" t="s">
        <v>323</v>
      </c>
      <c r="P864" s="121"/>
      <c r="Q864" s="66"/>
      <c r="R864" s="121"/>
      <c r="S864" s="133">
        <f>M860</f>
        <v>0</v>
      </c>
      <c r="T864" s="120"/>
      <c r="U864" s="121" t="s">
        <v>235</v>
      </c>
      <c r="V864" s="133">
        <f t="shared" si="392"/>
        <v>0</v>
      </c>
      <c r="W864" s="133">
        <f>VLOOKUP(U864,Sheet1!$B$6:$C$45,2,FALSE)*V864</f>
        <v>0</v>
      </c>
      <c r="X864" s="141"/>
      <c r="Y864" s="135" t="s">
        <v>546</v>
      </c>
      <c r="Z864" s="146">
        <f>VLOOKUP(Takeoffs!Y864,Sheet1!$B$6:$C$124,2,FALSE)</f>
        <v>865.92</v>
      </c>
      <c r="AA864" s="146">
        <f t="shared" si="393"/>
        <v>0</v>
      </c>
      <c r="AB864" s="143">
        <f t="shared" si="394"/>
        <v>0</v>
      </c>
      <c r="AC864" s="133">
        <f t="shared" si="395"/>
        <v>0</v>
      </c>
      <c r="AD864" s="142">
        <v>1</v>
      </c>
      <c r="AE864" s="141"/>
      <c r="AF864" s="121" t="s">
        <v>292</v>
      </c>
      <c r="AG864" s="146">
        <f>VLOOKUP(Takeoffs!AF864,Sheet1!$B$6:$C$124,2,FALSE)</f>
        <v>0</v>
      </c>
      <c r="AH864" s="146">
        <f t="shared" si="396"/>
        <v>0</v>
      </c>
      <c r="AI864" s="143">
        <f t="shared" si="397"/>
        <v>0</v>
      </c>
      <c r="AJ864" s="133">
        <f t="shared" si="398"/>
        <v>0</v>
      </c>
      <c r="AK864" s="142">
        <f>T864</f>
        <v>0</v>
      </c>
      <c r="AL864" s="141"/>
      <c r="AO864" s="286"/>
      <c r="AP864" s="284">
        <f t="shared" si="387"/>
        <v>0</v>
      </c>
      <c r="AQ864" s="281">
        <f t="shared" si="388"/>
        <v>0</v>
      </c>
      <c r="AR864" s="284">
        <f t="shared" si="389"/>
        <v>0</v>
      </c>
      <c r="AS864" s="281">
        <f t="shared" si="390"/>
        <v>0</v>
      </c>
      <c r="AT864" s="284">
        <f t="shared" si="391"/>
        <v>0</v>
      </c>
    </row>
    <row r="865" spans="1:46" s="114" customFormat="1" ht="30.9" x14ac:dyDescent="0.8">
      <c r="A865" s="262">
        <f>ROW()</f>
        <v>865</v>
      </c>
      <c r="C865" s="208"/>
      <c r="D865" s="208"/>
      <c r="E865" s="208"/>
      <c r="F865" s="208"/>
      <c r="G865" s="208"/>
      <c r="H865" s="208"/>
      <c r="J865" s="114" t="str">
        <f t="shared" si="399"/>
        <v/>
      </c>
      <c r="K865" s="114" t="str">
        <f>IF(COUNTBLANK(R865)&gt;0,"",CONCATENATE(R865," for ",N860))</f>
        <v/>
      </c>
      <c r="M865" s="117"/>
      <c r="N865" s="123" t="s">
        <v>117</v>
      </c>
      <c r="O865" s="66" t="s">
        <v>390</v>
      </c>
      <c r="P865" s="121"/>
      <c r="Q865" s="66"/>
      <c r="R865" s="121"/>
      <c r="S865" s="133">
        <f>M860</f>
        <v>0</v>
      </c>
      <c r="T865" s="120"/>
      <c r="U865" s="121" t="s">
        <v>292</v>
      </c>
      <c r="V865" s="133">
        <f t="shared" si="392"/>
        <v>0</v>
      </c>
      <c r="W865" s="133">
        <f>VLOOKUP(U865,Sheet1!$B$6:$C$45,2,FALSE)*V865</f>
        <v>0</v>
      </c>
      <c r="X865" s="141"/>
      <c r="Y865" s="121" t="s">
        <v>292</v>
      </c>
      <c r="Z865" s="146">
        <f>VLOOKUP(Takeoffs!Y865,Sheet1!$B$6:$C$124,2,FALSE)</f>
        <v>0</v>
      </c>
      <c r="AA865" s="146">
        <f t="shared" si="393"/>
        <v>0</v>
      </c>
      <c r="AB865" s="143">
        <f t="shared" si="394"/>
        <v>0</v>
      </c>
      <c r="AC865" s="133">
        <f t="shared" si="395"/>
        <v>0</v>
      </c>
      <c r="AD865" s="142">
        <v>1</v>
      </c>
      <c r="AE865" s="141"/>
      <c r="AF865" s="122" t="s">
        <v>268</v>
      </c>
      <c r="AG865" s="146">
        <f>VLOOKUP(Takeoffs!AF865,Sheet1!$B$6:$C$124,2,FALSE)</f>
        <v>1.02</v>
      </c>
      <c r="AH865" s="146">
        <f t="shared" si="396"/>
        <v>0</v>
      </c>
      <c r="AI865" s="143">
        <f t="shared" si="397"/>
        <v>0</v>
      </c>
      <c r="AJ865" s="133">
        <f t="shared" si="398"/>
        <v>0</v>
      </c>
      <c r="AK865" s="142">
        <v>3</v>
      </c>
      <c r="AL865" s="141"/>
      <c r="AO865" s="286"/>
      <c r="AP865" s="284">
        <f t="shared" si="387"/>
        <v>0</v>
      </c>
      <c r="AQ865" s="281">
        <f t="shared" si="388"/>
        <v>0</v>
      </c>
      <c r="AR865" s="284">
        <f t="shared" si="389"/>
        <v>0</v>
      </c>
      <c r="AS865" s="281">
        <f t="shared" si="390"/>
        <v>0</v>
      </c>
      <c r="AT865" s="284">
        <f t="shared" si="391"/>
        <v>0</v>
      </c>
    </row>
    <row r="866" spans="1:46" s="114" customFormat="1" ht="30.9" x14ac:dyDescent="0.8">
      <c r="A866" s="262">
        <f>ROW()</f>
        <v>866</v>
      </c>
      <c r="C866" s="208"/>
      <c r="D866" s="208"/>
      <c r="E866" s="208"/>
      <c r="F866" s="208"/>
      <c r="G866" s="208"/>
      <c r="H866" s="208"/>
      <c r="J866" s="114" t="str">
        <f t="shared" si="399"/>
        <v/>
      </c>
      <c r="K866" s="114" t="str">
        <f>IF(COUNTBLANK(R866)&gt;0,"",CONCATENATE(R866," for ",N860))</f>
        <v/>
      </c>
      <c r="M866" s="117"/>
      <c r="N866" s="123" t="s">
        <v>118</v>
      </c>
      <c r="O866" s="66" t="s">
        <v>309</v>
      </c>
      <c r="P866" s="121"/>
      <c r="Q866" s="66"/>
      <c r="R866" s="121"/>
      <c r="S866" s="133">
        <f>M860</f>
        <v>0</v>
      </c>
      <c r="T866" s="120"/>
      <c r="U866" s="121" t="s">
        <v>292</v>
      </c>
      <c r="V866" s="133">
        <f t="shared" si="392"/>
        <v>0</v>
      </c>
      <c r="W866" s="133">
        <f>VLOOKUP(U866,Sheet1!$B$6:$C$45,2,FALSE)*V866</f>
        <v>0</v>
      </c>
      <c r="X866" s="141"/>
      <c r="Y866" s="121" t="s">
        <v>292</v>
      </c>
      <c r="Z866" s="146">
        <f>VLOOKUP(Takeoffs!Y866,Sheet1!$B$6:$C$124,2,FALSE)</f>
        <v>0</v>
      </c>
      <c r="AA866" s="146">
        <f t="shared" si="393"/>
        <v>0</v>
      </c>
      <c r="AB866" s="143">
        <f t="shared" si="394"/>
        <v>0</v>
      </c>
      <c r="AC866" s="133">
        <f t="shared" si="395"/>
        <v>0</v>
      </c>
      <c r="AD866" s="142">
        <v>1</v>
      </c>
      <c r="AE866" s="141"/>
      <c r="AF866" s="121" t="s">
        <v>292</v>
      </c>
      <c r="AG866" s="146">
        <f>VLOOKUP(Takeoffs!AF866,Sheet1!$B$6:$C$124,2,FALSE)</f>
        <v>0</v>
      </c>
      <c r="AH866" s="146">
        <f t="shared" si="396"/>
        <v>0</v>
      </c>
      <c r="AI866" s="143">
        <f t="shared" si="397"/>
        <v>0</v>
      </c>
      <c r="AJ866" s="133">
        <f t="shared" si="398"/>
        <v>0</v>
      </c>
      <c r="AK866" s="142">
        <f>T866</f>
        <v>0</v>
      </c>
      <c r="AL866" s="141"/>
      <c r="AO866" s="286"/>
      <c r="AP866" s="284">
        <f t="shared" si="387"/>
        <v>0</v>
      </c>
      <c r="AQ866" s="281">
        <f t="shared" si="388"/>
        <v>0</v>
      </c>
      <c r="AR866" s="284">
        <f t="shared" si="389"/>
        <v>0</v>
      </c>
      <c r="AS866" s="281">
        <f t="shared" si="390"/>
        <v>0</v>
      </c>
      <c r="AT866" s="284">
        <f t="shared" si="391"/>
        <v>0</v>
      </c>
    </row>
    <row r="867" spans="1:46" s="114" customFormat="1" ht="30.9" x14ac:dyDescent="0.8">
      <c r="A867" s="262">
        <f>ROW()</f>
        <v>867</v>
      </c>
      <c r="C867" s="208"/>
      <c r="D867" s="208"/>
      <c r="E867" s="208"/>
      <c r="F867" s="208"/>
      <c r="G867" s="208"/>
      <c r="H867" s="208"/>
      <c r="J867" s="114" t="str">
        <f t="shared" si="399"/>
        <v/>
      </c>
      <c r="K867" s="114" t="str">
        <f>IF(COUNTBLANK(R867)&gt;0,"",CONCATENATE(R867," for ",N860))</f>
        <v/>
      </c>
      <c r="N867" s="123" t="s">
        <v>119</v>
      </c>
      <c r="O867" s="66"/>
      <c r="P867" s="121"/>
      <c r="Q867" s="66"/>
      <c r="R867" s="121"/>
      <c r="S867" s="133">
        <f>M860</f>
        <v>0</v>
      </c>
      <c r="T867" s="120"/>
      <c r="U867" s="121" t="s">
        <v>292</v>
      </c>
      <c r="V867" s="133">
        <f t="shared" si="392"/>
        <v>0</v>
      </c>
      <c r="W867" s="133">
        <f>VLOOKUP(U867,Sheet1!$B$6:$C$45,2,FALSE)*V867</f>
        <v>0</v>
      </c>
      <c r="X867" s="141"/>
      <c r="Y867" s="121" t="s">
        <v>292</v>
      </c>
      <c r="Z867" s="146">
        <f>VLOOKUP(Takeoffs!Y867,Sheet1!$B$6:$C$124,2,FALSE)</f>
        <v>0</v>
      </c>
      <c r="AA867" s="146">
        <f t="shared" si="393"/>
        <v>0</v>
      </c>
      <c r="AB867" s="143">
        <f t="shared" si="394"/>
        <v>0</v>
      </c>
      <c r="AC867" s="133">
        <f t="shared" si="395"/>
        <v>0</v>
      </c>
      <c r="AD867" s="142">
        <v>1</v>
      </c>
      <c r="AE867" s="141"/>
      <c r="AF867" s="121" t="s">
        <v>292</v>
      </c>
      <c r="AG867" s="146">
        <f>VLOOKUP(Takeoffs!AF867,Sheet1!$B$6:$C$124,2,FALSE)</f>
        <v>0</v>
      </c>
      <c r="AH867" s="146">
        <f t="shared" si="396"/>
        <v>0</v>
      </c>
      <c r="AI867" s="143">
        <f t="shared" si="397"/>
        <v>0</v>
      </c>
      <c r="AJ867" s="133">
        <f t="shared" si="398"/>
        <v>0</v>
      </c>
      <c r="AK867" s="142">
        <f>T867</f>
        <v>0</v>
      </c>
      <c r="AL867" s="141"/>
      <c r="AO867" s="286"/>
      <c r="AP867" s="284">
        <f t="shared" si="387"/>
        <v>0</v>
      </c>
      <c r="AQ867" s="281">
        <f t="shared" si="388"/>
        <v>0</v>
      </c>
      <c r="AR867" s="284">
        <f t="shared" si="389"/>
        <v>0</v>
      </c>
      <c r="AS867" s="281">
        <f t="shared" si="390"/>
        <v>0</v>
      </c>
      <c r="AT867" s="284">
        <f t="shared" si="391"/>
        <v>0</v>
      </c>
    </row>
    <row r="868" spans="1:46" s="114" customFormat="1" ht="30.9" x14ac:dyDescent="0.8">
      <c r="A868" s="262">
        <f>ROW()</f>
        <v>868</v>
      </c>
      <c r="C868" s="208"/>
      <c r="D868" s="208"/>
      <c r="E868" s="208"/>
      <c r="F868" s="208"/>
      <c r="G868" s="208"/>
      <c r="H868" s="208"/>
      <c r="J868" s="114" t="str">
        <f t="shared" si="399"/>
        <v/>
      </c>
      <c r="K868" s="114" t="str">
        <f>IF(COUNTBLANK(R868)&gt;0,"",CONCATENATE(R868," for ",N860))</f>
        <v/>
      </c>
      <c r="N868" s="123" t="s">
        <v>120</v>
      </c>
      <c r="O868" s="66" t="s">
        <v>328</v>
      </c>
      <c r="P868" s="121"/>
      <c r="Q868" s="66"/>
      <c r="R868" s="121"/>
      <c r="S868" s="133">
        <f>M860</f>
        <v>0</v>
      </c>
      <c r="T868" s="120"/>
      <c r="U868" s="121" t="s">
        <v>364</v>
      </c>
      <c r="V868" s="133">
        <f t="shared" si="392"/>
        <v>0</v>
      </c>
      <c r="W868" s="133">
        <f>VLOOKUP(U868,Sheet1!$B$6:$C$45,2,FALSE)*V868</f>
        <v>0</v>
      </c>
      <c r="X868" s="141"/>
      <c r="Y868" s="121" t="s">
        <v>292</v>
      </c>
      <c r="Z868" s="146">
        <f>VLOOKUP(Takeoffs!Y868,Sheet1!$B$6:$C$124,2,FALSE)</f>
        <v>0</v>
      </c>
      <c r="AA868" s="146">
        <f t="shared" si="393"/>
        <v>0</v>
      </c>
      <c r="AB868" s="143">
        <f t="shared" si="394"/>
        <v>0</v>
      </c>
      <c r="AC868" s="133">
        <f t="shared" si="395"/>
        <v>0</v>
      </c>
      <c r="AD868" s="142">
        <v>1</v>
      </c>
      <c r="AE868" s="141"/>
      <c r="AF868" s="121" t="s">
        <v>292</v>
      </c>
      <c r="AG868" s="146">
        <f>VLOOKUP(Takeoffs!AF868,Sheet1!$B$6:$C$124,2,FALSE)</f>
        <v>0</v>
      </c>
      <c r="AH868" s="146">
        <f t="shared" si="396"/>
        <v>0</v>
      </c>
      <c r="AI868" s="143">
        <f t="shared" si="397"/>
        <v>0</v>
      </c>
      <c r="AJ868" s="133">
        <f t="shared" si="398"/>
        <v>0</v>
      </c>
      <c r="AK868" s="142">
        <f>T868</f>
        <v>0</v>
      </c>
      <c r="AL868" s="141"/>
      <c r="AO868" s="286"/>
      <c r="AP868" s="284">
        <f t="shared" si="387"/>
        <v>0</v>
      </c>
      <c r="AQ868" s="281">
        <f t="shared" si="388"/>
        <v>0</v>
      </c>
      <c r="AR868" s="284">
        <f t="shared" si="389"/>
        <v>0</v>
      </c>
      <c r="AS868" s="281">
        <f t="shared" si="390"/>
        <v>0</v>
      </c>
      <c r="AT868" s="284">
        <f t="shared" si="391"/>
        <v>0</v>
      </c>
    </row>
    <row r="869" spans="1:46" s="114" customFormat="1" ht="30.9" x14ac:dyDescent="0.8">
      <c r="A869" s="262">
        <f>ROW()</f>
        <v>869</v>
      </c>
      <c r="C869" s="208"/>
      <c r="D869" s="208"/>
      <c r="E869" s="208"/>
      <c r="F869" s="208"/>
      <c r="G869" s="208"/>
      <c r="H869" s="208"/>
      <c r="J869" s="114" t="str">
        <f t="shared" si="399"/>
        <v/>
      </c>
      <c r="K869" s="114" t="str">
        <f>IF(COUNTBLANK(R869)&gt;0,"",CONCATENATE(R869," for ",N860))</f>
        <v/>
      </c>
      <c r="N869" s="123" t="s">
        <v>121</v>
      </c>
      <c r="O869" s="66"/>
      <c r="P869" s="121"/>
      <c r="Q869" s="66"/>
      <c r="R869" s="121"/>
      <c r="S869" s="133">
        <f>M860</f>
        <v>0</v>
      </c>
      <c r="T869" s="120"/>
      <c r="U869" s="121" t="s">
        <v>292</v>
      </c>
      <c r="V869" s="133">
        <f t="shared" si="392"/>
        <v>0</v>
      </c>
      <c r="W869" s="133">
        <f>VLOOKUP(U869,Sheet1!$B$6:$C$45,2,FALSE)*V869</f>
        <v>0</v>
      </c>
      <c r="X869" s="141"/>
      <c r="Y869" s="121" t="s">
        <v>292</v>
      </c>
      <c r="Z869" s="146">
        <f>VLOOKUP(Takeoffs!Y869,Sheet1!$B$6:$C$124,2,FALSE)</f>
        <v>0</v>
      </c>
      <c r="AA869" s="146">
        <f t="shared" si="393"/>
        <v>0</v>
      </c>
      <c r="AB869" s="143">
        <f t="shared" si="394"/>
        <v>0</v>
      </c>
      <c r="AC869" s="133">
        <f t="shared" si="395"/>
        <v>0</v>
      </c>
      <c r="AD869" s="142">
        <v>1</v>
      </c>
      <c r="AE869" s="141"/>
      <c r="AF869" s="121" t="s">
        <v>292</v>
      </c>
      <c r="AG869" s="146">
        <f>VLOOKUP(Takeoffs!AF869,Sheet1!$B$6:$C$124,2,FALSE)</f>
        <v>0</v>
      </c>
      <c r="AH869" s="146">
        <f t="shared" si="396"/>
        <v>0</v>
      </c>
      <c r="AI869" s="143">
        <f t="shared" si="397"/>
        <v>0</v>
      </c>
      <c r="AJ869" s="133">
        <f t="shared" si="398"/>
        <v>0</v>
      </c>
      <c r="AK869" s="142">
        <f>T869</f>
        <v>0</v>
      </c>
      <c r="AL869" s="141"/>
      <c r="AO869" s="286"/>
      <c r="AP869" s="284">
        <f t="shared" si="387"/>
        <v>0</v>
      </c>
      <c r="AQ869" s="281">
        <f t="shared" si="388"/>
        <v>0</v>
      </c>
      <c r="AR869" s="284">
        <f t="shared" si="389"/>
        <v>0</v>
      </c>
      <c r="AS869" s="281">
        <f t="shared" si="390"/>
        <v>0</v>
      </c>
      <c r="AT869" s="284">
        <f t="shared" si="391"/>
        <v>0</v>
      </c>
    </row>
    <row r="870" spans="1:46" s="114" customFormat="1" ht="30.9" x14ac:dyDescent="0.8">
      <c r="A870" s="262">
        <f>ROW()</f>
        <v>870</v>
      </c>
      <c r="C870" s="208"/>
      <c r="D870" s="208"/>
      <c r="E870" s="208"/>
      <c r="F870" s="208"/>
      <c r="G870" s="208"/>
      <c r="H870" s="208"/>
      <c r="J870" s="114" t="str">
        <f t="shared" si="399"/>
        <v/>
      </c>
      <c r="K870" s="114" t="str">
        <f>IF(COUNTBLANK(R870)&gt;0,"",CONCATENATE(R870," for ",N860))</f>
        <v/>
      </c>
      <c r="N870" s="123" t="s">
        <v>122</v>
      </c>
      <c r="O870" s="66"/>
      <c r="P870" s="121"/>
      <c r="Q870" s="66"/>
      <c r="R870" s="121"/>
      <c r="S870" s="133">
        <f>M860</f>
        <v>0</v>
      </c>
      <c r="T870" s="120"/>
      <c r="U870" s="121" t="s">
        <v>292</v>
      </c>
      <c r="V870" s="133">
        <f t="shared" si="392"/>
        <v>0</v>
      </c>
      <c r="W870" s="133">
        <f>VLOOKUP(U870,Sheet1!$B$6:$C$45,2,FALSE)*V870</f>
        <v>0</v>
      </c>
      <c r="X870" s="141"/>
      <c r="Y870" s="121" t="s">
        <v>292</v>
      </c>
      <c r="Z870" s="146">
        <f>VLOOKUP(Takeoffs!Y870,Sheet1!$B$6:$C$124,2,FALSE)</f>
        <v>0</v>
      </c>
      <c r="AA870" s="146">
        <f t="shared" si="393"/>
        <v>0</v>
      </c>
      <c r="AB870" s="143">
        <f t="shared" si="394"/>
        <v>0</v>
      </c>
      <c r="AC870" s="133">
        <f t="shared" si="395"/>
        <v>0</v>
      </c>
      <c r="AD870" s="142">
        <v>1</v>
      </c>
      <c r="AE870" s="141"/>
      <c r="AF870" s="121" t="s">
        <v>292</v>
      </c>
      <c r="AG870" s="146">
        <f>VLOOKUP(Takeoffs!AF870,Sheet1!$B$6:$C$124,2,FALSE)</f>
        <v>0</v>
      </c>
      <c r="AH870" s="146">
        <f t="shared" si="396"/>
        <v>0</v>
      </c>
      <c r="AI870" s="143">
        <f t="shared" si="397"/>
        <v>0</v>
      </c>
      <c r="AJ870" s="133">
        <f t="shared" si="398"/>
        <v>0</v>
      </c>
      <c r="AK870" s="142">
        <f>T870</f>
        <v>0</v>
      </c>
      <c r="AL870" s="141"/>
      <c r="AO870" s="286"/>
      <c r="AP870" s="284">
        <f t="shared" si="387"/>
        <v>0</v>
      </c>
      <c r="AQ870" s="281">
        <f t="shared" si="388"/>
        <v>0</v>
      </c>
      <c r="AR870" s="284">
        <f t="shared" si="389"/>
        <v>0</v>
      </c>
      <c r="AS870" s="281">
        <f t="shared" si="390"/>
        <v>0</v>
      </c>
      <c r="AT870" s="284">
        <f t="shared" si="391"/>
        <v>0</v>
      </c>
    </row>
    <row r="871" spans="1:46" s="114" customFormat="1" ht="30.9" x14ac:dyDescent="0.8">
      <c r="A871" s="262">
        <f>ROW()</f>
        <v>871</v>
      </c>
      <c r="C871" s="208"/>
      <c r="D871" s="208"/>
      <c r="E871" s="208"/>
      <c r="F871" s="208"/>
      <c r="G871" s="208"/>
      <c r="H871" s="208"/>
      <c r="J871" s="114" t="str">
        <f t="shared" si="399"/>
        <v/>
      </c>
      <c r="K871" s="114" t="str">
        <f>IF(COUNTBLANK(R871)&gt;0,"",CONCATENATE(R871," for ",N860))</f>
        <v/>
      </c>
      <c r="N871" s="123" t="s">
        <v>123</v>
      </c>
      <c r="O871" s="66"/>
      <c r="P871" s="121"/>
      <c r="Q871" s="66"/>
      <c r="R871" s="121"/>
      <c r="S871" s="133">
        <f>M860</f>
        <v>0</v>
      </c>
      <c r="T871" s="120"/>
      <c r="U871" s="121" t="s">
        <v>292</v>
      </c>
      <c r="V871" s="133">
        <f t="shared" si="392"/>
        <v>0</v>
      </c>
      <c r="W871" s="133">
        <f>VLOOKUP(U871,Sheet1!$B$6:$C$45,2,FALSE)*V871</f>
        <v>0</v>
      </c>
      <c r="X871" s="141"/>
      <c r="Y871" s="121" t="s">
        <v>292</v>
      </c>
      <c r="Z871" s="146">
        <f>VLOOKUP(Takeoffs!Y871,Sheet1!$B$6:$C$124,2,FALSE)</f>
        <v>0</v>
      </c>
      <c r="AA871" s="146">
        <f t="shared" si="393"/>
        <v>0</v>
      </c>
      <c r="AB871" s="143">
        <f t="shared" si="394"/>
        <v>0</v>
      </c>
      <c r="AC871" s="133">
        <f t="shared" si="395"/>
        <v>0</v>
      </c>
      <c r="AD871" s="142">
        <v>1</v>
      </c>
      <c r="AE871" s="141"/>
      <c r="AF871" s="121" t="s">
        <v>292</v>
      </c>
      <c r="AG871" s="146">
        <f>VLOOKUP(Takeoffs!AF871,Sheet1!$B$6:$C$124,2,FALSE)</f>
        <v>0</v>
      </c>
      <c r="AH871" s="146">
        <f t="shared" si="396"/>
        <v>0</v>
      </c>
      <c r="AI871" s="143">
        <f t="shared" si="397"/>
        <v>0</v>
      </c>
      <c r="AJ871" s="133">
        <f t="shared" si="398"/>
        <v>0</v>
      </c>
      <c r="AK871" s="142">
        <v>0</v>
      </c>
      <c r="AL871" s="141"/>
      <c r="AO871" s="286"/>
      <c r="AP871" s="284">
        <f t="shared" si="387"/>
        <v>0</v>
      </c>
      <c r="AQ871" s="281">
        <f t="shared" si="388"/>
        <v>0</v>
      </c>
      <c r="AR871" s="284">
        <f t="shared" si="389"/>
        <v>0</v>
      </c>
      <c r="AS871" s="281">
        <f t="shared" si="390"/>
        <v>0</v>
      </c>
      <c r="AT871" s="284">
        <f t="shared" si="391"/>
        <v>0</v>
      </c>
    </row>
    <row r="872" spans="1:46" s="114" customFormat="1" ht="30.9" x14ac:dyDescent="0.8">
      <c r="A872" s="262">
        <f>ROW()</f>
        <v>872</v>
      </c>
      <c r="C872" s="208"/>
      <c r="D872" s="208"/>
      <c r="E872" s="208"/>
      <c r="F872" s="208"/>
      <c r="G872" s="208"/>
      <c r="H872" s="208"/>
      <c r="J872" s="114" t="str">
        <f t="shared" si="399"/>
        <v/>
      </c>
      <c r="K872" s="114" t="str">
        <f>IF(COUNTBLANK(R872)&gt;0,"",CONCATENATE(R872," for ",N860))</f>
        <v/>
      </c>
      <c r="N872" s="123" t="s">
        <v>124</v>
      </c>
      <c r="O872" s="66" t="s">
        <v>140</v>
      </c>
      <c r="P872" s="121"/>
      <c r="Q872" s="66"/>
      <c r="R872" s="121"/>
      <c r="S872" s="133">
        <f>M860</f>
        <v>0</v>
      </c>
      <c r="T872" s="120"/>
      <c r="U872" s="121" t="s">
        <v>292</v>
      </c>
      <c r="V872" s="133">
        <f t="shared" si="392"/>
        <v>0</v>
      </c>
      <c r="W872" s="133">
        <f>VLOOKUP(U872,Sheet1!$B$6:$C$45,2,FALSE)*V872</f>
        <v>0</v>
      </c>
      <c r="X872" s="141"/>
      <c r="Y872" s="121" t="s">
        <v>292</v>
      </c>
      <c r="Z872" s="146">
        <f>VLOOKUP(Takeoffs!Y872,Sheet1!$B$6:$C$124,2,FALSE)</f>
        <v>0</v>
      </c>
      <c r="AA872" s="146">
        <f t="shared" si="393"/>
        <v>0</v>
      </c>
      <c r="AB872" s="143">
        <f t="shared" si="394"/>
        <v>0</v>
      </c>
      <c r="AC872" s="133">
        <f t="shared" si="395"/>
        <v>0</v>
      </c>
      <c r="AD872" s="142">
        <v>1</v>
      </c>
      <c r="AE872" s="141"/>
      <c r="AF872" s="152" t="s">
        <v>418</v>
      </c>
      <c r="AG872" s="146">
        <f>VLOOKUP(Takeoffs!AF872,Sheet1!$B$6:$C$124,2,FALSE)</f>
        <v>0.33600000000000002</v>
      </c>
      <c r="AH872" s="146">
        <f t="shared" si="396"/>
        <v>0</v>
      </c>
      <c r="AI872" s="143">
        <f t="shared" si="397"/>
        <v>0</v>
      </c>
      <c r="AJ872" s="133">
        <f t="shared" si="398"/>
        <v>0</v>
      </c>
      <c r="AK872" s="142">
        <v>1</v>
      </c>
      <c r="AL872" s="141"/>
      <c r="AO872" s="286"/>
      <c r="AP872" s="284">
        <f t="shared" si="387"/>
        <v>0</v>
      </c>
      <c r="AQ872" s="281">
        <f t="shared" si="388"/>
        <v>0</v>
      </c>
      <c r="AR872" s="284">
        <f t="shared" si="389"/>
        <v>0</v>
      </c>
      <c r="AS872" s="281">
        <f t="shared" si="390"/>
        <v>0</v>
      </c>
      <c r="AT872" s="284">
        <f t="shared" si="391"/>
        <v>0</v>
      </c>
    </row>
    <row r="873" spans="1:46" s="114" customFormat="1" ht="30.9" x14ac:dyDescent="0.8">
      <c r="A873" s="262">
        <f>ROW()</f>
        <v>873</v>
      </c>
      <c r="C873" s="208"/>
      <c r="D873" s="208"/>
      <c r="E873" s="208"/>
      <c r="F873" s="208"/>
      <c r="G873" s="208"/>
      <c r="H873" s="208"/>
      <c r="J873" s="114" t="str">
        <f t="shared" si="399"/>
        <v/>
      </c>
      <c r="K873" s="114" t="str">
        <f>IF(COUNTBLANK(R873)&gt;0,"",CONCATENATE(R873," for ",N860))</f>
        <v/>
      </c>
      <c r="N873" s="123" t="s">
        <v>125</v>
      </c>
      <c r="O873" s="66" t="s">
        <v>312</v>
      </c>
      <c r="P873" s="121"/>
      <c r="Q873" s="66"/>
      <c r="R873" s="121"/>
      <c r="S873" s="133">
        <f>M860</f>
        <v>0</v>
      </c>
      <c r="T873" s="120"/>
      <c r="U873" s="121" t="s">
        <v>232</v>
      </c>
      <c r="V873" s="133">
        <f t="shared" si="392"/>
        <v>0</v>
      </c>
      <c r="W873" s="133">
        <f>VLOOKUP(U873,Sheet1!$B$6:$C$45,2,FALSE)*V873</f>
        <v>0</v>
      </c>
      <c r="X873" s="141"/>
      <c r="Y873" s="122" t="s">
        <v>1345</v>
      </c>
      <c r="Z873" s="146">
        <f>VLOOKUP(Takeoffs!Y873,Sheet1!$B$6:$C$124,2,FALSE)</f>
        <v>109.25999999999999</v>
      </c>
      <c r="AA873" s="146">
        <f t="shared" si="393"/>
        <v>0</v>
      </c>
      <c r="AB873" s="143">
        <f t="shared" si="394"/>
        <v>0</v>
      </c>
      <c r="AC873" s="133">
        <f t="shared" si="395"/>
        <v>0</v>
      </c>
      <c r="AD873" s="142">
        <v>1</v>
      </c>
      <c r="AE873" s="141"/>
      <c r="AF873" s="121" t="s">
        <v>292</v>
      </c>
      <c r="AG873" s="146">
        <f>VLOOKUP(Takeoffs!AF873,Sheet1!$B$6:$C$124,2,FALSE)</f>
        <v>0</v>
      </c>
      <c r="AH873" s="146">
        <f t="shared" si="396"/>
        <v>0</v>
      </c>
      <c r="AI873" s="143">
        <f t="shared" si="397"/>
        <v>0</v>
      </c>
      <c r="AJ873" s="133">
        <f t="shared" si="398"/>
        <v>0</v>
      </c>
      <c r="AK873" s="142">
        <f t="shared" ref="AK873:AK880" si="400">T873</f>
        <v>0</v>
      </c>
      <c r="AL873" s="141"/>
      <c r="AO873" s="286"/>
      <c r="AP873" s="284">
        <f t="shared" si="387"/>
        <v>0</v>
      </c>
      <c r="AQ873" s="281">
        <f t="shared" si="388"/>
        <v>0</v>
      </c>
      <c r="AR873" s="284">
        <f t="shared" si="389"/>
        <v>0</v>
      </c>
      <c r="AS873" s="281">
        <f t="shared" si="390"/>
        <v>0</v>
      </c>
      <c r="AT873" s="284">
        <f t="shared" si="391"/>
        <v>0</v>
      </c>
    </row>
    <row r="874" spans="1:46" s="114" customFormat="1" ht="30.9" x14ac:dyDescent="0.8">
      <c r="A874" s="262">
        <f>ROW()</f>
        <v>874</v>
      </c>
      <c r="C874" s="208"/>
      <c r="D874" s="208"/>
      <c r="E874" s="208"/>
      <c r="F874" s="208"/>
      <c r="G874" s="208"/>
      <c r="H874" s="208"/>
      <c r="J874" s="114" t="str">
        <f t="shared" si="399"/>
        <v>Coordination Note: - Fire trade: Please refer to our exclusions relating to fire cabling from FIP.</v>
      </c>
      <c r="K874" s="114" t="str">
        <f>IF(COUNTBLANK(R874)&gt;0,"",CONCATENATE(R874," for ",N860))</f>
        <v/>
      </c>
      <c r="N874" s="123" t="s">
        <v>126</v>
      </c>
      <c r="O874" s="66" t="s">
        <v>345</v>
      </c>
      <c r="P874" s="121" t="s">
        <v>380</v>
      </c>
      <c r="Q874" s="66" t="s">
        <v>384</v>
      </c>
      <c r="R874" s="121"/>
      <c r="S874" s="133">
        <f>M860</f>
        <v>0</v>
      </c>
      <c r="T874" s="120"/>
      <c r="U874" s="121" t="s">
        <v>292</v>
      </c>
      <c r="V874" s="133">
        <f t="shared" si="392"/>
        <v>0</v>
      </c>
      <c r="W874" s="133">
        <f>VLOOKUP(U874,Sheet1!$B$6:$C$45,2,FALSE)*V874</f>
        <v>0</v>
      </c>
      <c r="X874" s="141"/>
      <c r="Y874" s="122" t="s">
        <v>326</v>
      </c>
      <c r="Z874" s="146">
        <f>VLOOKUP(Takeoffs!Y874,Sheet1!$B$6:$C$124,2,FALSE)</f>
        <v>29.04</v>
      </c>
      <c r="AA874" s="146">
        <f t="shared" si="393"/>
        <v>0</v>
      </c>
      <c r="AB874" s="143">
        <f t="shared" si="394"/>
        <v>0</v>
      </c>
      <c r="AC874" s="133">
        <f t="shared" si="395"/>
        <v>0</v>
      </c>
      <c r="AD874" s="142">
        <v>1</v>
      </c>
      <c r="AE874" s="141"/>
      <c r="AF874" s="121" t="s">
        <v>292</v>
      </c>
      <c r="AG874" s="146">
        <f>VLOOKUP(Takeoffs!AF874,Sheet1!$B$6:$C$124,2,FALSE)</f>
        <v>0</v>
      </c>
      <c r="AH874" s="146">
        <f t="shared" si="396"/>
        <v>0</v>
      </c>
      <c r="AI874" s="143">
        <f t="shared" si="397"/>
        <v>0</v>
      </c>
      <c r="AJ874" s="133">
        <f t="shared" si="398"/>
        <v>0</v>
      </c>
      <c r="AK874" s="142">
        <f t="shared" si="400"/>
        <v>0</v>
      </c>
      <c r="AL874" s="141"/>
      <c r="AO874" s="286"/>
      <c r="AP874" s="284">
        <f t="shared" si="387"/>
        <v>0</v>
      </c>
      <c r="AQ874" s="281">
        <f t="shared" si="388"/>
        <v>0</v>
      </c>
      <c r="AR874" s="284">
        <f t="shared" si="389"/>
        <v>0</v>
      </c>
      <c r="AS874" s="281">
        <f t="shared" si="390"/>
        <v>0</v>
      </c>
      <c r="AT874" s="284">
        <f t="shared" si="391"/>
        <v>0</v>
      </c>
    </row>
    <row r="875" spans="1:46" s="114" customFormat="1" ht="30.9" x14ac:dyDescent="0.8">
      <c r="A875" s="262">
        <f>ROW()</f>
        <v>875</v>
      </c>
      <c r="C875" s="208"/>
      <c r="D875" s="208"/>
      <c r="E875" s="208"/>
      <c r="F875" s="208"/>
      <c r="G875" s="208"/>
      <c r="H875" s="208"/>
      <c r="J875" s="114" t="str">
        <f t="shared" si="399"/>
        <v/>
      </c>
      <c r="K875" s="114" t="str">
        <f>IF(COUNTBLANK(R875)&gt;0,"",CONCATENATE(R875," for ",N860))</f>
        <v>run and fault lights for Medium sized VSD fan with fire shutdown - from MSSB power supply and BMS interface provisions</v>
      </c>
      <c r="N875" s="123" t="s">
        <v>127</v>
      </c>
      <c r="O875" s="66" t="s">
        <v>337</v>
      </c>
      <c r="P875" s="121"/>
      <c r="Q875" s="66"/>
      <c r="R875" s="121" t="s">
        <v>331</v>
      </c>
      <c r="S875" s="133">
        <f>M860</f>
        <v>0</v>
      </c>
      <c r="T875" s="120"/>
      <c r="U875" s="121" t="s">
        <v>292</v>
      </c>
      <c r="V875" s="133">
        <f t="shared" si="392"/>
        <v>0</v>
      </c>
      <c r="W875" s="133">
        <f>VLOOKUP(U875,Sheet1!$B$6:$C$45,2,FALSE)*V875</f>
        <v>0</v>
      </c>
      <c r="X875" s="141"/>
      <c r="Y875" s="122" t="s">
        <v>280</v>
      </c>
      <c r="Z875" s="146">
        <f>VLOOKUP(Takeoffs!Y875,Sheet1!$B$6:$C$124,2,FALSE)</f>
        <v>19.2</v>
      </c>
      <c r="AA875" s="146">
        <f t="shared" si="393"/>
        <v>0</v>
      </c>
      <c r="AB875" s="143">
        <f t="shared" si="394"/>
        <v>0</v>
      </c>
      <c r="AC875" s="133">
        <f t="shared" si="395"/>
        <v>0</v>
      </c>
      <c r="AD875" s="142">
        <v>2</v>
      </c>
      <c r="AE875" s="141"/>
      <c r="AF875" s="121" t="s">
        <v>292</v>
      </c>
      <c r="AG875" s="146">
        <f>VLOOKUP(Takeoffs!AF875,Sheet1!$B$6:$C$124,2,FALSE)</f>
        <v>0</v>
      </c>
      <c r="AH875" s="146">
        <f t="shared" si="396"/>
        <v>0</v>
      </c>
      <c r="AI875" s="143">
        <f t="shared" si="397"/>
        <v>0</v>
      </c>
      <c r="AJ875" s="133">
        <f t="shared" si="398"/>
        <v>0</v>
      </c>
      <c r="AK875" s="142">
        <f t="shared" si="400"/>
        <v>0</v>
      </c>
      <c r="AL875" s="141"/>
      <c r="AO875" s="286"/>
      <c r="AP875" s="284">
        <f t="shared" si="387"/>
        <v>0</v>
      </c>
      <c r="AQ875" s="281">
        <f t="shared" si="388"/>
        <v>0</v>
      </c>
      <c r="AR875" s="284">
        <f t="shared" si="389"/>
        <v>0</v>
      </c>
      <c r="AS875" s="281">
        <f t="shared" si="390"/>
        <v>0</v>
      </c>
      <c r="AT875" s="284">
        <f t="shared" si="391"/>
        <v>0</v>
      </c>
    </row>
    <row r="876" spans="1:46" s="114" customFormat="1" ht="30.9" x14ac:dyDescent="0.8">
      <c r="A876" s="262">
        <f>ROW()</f>
        <v>876</v>
      </c>
      <c r="C876" s="208"/>
      <c r="D876" s="208"/>
      <c r="E876" s="208"/>
      <c r="F876" s="208"/>
      <c r="G876" s="208"/>
      <c r="H876" s="208"/>
      <c r="J876" s="114" t="str">
        <f t="shared" si="399"/>
        <v/>
      </c>
      <c r="K876" s="114" t="str">
        <f>IF(COUNTBLANK(R876)&gt;0,"",CONCATENATE(R876," for ",N860))</f>
        <v/>
      </c>
      <c r="N876" s="123" t="s">
        <v>128</v>
      </c>
      <c r="O876" s="66" t="s">
        <v>499</v>
      </c>
      <c r="P876" s="121"/>
      <c r="Q876" s="66"/>
      <c r="R876" s="121"/>
      <c r="S876" s="133">
        <f>M860</f>
        <v>0</v>
      </c>
      <c r="T876" s="120"/>
      <c r="U876" s="121" t="s">
        <v>292</v>
      </c>
      <c r="V876" s="133">
        <f t="shared" si="392"/>
        <v>0</v>
      </c>
      <c r="W876" s="133">
        <f>VLOOKUP(U876,Sheet1!$B$6:$C$45,2,FALSE)*V876</f>
        <v>0</v>
      </c>
      <c r="X876" s="141"/>
      <c r="Y876" s="135" t="s">
        <v>422</v>
      </c>
      <c r="Z876" s="146">
        <f>VLOOKUP(Takeoffs!Y876,Sheet1!$B$6:$C$124,2,FALSE)</f>
        <v>23.4</v>
      </c>
      <c r="AA876" s="146">
        <f t="shared" si="393"/>
        <v>0</v>
      </c>
      <c r="AB876" s="143">
        <f t="shared" si="394"/>
        <v>0</v>
      </c>
      <c r="AC876" s="133">
        <f t="shared" si="395"/>
        <v>0</v>
      </c>
      <c r="AD876" s="142">
        <v>1</v>
      </c>
      <c r="AE876" s="141"/>
      <c r="AF876" s="121" t="s">
        <v>292</v>
      </c>
      <c r="AG876" s="146">
        <f>VLOOKUP(Takeoffs!AF876,Sheet1!$B$6:$C$124,2,FALSE)</f>
        <v>0</v>
      </c>
      <c r="AH876" s="146">
        <f t="shared" si="396"/>
        <v>0</v>
      </c>
      <c r="AI876" s="143">
        <f t="shared" si="397"/>
        <v>0</v>
      </c>
      <c r="AJ876" s="133">
        <f t="shared" si="398"/>
        <v>0</v>
      </c>
      <c r="AK876" s="142">
        <f t="shared" si="400"/>
        <v>0</v>
      </c>
      <c r="AL876" s="141"/>
      <c r="AO876" s="286"/>
      <c r="AP876" s="284">
        <f t="shared" si="387"/>
        <v>0</v>
      </c>
      <c r="AQ876" s="281">
        <f t="shared" si="388"/>
        <v>0</v>
      </c>
      <c r="AR876" s="284">
        <f t="shared" si="389"/>
        <v>0</v>
      </c>
      <c r="AS876" s="281">
        <f t="shared" si="390"/>
        <v>0</v>
      </c>
      <c r="AT876" s="284">
        <f t="shared" si="391"/>
        <v>0</v>
      </c>
    </row>
    <row r="877" spans="1:46" s="114" customFormat="1" ht="30.9" x14ac:dyDescent="0.8">
      <c r="A877" s="262">
        <f>ROW()</f>
        <v>877</v>
      </c>
      <c r="C877" s="208"/>
      <c r="D877" s="208"/>
      <c r="E877" s="208"/>
      <c r="F877" s="208"/>
      <c r="G877" s="208"/>
      <c r="H877" s="208"/>
      <c r="J877" s="114" t="str">
        <f t="shared" si="399"/>
        <v/>
      </c>
      <c r="K877" s="114" t="str">
        <f>IF(COUNTBLANK(R877)&gt;0,"",CONCATENATE(R877," for ",N860))</f>
        <v>Auto/Off/On switch for Medium sized VSD fan with fire shutdown - from MSSB power supply and BMS interface provisions</v>
      </c>
      <c r="N877" s="123" t="s">
        <v>129</v>
      </c>
      <c r="O877" s="66" t="s">
        <v>329</v>
      </c>
      <c r="P877" s="121"/>
      <c r="Q877" s="66"/>
      <c r="R877" s="121" t="s">
        <v>304</v>
      </c>
      <c r="S877" s="133">
        <f>M860</f>
        <v>0</v>
      </c>
      <c r="T877" s="120"/>
      <c r="U877" s="121" t="s">
        <v>292</v>
      </c>
      <c r="V877" s="133">
        <f t="shared" si="392"/>
        <v>0</v>
      </c>
      <c r="W877" s="133">
        <f>VLOOKUP(U877,Sheet1!$B$6:$C$45,2,FALSE)*V877</f>
        <v>0</v>
      </c>
      <c r="X877" s="141"/>
      <c r="Y877" s="122" t="s">
        <v>277</v>
      </c>
      <c r="Z877" s="146">
        <f>VLOOKUP(Takeoffs!Y877,Sheet1!$B$6:$C$124,2,FALSE)</f>
        <v>69.540000000000006</v>
      </c>
      <c r="AA877" s="146">
        <f t="shared" si="393"/>
        <v>0</v>
      </c>
      <c r="AB877" s="143">
        <f t="shared" si="394"/>
        <v>0</v>
      </c>
      <c r="AC877" s="133">
        <f t="shared" si="395"/>
        <v>0</v>
      </c>
      <c r="AD877" s="142">
        <v>1</v>
      </c>
      <c r="AE877" s="141"/>
      <c r="AF877" s="121" t="s">
        <v>292</v>
      </c>
      <c r="AG877" s="146">
        <f>VLOOKUP(Takeoffs!AF877,Sheet1!$B$6:$C$124,2,FALSE)</f>
        <v>0</v>
      </c>
      <c r="AH877" s="146">
        <f t="shared" si="396"/>
        <v>0</v>
      </c>
      <c r="AI877" s="143">
        <f t="shared" si="397"/>
        <v>0</v>
      </c>
      <c r="AJ877" s="133">
        <f t="shared" si="398"/>
        <v>0</v>
      </c>
      <c r="AK877" s="142">
        <f t="shared" si="400"/>
        <v>0</v>
      </c>
      <c r="AL877" s="141"/>
      <c r="AO877" s="286"/>
      <c r="AP877" s="284">
        <f t="shared" si="387"/>
        <v>0</v>
      </c>
      <c r="AQ877" s="281">
        <f t="shared" si="388"/>
        <v>0</v>
      </c>
      <c r="AR877" s="284">
        <f t="shared" si="389"/>
        <v>0</v>
      </c>
      <c r="AS877" s="281">
        <f t="shared" si="390"/>
        <v>0</v>
      </c>
      <c r="AT877" s="284">
        <f t="shared" si="391"/>
        <v>0</v>
      </c>
    </row>
    <row r="878" spans="1:46" s="114" customFormat="1" ht="30.9" x14ac:dyDescent="0.8">
      <c r="A878" s="262">
        <f>ROW()</f>
        <v>878</v>
      </c>
      <c r="C878" s="208"/>
      <c r="D878" s="208"/>
      <c r="E878" s="208"/>
      <c r="F878" s="208"/>
      <c r="G878" s="208"/>
      <c r="H878" s="208"/>
      <c r="J878" s="114" t="str">
        <f t="shared" si="399"/>
        <v/>
      </c>
      <c r="K878" s="114" t="str">
        <f>IF(COUNTBLANK(R878)&gt;0,"",CONCATENATE(R878," for ",N860))</f>
        <v/>
      </c>
      <c r="N878" s="123" t="s">
        <v>130</v>
      </c>
      <c r="O878" s="66" t="s">
        <v>500</v>
      </c>
      <c r="P878" s="121"/>
      <c r="Q878" s="66"/>
      <c r="R878" s="121"/>
      <c r="S878" s="133">
        <f>M860</f>
        <v>0</v>
      </c>
      <c r="T878" s="120"/>
      <c r="U878" s="121" t="s">
        <v>292</v>
      </c>
      <c r="V878" s="133">
        <f t="shared" si="392"/>
        <v>0</v>
      </c>
      <c r="W878" s="133">
        <f>VLOOKUP(U878,Sheet1!$B$6:$C$45,2,FALSE)*V878</f>
        <v>0</v>
      </c>
      <c r="X878" s="141"/>
      <c r="Y878" s="121" t="s">
        <v>292</v>
      </c>
      <c r="Z878" s="146">
        <f>VLOOKUP(Takeoffs!Y878,Sheet1!$B$6:$C$124,2,FALSE)</f>
        <v>0</v>
      </c>
      <c r="AA878" s="146">
        <f t="shared" si="393"/>
        <v>0</v>
      </c>
      <c r="AB878" s="143">
        <f t="shared" si="394"/>
        <v>0</v>
      </c>
      <c r="AC878" s="133">
        <f t="shared" si="395"/>
        <v>0</v>
      </c>
      <c r="AD878" s="142">
        <v>1</v>
      </c>
      <c r="AE878" s="141"/>
      <c r="AF878" s="121" t="s">
        <v>292</v>
      </c>
      <c r="AG878" s="146">
        <f>VLOOKUP(Takeoffs!AF878,Sheet1!$B$6:$C$124,2,FALSE)</f>
        <v>0</v>
      </c>
      <c r="AH878" s="146">
        <f t="shared" si="396"/>
        <v>0</v>
      </c>
      <c r="AI878" s="143">
        <f t="shared" si="397"/>
        <v>0</v>
      </c>
      <c r="AJ878" s="133">
        <f t="shared" si="398"/>
        <v>0</v>
      </c>
      <c r="AK878" s="142">
        <f t="shared" si="400"/>
        <v>0</v>
      </c>
      <c r="AL878" s="141"/>
      <c r="AO878" s="286"/>
      <c r="AP878" s="284">
        <f t="shared" si="387"/>
        <v>0</v>
      </c>
      <c r="AQ878" s="281">
        <f t="shared" si="388"/>
        <v>0</v>
      </c>
      <c r="AR878" s="284">
        <f t="shared" si="389"/>
        <v>0</v>
      </c>
      <c r="AS878" s="281">
        <f t="shared" si="390"/>
        <v>0</v>
      </c>
      <c r="AT878" s="284">
        <f t="shared" si="391"/>
        <v>0</v>
      </c>
    </row>
    <row r="879" spans="1:46" s="114" customFormat="1" ht="30.9" x14ac:dyDescent="0.8">
      <c r="A879" s="262">
        <f>ROW()</f>
        <v>879</v>
      </c>
      <c r="C879" s="208"/>
      <c r="D879" s="208"/>
      <c r="E879" s="208"/>
      <c r="F879" s="208"/>
      <c r="G879" s="208"/>
      <c r="H879" s="208"/>
      <c r="J879" s="114" t="str">
        <f t="shared" si="399"/>
        <v/>
      </c>
      <c r="K879" s="114" t="str">
        <f>IF(COUNTBLANK(R879)&gt;0,"",CONCATENATE(R879," for ",N860))</f>
        <v/>
      </c>
      <c r="N879" s="123" t="s">
        <v>131</v>
      </c>
      <c r="O879" s="66" t="s">
        <v>407</v>
      </c>
      <c r="P879" s="121"/>
      <c r="Q879" s="66"/>
      <c r="R879" s="121"/>
      <c r="S879" s="133">
        <f>M860</f>
        <v>0</v>
      </c>
      <c r="T879" s="120"/>
      <c r="U879" s="121" t="s">
        <v>292</v>
      </c>
      <c r="V879" s="133">
        <f t="shared" si="392"/>
        <v>0</v>
      </c>
      <c r="W879" s="133">
        <f>VLOOKUP(U879,Sheet1!$B$6:$C$45,2,FALSE)*V879</f>
        <v>0</v>
      </c>
      <c r="X879" s="141"/>
      <c r="Y879" s="121" t="s">
        <v>274</v>
      </c>
      <c r="Z879" s="146">
        <f>VLOOKUP(Takeoffs!Y879,Sheet1!$B$6:$C$124,2,FALSE)</f>
        <v>360</v>
      </c>
      <c r="AA879" s="146">
        <f t="shared" si="393"/>
        <v>0</v>
      </c>
      <c r="AB879" s="143">
        <f t="shared" si="394"/>
        <v>0</v>
      </c>
      <c r="AC879" s="133">
        <f t="shared" si="395"/>
        <v>0</v>
      </c>
      <c r="AD879" s="142">
        <v>1</v>
      </c>
      <c r="AE879" s="141"/>
      <c r="AF879" s="121" t="s">
        <v>292</v>
      </c>
      <c r="AG879" s="146">
        <f>VLOOKUP(Takeoffs!AF879,Sheet1!$B$6:$C$124,2,FALSE)</f>
        <v>0</v>
      </c>
      <c r="AH879" s="146">
        <f t="shared" si="396"/>
        <v>0</v>
      </c>
      <c r="AI879" s="143">
        <f t="shared" si="397"/>
        <v>0</v>
      </c>
      <c r="AJ879" s="133">
        <f t="shared" si="398"/>
        <v>0</v>
      </c>
      <c r="AK879" s="142">
        <f t="shared" si="400"/>
        <v>0</v>
      </c>
      <c r="AL879" s="141"/>
      <c r="AO879" s="286"/>
      <c r="AP879" s="284">
        <f t="shared" si="387"/>
        <v>0</v>
      </c>
      <c r="AQ879" s="281">
        <f t="shared" si="388"/>
        <v>0</v>
      </c>
      <c r="AR879" s="284">
        <f t="shared" si="389"/>
        <v>0</v>
      </c>
      <c r="AS879" s="281">
        <f t="shared" si="390"/>
        <v>0</v>
      </c>
      <c r="AT879" s="284">
        <f t="shared" si="391"/>
        <v>0</v>
      </c>
    </row>
    <row r="880" spans="1:46" s="114" customFormat="1" ht="30.9" x14ac:dyDescent="0.8">
      <c r="A880" s="262">
        <f>ROW()</f>
        <v>880</v>
      </c>
      <c r="C880" s="208"/>
      <c r="D880" s="208"/>
      <c r="E880" s="208"/>
      <c r="F880" s="208"/>
      <c r="G880" s="208"/>
      <c r="H880" s="208"/>
      <c r="J880" s="114" t="str">
        <f t="shared" si="399"/>
        <v/>
      </c>
      <c r="K880" s="114" t="str">
        <f>IF(COUNTBLANK(R880)&gt;0,"",CONCATENATE(R880," for ",N860))</f>
        <v/>
      </c>
      <c r="N880" s="123" t="s">
        <v>132</v>
      </c>
      <c r="O880" s="66" t="s">
        <v>408</v>
      </c>
      <c r="P880" s="121"/>
      <c r="Q880" s="66"/>
      <c r="R880" s="121"/>
      <c r="S880" s="133">
        <f>M860</f>
        <v>0</v>
      </c>
      <c r="T880" s="120"/>
      <c r="U880" s="121" t="s">
        <v>362</v>
      </c>
      <c r="V880" s="133">
        <f t="shared" si="392"/>
        <v>0</v>
      </c>
      <c r="W880" s="133">
        <f>VLOOKUP(U880,Sheet1!$B$6:$C$45,2,FALSE)*V880</f>
        <v>0</v>
      </c>
      <c r="X880" s="141"/>
      <c r="Y880" s="121" t="s">
        <v>292</v>
      </c>
      <c r="Z880" s="146">
        <f>VLOOKUP(Takeoffs!Y880,Sheet1!$B$6:$C$124,2,FALSE)</f>
        <v>0</v>
      </c>
      <c r="AA880" s="146">
        <f t="shared" si="393"/>
        <v>0</v>
      </c>
      <c r="AB880" s="143">
        <f t="shared" si="394"/>
        <v>0</v>
      </c>
      <c r="AC880" s="133">
        <f t="shared" si="395"/>
        <v>0</v>
      </c>
      <c r="AD880" s="142">
        <v>1</v>
      </c>
      <c r="AE880" s="141"/>
      <c r="AF880" s="121" t="s">
        <v>292</v>
      </c>
      <c r="AG880" s="146">
        <f>VLOOKUP(Takeoffs!AF880,Sheet1!$B$6:$C$124,2,FALSE)</f>
        <v>0</v>
      </c>
      <c r="AH880" s="146">
        <f t="shared" si="396"/>
        <v>0</v>
      </c>
      <c r="AI880" s="143">
        <f t="shared" si="397"/>
        <v>0</v>
      </c>
      <c r="AJ880" s="133">
        <f t="shared" si="398"/>
        <v>0</v>
      </c>
      <c r="AK880" s="142">
        <f t="shared" si="400"/>
        <v>0</v>
      </c>
      <c r="AL880" s="141"/>
      <c r="AO880" s="286"/>
      <c r="AP880" s="284">
        <f t="shared" si="387"/>
        <v>0</v>
      </c>
      <c r="AQ880" s="281">
        <f t="shared" si="388"/>
        <v>0</v>
      </c>
      <c r="AR880" s="284">
        <f t="shared" si="389"/>
        <v>0</v>
      </c>
      <c r="AS880" s="281">
        <f t="shared" si="390"/>
        <v>0</v>
      </c>
      <c r="AT880" s="284">
        <f t="shared" si="391"/>
        <v>0</v>
      </c>
    </row>
    <row r="881" spans="1:97" s="128" customFormat="1" ht="31.5" customHeight="1" x14ac:dyDescent="0.8">
      <c r="A881" s="262">
        <f>ROW()</f>
        <v>881</v>
      </c>
      <c r="C881" s="212"/>
      <c r="D881" s="212"/>
      <c r="E881" s="212"/>
      <c r="F881" s="212"/>
      <c r="G881" s="212"/>
      <c r="H881" s="212"/>
      <c r="J881" s="128" t="s">
        <v>377</v>
      </c>
      <c r="L881" s="128" t="s">
        <v>378</v>
      </c>
      <c r="N881" s="129"/>
      <c r="O881" s="130" t="s">
        <v>357</v>
      </c>
      <c r="P881" s="131">
        <f>V881+AA881+AH881</f>
        <v>0</v>
      </c>
      <c r="Q881" s="131"/>
      <c r="R881" s="131"/>
      <c r="S881" s="130"/>
      <c r="T881" s="127"/>
      <c r="U881" s="126" t="s">
        <v>351</v>
      </c>
      <c r="V881" s="127">
        <f>W881*80</f>
        <v>0</v>
      </c>
      <c r="W881" s="147">
        <f>SUM(W860:W880)</f>
        <v>0</v>
      </c>
      <c r="X881" s="148"/>
      <c r="Y881" s="127" t="s">
        <v>352</v>
      </c>
      <c r="Z881" s="116"/>
      <c r="AA881" s="116">
        <f>SUM(AA860:AA880)</f>
        <v>0</v>
      </c>
      <c r="AB881" s="149"/>
      <c r="AC881" s="149"/>
      <c r="AD881" s="149"/>
      <c r="AE881" s="149"/>
      <c r="AF881" s="127" t="s">
        <v>356</v>
      </c>
      <c r="AG881" s="116"/>
      <c r="AH881" s="116">
        <f>SUM(AH860:AH880)</f>
        <v>0</v>
      </c>
      <c r="AI881" s="149"/>
      <c r="AJ881" s="149"/>
      <c r="AK881" s="149"/>
      <c r="AL881" s="149"/>
      <c r="AM881" s="150">
        <f>P881</f>
        <v>0</v>
      </c>
      <c r="AO881" s="286"/>
      <c r="AP881" s="284">
        <f t="shared" si="387"/>
        <v>0</v>
      </c>
      <c r="AQ881" s="281">
        <f t="shared" si="388"/>
        <v>0</v>
      </c>
      <c r="AR881" s="284">
        <f t="shared" si="389"/>
        <v>0</v>
      </c>
      <c r="AS881" s="281">
        <f t="shared" si="390"/>
        <v>0</v>
      </c>
      <c r="AT881" s="284">
        <f t="shared" si="391"/>
        <v>0</v>
      </c>
    </row>
    <row r="882" spans="1:97" s="234" customFormat="1" ht="216" x14ac:dyDescent="0.8">
      <c r="A882" s="262">
        <f>ROW()</f>
        <v>882</v>
      </c>
      <c r="B882" s="234" t="s">
        <v>491</v>
      </c>
      <c r="C882" s="217" t="str">
        <f>N860</f>
        <v>Medium sized VSD fan with fire shutdown - from MSSB power supply and BMS interface provisions</v>
      </c>
      <c r="D882" s="260" t="str">
        <f>IF(B882="Shopping List",IF(ISNUMBER(SEARCH("MSSB",C882)),"MSSB",IF(ISNUMBER(SEARCH("local",C882)),"LOCAL","")))</f>
        <v>MSSB</v>
      </c>
      <c r="E882" s="238"/>
      <c r="F882" s="217"/>
      <c r="G882" s="217"/>
      <c r="H882" s="245">
        <v>0</v>
      </c>
      <c r="I882" s="270"/>
      <c r="J882" s="241" t="str">
        <f>CONCATENATE(O860," ",L860, " (",M860,") ",N860,".", IF(M860&gt;1," Each "," This "),"includes supply and install of ",O861,O862,O863,O864,O865,O866,O867,O868,O869,O870,O871,O872,O873,O874,O875,O876,O877,O878,O879,O880,J861,J862,J863,J864,J865,J866,J867,J868,J869,J870,J871,J872,J873,J874,J875,J876,J877,J878,J879,J880)</f>
        <v>Electrical power supply and controls ( Excluding BMS) to Zero (0) Medium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882" s="249">
        <f>P881</f>
        <v>0</v>
      </c>
      <c r="L882" s="234" t="str">
        <f>CONCATENATE(Q861,Q862,Q863,Q864,Q865,Q866,Q867,Q868,Q869,Q870,Q871,Q872,Q873,Q874,Q875,Q876,Q877,Q878,Q879,Q880,)</f>
        <v>fire cabling from FIP.</v>
      </c>
      <c r="M882" s="166" t="s">
        <v>367</v>
      </c>
      <c r="N882" s="160" t="str">
        <f>N860</f>
        <v>Medium sized VSD fan with fire shutdown - from MSSB power supply and BMS interface provisions</v>
      </c>
      <c r="O882" s="160" t="s">
        <v>365</v>
      </c>
      <c r="P882" s="183" t="e">
        <f>P881/M860</f>
        <v>#DIV/0!</v>
      </c>
      <c r="Q882" s="191"/>
      <c r="R882" s="161"/>
      <c r="S882" s="160"/>
      <c r="T882" s="161"/>
      <c r="U882" s="503" t="s">
        <v>366</v>
      </c>
      <c r="V882" s="503"/>
      <c r="W882" s="162" t="e">
        <f>W881/M860</f>
        <v>#DIV/0!</v>
      </c>
      <c r="X882" s="163"/>
      <c r="Y882" s="501" t="s">
        <v>365</v>
      </c>
      <c r="Z882" s="501"/>
      <c r="AA882" s="164" t="e">
        <f>AA881/M860</f>
        <v>#DIV/0!</v>
      </c>
      <c r="AB882" s="161"/>
      <c r="AC882" s="161"/>
      <c r="AD882" s="161"/>
      <c r="AE882" s="161"/>
      <c r="AF882" s="501" t="s">
        <v>365</v>
      </c>
      <c r="AG882" s="501"/>
      <c r="AH882" s="164" t="e">
        <f>AH881/M860</f>
        <v>#DIV/0!</v>
      </c>
      <c r="AI882" s="161"/>
      <c r="AJ882" s="161"/>
      <c r="AK882" s="161"/>
      <c r="AL882" s="247"/>
      <c r="AM882" s="257"/>
      <c r="AN882" s="236">
        <f>K882*$D$9</f>
        <v>0</v>
      </c>
      <c r="AO882" s="286"/>
      <c r="AP882" s="284">
        <f t="shared" si="387"/>
        <v>0</v>
      </c>
      <c r="AQ882" s="281">
        <f t="shared" si="388"/>
        <v>0</v>
      </c>
      <c r="AR882" s="284">
        <f t="shared" si="389"/>
        <v>0</v>
      </c>
      <c r="AS882" s="281">
        <f t="shared" si="390"/>
        <v>0</v>
      </c>
      <c r="AT882" s="284">
        <f t="shared" si="391"/>
        <v>0</v>
      </c>
      <c r="AU882" s="117"/>
      <c r="AV882" s="117"/>
      <c r="AW882" s="117"/>
      <c r="AX882" s="117"/>
      <c r="AY882" s="117"/>
      <c r="AZ882" s="117"/>
      <c r="BA882" s="117"/>
      <c r="BB882" s="117"/>
      <c r="BC882" s="117"/>
      <c r="BD882" s="117"/>
      <c r="BE882" s="117"/>
      <c r="BF882" s="117"/>
      <c r="BG882" s="117"/>
      <c r="BH882" s="117"/>
      <c r="BI882" s="117"/>
      <c r="BJ882" s="117"/>
      <c r="BK882" s="117"/>
      <c r="BL882" s="117"/>
      <c r="BM882" s="117"/>
      <c r="BN882" s="117"/>
      <c r="BO882" s="117"/>
      <c r="BP882" s="117"/>
      <c r="BQ882" s="117"/>
      <c r="BR882" s="117"/>
      <c r="BS882" s="117"/>
      <c r="BT882" s="117"/>
      <c r="BU882" s="117"/>
      <c r="BV882" s="117"/>
      <c r="BW882" s="117"/>
      <c r="BX882" s="117"/>
      <c r="BY882" s="117"/>
      <c r="BZ882" s="117"/>
      <c r="CA882" s="117"/>
      <c r="CB882" s="117"/>
      <c r="CC882" s="117"/>
      <c r="CD882" s="117"/>
      <c r="CE882" s="117"/>
      <c r="CF882" s="117"/>
      <c r="CG882" s="117"/>
      <c r="CH882" s="117"/>
      <c r="CI882" s="117"/>
      <c r="CJ882" s="117"/>
      <c r="CK882" s="117"/>
      <c r="CL882" s="117"/>
      <c r="CM882" s="117"/>
      <c r="CN882" s="117"/>
      <c r="CO882" s="117"/>
      <c r="CP882" s="117"/>
      <c r="CQ882" s="117"/>
      <c r="CR882" s="117"/>
      <c r="CS882" s="117"/>
    </row>
    <row r="883" spans="1:97" s="116" customFormat="1" ht="192.75" customHeight="1" x14ac:dyDescent="0.8">
      <c r="A883" s="262">
        <f>ROW()</f>
        <v>883</v>
      </c>
      <c r="C883" s="211"/>
      <c r="D883" s="211"/>
      <c r="E883" s="211"/>
      <c r="F883" s="211"/>
      <c r="G883" s="211"/>
      <c r="H883" s="211"/>
      <c r="K883" s="116" t="s">
        <v>452</v>
      </c>
      <c r="M883" s="116" t="s">
        <v>107</v>
      </c>
      <c r="N883" s="116" t="s">
        <v>108</v>
      </c>
      <c r="O883" s="170" t="s">
        <v>386</v>
      </c>
      <c r="P883" s="504" t="s">
        <v>375</v>
      </c>
      <c r="Q883" s="504"/>
      <c r="R883" s="101" t="s">
        <v>452</v>
      </c>
      <c r="S883" s="116" t="s">
        <v>0</v>
      </c>
      <c r="T883" s="118"/>
      <c r="U883" s="116" t="s">
        <v>287</v>
      </c>
      <c r="V883" s="116" t="s">
        <v>288</v>
      </c>
      <c r="W883" s="116" t="s">
        <v>291</v>
      </c>
      <c r="X883" s="140"/>
      <c r="Y883" s="116" t="s">
        <v>289</v>
      </c>
      <c r="Z883" s="116" t="s">
        <v>354</v>
      </c>
      <c r="AA883" s="116" t="s">
        <v>355</v>
      </c>
      <c r="AB883" s="116" t="s">
        <v>317</v>
      </c>
      <c r="AC883" s="116" t="s">
        <v>318</v>
      </c>
      <c r="AD883" s="116" t="s">
        <v>316</v>
      </c>
      <c r="AE883" s="140"/>
      <c r="AF883" s="116" t="s">
        <v>293</v>
      </c>
      <c r="AG883" s="116" t="s">
        <v>354</v>
      </c>
      <c r="AH883" s="116" t="s">
        <v>355</v>
      </c>
      <c r="AI883" s="116" t="s">
        <v>296</v>
      </c>
      <c r="AJ883" s="116" t="s">
        <v>294</v>
      </c>
      <c r="AK883" s="116" t="s">
        <v>295</v>
      </c>
      <c r="AL883" s="140"/>
      <c r="AO883" s="288"/>
      <c r="AP883" s="284">
        <f t="shared" si="387"/>
        <v>0</v>
      </c>
      <c r="AQ883" s="281">
        <f t="shared" si="388"/>
        <v>0</v>
      </c>
      <c r="AR883" s="284">
        <f t="shared" si="389"/>
        <v>0</v>
      </c>
      <c r="AS883" s="281">
        <f t="shared" si="390"/>
        <v>0</v>
      </c>
      <c r="AT883" s="284">
        <f t="shared" si="391"/>
        <v>0</v>
      </c>
    </row>
    <row r="884" spans="1:97" s="114" customFormat="1" ht="59.25" customHeight="1" x14ac:dyDescent="0.8">
      <c r="A884" s="262">
        <f>ROW()</f>
        <v>884</v>
      </c>
      <c r="C884" s="208"/>
      <c r="D884" s="208"/>
      <c r="E884" s="208"/>
      <c r="F884" s="208"/>
      <c r="G884" s="208"/>
      <c r="H884" s="208"/>
      <c r="L884" s="124" t="str">
        <f>VLOOKUP(M884,Sheet2!$D$2:$E$1024,2,FALSE)</f>
        <v>Zero</v>
      </c>
      <c r="M884" s="121">
        <f>I906</f>
        <v>0</v>
      </c>
      <c r="N884" s="132" t="s">
        <v>572</v>
      </c>
      <c r="O884" s="121" t="s">
        <v>488</v>
      </c>
      <c r="P884" s="169" t="s">
        <v>379</v>
      </c>
      <c r="Q884" s="169" t="s">
        <v>375</v>
      </c>
      <c r="R884" s="169"/>
      <c r="S884" s="133">
        <f>M884</f>
        <v>0</v>
      </c>
      <c r="T884" s="119"/>
      <c r="U884" s="121" t="s">
        <v>292</v>
      </c>
      <c r="V884" s="133">
        <f>S884</f>
        <v>0</v>
      </c>
      <c r="W884" s="133">
        <f>VLOOKUP(U884,Sheet1!$B$6:$C$45,2,FALSE)*V884</f>
        <v>0</v>
      </c>
      <c r="X884" s="141"/>
      <c r="Y884" s="121" t="s">
        <v>292</v>
      </c>
      <c r="Z884" s="146">
        <f>VLOOKUP(Takeoffs!Y884,Sheet1!$B$6:$C$124,2,FALSE)</f>
        <v>0</v>
      </c>
      <c r="AA884" s="146">
        <f>Z884*AB884</f>
        <v>0</v>
      </c>
      <c r="AB884" s="143">
        <f>AD884*AC884</f>
        <v>0</v>
      </c>
      <c r="AC884" s="133">
        <f>S884</f>
        <v>0</v>
      </c>
      <c r="AD884" s="142">
        <v>1</v>
      </c>
      <c r="AE884" s="141"/>
      <c r="AF884" s="121" t="s">
        <v>292</v>
      </c>
      <c r="AG884" s="146">
        <f>VLOOKUP(Takeoffs!AF884,Sheet1!$B$6:$C$124,2,FALSE)</f>
        <v>0</v>
      </c>
      <c r="AH884" s="146">
        <f>AG884*AI884</f>
        <v>0</v>
      </c>
      <c r="AI884" s="143">
        <f>AK884*AJ884</f>
        <v>0</v>
      </c>
      <c r="AJ884" s="133">
        <f>S884</f>
        <v>0</v>
      </c>
      <c r="AK884" s="142">
        <f>T884</f>
        <v>0</v>
      </c>
      <c r="AL884" s="141"/>
      <c r="AO884" s="286"/>
      <c r="AP884" s="284">
        <f t="shared" si="387"/>
        <v>0</v>
      </c>
      <c r="AQ884" s="281">
        <f t="shared" si="388"/>
        <v>0</v>
      </c>
      <c r="AR884" s="284">
        <f t="shared" si="389"/>
        <v>0</v>
      </c>
      <c r="AS884" s="281">
        <f t="shared" si="390"/>
        <v>0</v>
      </c>
      <c r="AT884" s="284">
        <f t="shared" si="391"/>
        <v>0</v>
      </c>
    </row>
    <row r="885" spans="1:97" s="114" customFormat="1" ht="30.9" x14ac:dyDescent="0.8">
      <c r="A885" s="262">
        <f>ROW()</f>
        <v>885</v>
      </c>
      <c r="C885" s="208"/>
      <c r="D885" s="208"/>
      <c r="E885" s="208"/>
      <c r="F885" s="208"/>
      <c r="G885" s="208"/>
      <c r="H885" s="208"/>
      <c r="J885" s="114" t="str">
        <f>IF(COUNTBLANK(Q885)&gt;0,"",CONCATENATE("Coordination Note: - ",P885,": Please refer to our exclusions relating to ",Q885))</f>
        <v/>
      </c>
      <c r="K885" s="114" t="str">
        <f>IF(COUNTBLANK(R885)&gt;0,"",CONCATENATE(R885," for ",N884))</f>
        <v/>
      </c>
      <c r="M885" s="117"/>
      <c r="N885" s="123" t="s">
        <v>113</v>
      </c>
      <c r="O885" s="66" t="s">
        <v>340</v>
      </c>
      <c r="P885" s="121"/>
      <c r="Q885" s="66"/>
      <c r="R885" s="121"/>
      <c r="S885" s="133">
        <f>M884</f>
        <v>0</v>
      </c>
      <c r="T885" s="120"/>
      <c r="U885" s="121" t="s">
        <v>292</v>
      </c>
      <c r="V885" s="133">
        <f t="shared" ref="V885:V904" si="401">S885</f>
        <v>0</v>
      </c>
      <c r="W885" s="133">
        <f>VLOOKUP(U885,Sheet1!$B$6:$C$45,2,FALSE)*V885</f>
        <v>0</v>
      </c>
      <c r="X885" s="141"/>
      <c r="Y885" s="121" t="s">
        <v>292</v>
      </c>
      <c r="Z885" s="146">
        <f>VLOOKUP(Takeoffs!Y885,Sheet1!$B$6:$C$124,2,FALSE)</f>
        <v>0</v>
      </c>
      <c r="AA885" s="146">
        <f t="shared" ref="AA885:AA904" si="402">Z885*AB885</f>
        <v>0</v>
      </c>
      <c r="AB885" s="143">
        <f t="shared" ref="AB885:AB904" si="403">AD885*AC885</f>
        <v>0</v>
      </c>
      <c r="AC885" s="133">
        <f t="shared" ref="AC885:AC904" si="404">S885</f>
        <v>0</v>
      </c>
      <c r="AD885" s="142">
        <v>1</v>
      </c>
      <c r="AE885" s="141"/>
      <c r="AF885" s="121" t="s">
        <v>292</v>
      </c>
      <c r="AG885" s="146">
        <f>VLOOKUP(Takeoffs!AF885,Sheet1!$B$6:$C$124,2,FALSE)</f>
        <v>0</v>
      </c>
      <c r="AH885" s="146">
        <f t="shared" ref="AH885:AH904" si="405">AG885*AI885</f>
        <v>0</v>
      </c>
      <c r="AI885" s="143">
        <f t="shared" ref="AI885:AI904" si="406">AK885*AJ885</f>
        <v>0</v>
      </c>
      <c r="AJ885" s="133">
        <f t="shared" ref="AJ885:AJ904" si="407">S885</f>
        <v>0</v>
      </c>
      <c r="AK885" s="142">
        <f>T885</f>
        <v>0</v>
      </c>
      <c r="AL885" s="141"/>
      <c r="AO885" s="286"/>
      <c r="AP885" s="284">
        <f t="shared" si="387"/>
        <v>0</v>
      </c>
      <c r="AQ885" s="281">
        <f t="shared" si="388"/>
        <v>0</v>
      </c>
      <c r="AR885" s="284">
        <f t="shared" si="389"/>
        <v>0</v>
      </c>
      <c r="AS885" s="281">
        <f t="shared" si="390"/>
        <v>0</v>
      </c>
      <c r="AT885" s="284">
        <f t="shared" si="391"/>
        <v>0</v>
      </c>
    </row>
    <row r="886" spans="1:97" s="114" customFormat="1" ht="30.9" x14ac:dyDescent="0.8">
      <c r="A886" s="262">
        <f>ROW()</f>
        <v>886</v>
      </c>
      <c r="C886" s="208"/>
      <c r="D886" s="208"/>
      <c r="E886" s="208"/>
      <c r="F886" s="208"/>
      <c r="G886" s="208"/>
      <c r="H886" s="208"/>
      <c r="J886" s="114" t="str">
        <f t="shared" ref="J886:J904" si="408">IF(COUNTBLANK(Q886)&gt;0,"",CONCATENATE("Coordination Note: - ",P886,": Please refer to our exclusions relating to ",Q886))</f>
        <v/>
      </c>
      <c r="K886" s="114" t="str">
        <f>IF(COUNTBLANK(R886)&gt;0,"",CONCATENATE(R886," for ",N884))</f>
        <v/>
      </c>
      <c r="M886" s="117"/>
      <c r="N886" s="123" t="s">
        <v>114</v>
      </c>
      <c r="O886" s="66" t="s">
        <v>308</v>
      </c>
      <c r="P886" s="121"/>
      <c r="Q886" s="66"/>
      <c r="R886" s="121"/>
      <c r="S886" s="133">
        <f>M884</f>
        <v>0</v>
      </c>
      <c r="T886" s="120"/>
      <c r="U886" s="121" t="s">
        <v>292</v>
      </c>
      <c r="V886" s="133">
        <f t="shared" si="401"/>
        <v>0</v>
      </c>
      <c r="W886" s="133">
        <f>VLOOKUP(U886,Sheet1!$B$6:$C$45,2,FALSE)*V886</f>
        <v>0</v>
      </c>
      <c r="X886" s="141"/>
      <c r="Y886" s="122" t="s">
        <v>252</v>
      </c>
      <c r="Z886" s="146">
        <f>VLOOKUP(Takeoffs!Y886,Sheet1!$B$6:$C$124,2,FALSE)</f>
        <v>43.440000000000005</v>
      </c>
      <c r="AA886" s="146">
        <f t="shared" si="402"/>
        <v>0</v>
      </c>
      <c r="AB886" s="143">
        <f t="shared" si="403"/>
        <v>0</v>
      </c>
      <c r="AC886" s="133">
        <f t="shared" si="404"/>
        <v>0</v>
      </c>
      <c r="AD886" s="142">
        <v>1</v>
      </c>
      <c r="AE886" s="141"/>
      <c r="AF886" s="52" t="s">
        <v>267</v>
      </c>
      <c r="AG886" s="146">
        <f>VLOOKUP(Takeoffs!AF886,Sheet1!$B$6:$C$124,2,FALSE)</f>
        <v>3.48</v>
      </c>
      <c r="AH886" s="146">
        <f t="shared" si="405"/>
        <v>0</v>
      </c>
      <c r="AI886" s="143">
        <f t="shared" si="406"/>
        <v>0</v>
      </c>
      <c r="AJ886" s="133">
        <f t="shared" si="407"/>
        <v>0</v>
      </c>
      <c r="AK886" s="142">
        <v>20</v>
      </c>
      <c r="AL886" s="141"/>
      <c r="AO886" s="286"/>
      <c r="AP886" s="284">
        <f t="shared" si="387"/>
        <v>0</v>
      </c>
      <c r="AQ886" s="281">
        <f t="shared" si="388"/>
        <v>0</v>
      </c>
      <c r="AR886" s="284">
        <f t="shared" si="389"/>
        <v>0</v>
      </c>
      <c r="AS886" s="281">
        <f t="shared" si="390"/>
        <v>0</v>
      </c>
      <c r="AT886" s="284">
        <f t="shared" si="391"/>
        <v>0</v>
      </c>
    </row>
    <row r="887" spans="1:97" s="114" customFormat="1" ht="30.9" x14ac:dyDescent="0.8">
      <c r="A887" s="262">
        <f>ROW()</f>
        <v>887</v>
      </c>
      <c r="C887" s="208"/>
      <c r="D887" s="208"/>
      <c r="E887" s="208"/>
      <c r="F887" s="208"/>
      <c r="G887" s="208"/>
      <c r="H887" s="208"/>
      <c r="J887" s="114" t="str">
        <f t="shared" si="408"/>
        <v/>
      </c>
      <c r="K887" s="114" t="str">
        <f>IF(COUNTBLANK(R887)&gt;0,"",CONCATENATE(R887," for ",N884))</f>
        <v/>
      </c>
      <c r="M887" s="117"/>
      <c r="N887" s="123" t="s">
        <v>115</v>
      </c>
      <c r="O887" s="66" t="s">
        <v>305</v>
      </c>
      <c r="P887" s="121"/>
      <c r="Q887" s="66"/>
      <c r="R887" s="121"/>
      <c r="S887" s="133">
        <f>M884</f>
        <v>0</v>
      </c>
      <c r="T887" s="120"/>
      <c r="U887" s="117" t="s">
        <v>478</v>
      </c>
      <c r="V887" s="133">
        <f t="shared" si="401"/>
        <v>0</v>
      </c>
      <c r="W887" s="133">
        <f>VLOOKUP(U887,Sheet1!$B$6:$C$45,2,FALSE)*V887</f>
        <v>0</v>
      </c>
      <c r="X887" s="141"/>
      <c r="Y887" s="121" t="s">
        <v>292</v>
      </c>
      <c r="Z887" s="146">
        <f>VLOOKUP(Takeoffs!Y887,Sheet1!$B$6:$C$124,2,FALSE)</f>
        <v>0</v>
      </c>
      <c r="AA887" s="146">
        <f t="shared" si="402"/>
        <v>0</v>
      </c>
      <c r="AB887" s="143">
        <f t="shared" si="403"/>
        <v>0</v>
      </c>
      <c r="AC887" s="133">
        <f t="shared" si="404"/>
        <v>0</v>
      </c>
      <c r="AD887" s="142">
        <v>1</v>
      </c>
      <c r="AE887" s="141"/>
      <c r="AF887" s="121" t="s">
        <v>292</v>
      </c>
      <c r="AG887" s="146">
        <f>VLOOKUP(Takeoffs!AF887,Sheet1!$B$6:$C$124,2,FALSE)</f>
        <v>0</v>
      </c>
      <c r="AH887" s="146">
        <f t="shared" si="405"/>
        <v>0</v>
      </c>
      <c r="AI887" s="143">
        <f t="shared" si="406"/>
        <v>0</v>
      </c>
      <c r="AJ887" s="133">
        <f t="shared" si="407"/>
        <v>0</v>
      </c>
      <c r="AK887" s="142">
        <f>T887</f>
        <v>0</v>
      </c>
      <c r="AL887" s="141"/>
      <c r="AO887" s="286"/>
      <c r="AP887" s="284">
        <f t="shared" si="387"/>
        <v>0</v>
      </c>
      <c r="AQ887" s="281">
        <f t="shared" si="388"/>
        <v>0</v>
      </c>
      <c r="AR887" s="284">
        <f t="shared" si="389"/>
        <v>0</v>
      </c>
      <c r="AS887" s="281">
        <f t="shared" si="390"/>
        <v>0</v>
      </c>
      <c r="AT887" s="284">
        <f t="shared" si="391"/>
        <v>0</v>
      </c>
    </row>
    <row r="888" spans="1:97" s="114" customFormat="1" ht="30.9" x14ac:dyDescent="0.8">
      <c r="A888" s="262">
        <f>ROW()</f>
        <v>888</v>
      </c>
      <c r="C888" s="208"/>
      <c r="D888" s="208"/>
      <c r="E888" s="208"/>
      <c r="F888" s="208"/>
      <c r="G888" s="208"/>
      <c r="H888" s="208"/>
      <c r="J888" s="114" t="str">
        <f t="shared" si="408"/>
        <v/>
      </c>
      <c r="K888" s="114" t="str">
        <f>IF(COUNTBLANK(R888)&gt;0,"",CONCATENATE(R888," for ",N884))</f>
        <v/>
      </c>
      <c r="M888" s="117"/>
      <c r="N888" s="123" t="s">
        <v>116</v>
      </c>
      <c r="O888" s="66" t="s">
        <v>323</v>
      </c>
      <c r="P888" s="121"/>
      <c r="Q888" s="66"/>
      <c r="R888" s="121"/>
      <c r="S888" s="133">
        <f>M884</f>
        <v>0</v>
      </c>
      <c r="T888" s="120"/>
      <c r="U888" s="121" t="s">
        <v>235</v>
      </c>
      <c r="V888" s="133">
        <f t="shared" si="401"/>
        <v>0</v>
      </c>
      <c r="W888" s="133">
        <f>VLOOKUP(U888,Sheet1!$B$6:$C$45,2,FALSE)*V888</f>
        <v>0</v>
      </c>
      <c r="X888" s="141"/>
      <c r="Y888" s="135" t="s">
        <v>490</v>
      </c>
      <c r="Z888" s="146">
        <f>VLOOKUP(Takeoffs!Y888,Sheet1!$B$6:$C$124,2,FALSE)</f>
        <v>1226.28</v>
      </c>
      <c r="AA888" s="146">
        <f t="shared" si="402"/>
        <v>0</v>
      </c>
      <c r="AB888" s="143">
        <f t="shared" si="403"/>
        <v>0</v>
      </c>
      <c r="AC888" s="133">
        <f t="shared" si="404"/>
        <v>0</v>
      </c>
      <c r="AD888" s="142">
        <v>1</v>
      </c>
      <c r="AE888" s="141"/>
      <c r="AF888" s="121" t="s">
        <v>292</v>
      </c>
      <c r="AG888" s="146">
        <f>VLOOKUP(Takeoffs!AF888,Sheet1!$B$6:$C$124,2,FALSE)</f>
        <v>0</v>
      </c>
      <c r="AH888" s="146">
        <f t="shared" si="405"/>
        <v>0</v>
      </c>
      <c r="AI888" s="143">
        <f t="shared" si="406"/>
        <v>0</v>
      </c>
      <c r="AJ888" s="133">
        <f t="shared" si="407"/>
        <v>0</v>
      </c>
      <c r="AK888" s="142">
        <f>T888</f>
        <v>0</v>
      </c>
      <c r="AL888" s="141"/>
      <c r="AO888" s="286"/>
      <c r="AP888" s="284">
        <f t="shared" si="387"/>
        <v>0</v>
      </c>
      <c r="AQ888" s="281">
        <f t="shared" si="388"/>
        <v>0</v>
      </c>
      <c r="AR888" s="284">
        <f t="shared" si="389"/>
        <v>0</v>
      </c>
      <c r="AS888" s="281">
        <f t="shared" si="390"/>
        <v>0</v>
      </c>
      <c r="AT888" s="284">
        <f t="shared" si="391"/>
        <v>0</v>
      </c>
    </row>
    <row r="889" spans="1:97" s="114" customFormat="1" ht="30.9" x14ac:dyDescent="0.8">
      <c r="A889" s="262">
        <f>ROW()</f>
        <v>889</v>
      </c>
      <c r="C889" s="208"/>
      <c r="D889" s="208"/>
      <c r="E889" s="208"/>
      <c r="F889" s="208"/>
      <c r="G889" s="208"/>
      <c r="H889" s="208"/>
      <c r="J889" s="114" t="str">
        <f t="shared" si="408"/>
        <v/>
      </c>
      <c r="K889" s="114" t="str">
        <f>IF(COUNTBLANK(R889)&gt;0,"",CONCATENATE(R889," for ",N884))</f>
        <v/>
      </c>
      <c r="M889" s="117"/>
      <c r="N889" s="123" t="s">
        <v>117</v>
      </c>
      <c r="O889" s="66" t="s">
        <v>390</v>
      </c>
      <c r="P889" s="121"/>
      <c r="Q889" s="66"/>
      <c r="R889" s="121"/>
      <c r="S889" s="133">
        <f>M884</f>
        <v>0</v>
      </c>
      <c r="T889" s="120"/>
      <c r="U889" s="121" t="s">
        <v>292</v>
      </c>
      <c r="V889" s="133">
        <f t="shared" si="401"/>
        <v>0</v>
      </c>
      <c r="W889" s="133">
        <f>VLOOKUP(U889,Sheet1!$B$6:$C$45,2,FALSE)*V889</f>
        <v>0</v>
      </c>
      <c r="X889" s="141"/>
      <c r="Y889" s="121" t="s">
        <v>292</v>
      </c>
      <c r="Z889" s="146">
        <f>VLOOKUP(Takeoffs!Y889,Sheet1!$B$6:$C$124,2,FALSE)</f>
        <v>0</v>
      </c>
      <c r="AA889" s="146">
        <f t="shared" si="402"/>
        <v>0</v>
      </c>
      <c r="AB889" s="143">
        <f t="shared" si="403"/>
        <v>0</v>
      </c>
      <c r="AC889" s="133">
        <f t="shared" si="404"/>
        <v>0</v>
      </c>
      <c r="AD889" s="142">
        <v>1</v>
      </c>
      <c r="AE889" s="141"/>
      <c r="AF889" s="122" t="s">
        <v>268</v>
      </c>
      <c r="AG889" s="146">
        <f>VLOOKUP(Takeoffs!AF889,Sheet1!$B$6:$C$124,2,FALSE)</f>
        <v>1.02</v>
      </c>
      <c r="AH889" s="146">
        <f t="shared" si="405"/>
        <v>0</v>
      </c>
      <c r="AI889" s="143">
        <f t="shared" si="406"/>
        <v>0</v>
      </c>
      <c r="AJ889" s="133">
        <f t="shared" si="407"/>
        <v>0</v>
      </c>
      <c r="AK889" s="142">
        <v>3</v>
      </c>
      <c r="AL889" s="141"/>
      <c r="AO889" s="286"/>
      <c r="AP889" s="284">
        <f t="shared" si="387"/>
        <v>0</v>
      </c>
      <c r="AQ889" s="281">
        <f t="shared" si="388"/>
        <v>0</v>
      </c>
      <c r="AR889" s="284">
        <f t="shared" si="389"/>
        <v>0</v>
      </c>
      <c r="AS889" s="281">
        <f t="shared" si="390"/>
        <v>0</v>
      </c>
      <c r="AT889" s="284">
        <f t="shared" si="391"/>
        <v>0</v>
      </c>
    </row>
    <row r="890" spans="1:97" s="114" customFormat="1" ht="30.9" x14ac:dyDescent="0.8">
      <c r="A890" s="262">
        <f>ROW()</f>
        <v>890</v>
      </c>
      <c r="C890" s="208"/>
      <c r="D890" s="208"/>
      <c r="E890" s="208"/>
      <c r="F890" s="208"/>
      <c r="G890" s="208"/>
      <c r="H890" s="208"/>
      <c r="J890" s="114" t="str">
        <f t="shared" si="408"/>
        <v/>
      </c>
      <c r="K890" s="114" t="str">
        <f>IF(COUNTBLANK(R890)&gt;0,"",CONCATENATE(R890," for ",N884))</f>
        <v/>
      </c>
      <c r="M890" s="117"/>
      <c r="N890" s="123" t="s">
        <v>118</v>
      </c>
      <c r="O890" s="66" t="s">
        <v>309</v>
      </c>
      <c r="P890" s="121"/>
      <c r="Q890" s="66"/>
      <c r="R890" s="121"/>
      <c r="S890" s="133">
        <f>M884</f>
        <v>0</v>
      </c>
      <c r="T890" s="120"/>
      <c r="U890" s="121" t="s">
        <v>292</v>
      </c>
      <c r="V890" s="133">
        <f t="shared" si="401"/>
        <v>0</v>
      </c>
      <c r="W890" s="133">
        <f>VLOOKUP(U890,Sheet1!$B$6:$C$45,2,FALSE)*V890</f>
        <v>0</v>
      </c>
      <c r="X890" s="141"/>
      <c r="Y890" s="121" t="s">
        <v>292</v>
      </c>
      <c r="Z890" s="146">
        <f>VLOOKUP(Takeoffs!Y890,Sheet1!$B$6:$C$124,2,FALSE)</f>
        <v>0</v>
      </c>
      <c r="AA890" s="146">
        <f t="shared" si="402"/>
        <v>0</v>
      </c>
      <c r="AB890" s="143">
        <f t="shared" si="403"/>
        <v>0</v>
      </c>
      <c r="AC890" s="133">
        <f t="shared" si="404"/>
        <v>0</v>
      </c>
      <c r="AD890" s="142">
        <v>1</v>
      </c>
      <c r="AE890" s="141"/>
      <c r="AF890" s="121" t="s">
        <v>292</v>
      </c>
      <c r="AG890" s="146">
        <f>VLOOKUP(Takeoffs!AF890,Sheet1!$B$6:$C$124,2,FALSE)</f>
        <v>0</v>
      </c>
      <c r="AH890" s="146">
        <f t="shared" si="405"/>
        <v>0</v>
      </c>
      <c r="AI890" s="143">
        <f t="shared" si="406"/>
        <v>0</v>
      </c>
      <c r="AJ890" s="133">
        <f t="shared" si="407"/>
        <v>0</v>
      </c>
      <c r="AK890" s="142">
        <f>T890</f>
        <v>0</v>
      </c>
      <c r="AL890" s="141"/>
      <c r="AO890" s="286"/>
      <c r="AP890" s="284">
        <f t="shared" si="387"/>
        <v>0</v>
      </c>
      <c r="AQ890" s="281">
        <f t="shared" si="388"/>
        <v>0</v>
      </c>
      <c r="AR890" s="284">
        <f t="shared" si="389"/>
        <v>0</v>
      </c>
      <c r="AS890" s="281">
        <f t="shared" si="390"/>
        <v>0</v>
      </c>
      <c r="AT890" s="284">
        <f t="shared" si="391"/>
        <v>0</v>
      </c>
    </row>
    <row r="891" spans="1:97" s="114" customFormat="1" ht="30.9" x14ac:dyDescent="0.8">
      <c r="A891" s="262">
        <f>ROW()</f>
        <v>891</v>
      </c>
      <c r="C891" s="208"/>
      <c r="D891" s="208"/>
      <c r="E891" s="208"/>
      <c r="F891" s="208"/>
      <c r="G891" s="208"/>
      <c r="H891" s="208"/>
      <c r="J891" s="114" t="str">
        <f t="shared" si="408"/>
        <v/>
      </c>
      <c r="K891" s="114" t="str">
        <f>IF(COUNTBLANK(R891)&gt;0,"",CONCATENATE(R891," for ",N884))</f>
        <v/>
      </c>
      <c r="N891" s="123" t="s">
        <v>119</v>
      </c>
      <c r="O891" s="66"/>
      <c r="P891" s="121"/>
      <c r="Q891" s="66"/>
      <c r="R891" s="121"/>
      <c r="S891" s="133">
        <f>M884</f>
        <v>0</v>
      </c>
      <c r="T891" s="120"/>
      <c r="U891" s="121" t="s">
        <v>292</v>
      </c>
      <c r="V891" s="133">
        <f t="shared" si="401"/>
        <v>0</v>
      </c>
      <c r="W891" s="133">
        <f>VLOOKUP(U891,Sheet1!$B$6:$C$45,2,FALSE)*V891</f>
        <v>0</v>
      </c>
      <c r="X891" s="141"/>
      <c r="Y891" s="121" t="s">
        <v>292</v>
      </c>
      <c r="Z891" s="146">
        <f>VLOOKUP(Takeoffs!Y891,Sheet1!$B$6:$C$124,2,FALSE)</f>
        <v>0</v>
      </c>
      <c r="AA891" s="146">
        <f t="shared" si="402"/>
        <v>0</v>
      </c>
      <c r="AB891" s="143">
        <f t="shared" si="403"/>
        <v>0</v>
      </c>
      <c r="AC891" s="133">
        <f t="shared" si="404"/>
        <v>0</v>
      </c>
      <c r="AD891" s="142">
        <v>1</v>
      </c>
      <c r="AE891" s="141"/>
      <c r="AF891" s="121" t="s">
        <v>292</v>
      </c>
      <c r="AG891" s="146">
        <f>VLOOKUP(Takeoffs!AF891,Sheet1!$B$6:$C$124,2,FALSE)</f>
        <v>0</v>
      </c>
      <c r="AH891" s="146">
        <f t="shared" si="405"/>
        <v>0</v>
      </c>
      <c r="AI891" s="143">
        <f t="shared" si="406"/>
        <v>0</v>
      </c>
      <c r="AJ891" s="133">
        <f t="shared" si="407"/>
        <v>0</v>
      </c>
      <c r="AK891" s="142">
        <f>T891</f>
        <v>0</v>
      </c>
      <c r="AL891" s="141"/>
      <c r="AO891" s="286"/>
      <c r="AP891" s="284">
        <f t="shared" si="387"/>
        <v>0</v>
      </c>
      <c r="AQ891" s="281">
        <f t="shared" si="388"/>
        <v>0</v>
      </c>
      <c r="AR891" s="284">
        <f t="shared" si="389"/>
        <v>0</v>
      </c>
      <c r="AS891" s="281">
        <f t="shared" si="390"/>
        <v>0</v>
      </c>
      <c r="AT891" s="284">
        <f t="shared" si="391"/>
        <v>0</v>
      </c>
    </row>
    <row r="892" spans="1:97" s="114" customFormat="1" ht="30.9" x14ac:dyDescent="0.8">
      <c r="A892" s="262">
        <f>ROW()</f>
        <v>892</v>
      </c>
      <c r="C892" s="208"/>
      <c r="D892" s="208"/>
      <c r="E892" s="208"/>
      <c r="F892" s="208"/>
      <c r="G892" s="208"/>
      <c r="H892" s="208"/>
      <c r="J892" s="114" t="str">
        <f t="shared" si="408"/>
        <v/>
      </c>
      <c r="K892" s="114" t="str">
        <f>IF(COUNTBLANK(R892)&gt;0,"",CONCATENATE(R892," for ",N884))</f>
        <v/>
      </c>
      <c r="N892" s="123" t="s">
        <v>120</v>
      </c>
      <c r="O892" s="66" t="s">
        <v>328</v>
      </c>
      <c r="P892" s="121"/>
      <c r="Q892" s="66"/>
      <c r="R892" s="121"/>
      <c r="S892" s="133">
        <f>M884</f>
        <v>0</v>
      </c>
      <c r="T892" s="120"/>
      <c r="U892" s="121" t="s">
        <v>364</v>
      </c>
      <c r="V892" s="133">
        <f t="shared" si="401"/>
        <v>0</v>
      </c>
      <c r="W892" s="133">
        <f>VLOOKUP(U892,Sheet1!$B$6:$C$45,2,FALSE)*V892</f>
        <v>0</v>
      </c>
      <c r="X892" s="141"/>
      <c r="Y892" s="121" t="s">
        <v>292</v>
      </c>
      <c r="Z892" s="146">
        <f>VLOOKUP(Takeoffs!Y892,Sheet1!$B$6:$C$124,2,FALSE)</f>
        <v>0</v>
      </c>
      <c r="AA892" s="146">
        <f t="shared" si="402"/>
        <v>0</v>
      </c>
      <c r="AB892" s="143">
        <f t="shared" si="403"/>
        <v>0</v>
      </c>
      <c r="AC892" s="133">
        <f t="shared" si="404"/>
        <v>0</v>
      </c>
      <c r="AD892" s="142">
        <v>1</v>
      </c>
      <c r="AE892" s="141"/>
      <c r="AF892" s="121" t="s">
        <v>292</v>
      </c>
      <c r="AG892" s="146">
        <f>VLOOKUP(Takeoffs!AF892,Sheet1!$B$6:$C$124,2,FALSE)</f>
        <v>0</v>
      </c>
      <c r="AH892" s="146">
        <f t="shared" si="405"/>
        <v>0</v>
      </c>
      <c r="AI892" s="143">
        <f t="shared" si="406"/>
        <v>0</v>
      </c>
      <c r="AJ892" s="133">
        <f t="shared" si="407"/>
        <v>0</v>
      </c>
      <c r="AK892" s="142">
        <f>T892</f>
        <v>0</v>
      </c>
      <c r="AL892" s="141"/>
      <c r="AO892" s="286"/>
      <c r="AP892" s="284">
        <f t="shared" si="387"/>
        <v>0</v>
      </c>
      <c r="AQ892" s="281">
        <f t="shared" si="388"/>
        <v>0</v>
      </c>
      <c r="AR892" s="284">
        <f t="shared" si="389"/>
        <v>0</v>
      </c>
      <c r="AS892" s="281">
        <f t="shared" si="390"/>
        <v>0</v>
      </c>
      <c r="AT892" s="284">
        <f t="shared" si="391"/>
        <v>0</v>
      </c>
    </row>
    <row r="893" spans="1:97" s="114" customFormat="1" ht="30.9" x14ac:dyDescent="0.8">
      <c r="A893" s="262">
        <f>ROW()</f>
        <v>893</v>
      </c>
      <c r="C893" s="208"/>
      <c r="D893" s="208"/>
      <c r="E893" s="208"/>
      <c r="F893" s="208"/>
      <c r="G893" s="208"/>
      <c r="H893" s="208"/>
      <c r="J893" s="114" t="str">
        <f t="shared" si="408"/>
        <v/>
      </c>
      <c r="K893" s="114" t="str">
        <f>IF(COUNTBLANK(R893)&gt;0,"",CONCATENATE(R893," for ",N884))</f>
        <v/>
      </c>
      <c r="N893" s="123" t="s">
        <v>121</v>
      </c>
      <c r="O893" s="66"/>
      <c r="P893" s="121"/>
      <c r="Q893" s="66"/>
      <c r="R893" s="121"/>
      <c r="S893" s="133">
        <f>M884</f>
        <v>0</v>
      </c>
      <c r="T893" s="120"/>
      <c r="U893" s="121" t="s">
        <v>292</v>
      </c>
      <c r="V893" s="133">
        <f t="shared" si="401"/>
        <v>0</v>
      </c>
      <c r="W893" s="133">
        <f>VLOOKUP(U893,Sheet1!$B$6:$C$45,2,FALSE)*V893</f>
        <v>0</v>
      </c>
      <c r="X893" s="141"/>
      <c r="Y893" s="121" t="s">
        <v>292</v>
      </c>
      <c r="Z893" s="146">
        <f>VLOOKUP(Takeoffs!Y893,Sheet1!$B$6:$C$124,2,FALSE)</f>
        <v>0</v>
      </c>
      <c r="AA893" s="146">
        <f t="shared" si="402"/>
        <v>0</v>
      </c>
      <c r="AB893" s="143">
        <f t="shared" si="403"/>
        <v>0</v>
      </c>
      <c r="AC893" s="133">
        <f t="shared" si="404"/>
        <v>0</v>
      </c>
      <c r="AD893" s="142">
        <v>1</v>
      </c>
      <c r="AE893" s="141"/>
      <c r="AF893" s="121" t="s">
        <v>292</v>
      </c>
      <c r="AG893" s="146">
        <f>VLOOKUP(Takeoffs!AF893,Sheet1!$B$6:$C$124,2,FALSE)</f>
        <v>0</v>
      </c>
      <c r="AH893" s="146">
        <f t="shared" si="405"/>
        <v>0</v>
      </c>
      <c r="AI893" s="143">
        <f t="shared" si="406"/>
        <v>0</v>
      </c>
      <c r="AJ893" s="133">
        <f t="shared" si="407"/>
        <v>0</v>
      </c>
      <c r="AK893" s="142">
        <f>T893</f>
        <v>0</v>
      </c>
      <c r="AL893" s="141"/>
      <c r="AO893" s="286"/>
      <c r="AP893" s="284">
        <f t="shared" si="387"/>
        <v>0</v>
      </c>
      <c r="AQ893" s="281">
        <f t="shared" si="388"/>
        <v>0</v>
      </c>
      <c r="AR893" s="284">
        <f t="shared" si="389"/>
        <v>0</v>
      </c>
      <c r="AS893" s="281">
        <f t="shared" si="390"/>
        <v>0</v>
      </c>
      <c r="AT893" s="284">
        <f t="shared" si="391"/>
        <v>0</v>
      </c>
    </row>
    <row r="894" spans="1:97" s="114" customFormat="1" ht="30.9" x14ac:dyDescent="0.8">
      <c r="A894" s="262">
        <f>ROW()</f>
        <v>894</v>
      </c>
      <c r="C894" s="208"/>
      <c r="D894" s="208"/>
      <c r="E894" s="208"/>
      <c r="F894" s="208"/>
      <c r="G894" s="208"/>
      <c r="H894" s="208"/>
      <c r="J894" s="114" t="str">
        <f t="shared" si="408"/>
        <v/>
      </c>
      <c r="K894" s="114" t="str">
        <f>IF(COUNTBLANK(R894)&gt;0,"",CONCATENATE(R894," for ",N884))</f>
        <v/>
      </c>
      <c r="N894" s="123" t="s">
        <v>122</v>
      </c>
      <c r="O894" s="66"/>
      <c r="P894" s="121"/>
      <c r="Q894" s="66"/>
      <c r="R894" s="121"/>
      <c r="S894" s="133">
        <f>M884</f>
        <v>0</v>
      </c>
      <c r="T894" s="120"/>
      <c r="U894" s="121" t="s">
        <v>292</v>
      </c>
      <c r="V894" s="133">
        <f t="shared" si="401"/>
        <v>0</v>
      </c>
      <c r="W894" s="133">
        <f>VLOOKUP(U894,Sheet1!$B$6:$C$45,2,FALSE)*V894</f>
        <v>0</v>
      </c>
      <c r="X894" s="141"/>
      <c r="Y894" s="121" t="s">
        <v>292</v>
      </c>
      <c r="Z894" s="146">
        <f>VLOOKUP(Takeoffs!Y894,Sheet1!$B$6:$C$124,2,FALSE)</f>
        <v>0</v>
      </c>
      <c r="AA894" s="146">
        <f t="shared" si="402"/>
        <v>0</v>
      </c>
      <c r="AB894" s="143">
        <f t="shared" si="403"/>
        <v>0</v>
      </c>
      <c r="AC894" s="133">
        <f t="shared" si="404"/>
        <v>0</v>
      </c>
      <c r="AD894" s="142">
        <v>1</v>
      </c>
      <c r="AE894" s="141"/>
      <c r="AF894" s="121" t="s">
        <v>292</v>
      </c>
      <c r="AG894" s="146">
        <f>VLOOKUP(Takeoffs!AF894,Sheet1!$B$6:$C$124,2,FALSE)</f>
        <v>0</v>
      </c>
      <c r="AH894" s="146">
        <f t="shared" si="405"/>
        <v>0</v>
      </c>
      <c r="AI894" s="143">
        <f t="shared" si="406"/>
        <v>0</v>
      </c>
      <c r="AJ894" s="133">
        <f t="shared" si="407"/>
        <v>0</v>
      </c>
      <c r="AK894" s="142">
        <f>T894</f>
        <v>0</v>
      </c>
      <c r="AL894" s="141"/>
      <c r="AO894" s="286"/>
      <c r="AP894" s="284">
        <f t="shared" si="387"/>
        <v>0</v>
      </c>
      <c r="AQ894" s="281">
        <f t="shared" si="388"/>
        <v>0</v>
      </c>
      <c r="AR894" s="284">
        <f t="shared" si="389"/>
        <v>0</v>
      </c>
      <c r="AS894" s="281">
        <f t="shared" si="390"/>
        <v>0</v>
      </c>
      <c r="AT894" s="284">
        <f t="shared" si="391"/>
        <v>0</v>
      </c>
    </row>
    <row r="895" spans="1:97" s="114" customFormat="1" ht="30.9" x14ac:dyDescent="0.8">
      <c r="A895" s="262">
        <f>ROW()</f>
        <v>895</v>
      </c>
      <c r="C895" s="208"/>
      <c r="D895" s="208"/>
      <c r="E895" s="208"/>
      <c r="F895" s="208"/>
      <c r="G895" s="208"/>
      <c r="H895" s="208"/>
      <c r="J895" s="114" t="str">
        <f t="shared" si="408"/>
        <v/>
      </c>
      <c r="K895" s="114" t="str">
        <f>IF(COUNTBLANK(R895)&gt;0,"",CONCATENATE(R895," for ",N884))</f>
        <v/>
      </c>
      <c r="N895" s="123" t="s">
        <v>123</v>
      </c>
      <c r="O895" s="66"/>
      <c r="P895" s="121"/>
      <c r="Q895" s="66"/>
      <c r="R895" s="121"/>
      <c r="S895" s="133">
        <f>M884</f>
        <v>0</v>
      </c>
      <c r="T895" s="120"/>
      <c r="U895" s="121" t="s">
        <v>292</v>
      </c>
      <c r="V895" s="133">
        <f t="shared" si="401"/>
        <v>0</v>
      </c>
      <c r="W895" s="133">
        <f>VLOOKUP(U895,Sheet1!$B$6:$C$45,2,FALSE)*V895</f>
        <v>0</v>
      </c>
      <c r="X895" s="141"/>
      <c r="Y895" s="121" t="s">
        <v>292</v>
      </c>
      <c r="Z895" s="146">
        <f>VLOOKUP(Takeoffs!Y895,Sheet1!$B$6:$C$124,2,FALSE)</f>
        <v>0</v>
      </c>
      <c r="AA895" s="146">
        <f t="shared" si="402"/>
        <v>0</v>
      </c>
      <c r="AB895" s="143">
        <f t="shared" si="403"/>
        <v>0</v>
      </c>
      <c r="AC895" s="133">
        <f t="shared" si="404"/>
        <v>0</v>
      </c>
      <c r="AD895" s="142">
        <v>1</v>
      </c>
      <c r="AE895" s="141"/>
      <c r="AF895" s="121" t="s">
        <v>292</v>
      </c>
      <c r="AG895" s="146">
        <f>VLOOKUP(Takeoffs!AF895,Sheet1!$B$6:$C$124,2,FALSE)</f>
        <v>0</v>
      </c>
      <c r="AH895" s="146">
        <f t="shared" si="405"/>
        <v>0</v>
      </c>
      <c r="AI895" s="143">
        <f t="shared" si="406"/>
        <v>0</v>
      </c>
      <c r="AJ895" s="133">
        <f t="shared" si="407"/>
        <v>0</v>
      </c>
      <c r="AK895" s="142">
        <v>0</v>
      </c>
      <c r="AL895" s="141"/>
      <c r="AO895" s="286"/>
      <c r="AP895" s="284">
        <f t="shared" si="387"/>
        <v>0</v>
      </c>
      <c r="AQ895" s="281">
        <f t="shared" si="388"/>
        <v>0</v>
      </c>
      <c r="AR895" s="284">
        <f t="shared" si="389"/>
        <v>0</v>
      </c>
      <c r="AS895" s="281">
        <f t="shared" si="390"/>
        <v>0</v>
      </c>
      <c r="AT895" s="284">
        <f t="shared" si="391"/>
        <v>0</v>
      </c>
    </row>
    <row r="896" spans="1:97" s="114" customFormat="1" ht="30.9" x14ac:dyDescent="0.8">
      <c r="A896" s="262">
        <f>ROW()</f>
        <v>896</v>
      </c>
      <c r="C896" s="208"/>
      <c r="D896" s="208"/>
      <c r="E896" s="208"/>
      <c r="F896" s="208"/>
      <c r="G896" s="208"/>
      <c r="H896" s="208"/>
      <c r="J896" s="114" t="str">
        <f t="shared" si="408"/>
        <v/>
      </c>
      <c r="K896" s="114" t="str">
        <f>IF(COUNTBLANK(R896)&gt;0,"",CONCATENATE(R896," for ",N884))</f>
        <v/>
      </c>
      <c r="N896" s="123" t="s">
        <v>124</v>
      </c>
      <c r="O896" s="66" t="s">
        <v>140</v>
      </c>
      <c r="P896" s="121"/>
      <c r="Q896" s="66"/>
      <c r="R896" s="121"/>
      <c r="S896" s="133">
        <f>M884</f>
        <v>0</v>
      </c>
      <c r="T896" s="120"/>
      <c r="U896" s="121" t="s">
        <v>292</v>
      </c>
      <c r="V896" s="133">
        <f t="shared" si="401"/>
        <v>0</v>
      </c>
      <c r="W896" s="133">
        <f>VLOOKUP(U896,Sheet1!$B$6:$C$45,2,FALSE)*V896</f>
        <v>0</v>
      </c>
      <c r="X896" s="141"/>
      <c r="Y896" s="121" t="s">
        <v>292</v>
      </c>
      <c r="Z896" s="146">
        <f>VLOOKUP(Takeoffs!Y896,Sheet1!$B$6:$C$124,2,FALSE)</f>
        <v>0</v>
      </c>
      <c r="AA896" s="146">
        <f t="shared" si="402"/>
        <v>0</v>
      </c>
      <c r="AB896" s="143">
        <f t="shared" si="403"/>
        <v>0</v>
      </c>
      <c r="AC896" s="133">
        <f t="shared" si="404"/>
        <v>0</v>
      </c>
      <c r="AD896" s="142">
        <v>1</v>
      </c>
      <c r="AE896" s="141"/>
      <c r="AF896" s="152" t="s">
        <v>418</v>
      </c>
      <c r="AG896" s="146">
        <f>VLOOKUP(Takeoffs!AF896,Sheet1!$B$6:$C$124,2,FALSE)</f>
        <v>0.33600000000000002</v>
      </c>
      <c r="AH896" s="146">
        <f t="shared" si="405"/>
        <v>0</v>
      </c>
      <c r="AI896" s="143">
        <f t="shared" si="406"/>
        <v>0</v>
      </c>
      <c r="AJ896" s="133">
        <f t="shared" si="407"/>
        <v>0</v>
      </c>
      <c r="AK896" s="142">
        <v>1</v>
      </c>
      <c r="AL896" s="141"/>
      <c r="AO896" s="286"/>
      <c r="AP896" s="284">
        <f t="shared" si="387"/>
        <v>0</v>
      </c>
      <c r="AQ896" s="281">
        <f t="shared" si="388"/>
        <v>0</v>
      </c>
      <c r="AR896" s="284">
        <f t="shared" si="389"/>
        <v>0</v>
      </c>
      <c r="AS896" s="281">
        <f t="shared" si="390"/>
        <v>0</v>
      </c>
      <c r="AT896" s="284">
        <f t="shared" si="391"/>
        <v>0</v>
      </c>
    </row>
    <row r="897" spans="1:97" s="114" customFormat="1" ht="30.9" x14ac:dyDescent="0.8">
      <c r="A897" s="262">
        <f>ROW()</f>
        <v>897</v>
      </c>
      <c r="C897" s="208"/>
      <c r="D897" s="208"/>
      <c r="E897" s="208"/>
      <c r="F897" s="208"/>
      <c r="G897" s="208"/>
      <c r="H897" s="208"/>
      <c r="J897" s="114" t="str">
        <f t="shared" si="408"/>
        <v/>
      </c>
      <c r="K897" s="114" t="str">
        <f>IF(COUNTBLANK(R897)&gt;0,"",CONCATENATE(R897," for ",N884))</f>
        <v/>
      </c>
      <c r="N897" s="123" t="s">
        <v>125</v>
      </c>
      <c r="O897" s="66" t="s">
        <v>312</v>
      </c>
      <c r="P897" s="121"/>
      <c r="Q897" s="66"/>
      <c r="R897" s="121"/>
      <c r="S897" s="133">
        <f>M884</f>
        <v>0</v>
      </c>
      <c r="T897" s="120"/>
      <c r="U897" s="121" t="s">
        <v>232</v>
      </c>
      <c r="V897" s="133">
        <f t="shared" si="401"/>
        <v>0</v>
      </c>
      <c r="W897" s="133">
        <f>VLOOKUP(U897,Sheet1!$B$6:$C$45,2,FALSE)*V897</f>
        <v>0</v>
      </c>
      <c r="X897" s="141"/>
      <c r="Y897" s="122" t="s">
        <v>1345</v>
      </c>
      <c r="Z897" s="146">
        <f>VLOOKUP(Takeoffs!Y897,Sheet1!$B$6:$C$124,2,FALSE)</f>
        <v>109.25999999999999</v>
      </c>
      <c r="AA897" s="146">
        <f t="shared" si="402"/>
        <v>0</v>
      </c>
      <c r="AB897" s="143">
        <f t="shared" si="403"/>
        <v>0</v>
      </c>
      <c r="AC897" s="133">
        <f t="shared" si="404"/>
        <v>0</v>
      </c>
      <c r="AD897" s="142">
        <v>1</v>
      </c>
      <c r="AE897" s="141"/>
      <c r="AF897" s="121" t="s">
        <v>292</v>
      </c>
      <c r="AG897" s="146">
        <f>VLOOKUP(Takeoffs!AF897,Sheet1!$B$6:$C$124,2,FALSE)</f>
        <v>0</v>
      </c>
      <c r="AH897" s="146">
        <f t="shared" si="405"/>
        <v>0</v>
      </c>
      <c r="AI897" s="143">
        <f t="shared" si="406"/>
        <v>0</v>
      </c>
      <c r="AJ897" s="133">
        <f t="shared" si="407"/>
        <v>0</v>
      </c>
      <c r="AK897" s="142">
        <f t="shared" ref="AK897:AK904" si="409">T897</f>
        <v>0</v>
      </c>
      <c r="AL897" s="141"/>
      <c r="AO897" s="286"/>
      <c r="AP897" s="284">
        <f t="shared" si="387"/>
        <v>0</v>
      </c>
      <c r="AQ897" s="281">
        <f t="shared" si="388"/>
        <v>0</v>
      </c>
      <c r="AR897" s="284">
        <f t="shared" si="389"/>
        <v>0</v>
      </c>
      <c r="AS897" s="281">
        <f t="shared" si="390"/>
        <v>0</v>
      </c>
      <c r="AT897" s="284">
        <f t="shared" si="391"/>
        <v>0</v>
      </c>
    </row>
    <row r="898" spans="1:97" s="114" customFormat="1" ht="30.9" x14ac:dyDescent="0.8">
      <c r="A898" s="262">
        <f>ROW()</f>
        <v>898</v>
      </c>
      <c r="C898" s="208"/>
      <c r="D898" s="208"/>
      <c r="E898" s="208"/>
      <c r="F898" s="208"/>
      <c r="G898" s="208"/>
      <c r="H898" s="208"/>
      <c r="J898" s="114" t="str">
        <f t="shared" si="408"/>
        <v>Coordination Note: - Fire trade: Please refer to our exclusions relating to fire cabling from FIP.</v>
      </c>
      <c r="K898" s="114" t="str">
        <f>IF(COUNTBLANK(R898)&gt;0,"",CONCATENATE(R898," for ",N884))</f>
        <v/>
      </c>
      <c r="N898" s="123" t="s">
        <v>126</v>
      </c>
      <c r="O898" s="66" t="s">
        <v>345</v>
      </c>
      <c r="P898" s="121" t="s">
        <v>380</v>
      </c>
      <c r="Q898" s="66" t="s">
        <v>384</v>
      </c>
      <c r="R898" s="121"/>
      <c r="S898" s="133">
        <f>M884</f>
        <v>0</v>
      </c>
      <c r="T898" s="120"/>
      <c r="U898" s="121" t="s">
        <v>292</v>
      </c>
      <c r="V898" s="133">
        <f t="shared" si="401"/>
        <v>0</v>
      </c>
      <c r="W898" s="133">
        <f>VLOOKUP(U898,Sheet1!$B$6:$C$45,2,FALSE)*V898</f>
        <v>0</v>
      </c>
      <c r="X898" s="141"/>
      <c r="Y898" s="122" t="s">
        <v>326</v>
      </c>
      <c r="Z898" s="146">
        <f>VLOOKUP(Takeoffs!Y898,Sheet1!$B$6:$C$124,2,FALSE)</f>
        <v>29.04</v>
      </c>
      <c r="AA898" s="146">
        <f t="shared" si="402"/>
        <v>0</v>
      </c>
      <c r="AB898" s="143">
        <f t="shared" si="403"/>
        <v>0</v>
      </c>
      <c r="AC898" s="133">
        <f t="shared" si="404"/>
        <v>0</v>
      </c>
      <c r="AD898" s="142">
        <v>1</v>
      </c>
      <c r="AE898" s="141"/>
      <c r="AF898" s="121" t="s">
        <v>292</v>
      </c>
      <c r="AG898" s="146">
        <f>VLOOKUP(Takeoffs!AF898,Sheet1!$B$6:$C$124,2,FALSE)</f>
        <v>0</v>
      </c>
      <c r="AH898" s="146">
        <f t="shared" si="405"/>
        <v>0</v>
      </c>
      <c r="AI898" s="143">
        <f t="shared" si="406"/>
        <v>0</v>
      </c>
      <c r="AJ898" s="133">
        <f t="shared" si="407"/>
        <v>0</v>
      </c>
      <c r="AK898" s="142">
        <f t="shared" si="409"/>
        <v>0</v>
      </c>
      <c r="AL898" s="141"/>
      <c r="AO898" s="286"/>
      <c r="AP898" s="284">
        <f t="shared" si="387"/>
        <v>0</v>
      </c>
      <c r="AQ898" s="281">
        <f t="shared" si="388"/>
        <v>0</v>
      </c>
      <c r="AR898" s="284">
        <f t="shared" si="389"/>
        <v>0</v>
      </c>
      <c r="AS898" s="281">
        <f t="shared" si="390"/>
        <v>0</v>
      </c>
      <c r="AT898" s="284">
        <f t="shared" si="391"/>
        <v>0</v>
      </c>
    </row>
    <row r="899" spans="1:97" s="114" customFormat="1" ht="30.9" x14ac:dyDescent="0.8">
      <c r="A899" s="262">
        <f>ROW()</f>
        <v>899</v>
      </c>
      <c r="C899" s="208"/>
      <c r="D899" s="208"/>
      <c r="E899" s="208"/>
      <c r="F899" s="208"/>
      <c r="G899" s="208"/>
      <c r="H899" s="208"/>
      <c r="J899" s="114" t="str">
        <f t="shared" si="408"/>
        <v/>
      </c>
      <c r="K899" s="114" t="str">
        <f>IF(COUNTBLANK(R899)&gt;0,"",CONCATENATE(R899," for ",N884))</f>
        <v>run and fault lights for large sized VSD fan with fire shutdown - from MSSB power supply and BMS interface provisions</v>
      </c>
      <c r="N899" s="123" t="s">
        <v>127</v>
      </c>
      <c r="O899" s="66" t="s">
        <v>337</v>
      </c>
      <c r="P899" s="121"/>
      <c r="Q899" s="66"/>
      <c r="R899" s="121" t="s">
        <v>331</v>
      </c>
      <c r="S899" s="133">
        <f>M884</f>
        <v>0</v>
      </c>
      <c r="T899" s="120"/>
      <c r="U899" s="121" t="s">
        <v>292</v>
      </c>
      <c r="V899" s="133">
        <f t="shared" si="401"/>
        <v>0</v>
      </c>
      <c r="W899" s="133">
        <f>VLOOKUP(U899,Sheet1!$B$6:$C$45,2,FALSE)*V899</f>
        <v>0</v>
      </c>
      <c r="X899" s="141"/>
      <c r="Y899" s="122" t="s">
        <v>280</v>
      </c>
      <c r="Z899" s="146">
        <f>VLOOKUP(Takeoffs!Y899,Sheet1!$B$6:$C$124,2,FALSE)</f>
        <v>19.2</v>
      </c>
      <c r="AA899" s="146">
        <f t="shared" si="402"/>
        <v>0</v>
      </c>
      <c r="AB899" s="143">
        <f t="shared" si="403"/>
        <v>0</v>
      </c>
      <c r="AC899" s="133">
        <f t="shared" si="404"/>
        <v>0</v>
      </c>
      <c r="AD899" s="142">
        <v>2</v>
      </c>
      <c r="AE899" s="141"/>
      <c r="AF899" s="121" t="s">
        <v>292</v>
      </c>
      <c r="AG899" s="146">
        <f>VLOOKUP(Takeoffs!AF899,Sheet1!$B$6:$C$124,2,FALSE)</f>
        <v>0</v>
      </c>
      <c r="AH899" s="146">
        <f t="shared" si="405"/>
        <v>0</v>
      </c>
      <c r="AI899" s="143">
        <f t="shared" si="406"/>
        <v>0</v>
      </c>
      <c r="AJ899" s="133">
        <f t="shared" si="407"/>
        <v>0</v>
      </c>
      <c r="AK899" s="142">
        <f t="shared" si="409"/>
        <v>0</v>
      </c>
      <c r="AL899" s="141"/>
      <c r="AO899" s="286"/>
      <c r="AP899" s="284">
        <f t="shared" si="387"/>
        <v>0</v>
      </c>
      <c r="AQ899" s="281">
        <f t="shared" si="388"/>
        <v>0</v>
      </c>
      <c r="AR899" s="284">
        <f t="shared" si="389"/>
        <v>0</v>
      </c>
      <c r="AS899" s="281">
        <f t="shared" si="390"/>
        <v>0</v>
      </c>
      <c r="AT899" s="284">
        <f t="shared" si="391"/>
        <v>0</v>
      </c>
    </row>
    <row r="900" spans="1:97" s="114" customFormat="1" ht="30.9" x14ac:dyDescent="0.8">
      <c r="A900" s="262">
        <f>ROW()</f>
        <v>900</v>
      </c>
      <c r="C900" s="208"/>
      <c r="D900" s="208"/>
      <c r="E900" s="208"/>
      <c r="F900" s="208"/>
      <c r="G900" s="208"/>
      <c r="H900" s="208"/>
      <c r="J900" s="114" t="str">
        <f t="shared" si="408"/>
        <v/>
      </c>
      <c r="K900" s="114" t="str">
        <f>IF(COUNTBLANK(R900)&gt;0,"",CONCATENATE(R900," for ",N884))</f>
        <v/>
      </c>
      <c r="N900" s="123" t="s">
        <v>128</v>
      </c>
      <c r="O900" s="66" t="s">
        <v>499</v>
      </c>
      <c r="P900" s="121"/>
      <c r="Q900" s="66"/>
      <c r="R900" s="121"/>
      <c r="S900" s="133">
        <f>M884</f>
        <v>0</v>
      </c>
      <c r="T900" s="120"/>
      <c r="U900" s="121" t="s">
        <v>292</v>
      </c>
      <c r="V900" s="133">
        <f t="shared" si="401"/>
        <v>0</v>
      </c>
      <c r="W900" s="133">
        <f>VLOOKUP(U900,Sheet1!$B$6:$C$45,2,FALSE)*V900</f>
        <v>0</v>
      </c>
      <c r="X900" s="141"/>
      <c r="Y900" s="135" t="s">
        <v>422</v>
      </c>
      <c r="Z900" s="146">
        <f>VLOOKUP(Takeoffs!Y900,Sheet1!$B$6:$C$124,2,FALSE)</f>
        <v>23.4</v>
      </c>
      <c r="AA900" s="146">
        <f t="shared" si="402"/>
        <v>0</v>
      </c>
      <c r="AB900" s="143">
        <f t="shared" si="403"/>
        <v>0</v>
      </c>
      <c r="AC900" s="133">
        <f t="shared" si="404"/>
        <v>0</v>
      </c>
      <c r="AD900" s="142">
        <v>1</v>
      </c>
      <c r="AE900" s="141"/>
      <c r="AF900" s="121" t="s">
        <v>292</v>
      </c>
      <c r="AG900" s="146">
        <f>VLOOKUP(Takeoffs!AF900,Sheet1!$B$6:$C$124,2,FALSE)</f>
        <v>0</v>
      </c>
      <c r="AH900" s="146">
        <f t="shared" si="405"/>
        <v>0</v>
      </c>
      <c r="AI900" s="143">
        <f t="shared" si="406"/>
        <v>0</v>
      </c>
      <c r="AJ900" s="133">
        <f t="shared" si="407"/>
        <v>0</v>
      </c>
      <c r="AK900" s="142">
        <f t="shared" si="409"/>
        <v>0</v>
      </c>
      <c r="AL900" s="141"/>
      <c r="AO900" s="286"/>
      <c r="AP900" s="284">
        <f t="shared" si="387"/>
        <v>0</v>
      </c>
      <c r="AQ900" s="281">
        <f t="shared" si="388"/>
        <v>0</v>
      </c>
      <c r="AR900" s="284">
        <f t="shared" si="389"/>
        <v>0</v>
      </c>
      <c r="AS900" s="281">
        <f t="shared" si="390"/>
        <v>0</v>
      </c>
      <c r="AT900" s="284">
        <f t="shared" si="391"/>
        <v>0</v>
      </c>
    </row>
    <row r="901" spans="1:97" s="114" customFormat="1" ht="30.9" x14ac:dyDescent="0.8">
      <c r="A901" s="262">
        <f>ROW()</f>
        <v>901</v>
      </c>
      <c r="C901" s="208"/>
      <c r="D901" s="208"/>
      <c r="E901" s="208"/>
      <c r="F901" s="208"/>
      <c r="G901" s="208"/>
      <c r="H901" s="208"/>
      <c r="J901" s="114" t="str">
        <f t="shared" si="408"/>
        <v/>
      </c>
      <c r="K901" s="114" t="str">
        <f>IF(COUNTBLANK(R901)&gt;0,"",CONCATENATE(R901," for ",N884))</f>
        <v>Auto/Off/On switch for large sized VSD fan with fire shutdown - from MSSB power supply and BMS interface provisions</v>
      </c>
      <c r="N901" s="123" t="s">
        <v>129</v>
      </c>
      <c r="O901" s="66" t="s">
        <v>329</v>
      </c>
      <c r="P901" s="121"/>
      <c r="Q901" s="66"/>
      <c r="R901" s="121" t="s">
        <v>304</v>
      </c>
      <c r="S901" s="133">
        <f>M884</f>
        <v>0</v>
      </c>
      <c r="T901" s="120"/>
      <c r="U901" s="121" t="s">
        <v>292</v>
      </c>
      <c r="V901" s="133">
        <f t="shared" si="401"/>
        <v>0</v>
      </c>
      <c r="W901" s="133">
        <f>VLOOKUP(U901,Sheet1!$B$6:$C$45,2,FALSE)*V901</f>
        <v>0</v>
      </c>
      <c r="X901" s="141"/>
      <c r="Y901" s="122" t="s">
        <v>277</v>
      </c>
      <c r="Z901" s="146">
        <f>VLOOKUP(Takeoffs!Y901,Sheet1!$B$6:$C$124,2,FALSE)</f>
        <v>69.540000000000006</v>
      </c>
      <c r="AA901" s="146">
        <f t="shared" si="402"/>
        <v>0</v>
      </c>
      <c r="AB901" s="143">
        <f t="shared" si="403"/>
        <v>0</v>
      </c>
      <c r="AC901" s="133">
        <f t="shared" si="404"/>
        <v>0</v>
      </c>
      <c r="AD901" s="142">
        <v>1</v>
      </c>
      <c r="AE901" s="141"/>
      <c r="AF901" s="121" t="s">
        <v>292</v>
      </c>
      <c r="AG901" s="146">
        <f>VLOOKUP(Takeoffs!AF901,Sheet1!$B$6:$C$124,2,FALSE)</f>
        <v>0</v>
      </c>
      <c r="AH901" s="146">
        <f t="shared" si="405"/>
        <v>0</v>
      </c>
      <c r="AI901" s="143">
        <f t="shared" si="406"/>
        <v>0</v>
      </c>
      <c r="AJ901" s="133">
        <f t="shared" si="407"/>
        <v>0</v>
      </c>
      <c r="AK901" s="142">
        <f t="shared" si="409"/>
        <v>0</v>
      </c>
      <c r="AL901" s="141"/>
      <c r="AO901" s="286"/>
      <c r="AP901" s="284">
        <f t="shared" si="387"/>
        <v>0</v>
      </c>
      <c r="AQ901" s="281">
        <f t="shared" si="388"/>
        <v>0</v>
      </c>
      <c r="AR901" s="284">
        <f t="shared" si="389"/>
        <v>0</v>
      </c>
      <c r="AS901" s="281">
        <f t="shared" si="390"/>
        <v>0</v>
      </c>
      <c r="AT901" s="284">
        <f t="shared" si="391"/>
        <v>0</v>
      </c>
    </row>
    <row r="902" spans="1:97" s="114" customFormat="1" ht="30.9" x14ac:dyDescent="0.8">
      <c r="A902" s="262">
        <f>ROW()</f>
        <v>902</v>
      </c>
      <c r="C902" s="208"/>
      <c r="D902" s="208"/>
      <c r="E902" s="208"/>
      <c r="F902" s="208"/>
      <c r="G902" s="208"/>
      <c r="H902" s="208"/>
      <c r="J902" s="114" t="str">
        <f t="shared" si="408"/>
        <v/>
      </c>
      <c r="K902" s="114" t="str">
        <f>IF(COUNTBLANK(R902)&gt;0,"",CONCATENATE(R902," for ",N884))</f>
        <v/>
      </c>
      <c r="N902" s="123" t="s">
        <v>130</v>
      </c>
      <c r="O902" s="66" t="s">
        <v>500</v>
      </c>
      <c r="P902" s="121"/>
      <c r="Q902" s="66"/>
      <c r="R902" s="121"/>
      <c r="S902" s="133">
        <f>M884</f>
        <v>0</v>
      </c>
      <c r="T902" s="120"/>
      <c r="U902" s="121" t="s">
        <v>292</v>
      </c>
      <c r="V902" s="133">
        <f t="shared" si="401"/>
        <v>0</v>
      </c>
      <c r="W902" s="133">
        <f>VLOOKUP(U902,Sheet1!$B$6:$C$45,2,FALSE)*V902</f>
        <v>0</v>
      </c>
      <c r="X902" s="141"/>
      <c r="Y902" s="121" t="s">
        <v>292</v>
      </c>
      <c r="Z902" s="146">
        <f>VLOOKUP(Takeoffs!Y902,Sheet1!$B$6:$C$124,2,FALSE)</f>
        <v>0</v>
      </c>
      <c r="AA902" s="146">
        <f t="shared" si="402"/>
        <v>0</v>
      </c>
      <c r="AB902" s="143">
        <f t="shared" si="403"/>
        <v>0</v>
      </c>
      <c r="AC902" s="133">
        <f t="shared" si="404"/>
        <v>0</v>
      </c>
      <c r="AD902" s="142">
        <v>1</v>
      </c>
      <c r="AE902" s="141"/>
      <c r="AF902" s="121" t="s">
        <v>292</v>
      </c>
      <c r="AG902" s="146">
        <f>VLOOKUP(Takeoffs!AF902,Sheet1!$B$6:$C$124,2,FALSE)</f>
        <v>0</v>
      </c>
      <c r="AH902" s="146">
        <f t="shared" si="405"/>
        <v>0</v>
      </c>
      <c r="AI902" s="143">
        <f t="shared" si="406"/>
        <v>0</v>
      </c>
      <c r="AJ902" s="133">
        <f t="shared" si="407"/>
        <v>0</v>
      </c>
      <c r="AK902" s="142">
        <f t="shared" si="409"/>
        <v>0</v>
      </c>
      <c r="AL902" s="141"/>
      <c r="AO902" s="286"/>
      <c r="AP902" s="284">
        <f t="shared" si="387"/>
        <v>0</v>
      </c>
      <c r="AQ902" s="281">
        <f t="shared" si="388"/>
        <v>0</v>
      </c>
      <c r="AR902" s="284">
        <f t="shared" si="389"/>
        <v>0</v>
      </c>
      <c r="AS902" s="281">
        <f t="shared" si="390"/>
        <v>0</v>
      </c>
      <c r="AT902" s="284">
        <f t="shared" si="391"/>
        <v>0</v>
      </c>
    </row>
    <row r="903" spans="1:97" s="114" customFormat="1" ht="30.9" x14ac:dyDescent="0.8">
      <c r="A903" s="262">
        <f>ROW()</f>
        <v>903</v>
      </c>
      <c r="C903" s="208"/>
      <c r="D903" s="208"/>
      <c r="E903" s="208"/>
      <c r="F903" s="208"/>
      <c r="G903" s="208"/>
      <c r="H903" s="208"/>
      <c r="J903" s="114" t="str">
        <f t="shared" si="408"/>
        <v/>
      </c>
      <c r="K903" s="114" t="str">
        <f>IF(COUNTBLANK(R903)&gt;0,"",CONCATENATE(R903," for ",N884))</f>
        <v/>
      </c>
      <c r="N903" s="123" t="s">
        <v>131</v>
      </c>
      <c r="O903" s="66" t="s">
        <v>407</v>
      </c>
      <c r="P903" s="121"/>
      <c r="Q903" s="66"/>
      <c r="R903" s="121"/>
      <c r="S903" s="133">
        <f>M884</f>
        <v>0</v>
      </c>
      <c r="T903" s="120"/>
      <c r="U903" s="121" t="s">
        <v>292</v>
      </c>
      <c r="V903" s="133">
        <f t="shared" si="401"/>
        <v>0</v>
      </c>
      <c r="W903" s="133">
        <f>VLOOKUP(U903,Sheet1!$B$6:$C$45,2,FALSE)*V903</f>
        <v>0</v>
      </c>
      <c r="X903" s="141"/>
      <c r="Y903" s="121" t="s">
        <v>274</v>
      </c>
      <c r="Z903" s="146">
        <f>VLOOKUP(Takeoffs!Y903,Sheet1!$B$6:$C$124,2,FALSE)</f>
        <v>360</v>
      </c>
      <c r="AA903" s="146">
        <f t="shared" si="402"/>
        <v>0</v>
      </c>
      <c r="AB903" s="143">
        <f t="shared" si="403"/>
        <v>0</v>
      </c>
      <c r="AC903" s="133">
        <f t="shared" si="404"/>
        <v>0</v>
      </c>
      <c r="AD903" s="142">
        <v>1</v>
      </c>
      <c r="AE903" s="141"/>
      <c r="AF903" s="121" t="s">
        <v>292</v>
      </c>
      <c r="AG903" s="146">
        <f>VLOOKUP(Takeoffs!AF903,Sheet1!$B$6:$C$124,2,FALSE)</f>
        <v>0</v>
      </c>
      <c r="AH903" s="146">
        <f t="shared" si="405"/>
        <v>0</v>
      </c>
      <c r="AI903" s="143">
        <f t="shared" si="406"/>
        <v>0</v>
      </c>
      <c r="AJ903" s="133">
        <f t="shared" si="407"/>
        <v>0</v>
      </c>
      <c r="AK903" s="142">
        <f t="shared" si="409"/>
        <v>0</v>
      </c>
      <c r="AL903" s="141"/>
      <c r="AO903" s="286"/>
      <c r="AP903" s="284">
        <f t="shared" si="387"/>
        <v>0</v>
      </c>
      <c r="AQ903" s="281">
        <f t="shared" si="388"/>
        <v>0</v>
      </c>
      <c r="AR903" s="284">
        <f t="shared" si="389"/>
        <v>0</v>
      </c>
      <c r="AS903" s="281">
        <f t="shared" si="390"/>
        <v>0</v>
      </c>
      <c r="AT903" s="284">
        <f t="shared" si="391"/>
        <v>0</v>
      </c>
    </row>
    <row r="904" spans="1:97" s="114" customFormat="1" ht="30.9" x14ac:dyDescent="0.8">
      <c r="A904" s="262">
        <f>ROW()</f>
        <v>904</v>
      </c>
      <c r="C904" s="208"/>
      <c r="D904" s="208"/>
      <c r="E904" s="208"/>
      <c r="F904" s="208"/>
      <c r="G904" s="208"/>
      <c r="H904" s="208"/>
      <c r="J904" s="114" t="str">
        <f t="shared" si="408"/>
        <v/>
      </c>
      <c r="K904" s="114" t="str">
        <f>IF(COUNTBLANK(R904)&gt;0,"",CONCATENATE(R904," for ",N884))</f>
        <v/>
      </c>
      <c r="N904" s="123" t="s">
        <v>132</v>
      </c>
      <c r="O904" s="66" t="s">
        <v>408</v>
      </c>
      <c r="P904" s="121"/>
      <c r="Q904" s="66"/>
      <c r="R904" s="121"/>
      <c r="S904" s="133">
        <f>M884</f>
        <v>0</v>
      </c>
      <c r="T904" s="120"/>
      <c r="U904" s="121" t="s">
        <v>362</v>
      </c>
      <c r="V904" s="133">
        <f t="shared" si="401"/>
        <v>0</v>
      </c>
      <c r="W904" s="133">
        <f>VLOOKUP(U904,Sheet1!$B$6:$C$45,2,FALSE)*V904</f>
        <v>0</v>
      </c>
      <c r="X904" s="141"/>
      <c r="Y904" s="121" t="s">
        <v>292</v>
      </c>
      <c r="Z904" s="146">
        <f>VLOOKUP(Takeoffs!Y904,Sheet1!$B$6:$C$124,2,FALSE)</f>
        <v>0</v>
      </c>
      <c r="AA904" s="146">
        <f t="shared" si="402"/>
        <v>0</v>
      </c>
      <c r="AB904" s="143">
        <f t="shared" si="403"/>
        <v>0</v>
      </c>
      <c r="AC904" s="133">
        <f t="shared" si="404"/>
        <v>0</v>
      </c>
      <c r="AD904" s="142">
        <v>1</v>
      </c>
      <c r="AE904" s="141"/>
      <c r="AF904" s="121" t="s">
        <v>292</v>
      </c>
      <c r="AG904" s="146">
        <f>VLOOKUP(Takeoffs!AF904,Sheet1!$B$6:$C$124,2,FALSE)</f>
        <v>0</v>
      </c>
      <c r="AH904" s="146">
        <f t="shared" si="405"/>
        <v>0</v>
      </c>
      <c r="AI904" s="143">
        <f t="shared" si="406"/>
        <v>0</v>
      </c>
      <c r="AJ904" s="133">
        <f t="shared" si="407"/>
        <v>0</v>
      </c>
      <c r="AK904" s="142">
        <f t="shared" si="409"/>
        <v>0</v>
      </c>
      <c r="AL904" s="141"/>
      <c r="AO904" s="286"/>
      <c r="AP904" s="284">
        <f t="shared" si="387"/>
        <v>0</v>
      </c>
      <c r="AQ904" s="281">
        <f t="shared" si="388"/>
        <v>0</v>
      </c>
      <c r="AR904" s="284">
        <f t="shared" si="389"/>
        <v>0</v>
      </c>
      <c r="AS904" s="281">
        <f t="shared" si="390"/>
        <v>0</v>
      </c>
      <c r="AT904" s="284">
        <f t="shared" si="391"/>
        <v>0</v>
      </c>
    </row>
    <row r="905" spans="1:97" s="128" customFormat="1" ht="31.5" customHeight="1" x14ac:dyDescent="0.8">
      <c r="A905" s="262">
        <f>ROW()</f>
        <v>905</v>
      </c>
      <c r="C905" s="212"/>
      <c r="D905" s="212"/>
      <c r="E905" s="212"/>
      <c r="F905" s="212"/>
      <c r="G905" s="212"/>
      <c r="H905" s="212"/>
      <c r="J905" s="128" t="s">
        <v>377</v>
      </c>
      <c r="L905" s="128" t="s">
        <v>378</v>
      </c>
      <c r="N905" s="129"/>
      <c r="O905" s="130" t="s">
        <v>357</v>
      </c>
      <c r="P905" s="131">
        <f>V905+AA905+AH905</f>
        <v>0</v>
      </c>
      <c r="Q905" s="131"/>
      <c r="R905" s="131"/>
      <c r="S905" s="130"/>
      <c r="T905" s="127"/>
      <c r="U905" s="126" t="s">
        <v>351</v>
      </c>
      <c r="V905" s="127">
        <f>W905*80</f>
        <v>0</v>
      </c>
      <c r="W905" s="147">
        <f>SUM(W884:W904)</f>
        <v>0</v>
      </c>
      <c r="X905" s="148"/>
      <c r="Y905" s="127" t="s">
        <v>352</v>
      </c>
      <c r="Z905" s="116"/>
      <c r="AA905" s="116">
        <f>SUM(AA884:AA904)</f>
        <v>0</v>
      </c>
      <c r="AB905" s="149"/>
      <c r="AC905" s="149"/>
      <c r="AD905" s="149"/>
      <c r="AE905" s="149"/>
      <c r="AF905" s="127" t="s">
        <v>356</v>
      </c>
      <c r="AG905" s="116"/>
      <c r="AH905" s="116">
        <f>SUM(AH884:AH904)</f>
        <v>0</v>
      </c>
      <c r="AI905" s="149"/>
      <c r="AJ905" s="149"/>
      <c r="AK905" s="149"/>
      <c r="AL905" s="149"/>
      <c r="AM905" s="150">
        <f>P905</f>
        <v>0</v>
      </c>
      <c r="AO905" s="286"/>
      <c r="AP905" s="284">
        <f t="shared" si="387"/>
        <v>0</v>
      </c>
      <c r="AQ905" s="281">
        <f t="shared" si="388"/>
        <v>0</v>
      </c>
      <c r="AR905" s="284">
        <f t="shared" si="389"/>
        <v>0</v>
      </c>
      <c r="AS905" s="281">
        <f t="shared" si="390"/>
        <v>0</v>
      </c>
      <c r="AT905" s="284">
        <f t="shared" si="391"/>
        <v>0</v>
      </c>
    </row>
    <row r="906" spans="1:97" s="234" customFormat="1" ht="185.15" x14ac:dyDescent="0.8">
      <c r="A906" s="262">
        <f>ROW()</f>
        <v>906</v>
      </c>
      <c r="B906" s="234" t="s">
        <v>491</v>
      </c>
      <c r="C906" s="217" t="str">
        <f>N884</f>
        <v>large sized VSD fan with fire shutdown - from MSSB power supply and BMS interface provisions</v>
      </c>
      <c r="D906" s="260" t="str">
        <f>IF(B906="Shopping List",IF(ISNUMBER(SEARCH("MSSB",C906)),"MSSB",IF(ISNUMBER(SEARCH("local",C906)),"LOCAL","")))</f>
        <v>MSSB</v>
      </c>
      <c r="E906" s="238"/>
      <c r="F906" s="217"/>
      <c r="G906" s="217"/>
      <c r="H906" s="245">
        <v>0</v>
      </c>
      <c r="I906" s="270"/>
      <c r="J906" s="241" t="str">
        <f>CONCATENATE(O884," ",L884, " (",M884,") ",N884,".", IF(M884&gt;1," Each "," This "),"includes supply and install of ",O885,O886,O887,O888,O889,O890,O891,O892,O893,O894,O895,O896,O897,O898,O899,O900,O901,O902,O903,O904,J885,J886,J887,J888,J889,J890,J891,J892,J893,J894,J895,J896,J897,J898,J899,J900,J901,J902,J903,J904)</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06" s="249">
        <f>P905</f>
        <v>0</v>
      </c>
      <c r="L906" s="234" t="str">
        <f>CONCATENATE(Q885,Q886,Q887,Q888,Q889,Q890,Q891,Q892,Q893,Q894,Q895,Q896,Q897,Q898,Q899,Q900,Q901,Q902,Q903,Q904,)</f>
        <v>fire cabling from FIP.</v>
      </c>
      <c r="M906" s="166" t="s">
        <v>367</v>
      </c>
      <c r="N906" s="160" t="str">
        <f>N884</f>
        <v>large sized VSD fan with fire shutdown - from MSSB power supply and BMS interface provisions</v>
      </c>
      <c r="O906" s="160" t="s">
        <v>365</v>
      </c>
      <c r="P906" s="183" t="e">
        <f>P905/M884</f>
        <v>#DIV/0!</v>
      </c>
      <c r="Q906" s="191"/>
      <c r="R906" s="161"/>
      <c r="S906" s="160"/>
      <c r="T906" s="161"/>
      <c r="U906" s="503" t="s">
        <v>366</v>
      </c>
      <c r="V906" s="503"/>
      <c r="W906" s="162" t="e">
        <f>W905/M884</f>
        <v>#DIV/0!</v>
      </c>
      <c r="X906" s="163"/>
      <c r="Y906" s="501" t="s">
        <v>365</v>
      </c>
      <c r="Z906" s="501"/>
      <c r="AA906" s="164" t="e">
        <f>AA905/M884</f>
        <v>#DIV/0!</v>
      </c>
      <c r="AB906" s="161"/>
      <c r="AC906" s="161"/>
      <c r="AD906" s="161"/>
      <c r="AE906" s="161"/>
      <c r="AF906" s="501" t="s">
        <v>365</v>
      </c>
      <c r="AG906" s="501"/>
      <c r="AH906" s="164" t="e">
        <f>AH905/M884</f>
        <v>#DIV/0!</v>
      </c>
      <c r="AI906" s="161"/>
      <c r="AJ906" s="161"/>
      <c r="AK906" s="161"/>
      <c r="AL906" s="247"/>
      <c r="AM906" s="257"/>
      <c r="AN906" s="236">
        <f>K906*$D$9</f>
        <v>0</v>
      </c>
      <c r="AO906" s="286"/>
      <c r="AP906" s="284">
        <f t="shared" si="387"/>
        <v>0</v>
      </c>
      <c r="AQ906" s="281">
        <f t="shared" si="388"/>
        <v>0</v>
      </c>
      <c r="AR906" s="284">
        <f t="shared" si="389"/>
        <v>0</v>
      </c>
      <c r="AS906" s="281">
        <f t="shared" si="390"/>
        <v>0</v>
      </c>
      <c r="AT906" s="284">
        <f t="shared" si="391"/>
        <v>0</v>
      </c>
      <c r="AU906" s="117"/>
      <c r="AV906" s="117"/>
      <c r="AW906" s="117"/>
      <c r="AX906" s="117"/>
      <c r="AY906" s="117"/>
      <c r="AZ906" s="117"/>
      <c r="BA906" s="117"/>
      <c r="BB906" s="117"/>
      <c r="BC906" s="117"/>
      <c r="BD906" s="117"/>
      <c r="BE906" s="117"/>
      <c r="BF906" s="117"/>
      <c r="BG906" s="117"/>
      <c r="BH906" s="117"/>
      <c r="BI906" s="117"/>
      <c r="BJ906" s="117"/>
      <c r="BK906" s="117"/>
      <c r="BL906" s="117"/>
      <c r="BM906" s="117"/>
      <c r="BN906" s="117"/>
      <c r="BO906" s="117"/>
      <c r="BP906" s="117"/>
      <c r="BQ906" s="117"/>
      <c r="BR906" s="117"/>
      <c r="BS906" s="117"/>
      <c r="BT906" s="117"/>
      <c r="BU906" s="117"/>
      <c r="BV906" s="117"/>
      <c r="BW906" s="117"/>
      <c r="BX906" s="117"/>
      <c r="BY906" s="117"/>
      <c r="BZ906" s="117"/>
      <c r="CA906" s="117"/>
      <c r="CB906" s="117"/>
      <c r="CC906" s="117"/>
      <c r="CD906" s="117"/>
      <c r="CE906" s="117"/>
      <c r="CF906" s="117"/>
      <c r="CG906" s="117"/>
      <c r="CH906" s="117"/>
      <c r="CI906" s="117"/>
      <c r="CJ906" s="117"/>
      <c r="CK906" s="117"/>
      <c r="CL906" s="117"/>
      <c r="CM906" s="117"/>
      <c r="CN906" s="117"/>
      <c r="CO906" s="117"/>
      <c r="CP906" s="117"/>
      <c r="CQ906" s="117"/>
      <c r="CR906" s="117"/>
      <c r="CS906" s="117"/>
    </row>
    <row r="907" spans="1:97" s="116" customFormat="1" ht="192.75" customHeight="1" x14ac:dyDescent="0.8">
      <c r="A907" s="262">
        <f>ROW()</f>
        <v>907</v>
      </c>
      <c r="C907" s="211"/>
      <c r="D907" s="211"/>
      <c r="E907" s="211"/>
      <c r="F907" s="211"/>
      <c r="G907" s="211"/>
      <c r="H907" s="211"/>
      <c r="K907" s="116" t="s">
        <v>452</v>
      </c>
      <c r="M907" s="116" t="s">
        <v>107</v>
      </c>
      <c r="N907" s="116" t="s">
        <v>108</v>
      </c>
      <c r="O907" s="170" t="s">
        <v>386</v>
      </c>
      <c r="P907" s="504" t="s">
        <v>375</v>
      </c>
      <c r="Q907" s="504"/>
      <c r="R907" s="101" t="s">
        <v>452</v>
      </c>
      <c r="S907" s="116" t="s">
        <v>0</v>
      </c>
      <c r="T907" s="118"/>
      <c r="U907" s="116" t="s">
        <v>287</v>
      </c>
      <c r="V907" s="116" t="s">
        <v>288</v>
      </c>
      <c r="W907" s="116" t="s">
        <v>291</v>
      </c>
      <c r="X907" s="140"/>
      <c r="Y907" s="116" t="s">
        <v>289</v>
      </c>
      <c r="Z907" s="116" t="s">
        <v>354</v>
      </c>
      <c r="AA907" s="116" t="s">
        <v>355</v>
      </c>
      <c r="AB907" s="116" t="s">
        <v>317</v>
      </c>
      <c r="AC907" s="116" t="s">
        <v>318</v>
      </c>
      <c r="AD907" s="116" t="s">
        <v>316</v>
      </c>
      <c r="AE907" s="140"/>
      <c r="AF907" s="116" t="s">
        <v>293</v>
      </c>
      <c r="AG907" s="116" t="s">
        <v>354</v>
      </c>
      <c r="AH907" s="116" t="s">
        <v>355</v>
      </c>
      <c r="AI907" s="116" t="s">
        <v>296</v>
      </c>
      <c r="AJ907" s="116" t="s">
        <v>294</v>
      </c>
      <c r="AK907" s="116" t="s">
        <v>295</v>
      </c>
      <c r="AL907" s="140"/>
      <c r="AO907" s="288"/>
      <c r="AP907" s="284">
        <f t="shared" si="387"/>
        <v>0</v>
      </c>
      <c r="AQ907" s="281">
        <f t="shared" si="388"/>
        <v>0</v>
      </c>
      <c r="AR907" s="284">
        <f t="shared" si="389"/>
        <v>0</v>
      </c>
      <c r="AS907" s="281">
        <f t="shared" si="390"/>
        <v>0</v>
      </c>
      <c r="AT907" s="284">
        <f t="shared" si="391"/>
        <v>0</v>
      </c>
    </row>
    <row r="908" spans="1:97" s="114" customFormat="1" ht="59.25" customHeight="1" x14ac:dyDescent="0.8">
      <c r="A908" s="262">
        <f>ROW()</f>
        <v>908</v>
      </c>
      <c r="C908" s="208"/>
      <c r="D908" s="208"/>
      <c r="E908" s="208"/>
      <c r="F908" s="208"/>
      <c r="G908" s="208"/>
      <c r="H908" s="208"/>
      <c r="L908" s="124" t="str">
        <f>VLOOKUP(M908,Sheet2!$D$2:$E$1024,2,FALSE)</f>
        <v>Zero</v>
      </c>
      <c r="M908" s="121">
        <f>I930</f>
        <v>0</v>
      </c>
      <c r="N908" s="132" t="s">
        <v>571</v>
      </c>
      <c r="O908" s="121" t="s">
        <v>488</v>
      </c>
      <c r="P908" s="169" t="s">
        <v>379</v>
      </c>
      <c r="Q908" s="169" t="s">
        <v>375</v>
      </c>
      <c r="R908" s="169"/>
      <c r="S908" s="133">
        <f>M908</f>
        <v>0</v>
      </c>
      <c r="T908" s="119"/>
      <c r="U908" s="121" t="s">
        <v>292</v>
      </c>
      <c r="V908" s="133">
        <f>S908</f>
        <v>0</v>
      </c>
      <c r="W908" s="133">
        <f>VLOOKUP(U908,Sheet1!$B$6:$C$45,2,FALSE)*V908</f>
        <v>0</v>
      </c>
      <c r="X908" s="141"/>
      <c r="Y908" s="121" t="s">
        <v>292</v>
      </c>
      <c r="Z908" s="146">
        <f>VLOOKUP(Takeoffs!Y908,Sheet1!$B$6:$C$124,2,FALSE)</f>
        <v>0</v>
      </c>
      <c r="AA908" s="146">
        <f>Z908*AB908</f>
        <v>0</v>
      </c>
      <c r="AB908" s="143">
        <f>AD908*AC908</f>
        <v>0</v>
      </c>
      <c r="AC908" s="133">
        <f>S908</f>
        <v>0</v>
      </c>
      <c r="AD908" s="142">
        <v>1</v>
      </c>
      <c r="AE908" s="141"/>
      <c r="AF908" s="121" t="s">
        <v>292</v>
      </c>
      <c r="AG908" s="146">
        <f>VLOOKUP(Takeoffs!AF908,Sheet1!$B$6:$C$124,2,FALSE)</f>
        <v>0</v>
      </c>
      <c r="AH908" s="146">
        <f>AG908*AI908</f>
        <v>0</v>
      </c>
      <c r="AI908" s="143">
        <f>AK908*AJ908</f>
        <v>0</v>
      </c>
      <c r="AJ908" s="133">
        <f>S908</f>
        <v>0</v>
      </c>
      <c r="AK908" s="142">
        <f>T908</f>
        <v>0</v>
      </c>
      <c r="AL908" s="141"/>
      <c r="AO908" s="286"/>
      <c r="AP908" s="284">
        <f t="shared" si="387"/>
        <v>0</v>
      </c>
      <c r="AQ908" s="281">
        <f t="shared" si="388"/>
        <v>0</v>
      </c>
      <c r="AR908" s="284">
        <f t="shared" si="389"/>
        <v>0</v>
      </c>
      <c r="AS908" s="281">
        <f t="shared" si="390"/>
        <v>0</v>
      </c>
      <c r="AT908" s="284">
        <f t="shared" si="391"/>
        <v>0</v>
      </c>
    </row>
    <row r="909" spans="1:97" s="114" customFormat="1" ht="30.9" x14ac:dyDescent="0.8">
      <c r="A909" s="262">
        <f>ROW()</f>
        <v>909</v>
      </c>
      <c r="C909" s="208"/>
      <c r="D909" s="208"/>
      <c r="E909" s="208"/>
      <c r="F909" s="208"/>
      <c r="G909" s="208"/>
      <c r="H909" s="208"/>
      <c r="J909" s="114" t="str">
        <f>IF(COUNTBLANK(Q909)&gt;0,"",CONCATENATE("Coordination Note: - ",P909,": Please refer to our exclusions relating to ",Q909))</f>
        <v/>
      </c>
      <c r="K909" s="114" t="str">
        <f>IF(COUNTBLANK(R909)&gt;0,"",CONCATENATE(R909," for ",N908))</f>
        <v/>
      </c>
      <c r="M909" s="117"/>
      <c r="N909" s="123" t="s">
        <v>113</v>
      </c>
      <c r="O909" s="66" t="s">
        <v>340</v>
      </c>
      <c r="P909" s="121"/>
      <c r="Q909" s="66"/>
      <c r="R909" s="121"/>
      <c r="S909" s="133">
        <f>M908</f>
        <v>0</v>
      </c>
      <c r="T909" s="120"/>
      <c r="U909" s="121" t="s">
        <v>292</v>
      </c>
      <c r="V909" s="133">
        <f t="shared" ref="V909:V928" si="410">S909</f>
        <v>0</v>
      </c>
      <c r="W909" s="133">
        <f>VLOOKUP(U909,Sheet1!$B$6:$C$45,2,FALSE)*V909</f>
        <v>0</v>
      </c>
      <c r="X909" s="141"/>
      <c r="Y909" s="121" t="s">
        <v>292</v>
      </c>
      <c r="Z909" s="146">
        <f>VLOOKUP(Takeoffs!Y909,Sheet1!$B$6:$C$124,2,FALSE)</f>
        <v>0</v>
      </c>
      <c r="AA909" s="146">
        <f t="shared" ref="AA909:AA928" si="411">Z909*AB909</f>
        <v>0</v>
      </c>
      <c r="AB909" s="143">
        <f t="shared" ref="AB909:AB928" si="412">AD909*AC909</f>
        <v>0</v>
      </c>
      <c r="AC909" s="133">
        <f t="shared" ref="AC909:AC928" si="413">S909</f>
        <v>0</v>
      </c>
      <c r="AD909" s="142">
        <v>1</v>
      </c>
      <c r="AE909" s="141"/>
      <c r="AF909" s="121" t="s">
        <v>292</v>
      </c>
      <c r="AG909" s="146">
        <f>VLOOKUP(Takeoffs!AF909,Sheet1!$B$6:$C$124,2,FALSE)</f>
        <v>0</v>
      </c>
      <c r="AH909" s="146">
        <f t="shared" ref="AH909:AH928" si="414">AG909*AI909</f>
        <v>0</v>
      </c>
      <c r="AI909" s="143">
        <f t="shared" ref="AI909:AI928" si="415">AK909*AJ909</f>
        <v>0</v>
      </c>
      <c r="AJ909" s="133">
        <f t="shared" ref="AJ909:AJ928" si="416">S909</f>
        <v>0</v>
      </c>
      <c r="AK909" s="142">
        <f>T909</f>
        <v>0</v>
      </c>
      <c r="AL909" s="141"/>
      <c r="AO909" s="286"/>
      <c r="AP909" s="284">
        <f t="shared" si="387"/>
        <v>0</v>
      </c>
      <c r="AQ909" s="281">
        <f t="shared" si="388"/>
        <v>0</v>
      </c>
      <c r="AR909" s="284">
        <f t="shared" si="389"/>
        <v>0</v>
      </c>
      <c r="AS909" s="281">
        <f t="shared" si="390"/>
        <v>0</v>
      </c>
      <c r="AT909" s="284">
        <f t="shared" si="391"/>
        <v>0</v>
      </c>
    </row>
    <row r="910" spans="1:97" s="114" customFormat="1" ht="30.9" x14ac:dyDescent="0.8">
      <c r="A910" s="262">
        <f>ROW()</f>
        <v>910</v>
      </c>
      <c r="C910" s="208"/>
      <c r="D910" s="208"/>
      <c r="E910" s="208"/>
      <c r="F910" s="208"/>
      <c r="G910" s="208"/>
      <c r="H910" s="208"/>
      <c r="J910" s="114" t="str">
        <f t="shared" ref="J910:J928" si="417">IF(COUNTBLANK(Q910)&gt;0,"",CONCATENATE("Coordination Note: - ",P910,": Please refer to our exclusions relating to ",Q910))</f>
        <v/>
      </c>
      <c r="K910" s="114" t="str">
        <f>IF(COUNTBLANK(R910)&gt;0,"",CONCATENATE(R910," for ",N908))</f>
        <v/>
      </c>
      <c r="M910" s="117"/>
      <c r="N910" s="123" t="s">
        <v>114</v>
      </c>
      <c r="O910" s="66" t="s">
        <v>308</v>
      </c>
      <c r="P910" s="121"/>
      <c r="Q910" s="66"/>
      <c r="R910" s="121"/>
      <c r="S910" s="133">
        <f>M908</f>
        <v>0</v>
      </c>
      <c r="T910" s="120"/>
      <c r="U910" s="121" t="s">
        <v>292</v>
      </c>
      <c r="V910" s="133">
        <f t="shared" si="410"/>
        <v>0</v>
      </c>
      <c r="W910" s="133">
        <f>VLOOKUP(U910,Sheet1!$B$6:$C$45,2,FALSE)*V910</f>
        <v>0</v>
      </c>
      <c r="X910" s="141"/>
      <c r="Y910" s="122" t="s">
        <v>252</v>
      </c>
      <c r="Z910" s="146">
        <f>VLOOKUP(Takeoffs!Y910,Sheet1!$B$6:$C$124,2,FALSE)</f>
        <v>43.440000000000005</v>
      </c>
      <c r="AA910" s="146">
        <f t="shared" si="411"/>
        <v>0</v>
      </c>
      <c r="AB910" s="143">
        <f t="shared" si="412"/>
        <v>0</v>
      </c>
      <c r="AC910" s="133">
        <f t="shared" si="413"/>
        <v>0</v>
      </c>
      <c r="AD910" s="142">
        <v>1</v>
      </c>
      <c r="AE910" s="141"/>
      <c r="AF910" s="52" t="s">
        <v>267</v>
      </c>
      <c r="AG910" s="146">
        <f>VLOOKUP(Takeoffs!AF910,Sheet1!$B$6:$C$124,2,FALSE)</f>
        <v>3.48</v>
      </c>
      <c r="AH910" s="146">
        <f t="shared" si="414"/>
        <v>0</v>
      </c>
      <c r="AI910" s="143">
        <f t="shared" si="415"/>
        <v>0</v>
      </c>
      <c r="AJ910" s="133">
        <f t="shared" si="416"/>
        <v>0</v>
      </c>
      <c r="AK910" s="142">
        <v>20</v>
      </c>
      <c r="AL910" s="141"/>
      <c r="AO910" s="286"/>
      <c r="AP910" s="284">
        <f t="shared" si="387"/>
        <v>0</v>
      </c>
      <c r="AQ910" s="281">
        <f t="shared" si="388"/>
        <v>0</v>
      </c>
      <c r="AR910" s="284">
        <f t="shared" si="389"/>
        <v>0</v>
      </c>
      <c r="AS910" s="281">
        <f t="shared" si="390"/>
        <v>0</v>
      </c>
      <c r="AT910" s="284">
        <f t="shared" si="391"/>
        <v>0</v>
      </c>
    </row>
    <row r="911" spans="1:97" s="114" customFormat="1" ht="30.9" x14ac:dyDescent="0.8">
      <c r="A911" s="262">
        <f>ROW()</f>
        <v>911</v>
      </c>
      <c r="C911" s="208"/>
      <c r="D911" s="208"/>
      <c r="E911" s="208"/>
      <c r="F911" s="208"/>
      <c r="G911" s="208"/>
      <c r="H911" s="208"/>
      <c r="J911" s="114" t="str">
        <f t="shared" si="417"/>
        <v/>
      </c>
      <c r="K911" s="114" t="str">
        <f>IF(COUNTBLANK(R911)&gt;0,"",CONCATENATE(R911," for ",N908))</f>
        <v/>
      </c>
      <c r="M911" s="117"/>
      <c r="N911" s="123" t="s">
        <v>115</v>
      </c>
      <c r="O911" s="66" t="s">
        <v>305</v>
      </c>
      <c r="P911" s="121"/>
      <c r="Q911" s="66"/>
      <c r="R911" s="121"/>
      <c r="S911" s="133">
        <f>M908</f>
        <v>0</v>
      </c>
      <c r="T911" s="120"/>
      <c r="U911" s="117" t="s">
        <v>478</v>
      </c>
      <c r="V911" s="133">
        <f t="shared" si="410"/>
        <v>0</v>
      </c>
      <c r="W911" s="133">
        <f>VLOOKUP(U911,Sheet1!$B$6:$C$45,2,FALSE)*V911</f>
        <v>0</v>
      </c>
      <c r="X911" s="141"/>
      <c r="Y911" s="121" t="s">
        <v>292</v>
      </c>
      <c r="Z911" s="146">
        <f>VLOOKUP(Takeoffs!Y911,Sheet1!$B$6:$C$124,2,FALSE)</f>
        <v>0</v>
      </c>
      <c r="AA911" s="146">
        <f t="shared" si="411"/>
        <v>0</v>
      </c>
      <c r="AB911" s="143">
        <f t="shared" si="412"/>
        <v>0</v>
      </c>
      <c r="AC911" s="133">
        <f t="shared" si="413"/>
        <v>0</v>
      </c>
      <c r="AD911" s="142">
        <v>1</v>
      </c>
      <c r="AE911" s="141"/>
      <c r="AF911" s="121" t="s">
        <v>292</v>
      </c>
      <c r="AG911" s="146">
        <f>VLOOKUP(Takeoffs!AF911,Sheet1!$B$6:$C$124,2,FALSE)</f>
        <v>0</v>
      </c>
      <c r="AH911" s="146">
        <f t="shared" si="414"/>
        <v>0</v>
      </c>
      <c r="AI911" s="143">
        <f t="shared" si="415"/>
        <v>0</v>
      </c>
      <c r="AJ911" s="133">
        <f t="shared" si="416"/>
        <v>0</v>
      </c>
      <c r="AK911" s="142">
        <f>T911</f>
        <v>0</v>
      </c>
      <c r="AL911" s="141"/>
      <c r="AO911" s="286"/>
      <c r="AP911" s="284">
        <f t="shared" si="387"/>
        <v>0</v>
      </c>
      <c r="AQ911" s="281">
        <f t="shared" si="388"/>
        <v>0</v>
      </c>
      <c r="AR911" s="284">
        <f t="shared" si="389"/>
        <v>0</v>
      </c>
      <c r="AS911" s="281">
        <f t="shared" si="390"/>
        <v>0</v>
      </c>
      <c r="AT911" s="284">
        <f t="shared" si="391"/>
        <v>0</v>
      </c>
    </row>
    <row r="912" spans="1:97" s="114" customFormat="1" ht="30.9" x14ac:dyDescent="0.8">
      <c r="A912" s="262">
        <f>ROW()</f>
        <v>912</v>
      </c>
      <c r="C912" s="208"/>
      <c r="D912" s="208"/>
      <c r="E912" s="208"/>
      <c r="F912" s="208"/>
      <c r="G912" s="208"/>
      <c r="H912" s="208"/>
      <c r="J912" s="114" t="str">
        <f t="shared" si="417"/>
        <v/>
      </c>
      <c r="K912" s="114" t="str">
        <f>IF(COUNTBLANK(R912)&gt;0,"",CONCATENATE(R912," for ",N908))</f>
        <v/>
      </c>
      <c r="M912" s="117"/>
      <c r="N912" s="123" t="s">
        <v>116</v>
      </c>
      <c r="O912" s="66" t="s">
        <v>323</v>
      </c>
      <c r="P912" s="121"/>
      <c r="Q912" s="66"/>
      <c r="R912" s="121"/>
      <c r="S912" s="133">
        <f>M908</f>
        <v>0</v>
      </c>
      <c r="T912" s="120"/>
      <c r="U912" s="121" t="s">
        <v>235</v>
      </c>
      <c r="V912" s="133">
        <f t="shared" si="410"/>
        <v>0</v>
      </c>
      <c r="W912" s="133">
        <f>VLOOKUP(U912,Sheet1!$B$6:$C$45,2,FALSE)*V912</f>
        <v>0</v>
      </c>
      <c r="X912" s="141"/>
      <c r="Y912" s="135" t="s">
        <v>490</v>
      </c>
      <c r="Z912" s="146">
        <f>VLOOKUP(Takeoffs!Y912,Sheet1!$B$6:$C$124,2,FALSE)</f>
        <v>1226.28</v>
      </c>
      <c r="AA912" s="146">
        <f t="shared" si="411"/>
        <v>0</v>
      </c>
      <c r="AB912" s="143">
        <f t="shared" si="412"/>
        <v>0</v>
      </c>
      <c r="AC912" s="133">
        <f t="shared" si="413"/>
        <v>0</v>
      </c>
      <c r="AD912" s="142">
        <v>1</v>
      </c>
      <c r="AE912" s="141"/>
      <c r="AF912" s="121" t="s">
        <v>292</v>
      </c>
      <c r="AG912" s="146">
        <f>VLOOKUP(Takeoffs!AF912,Sheet1!$B$6:$C$124,2,FALSE)</f>
        <v>0</v>
      </c>
      <c r="AH912" s="146">
        <f t="shared" si="414"/>
        <v>0</v>
      </c>
      <c r="AI912" s="143">
        <f t="shared" si="415"/>
        <v>0</v>
      </c>
      <c r="AJ912" s="133">
        <f t="shared" si="416"/>
        <v>0</v>
      </c>
      <c r="AK912" s="142">
        <f>T912</f>
        <v>0</v>
      </c>
      <c r="AL912" s="141"/>
      <c r="AO912" s="286"/>
      <c r="AP912" s="284">
        <f t="shared" si="387"/>
        <v>0</v>
      </c>
      <c r="AQ912" s="281">
        <f t="shared" si="388"/>
        <v>0</v>
      </c>
      <c r="AR912" s="284">
        <f t="shared" si="389"/>
        <v>0</v>
      </c>
      <c r="AS912" s="281">
        <f t="shared" si="390"/>
        <v>0</v>
      </c>
      <c r="AT912" s="284">
        <f t="shared" si="391"/>
        <v>0</v>
      </c>
    </row>
    <row r="913" spans="1:46" s="114" customFormat="1" ht="30.9" x14ac:dyDescent="0.8">
      <c r="A913" s="262">
        <f>ROW()</f>
        <v>913</v>
      </c>
      <c r="C913" s="208"/>
      <c r="D913" s="208"/>
      <c r="E913" s="208"/>
      <c r="F913" s="208"/>
      <c r="G913" s="208"/>
      <c r="H913" s="208"/>
      <c r="J913" s="114" t="str">
        <f t="shared" si="417"/>
        <v/>
      </c>
      <c r="K913" s="114" t="str">
        <f>IF(COUNTBLANK(R913)&gt;0,"",CONCATENATE(R913," for ",N908))</f>
        <v/>
      </c>
      <c r="M913" s="117"/>
      <c r="N913" s="123" t="s">
        <v>117</v>
      </c>
      <c r="O913" s="66" t="s">
        <v>390</v>
      </c>
      <c r="P913" s="121"/>
      <c r="Q913" s="66"/>
      <c r="R913" s="121"/>
      <c r="S913" s="133">
        <f>M908</f>
        <v>0</v>
      </c>
      <c r="T913" s="120"/>
      <c r="U913" s="121" t="s">
        <v>292</v>
      </c>
      <c r="V913" s="133">
        <f t="shared" si="410"/>
        <v>0</v>
      </c>
      <c r="W913" s="133">
        <f>VLOOKUP(U913,Sheet1!$B$6:$C$45,2,FALSE)*V913</f>
        <v>0</v>
      </c>
      <c r="X913" s="141"/>
      <c r="Y913" s="121" t="s">
        <v>292</v>
      </c>
      <c r="Z913" s="146">
        <f>VLOOKUP(Takeoffs!Y913,Sheet1!$B$6:$C$124,2,FALSE)</f>
        <v>0</v>
      </c>
      <c r="AA913" s="146">
        <f t="shared" si="411"/>
        <v>0</v>
      </c>
      <c r="AB913" s="143">
        <f t="shared" si="412"/>
        <v>0</v>
      </c>
      <c r="AC913" s="133">
        <f t="shared" si="413"/>
        <v>0</v>
      </c>
      <c r="AD913" s="142">
        <v>1</v>
      </c>
      <c r="AE913" s="141"/>
      <c r="AF913" s="122" t="s">
        <v>268</v>
      </c>
      <c r="AG913" s="146">
        <f>VLOOKUP(Takeoffs!AF913,Sheet1!$B$6:$C$124,2,FALSE)</f>
        <v>1.02</v>
      </c>
      <c r="AH913" s="146">
        <f t="shared" si="414"/>
        <v>0</v>
      </c>
      <c r="AI913" s="143">
        <f t="shared" si="415"/>
        <v>0</v>
      </c>
      <c r="AJ913" s="133">
        <f t="shared" si="416"/>
        <v>0</v>
      </c>
      <c r="AK913" s="142">
        <v>3</v>
      </c>
      <c r="AL913" s="141"/>
      <c r="AO913" s="286"/>
      <c r="AP913" s="284">
        <f t="shared" si="387"/>
        <v>0</v>
      </c>
      <c r="AQ913" s="281">
        <f t="shared" si="388"/>
        <v>0</v>
      </c>
      <c r="AR913" s="284">
        <f t="shared" si="389"/>
        <v>0</v>
      </c>
      <c r="AS913" s="281">
        <f t="shared" si="390"/>
        <v>0</v>
      </c>
      <c r="AT913" s="284">
        <f t="shared" si="391"/>
        <v>0</v>
      </c>
    </row>
    <row r="914" spans="1:46" s="114" customFormat="1" ht="30.9" x14ac:dyDescent="0.8">
      <c r="A914" s="262">
        <f>ROW()</f>
        <v>914</v>
      </c>
      <c r="C914" s="208"/>
      <c r="D914" s="208"/>
      <c r="E914" s="208"/>
      <c r="F914" s="208"/>
      <c r="G914" s="208"/>
      <c r="H914" s="208"/>
      <c r="J914" s="114" t="str">
        <f t="shared" si="417"/>
        <v/>
      </c>
      <c r="K914" s="114" t="str">
        <f>IF(COUNTBLANK(R914)&gt;0,"",CONCATENATE(R914," for ",N908))</f>
        <v/>
      </c>
      <c r="M914" s="117"/>
      <c r="N914" s="123" t="s">
        <v>118</v>
      </c>
      <c r="O914" s="66" t="s">
        <v>309</v>
      </c>
      <c r="P914" s="121"/>
      <c r="Q914" s="66"/>
      <c r="R914" s="121"/>
      <c r="S914" s="133">
        <f>M908</f>
        <v>0</v>
      </c>
      <c r="T914" s="120"/>
      <c r="U914" s="121" t="s">
        <v>292</v>
      </c>
      <c r="V914" s="133">
        <f t="shared" si="410"/>
        <v>0</v>
      </c>
      <c r="W914" s="133">
        <f>VLOOKUP(U914,Sheet1!$B$6:$C$45,2,FALSE)*V914</f>
        <v>0</v>
      </c>
      <c r="X914" s="141"/>
      <c r="Y914" s="121" t="s">
        <v>292</v>
      </c>
      <c r="Z914" s="146">
        <f>VLOOKUP(Takeoffs!Y914,Sheet1!$B$6:$C$124,2,FALSE)</f>
        <v>0</v>
      </c>
      <c r="AA914" s="146">
        <f t="shared" si="411"/>
        <v>0</v>
      </c>
      <c r="AB914" s="143">
        <f t="shared" si="412"/>
        <v>0</v>
      </c>
      <c r="AC914" s="133">
        <f t="shared" si="413"/>
        <v>0</v>
      </c>
      <c r="AD914" s="142">
        <v>1</v>
      </c>
      <c r="AE914" s="141"/>
      <c r="AF914" s="121" t="s">
        <v>292</v>
      </c>
      <c r="AG914" s="146">
        <f>VLOOKUP(Takeoffs!AF914,Sheet1!$B$6:$C$124,2,FALSE)</f>
        <v>0</v>
      </c>
      <c r="AH914" s="146">
        <f t="shared" si="414"/>
        <v>0</v>
      </c>
      <c r="AI914" s="143">
        <f t="shared" si="415"/>
        <v>0</v>
      </c>
      <c r="AJ914" s="133">
        <f t="shared" si="416"/>
        <v>0</v>
      </c>
      <c r="AK914" s="142">
        <f>T914</f>
        <v>0</v>
      </c>
      <c r="AL914" s="141"/>
      <c r="AO914" s="286"/>
      <c r="AP914" s="284">
        <f t="shared" si="387"/>
        <v>0</v>
      </c>
      <c r="AQ914" s="281">
        <f t="shared" si="388"/>
        <v>0</v>
      </c>
      <c r="AR914" s="284">
        <f t="shared" si="389"/>
        <v>0</v>
      </c>
      <c r="AS914" s="281">
        <f t="shared" si="390"/>
        <v>0</v>
      </c>
      <c r="AT914" s="284">
        <f t="shared" si="391"/>
        <v>0</v>
      </c>
    </row>
    <row r="915" spans="1:46" s="114" customFormat="1" ht="30.9" x14ac:dyDescent="0.8">
      <c r="A915" s="262">
        <f>ROW()</f>
        <v>915</v>
      </c>
      <c r="C915" s="208"/>
      <c r="D915" s="208"/>
      <c r="E915" s="208"/>
      <c r="F915" s="208"/>
      <c r="G915" s="208"/>
      <c r="H915" s="208"/>
      <c r="J915" s="114" t="str">
        <f t="shared" si="417"/>
        <v/>
      </c>
      <c r="K915" s="114" t="str">
        <f>IF(COUNTBLANK(R915)&gt;0,"",CONCATENATE(R915," for ",N908))</f>
        <v/>
      </c>
      <c r="N915" s="123" t="s">
        <v>119</v>
      </c>
      <c r="O915" s="66"/>
      <c r="P915" s="121"/>
      <c r="Q915" s="66"/>
      <c r="R915" s="121"/>
      <c r="S915" s="133">
        <f>M908</f>
        <v>0</v>
      </c>
      <c r="T915" s="120"/>
      <c r="U915" s="121" t="s">
        <v>292</v>
      </c>
      <c r="V915" s="133">
        <f t="shared" si="410"/>
        <v>0</v>
      </c>
      <c r="W915" s="133">
        <f>VLOOKUP(U915,Sheet1!$B$6:$C$45,2,FALSE)*V915</f>
        <v>0</v>
      </c>
      <c r="X915" s="141"/>
      <c r="Y915" s="121" t="s">
        <v>292</v>
      </c>
      <c r="Z915" s="146">
        <f>VLOOKUP(Takeoffs!Y915,Sheet1!$B$6:$C$124,2,FALSE)</f>
        <v>0</v>
      </c>
      <c r="AA915" s="146">
        <f t="shared" si="411"/>
        <v>0</v>
      </c>
      <c r="AB915" s="143">
        <f t="shared" si="412"/>
        <v>0</v>
      </c>
      <c r="AC915" s="133">
        <f t="shared" si="413"/>
        <v>0</v>
      </c>
      <c r="AD915" s="142">
        <v>1</v>
      </c>
      <c r="AE915" s="141"/>
      <c r="AF915" s="121" t="s">
        <v>292</v>
      </c>
      <c r="AG915" s="146">
        <f>VLOOKUP(Takeoffs!AF915,Sheet1!$B$6:$C$124,2,FALSE)</f>
        <v>0</v>
      </c>
      <c r="AH915" s="146">
        <f t="shared" si="414"/>
        <v>0</v>
      </c>
      <c r="AI915" s="143">
        <f t="shared" si="415"/>
        <v>0</v>
      </c>
      <c r="AJ915" s="133">
        <f t="shared" si="416"/>
        <v>0</v>
      </c>
      <c r="AK915" s="142">
        <f>T915</f>
        <v>0</v>
      </c>
      <c r="AL915" s="141"/>
      <c r="AO915" s="286"/>
      <c r="AP915" s="284">
        <f t="shared" si="387"/>
        <v>0</v>
      </c>
      <c r="AQ915" s="281">
        <f t="shared" si="388"/>
        <v>0</v>
      </c>
      <c r="AR915" s="284">
        <f t="shared" si="389"/>
        <v>0</v>
      </c>
      <c r="AS915" s="281">
        <f t="shared" si="390"/>
        <v>0</v>
      </c>
      <c r="AT915" s="284">
        <f t="shared" si="391"/>
        <v>0</v>
      </c>
    </row>
    <row r="916" spans="1:46" s="114" customFormat="1" ht="30.9" x14ac:dyDescent="0.8">
      <c r="A916" s="262">
        <f>ROW()</f>
        <v>916</v>
      </c>
      <c r="C916" s="208"/>
      <c r="D916" s="208"/>
      <c r="E916" s="208"/>
      <c r="F916" s="208"/>
      <c r="G916" s="208"/>
      <c r="H916" s="208"/>
      <c r="J916" s="114" t="str">
        <f t="shared" si="417"/>
        <v/>
      </c>
      <c r="K916" s="114" t="str">
        <f>IF(COUNTBLANK(R916)&gt;0,"",CONCATENATE(R916," for ",N908))</f>
        <v/>
      </c>
      <c r="N916" s="123" t="s">
        <v>120</v>
      </c>
      <c r="O916" s="66" t="s">
        <v>328</v>
      </c>
      <c r="P916" s="121"/>
      <c r="Q916" s="66"/>
      <c r="R916" s="121"/>
      <c r="S916" s="133">
        <f>M908</f>
        <v>0</v>
      </c>
      <c r="T916" s="120"/>
      <c r="U916" s="121" t="s">
        <v>364</v>
      </c>
      <c r="V916" s="133">
        <f t="shared" si="410"/>
        <v>0</v>
      </c>
      <c r="W916" s="133">
        <f>VLOOKUP(U916,Sheet1!$B$6:$C$45,2,FALSE)*V916</f>
        <v>0</v>
      </c>
      <c r="X916" s="141"/>
      <c r="Y916" s="121" t="s">
        <v>292</v>
      </c>
      <c r="Z916" s="146">
        <f>VLOOKUP(Takeoffs!Y916,Sheet1!$B$6:$C$124,2,FALSE)</f>
        <v>0</v>
      </c>
      <c r="AA916" s="146">
        <f t="shared" si="411"/>
        <v>0</v>
      </c>
      <c r="AB916" s="143">
        <f t="shared" si="412"/>
        <v>0</v>
      </c>
      <c r="AC916" s="133">
        <f t="shared" si="413"/>
        <v>0</v>
      </c>
      <c r="AD916" s="142">
        <v>1</v>
      </c>
      <c r="AE916" s="141"/>
      <c r="AF916" s="121" t="s">
        <v>292</v>
      </c>
      <c r="AG916" s="146">
        <f>VLOOKUP(Takeoffs!AF916,Sheet1!$B$6:$C$124,2,FALSE)</f>
        <v>0</v>
      </c>
      <c r="AH916" s="146">
        <f t="shared" si="414"/>
        <v>0</v>
      </c>
      <c r="AI916" s="143">
        <f t="shared" si="415"/>
        <v>0</v>
      </c>
      <c r="AJ916" s="133">
        <f t="shared" si="416"/>
        <v>0</v>
      </c>
      <c r="AK916" s="142">
        <f>T916</f>
        <v>0</v>
      </c>
      <c r="AL916" s="141"/>
      <c r="AO916" s="286"/>
      <c r="AP916" s="284">
        <f t="shared" ref="AP916:AP979" si="418">IF(AND(I916&gt;0, ISNUMBER(I916)),I916*P916,0)</f>
        <v>0</v>
      </c>
      <c r="AQ916" s="281">
        <f t="shared" ref="AQ916:AQ979" si="419">IF(AND(I916&gt;0, ISNUMBER(I916)),I916*W916*80,0)</f>
        <v>0</v>
      </c>
      <c r="AR916" s="284">
        <f t="shared" ref="AR916:AR979" si="420">IF(AND(I916&gt;0, ISNUMBER(I916)),I916*AA916,0)</f>
        <v>0</v>
      </c>
      <c r="AS916" s="281">
        <f t="shared" ref="AS916:AS979" si="421">IF(AND(I916&gt;0, ISNUMBER(I916)),I916*AH916,0)</f>
        <v>0</v>
      </c>
      <c r="AT916" s="284">
        <f t="shared" ref="AT916:AT979" si="422">IF(AND(I916&gt;0, ISNUMBER(I916)),I916*(AP916-(AQ916+AR916+AS916)),0)</f>
        <v>0</v>
      </c>
    </row>
    <row r="917" spans="1:46" s="114" customFormat="1" ht="30.9" x14ac:dyDescent="0.8">
      <c r="A917" s="262">
        <f>ROW()</f>
        <v>917</v>
      </c>
      <c r="C917" s="208"/>
      <c r="D917" s="208"/>
      <c r="E917" s="208"/>
      <c r="F917" s="208"/>
      <c r="G917" s="208"/>
      <c r="H917" s="208"/>
      <c r="J917" s="114" t="str">
        <f t="shared" si="417"/>
        <v/>
      </c>
      <c r="K917" s="114" t="str">
        <f>IF(COUNTBLANK(R917)&gt;0,"",CONCATENATE(R917," for ",N908))</f>
        <v/>
      </c>
      <c r="N917" s="123" t="s">
        <v>121</v>
      </c>
      <c r="O917" s="66"/>
      <c r="P917" s="121"/>
      <c r="Q917" s="66"/>
      <c r="R917" s="121"/>
      <c r="S917" s="133">
        <f>M908</f>
        <v>0</v>
      </c>
      <c r="T917" s="120"/>
      <c r="U917" s="121" t="s">
        <v>292</v>
      </c>
      <c r="V917" s="133">
        <f t="shared" si="410"/>
        <v>0</v>
      </c>
      <c r="W917" s="133">
        <f>VLOOKUP(U917,Sheet1!$B$6:$C$45,2,FALSE)*V917</f>
        <v>0</v>
      </c>
      <c r="X917" s="141"/>
      <c r="Y917" s="121" t="s">
        <v>292</v>
      </c>
      <c r="Z917" s="146">
        <f>VLOOKUP(Takeoffs!Y917,Sheet1!$B$6:$C$124,2,FALSE)</f>
        <v>0</v>
      </c>
      <c r="AA917" s="146">
        <f t="shared" si="411"/>
        <v>0</v>
      </c>
      <c r="AB917" s="143">
        <f t="shared" si="412"/>
        <v>0</v>
      </c>
      <c r="AC917" s="133">
        <f t="shared" si="413"/>
        <v>0</v>
      </c>
      <c r="AD917" s="142">
        <v>1</v>
      </c>
      <c r="AE917" s="141"/>
      <c r="AF917" s="121" t="s">
        <v>292</v>
      </c>
      <c r="AG917" s="146">
        <f>VLOOKUP(Takeoffs!AF917,Sheet1!$B$6:$C$124,2,FALSE)</f>
        <v>0</v>
      </c>
      <c r="AH917" s="146">
        <f t="shared" si="414"/>
        <v>0</v>
      </c>
      <c r="AI917" s="143">
        <f t="shared" si="415"/>
        <v>0</v>
      </c>
      <c r="AJ917" s="133">
        <f t="shared" si="416"/>
        <v>0</v>
      </c>
      <c r="AK917" s="142">
        <f>T917</f>
        <v>0</v>
      </c>
      <c r="AL917" s="141"/>
      <c r="AO917" s="286"/>
      <c r="AP917" s="284">
        <f t="shared" si="418"/>
        <v>0</v>
      </c>
      <c r="AQ917" s="281">
        <f t="shared" si="419"/>
        <v>0</v>
      </c>
      <c r="AR917" s="284">
        <f t="shared" si="420"/>
        <v>0</v>
      </c>
      <c r="AS917" s="281">
        <f t="shared" si="421"/>
        <v>0</v>
      </c>
      <c r="AT917" s="284">
        <f t="shared" si="422"/>
        <v>0</v>
      </c>
    </row>
    <row r="918" spans="1:46" s="114" customFormat="1" ht="30.9" x14ac:dyDescent="0.8">
      <c r="A918" s="262">
        <f>ROW()</f>
        <v>918</v>
      </c>
      <c r="C918" s="208"/>
      <c r="D918" s="208"/>
      <c r="E918" s="208"/>
      <c r="F918" s="208"/>
      <c r="G918" s="208"/>
      <c r="H918" s="208"/>
      <c r="J918" s="114" t="str">
        <f t="shared" si="417"/>
        <v/>
      </c>
      <c r="K918" s="114" t="str">
        <f>IF(COUNTBLANK(R918)&gt;0,"",CONCATENATE(R918," for ",N908))</f>
        <v/>
      </c>
      <c r="N918" s="123" t="s">
        <v>122</v>
      </c>
      <c r="O918" s="66"/>
      <c r="P918" s="121"/>
      <c r="Q918" s="66"/>
      <c r="R918" s="121"/>
      <c r="S918" s="133">
        <f>M908</f>
        <v>0</v>
      </c>
      <c r="T918" s="120"/>
      <c r="U918" s="121" t="s">
        <v>292</v>
      </c>
      <c r="V918" s="133">
        <f t="shared" si="410"/>
        <v>0</v>
      </c>
      <c r="W918" s="133">
        <f>VLOOKUP(U918,Sheet1!$B$6:$C$45,2,FALSE)*V918</f>
        <v>0</v>
      </c>
      <c r="X918" s="141"/>
      <c r="Y918" s="121" t="s">
        <v>292</v>
      </c>
      <c r="Z918" s="146">
        <f>VLOOKUP(Takeoffs!Y918,Sheet1!$B$6:$C$124,2,FALSE)</f>
        <v>0</v>
      </c>
      <c r="AA918" s="146">
        <f t="shared" si="411"/>
        <v>0</v>
      </c>
      <c r="AB918" s="143">
        <f t="shared" si="412"/>
        <v>0</v>
      </c>
      <c r="AC918" s="133">
        <f t="shared" si="413"/>
        <v>0</v>
      </c>
      <c r="AD918" s="142">
        <v>1</v>
      </c>
      <c r="AE918" s="141"/>
      <c r="AF918" s="121" t="s">
        <v>292</v>
      </c>
      <c r="AG918" s="146">
        <f>VLOOKUP(Takeoffs!AF918,Sheet1!$B$6:$C$124,2,FALSE)</f>
        <v>0</v>
      </c>
      <c r="AH918" s="146">
        <f t="shared" si="414"/>
        <v>0</v>
      </c>
      <c r="AI918" s="143">
        <f t="shared" si="415"/>
        <v>0</v>
      </c>
      <c r="AJ918" s="133">
        <f t="shared" si="416"/>
        <v>0</v>
      </c>
      <c r="AK918" s="142">
        <f>T918</f>
        <v>0</v>
      </c>
      <c r="AL918" s="141"/>
      <c r="AO918" s="286"/>
      <c r="AP918" s="284">
        <f t="shared" si="418"/>
        <v>0</v>
      </c>
      <c r="AQ918" s="281">
        <f t="shared" si="419"/>
        <v>0</v>
      </c>
      <c r="AR918" s="284">
        <f t="shared" si="420"/>
        <v>0</v>
      </c>
      <c r="AS918" s="281">
        <f t="shared" si="421"/>
        <v>0</v>
      </c>
      <c r="AT918" s="284">
        <f t="shared" si="422"/>
        <v>0</v>
      </c>
    </row>
    <row r="919" spans="1:46" s="114" customFormat="1" ht="30.9" x14ac:dyDescent="0.8">
      <c r="A919" s="262">
        <f>ROW()</f>
        <v>919</v>
      </c>
      <c r="C919" s="208"/>
      <c r="D919" s="208"/>
      <c r="E919" s="208"/>
      <c r="F919" s="208"/>
      <c r="G919" s="208"/>
      <c r="H919" s="208"/>
      <c r="J919" s="114" t="str">
        <f t="shared" si="417"/>
        <v/>
      </c>
      <c r="K919" s="114" t="str">
        <f>IF(COUNTBLANK(R919)&gt;0,"",CONCATENATE(R919," for ",N908))</f>
        <v/>
      </c>
      <c r="N919" s="123" t="s">
        <v>123</v>
      </c>
      <c r="O919" s="66"/>
      <c r="P919" s="121"/>
      <c r="Q919" s="66"/>
      <c r="R919" s="121"/>
      <c r="S919" s="133">
        <f>M908</f>
        <v>0</v>
      </c>
      <c r="T919" s="120"/>
      <c r="U919" s="121" t="s">
        <v>292</v>
      </c>
      <c r="V919" s="133">
        <f t="shared" si="410"/>
        <v>0</v>
      </c>
      <c r="W919" s="133">
        <f>VLOOKUP(U919,Sheet1!$B$6:$C$45,2,FALSE)*V919</f>
        <v>0</v>
      </c>
      <c r="X919" s="141"/>
      <c r="Y919" s="121" t="s">
        <v>292</v>
      </c>
      <c r="Z919" s="146">
        <f>VLOOKUP(Takeoffs!Y919,Sheet1!$B$6:$C$124,2,FALSE)</f>
        <v>0</v>
      </c>
      <c r="AA919" s="146">
        <f t="shared" si="411"/>
        <v>0</v>
      </c>
      <c r="AB919" s="143">
        <f t="shared" si="412"/>
        <v>0</v>
      </c>
      <c r="AC919" s="133">
        <f t="shared" si="413"/>
        <v>0</v>
      </c>
      <c r="AD919" s="142">
        <v>1</v>
      </c>
      <c r="AE919" s="141"/>
      <c r="AF919" s="121" t="s">
        <v>292</v>
      </c>
      <c r="AG919" s="146">
        <f>VLOOKUP(Takeoffs!AF919,Sheet1!$B$6:$C$124,2,FALSE)</f>
        <v>0</v>
      </c>
      <c r="AH919" s="146">
        <f t="shared" si="414"/>
        <v>0</v>
      </c>
      <c r="AI919" s="143">
        <f t="shared" si="415"/>
        <v>0</v>
      </c>
      <c r="AJ919" s="133">
        <f t="shared" si="416"/>
        <v>0</v>
      </c>
      <c r="AK919" s="142">
        <v>0</v>
      </c>
      <c r="AL919" s="141"/>
      <c r="AO919" s="286"/>
      <c r="AP919" s="284">
        <f t="shared" si="418"/>
        <v>0</v>
      </c>
      <c r="AQ919" s="281">
        <f t="shared" si="419"/>
        <v>0</v>
      </c>
      <c r="AR919" s="284">
        <f t="shared" si="420"/>
        <v>0</v>
      </c>
      <c r="AS919" s="281">
        <f t="shared" si="421"/>
        <v>0</v>
      </c>
      <c r="AT919" s="284">
        <f t="shared" si="422"/>
        <v>0</v>
      </c>
    </row>
    <row r="920" spans="1:46" s="114" customFormat="1" ht="30.9" x14ac:dyDescent="0.8">
      <c r="A920" s="262">
        <f>ROW()</f>
        <v>920</v>
      </c>
      <c r="C920" s="208"/>
      <c r="D920" s="208"/>
      <c r="E920" s="208"/>
      <c r="F920" s="208"/>
      <c r="G920" s="208"/>
      <c r="H920" s="208"/>
      <c r="J920" s="114" t="str">
        <f t="shared" si="417"/>
        <v/>
      </c>
      <c r="K920" s="114" t="str">
        <f>IF(COUNTBLANK(R920)&gt;0,"",CONCATENATE(R920," for ",N908))</f>
        <v/>
      </c>
      <c r="N920" s="123" t="s">
        <v>124</v>
      </c>
      <c r="O920" s="66" t="s">
        <v>140</v>
      </c>
      <c r="P920" s="121"/>
      <c r="Q920" s="66"/>
      <c r="R920" s="121"/>
      <c r="S920" s="133">
        <f>M908</f>
        <v>0</v>
      </c>
      <c r="T920" s="120"/>
      <c r="U920" s="121" t="s">
        <v>292</v>
      </c>
      <c r="V920" s="133">
        <f t="shared" si="410"/>
        <v>0</v>
      </c>
      <c r="W920" s="133">
        <f>VLOOKUP(U920,Sheet1!$B$6:$C$45,2,FALSE)*V920</f>
        <v>0</v>
      </c>
      <c r="X920" s="141"/>
      <c r="Y920" s="121" t="s">
        <v>292</v>
      </c>
      <c r="Z920" s="146">
        <f>VLOOKUP(Takeoffs!Y920,Sheet1!$B$6:$C$124,2,FALSE)</f>
        <v>0</v>
      </c>
      <c r="AA920" s="146">
        <f t="shared" si="411"/>
        <v>0</v>
      </c>
      <c r="AB920" s="143">
        <f t="shared" si="412"/>
        <v>0</v>
      </c>
      <c r="AC920" s="133">
        <f t="shared" si="413"/>
        <v>0</v>
      </c>
      <c r="AD920" s="142">
        <v>1</v>
      </c>
      <c r="AE920" s="141"/>
      <c r="AF920" s="152" t="s">
        <v>418</v>
      </c>
      <c r="AG920" s="146">
        <f>VLOOKUP(Takeoffs!AF920,Sheet1!$B$6:$C$124,2,FALSE)</f>
        <v>0.33600000000000002</v>
      </c>
      <c r="AH920" s="146">
        <f t="shared" si="414"/>
        <v>0</v>
      </c>
      <c r="AI920" s="143">
        <f t="shared" si="415"/>
        <v>0</v>
      </c>
      <c r="AJ920" s="133">
        <f t="shared" si="416"/>
        <v>0</v>
      </c>
      <c r="AK920" s="142">
        <v>1</v>
      </c>
      <c r="AL920" s="141"/>
      <c r="AO920" s="286"/>
      <c r="AP920" s="284">
        <f t="shared" si="418"/>
        <v>0</v>
      </c>
      <c r="AQ920" s="281">
        <f t="shared" si="419"/>
        <v>0</v>
      </c>
      <c r="AR920" s="284">
        <f t="shared" si="420"/>
        <v>0</v>
      </c>
      <c r="AS920" s="281">
        <f t="shared" si="421"/>
        <v>0</v>
      </c>
      <c r="AT920" s="284">
        <f t="shared" si="422"/>
        <v>0</v>
      </c>
    </row>
    <row r="921" spans="1:46" s="114" customFormat="1" ht="30.9" x14ac:dyDescent="0.8">
      <c r="A921" s="262">
        <f>ROW()</f>
        <v>921</v>
      </c>
      <c r="C921" s="208"/>
      <c r="D921" s="208"/>
      <c r="E921" s="208"/>
      <c r="F921" s="208"/>
      <c r="G921" s="208"/>
      <c r="H921" s="208"/>
      <c r="J921" s="114" t="str">
        <f t="shared" si="417"/>
        <v/>
      </c>
      <c r="K921" s="114" t="str">
        <f>IF(COUNTBLANK(R921)&gt;0,"",CONCATENATE(R921," for ",N908))</f>
        <v/>
      </c>
      <c r="N921" s="123" t="s">
        <v>125</v>
      </c>
      <c r="O921" s="66" t="s">
        <v>312</v>
      </c>
      <c r="P921" s="121"/>
      <c r="Q921" s="66"/>
      <c r="R921" s="121"/>
      <c r="S921" s="133">
        <f>M908</f>
        <v>0</v>
      </c>
      <c r="T921" s="120"/>
      <c r="U921" s="121" t="s">
        <v>232</v>
      </c>
      <c r="V921" s="133">
        <f t="shared" si="410"/>
        <v>0</v>
      </c>
      <c r="W921" s="133">
        <f>VLOOKUP(U921,Sheet1!$B$6:$C$45,2,FALSE)*V921</f>
        <v>0</v>
      </c>
      <c r="X921" s="141"/>
      <c r="Y921" s="122" t="s">
        <v>1345</v>
      </c>
      <c r="Z921" s="146">
        <f>VLOOKUP(Takeoffs!Y921,Sheet1!$B$6:$C$124,2,FALSE)</f>
        <v>109.25999999999999</v>
      </c>
      <c r="AA921" s="146">
        <f t="shared" si="411"/>
        <v>0</v>
      </c>
      <c r="AB921" s="143">
        <f t="shared" si="412"/>
        <v>0</v>
      </c>
      <c r="AC921" s="133">
        <f t="shared" si="413"/>
        <v>0</v>
      </c>
      <c r="AD921" s="142">
        <v>1</v>
      </c>
      <c r="AE921" s="141"/>
      <c r="AF921" s="121" t="s">
        <v>292</v>
      </c>
      <c r="AG921" s="146">
        <f>VLOOKUP(Takeoffs!AF921,Sheet1!$B$6:$C$124,2,FALSE)</f>
        <v>0</v>
      </c>
      <c r="AH921" s="146">
        <f t="shared" si="414"/>
        <v>0</v>
      </c>
      <c r="AI921" s="143">
        <f t="shared" si="415"/>
        <v>0</v>
      </c>
      <c r="AJ921" s="133">
        <f t="shared" si="416"/>
        <v>0</v>
      </c>
      <c r="AK921" s="142">
        <f t="shared" ref="AK921:AK928" si="423">T921</f>
        <v>0</v>
      </c>
      <c r="AL921" s="141"/>
      <c r="AO921" s="286"/>
      <c r="AP921" s="284">
        <f t="shared" si="418"/>
        <v>0</v>
      </c>
      <c r="AQ921" s="281">
        <f t="shared" si="419"/>
        <v>0</v>
      </c>
      <c r="AR921" s="284">
        <f t="shared" si="420"/>
        <v>0</v>
      </c>
      <c r="AS921" s="281">
        <f t="shared" si="421"/>
        <v>0</v>
      </c>
      <c r="AT921" s="284">
        <f t="shared" si="422"/>
        <v>0</v>
      </c>
    </row>
    <row r="922" spans="1:46" s="114" customFormat="1" ht="30.9" x14ac:dyDescent="0.8">
      <c r="A922" s="262">
        <f>ROW()</f>
        <v>922</v>
      </c>
      <c r="C922" s="208"/>
      <c r="D922" s="208"/>
      <c r="E922" s="208"/>
      <c r="F922" s="208"/>
      <c r="G922" s="208"/>
      <c r="H922" s="208"/>
      <c r="J922" s="114" t="str">
        <f t="shared" si="417"/>
        <v/>
      </c>
      <c r="K922" s="114" t="str">
        <f>IF(COUNTBLANK(R922)&gt;0,"",CONCATENATE(R922," for ",N908))</f>
        <v/>
      </c>
      <c r="N922" s="123" t="s">
        <v>126</v>
      </c>
      <c r="O922" s="66"/>
      <c r="P922" s="121"/>
      <c r="Q922" s="66"/>
      <c r="R922" s="121"/>
      <c r="S922" s="133">
        <f>M908</f>
        <v>0</v>
      </c>
      <c r="T922" s="120"/>
      <c r="U922" s="121" t="s">
        <v>292</v>
      </c>
      <c r="V922" s="133">
        <f t="shared" si="410"/>
        <v>0</v>
      </c>
      <c r="W922" s="133">
        <f>VLOOKUP(U922,Sheet1!$B$6:$C$45,2,FALSE)*V922</f>
        <v>0</v>
      </c>
      <c r="X922" s="141"/>
      <c r="Y922" s="121" t="s">
        <v>292</v>
      </c>
      <c r="Z922" s="146">
        <f>VLOOKUP(Takeoffs!Y922,Sheet1!$B$6:$C$124,2,FALSE)</f>
        <v>0</v>
      </c>
      <c r="AA922" s="146">
        <f t="shared" si="411"/>
        <v>0</v>
      </c>
      <c r="AB922" s="143">
        <f t="shared" si="412"/>
        <v>0</v>
      </c>
      <c r="AC922" s="133">
        <f t="shared" si="413"/>
        <v>0</v>
      </c>
      <c r="AD922" s="142">
        <v>1</v>
      </c>
      <c r="AE922" s="141"/>
      <c r="AF922" s="121" t="s">
        <v>292</v>
      </c>
      <c r="AG922" s="146">
        <f>VLOOKUP(Takeoffs!AF922,Sheet1!$B$6:$C$124,2,FALSE)</f>
        <v>0</v>
      </c>
      <c r="AH922" s="146">
        <f t="shared" si="414"/>
        <v>0</v>
      </c>
      <c r="AI922" s="143">
        <f t="shared" si="415"/>
        <v>0</v>
      </c>
      <c r="AJ922" s="133">
        <f t="shared" si="416"/>
        <v>0</v>
      </c>
      <c r="AK922" s="142">
        <f t="shared" si="423"/>
        <v>0</v>
      </c>
      <c r="AL922" s="141"/>
      <c r="AO922" s="286"/>
      <c r="AP922" s="284">
        <f t="shared" si="418"/>
        <v>0</v>
      </c>
      <c r="AQ922" s="281">
        <f t="shared" si="419"/>
        <v>0</v>
      </c>
      <c r="AR922" s="284">
        <f t="shared" si="420"/>
        <v>0</v>
      </c>
      <c r="AS922" s="281">
        <f t="shared" si="421"/>
        <v>0</v>
      </c>
      <c r="AT922" s="284">
        <f t="shared" si="422"/>
        <v>0</v>
      </c>
    </row>
    <row r="923" spans="1:46" s="114" customFormat="1" ht="30.9" x14ac:dyDescent="0.8">
      <c r="A923" s="262">
        <f>ROW()</f>
        <v>923</v>
      </c>
      <c r="C923" s="208"/>
      <c r="D923" s="208"/>
      <c r="E923" s="208"/>
      <c r="F923" s="208"/>
      <c r="G923" s="208"/>
      <c r="H923" s="208"/>
      <c r="J923" s="114" t="str">
        <f t="shared" si="417"/>
        <v/>
      </c>
      <c r="K923" s="114" t="str">
        <f>IF(COUNTBLANK(R923)&gt;0,"",CONCATENATE(R923," for ",N908))</f>
        <v>run and fault lights for Cooling tower fan wirh VSD - from MSSB power supply and BMS interface provisions</v>
      </c>
      <c r="N923" s="123" t="s">
        <v>127</v>
      </c>
      <c r="O923" s="66" t="s">
        <v>337</v>
      </c>
      <c r="P923" s="121"/>
      <c r="Q923" s="66"/>
      <c r="R923" s="121" t="s">
        <v>331</v>
      </c>
      <c r="S923" s="133">
        <f>M908</f>
        <v>0</v>
      </c>
      <c r="T923" s="120"/>
      <c r="U923" s="121" t="s">
        <v>292</v>
      </c>
      <c r="V923" s="133">
        <f t="shared" si="410"/>
        <v>0</v>
      </c>
      <c r="W923" s="133">
        <f>VLOOKUP(U923,Sheet1!$B$6:$C$45,2,FALSE)*V923</f>
        <v>0</v>
      </c>
      <c r="X923" s="141"/>
      <c r="Y923" s="122" t="s">
        <v>280</v>
      </c>
      <c r="Z923" s="146">
        <f>VLOOKUP(Takeoffs!Y923,Sheet1!$B$6:$C$124,2,FALSE)</f>
        <v>19.2</v>
      </c>
      <c r="AA923" s="146">
        <f t="shared" si="411"/>
        <v>0</v>
      </c>
      <c r="AB923" s="143">
        <f t="shared" si="412"/>
        <v>0</v>
      </c>
      <c r="AC923" s="133">
        <f t="shared" si="413"/>
        <v>0</v>
      </c>
      <c r="AD923" s="142">
        <v>2</v>
      </c>
      <c r="AE923" s="141"/>
      <c r="AF923" s="121" t="s">
        <v>292</v>
      </c>
      <c r="AG923" s="146">
        <f>VLOOKUP(Takeoffs!AF923,Sheet1!$B$6:$C$124,2,FALSE)</f>
        <v>0</v>
      </c>
      <c r="AH923" s="146">
        <f t="shared" si="414"/>
        <v>0</v>
      </c>
      <c r="AI923" s="143">
        <f t="shared" si="415"/>
        <v>0</v>
      </c>
      <c r="AJ923" s="133">
        <f t="shared" si="416"/>
        <v>0</v>
      </c>
      <c r="AK923" s="142">
        <f t="shared" si="423"/>
        <v>0</v>
      </c>
      <c r="AL923" s="141"/>
      <c r="AO923" s="286"/>
      <c r="AP923" s="284">
        <f t="shared" si="418"/>
        <v>0</v>
      </c>
      <c r="AQ923" s="281">
        <f t="shared" si="419"/>
        <v>0</v>
      </c>
      <c r="AR923" s="284">
        <f t="shared" si="420"/>
        <v>0</v>
      </c>
      <c r="AS923" s="281">
        <f t="shared" si="421"/>
        <v>0</v>
      </c>
      <c r="AT923" s="284">
        <f t="shared" si="422"/>
        <v>0</v>
      </c>
    </row>
    <row r="924" spans="1:46" s="114" customFormat="1" ht="30.9" x14ac:dyDescent="0.8">
      <c r="A924" s="262">
        <f>ROW()</f>
        <v>924</v>
      </c>
      <c r="C924" s="208"/>
      <c r="D924" s="208"/>
      <c r="E924" s="208"/>
      <c r="F924" s="208"/>
      <c r="G924" s="208"/>
      <c r="H924" s="208"/>
      <c r="J924" s="114" t="str">
        <f t="shared" si="417"/>
        <v/>
      </c>
      <c r="K924" s="114" t="str">
        <f>IF(COUNTBLANK(R924)&gt;0,"",CONCATENATE(R924," for ",N908))</f>
        <v/>
      </c>
      <c r="N924" s="123" t="s">
        <v>128</v>
      </c>
      <c r="O924" s="66" t="s">
        <v>499</v>
      </c>
      <c r="P924" s="121"/>
      <c r="Q924" s="66"/>
      <c r="R924" s="121"/>
      <c r="S924" s="133">
        <f>M908</f>
        <v>0</v>
      </c>
      <c r="T924" s="120"/>
      <c r="U924" s="121" t="s">
        <v>292</v>
      </c>
      <c r="V924" s="133">
        <f t="shared" si="410"/>
        <v>0</v>
      </c>
      <c r="W924" s="133">
        <f>VLOOKUP(U924,Sheet1!$B$6:$C$45,2,FALSE)*V924</f>
        <v>0</v>
      </c>
      <c r="X924" s="141"/>
      <c r="Y924" s="135" t="s">
        <v>422</v>
      </c>
      <c r="Z924" s="146">
        <f>VLOOKUP(Takeoffs!Y924,Sheet1!$B$6:$C$124,2,FALSE)</f>
        <v>23.4</v>
      </c>
      <c r="AA924" s="146">
        <f t="shared" si="411"/>
        <v>0</v>
      </c>
      <c r="AB924" s="143">
        <f t="shared" si="412"/>
        <v>0</v>
      </c>
      <c r="AC924" s="133">
        <f t="shared" si="413"/>
        <v>0</v>
      </c>
      <c r="AD924" s="142">
        <v>1</v>
      </c>
      <c r="AE924" s="141"/>
      <c r="AF924" s="121" t="s">
        <v>292</v>
      </c>
      <c r="AG924" s="146">
        <f>VLOOKUP(Takeoffs!AF924,Sheet1!$B$6:$C$124,2,FALSE)</f>
        <v>0</v>
      </c>
      <c r="AH924" s="146">
        <f t="shared" si="414"/>
        <v>0</v>
      </c>
      <c r="AI924" s="143">
        <f t="shared" si="415"/>
        <v>0</v>
      </c>
      <c r="AJ924" s="133">
        <f t="shared" si="416"/>
        <v>0</v>
      </c>
      <c r="AK924" s="142">
        <f t="shared" si="423"/>
        <v>0</v>
      </c>
      <c r="AL924" s="141"/>
      <c r="AO924" s="286"/>
      <c r="AP924" s="284">
        <f t="shared" si="418"/>
        <v>0</v>
      </c>
      <c r="AQ924" s="281">
        <f t="shared" si="419"/>
        <v>0</v>
      </c>
      <c r="AR924" s="284">
        <f t="shared" si="420"/>
        <v>0</v>
      </c>
      <c r="AS924" s="281">
        <f t="shared" si="421"/>
        <v>0</v>
      </c>
      <c r="AT924" s="284">
        <f t="shared" si="422"/>
        <v>0</v>
      </c>
    </row>
    <row r="925" spans="1:46" s="114" customFormat="1" ht="30.9" x14ac:dyDescent="0.8">
      <c r="A925" s="262">
        <f>ROW()</f>
        <v>925</v>
      </c>
      <c r="C925" s="208"/>
      <c r="D925" s="208"/>
      <c r="E925" s="208"/>
      <c r="F925" s="208"/>
      <c r="G925" s="208"/>
      <c r="H925" s="208"/>
      <c r="J925" s="114" t="str">
        <f t="shared" si="417"/>
        <v/>
      </c>
      <c r="K925" s="114" t="str">
        <f>IF(COUNTBLANK(R925)&gt;0,"",CONCATENATE(R925," for ",N908))</f>
        <v>Auto/Off/On switch for Cooling tower fan wirh VSD - from MSSB power supply and BMS interface provisions</v>
      </c>
      <c r="N925" s="123" t="s">
        <v>129</v>
      </c>
      <c r="O925" s="66" t="s">
        <v>329</v>
      </c>
      <c r="P925" s="121"/>
      <c r="Q925" s="66"/>
      <c r="R925" s="121" t="s">
        <v>304</v>
      </c>
      <c r="S925" s="133">
        <f>M908</f>
        <v>0</v>
      </c>
      <c r="T925" s="120"/>
      <c r="U925" s="121" t="s">
        <v>292</v>
      </c>
      <c r="V925" s="133">
        <f t="shared" si="410"/>
        <v>0</v>
      </c>
      <c r="W925" s="133">
        <f>VLOOKUP(U925,Sheet1!$B$6:$C$45,2,FALSE)*V925</f>
        <v>0</v>
      </c>
      <c r="X925" s="141"/>
      <c r="Y925" s="122" t="s">
        <v>277</v>
      </c>
      <c r="Z925" s="146">
        <f>VLOOKUP(Takeoffs!Y925,Sheet1!$B$6:$C$124,2,FALSE)</f>
        <v>69.540000000000006</v>
      </c>
      <c r="AA925" s="146">
        <f t="shared" si="411"/>
        <v>0</v>
      </c>
      <c r="AB925" s="143">
        <f t="shared" si="412"/>
        <v>0</v>
      </c>
      <c r="AC925" s="133">
        <f t="shared" si="413"/>
        <v>0</v>
      </c>
      <c r="AD925" s="142">
        <v>1</v>
      </c>
      <c r="AE925" s="141"/>
      <c r="AF925" s="121" t="s">
        <v>292</v>
      </c>
      <c r="AG925" s="146">
        <f>VLOOKUP(Takeoffs!AF925,Sheet1!$B$6:$C$124,2,FALSE)</f>
        <v>0</v>
      </c>
      <c r="AH925" s="146">
        <f t="shared" si="414"/>
        <v>0</v>
      </c>
      <c r="AI925" s="143">
        <f t="shared" si="415"/>
        <v>0</v>
      </c>
      <c r="AJ925" s="133">
        <f t="shared" si="416"/>
        <v>0</v>
      </c>
      <c r="AK925" s="142">
        <f t="shared" si="423"/>
        <v>0</v>
      </c>
      <c r="AL925" s="141"/>
      <c r="AO925" s="286"/>
      <c r="AP925" s="284">
        <f t="shared" si="418"/>
        <v>0</v>
      </c>
      <c r="AQ925" s="281">
        <f t="shared" si="419"/>
        <v>0</v>
      </c>
      <c r="AR925" s="284">
        <f t="shared" si="420"/>
        <v>0</v>
      </c>
      <c r="AS925" s="281">
        <f t="shared" si="421"/>
        <v>0</v>
      </c>
      <c r="AT925" s="284">
        <f t="shared" si="422"/>
        <v>0</v>
      </c>
    </row>
    <row r="926" spans="1:46" s="114" customFormat="1" ht="30.9" x14ac:dyDescent="0.8">
      <c r="A926" s="262">
        <f>ROW()</f>
        <v>926</v>
      </c>
      <c r="C926" s="208"/>
      <c r="D926" s="208"/>
      <c r="E926" s="208"/>
      <c r="F926" s="208"/>
      <c r="G926" s="208"/>
      <c r="H926" s="208"/>
      <c r="J926" s="114" t="str">
        <f t="shared" si="417"/>
        <v/>
      </c>
      <c r="K926" s="114" t="str">
        <f>IF(COUNTBLANK(R926)&gt;0,"",CONCATENATE(R926," for ",N908))</f>
        <v/>
      </c>
      <c r="N926" s="123" t="s">
        <v>130</v>
      </c>
      <c r="O926" s="66" t="s">
        <v>500</v>
      </c>
      <c r="P926" s="121"/>
      <c r="Q926" s="66"/>
      <c r="R926" s="121"/>
      <c r="S926" s="133">
        <f>M908</f>
        <v>0</v>
      </c>
      <c r="T926" s="120"/>
      <c r="U926" s="121" t="s">
        <v>292</v>
      </c>
      <c r="V926" s="133">
        <f t="shared" si="410"/>
        <v>0</v>
      </c>
      <c r="W926" s="133">
        <f>VLOOKUP(U926,Sheet1!$B$6:$C$45,2,FALSE)*V926</f>
        <v>0</v>
      </c>
      <c r="X926" s="141"/>
      <c r="Y926" s="121" t="s">
        <v>292</v>
      </c>
      <c r="Z926" s="146">
        <f>VLOOKUP(Takeoffs!Y926,Sheet1!$B$6:$C$124,2,FALSE)</f>
        <v>0</v>
      </c>
      <c r="AA926" s="146">
        <f t="shared" si="411"/>
        <v>0</v>
      </c>
      <c r="AB926" s="143">
        <f t="shared" si="412"/>
        <v>0</v>
      </c>
      <c r="AC926" s="133">
        <f t="shared" si="413"/>
        <v>0</v>
      </c>
      <c r="AD926" s="142">
        <v>1</v>
      </c>
      <c r="AE926" s="141"/>
      <c r="AF926" s="121" t="s">
        <v>292</v>
      </c>
      <c r="AG926" s="146">
        <f>VLOOKUP(Takeoffs!AF926,Sheet1!$B$6:$C$124,2,FALSE)</f>
        <v>0</v>
      </c>
      <c r="AH926" s="146">
        <f t="shared" si="414"/>
        <v>0</v>
      </c>
      <c r="AI926" s="143">
        <f t="shared" si="415"/>
        <v>0</v>
      </c>
      <c r="AJ926" s="133">
        <f t="shared" si="416"/>
        <v>0</v>
      </c>
      <c r="AK926" s="142">
        <f t="shared" si="423"/>
        <v>0</v>
      </c>
      <c r="AL926" s="141"/>
      <c r="AO926" s="286"/>
      <c r="AP926" s="284">
        <f t="shared" si="418"/>
        <v>0</v>
      </c>
      <c r="AQ926" s="281">
        <f t="shared" si="419"/>
        <v>0</v>
      </c>
      <c r="AR926" s="284">
        <f t="shared" si="420"/>
        <v>0</v>
      </c>
      <c r="AS926" s="281">
        <f t="shared" si="421"/>
        <v>0</v>
      </c>
      <c r="AT926" s="284">
        <f t="shared" si="422"/>
        <v>0</v>
      </c>
    </row>
    <row r="927" spans="1:46" s="114" customFormat="1" ht="30.9" x14ac:dyDescent="0.8">
      <c r="A927" s="262">
        <f>ROW()</f>
        <v>927</v>
      </c>
      <c r="C927" s="208"/>
      <c r="D927" s="208"/>
      <c r="E927" s="208"/>
      <c r="F927" s="208"/>
      <c r="G927" s="208"/>
      <c r="H927" s="208"/>
      <c r="J927" s="114" t="str">
        <f t="shared" si="417"/>
        <v/>
      </c>
      <c r="K927" s="114" t="str">
        <f>IF(COUNTBLANK(R927)&gt;0,"",CONCATENATE(R927," for ",N908))</f>
        <v/>
      </c>
      <c r="N927" s="123" t="s">
        <v>131</v>
      </c>
      <c r="O927" s="66" t="s">
        <v>407</v>
      </c>
      <c r="P927" s="121"/>
      <c r="Q927" s="66"/>
      <c r="R927" s="121"/>
      <c r="S927" s="133">
        <f>M908</f>
        <v>0</v>
      </c>
      <c r="T927" s="120"/>
      <c r="U927" s="121" t="s">
        <v>292</v>
      </c>
      <c r="V927" s="133">
        <f t="shared" si="410"/>
        <v>0</v>
      </c>
      <c r="W927" s="133">
        <f>VLOOKUP(U927,Sheet1!$B$6:$C$45,2,FALSE)*V927</f>
        <v>0</v>
      </c>
      <c r="X927" s="141"/>
      <c r="Y927" s="121" t="s">
        <v>274</v>
      </c>
      <c r="Z927" s="146">
        <f>VLOOKUP(Takeoffs!Y927,Sheet1!$B$6:$C$124,2,FALSE)</f>
        <v>360</v>
      </c>
      <c r="AA927" s="146">
        <f t="shared" si="411"/>
        <v>0</v>
      </c>
      <c r="AB927" s="143">
        <f t="shared" si="412"/>
        <v>0</v>
      </c>
      <c r="AC927" s="133">
        <f t="shared" si="413"/>
        <v>0</v>
      </c>
      <c r="AD927" s="142">
        <v>1</v>
      </c>
      <c r="AE927" s="141"/>
      <c r="AF927" s="121" t="s">
        <v>292</v>
      </c>
      <c r="AG927" s="146">
        <f>VLOOKUP(Takeoffs!AF927,Sheet1!$B$6:$C$124,2,FALSE)</f>
        <v>0</v>
      </c>
      <c r="AH927" s="146">
        <f t="shared" si="414"/>
        <v>0</v>
      </c>
      <c r="AI927" s="143">
        <f t="shared" si="415"/>
        <v>0</v>
      </c>
      <c r="AJ927" s="133">
        <f t="shared" si="416"/>
        <v>0</v>
      </c>
      <c r="AK927" s="142">
        <f t="shared" si="423"/>
        <v>0</v>
      </c>
      <c r="AL927" s="141"/>
      <c r="AO927" s="286"/>
      <c r="AP927" s="284">
        <f t="shared" si="418"/>
        <v>0</v>
      </c>
      <c r="AQ927" s="281">
        <f t="shared" si="419"/>
        <v>0</v>
      </c>
      <c r="AR927" s="284">
        <f t="shared" si="420"/>
        <v>0</v>
      </c>
      <c r="AS927" s="281">
        <f t="shared" si="421"/>
        <v>0</v>
      </c>
      <c r="AT927" s="284">
        <f t="shared" si="422"/>
        <v>0</v>
      </c>
    </row>
    <row r="928" spans="1:46" s="114" customFormat="1" ht="30.9" x14ac:dyDescent="0.8">
      <c r="A928" s="262">
        <f>ROW()</f>
        <v>928</v>
      </c>
      <c r="C928" s="208"/>
      <c r="D928" s="208"/>
      <c r="E928" s="208"/>
      <c r="F928" s="208"/>
      <c r="G928" s="208"/>
      <c r="H928" s="208"/>
      <c r="J928" s="114" t="str">
        <f t="shared" si="417"/>
        <v/>
      </c>
      <c r="K928" s="114" t="str">
        <f>IF(COUNTBLANK(R928)&gt;0,"",CONCATENATE(R928," for ",N908))</f>
        <v/>
      </c>
      <c r="N928" s="123" t="s">
        <v>132</v>
      </c>
      <c r="O928" s="66" t="s">
        <v>408</v>
      </c>
      <c r="P928" s="121"/>
      <c r="Q928" s="66"/>
      <c r="R928" s="121"/>
      <c r="S928" s="133">
        <f>M908</f>
        <v>0</v>
      </c>
      <c r="T928" s="120"/>
      <c r="U928" s="121" t="s">
        <v>362</v>
      </c>
      <c r="V928" s="133">
        <f t="shared" si="410"/>
        <v>0</v>
      </c>
      <c r="W928" s="133">
        <f>VLOOKUP(U928,Sheet1!$B$6:$C$45,2,FALSE)*V928</f>
        <v>0</v>
      </c>
      <c r="X928" s="141"/>
      <c r="Y928" s="121" t="s">
        <v>292</v>
      </c>
      <c r="Z928" s="146">
        <f>VLOOKUP(Takeoffs!Y928,Sheet1!$B$6:$C$124,2,FALSE)</f>
        <v>0</v>
      </c>
      <c r="AA928" s="146">
        <f t="shared" si="411"/>
        <v>0</v>
      </c>
      <c r="AB928" s="143">
        <f t="shared" si="412"/>
        <v>0</v>
      </c>
      <c r="AC928" s="133">
        <f t="shared" si="413"/>
        <v>0</v>
      </c>
      <c r="AD928" s="142">
        <v>1</v>
      </c>
      <c r="AE928" s="141"/>
      <c r="AF928" s="121" t="s">
        <v>292</v>
      </c>
      <c r="AG928" s="146">
        <f>VLOOKUP(Takeoffs!AF928,Sheet1!$B$6:$C$124,2,FALSE)</f>
        <v>0</v>
      </c>
      <c r="AH928" s="146">
        <f t="shared" si="414"/>
        <v>0</v>
      </c>
      <c r="AI928" s="143">
        <f t="shared" si="415"/>
        <v>0</v>
      </c>
      <c r="AJ928" s="133">
        <f t="shared" si="416"/>
        <v>0</v>
      </c>
      <c r="AK928" s="142">
        <f t="shared" si="423"/>
        <v>0</v>
      </c>
      <c r="AL928" s="141"/>
      <c r="AO928" s="286"/>
      <c r="AP928" s="284">
        <f t="shared" si="418"/>
        <v>0</v>
      </c>
      <c r="AQ928" s="281">
        <f t="shared" si="419"/>
        <v>0</v>
      </c>
      <c r="AR928" s="284">
        <f t="shared" si="420"/>
        <v>0</v>
      </c>
      <c r="AS928" s="281">
        <f t="shared" si="421"/>
        <v>0</v>
      </c>
      <c r="AT928" s="284">
        <f t="shared" si="422"/>
        <v>0</v>
      </c>
    </row>
    <row r="929" spans="1:97" s="128" customFormat="1" ht="31.5" customHeight="1" x14ac:dyDescent="0.8">
      <c r="A929" s="262">
        <f>ROW()</f>
        <v>929</v>
      </c>
      <c r="C929" s="212"/>
      <c r="D929" s="212"/>
      <c r="E929" s="212"/>
      <c r="F929" s="212"/>
      <c r="G929" s="212"/>
      <c r="H929" s="212"/>
      <c r="J929" s="128" t="s">
        <v>377</v>
      </c>
      <c r="L929" s="128" t="s">
        <v>378</v>
      </c>
      <c r="N929" s="129"/>
      <c r="O929" s="130" t="s">
        <v>357</v>
      </c>
      <c r="P929" s="131">
        <f>V929+AA929+AH929</f>
        <v>0</v>
      </c>
      <c r="Q929" s="131"/>
      <c r="R929" s="131"/>
      <c r="S929" s="130"/>
      <c r="T929" s="127"/>
      <c r="U929" s="126" t="s">
        <v>351</v>
      </c>
      <c r="V929" s="127">
        <f>W929*80</f>
        <v>0</v>
      </c>
      <c r="W929" s="147">
        <f>SUM(W908:W928)</f>
        <v>0</v>
      </c>
      <c r="X929" s="148"/>
      <c r="Y929" s="127" t="s">
        <v>352</v>
      </c>
      <c r="Z929" s="116"/>
      <c r="AA929" s="116">
        <f>SUM(AA908:AA928)</f>
        <v>0</v>
      </c>
      <c r="AB929" s="149"/>
      <c r="AC929" s="149"/>
      <c r="AD929" s="149"/>
      <c r="AE929" s="149"/>
      <c r="AF929" s="127" t="s">
        <v>356</v>
      </c>
      <c r="AG929" s="116"/>
      <c r="AH929" s="116">
        <f>SUM(AH908:AH928)</f>
        <v>0</v>
      </c>
      <c r="AI929" s="149"/>
      <c r="AJ929" s="149"/>
      <c r="AK929" s="149"/>
      <c r="AL929" s="149"/>
      <c r="AM929" s="150">
        <f>P929</f>
        <v>0</v>
      </c>
      <c r="AO929" s="286"/>
      <c r="AP929" s="284">
        <f t="shared" si="418"/>
        <v>0</v>
      </c>
      <c r="AQ929" s="281">
        <f t="shared" si="419"/>
        <v>0</v>
      </c>
      <c r="AR929" s="284">
        <f t="shared" si="420"/>
        <v>0</v>
      </c>
      <c r="AS929" s="281">
        <f t="shared" si="421"/>
        <v>0</v>
      </c>
      <c r="AT929" s="284">
        <f t="shared" si="422"/>
        <v>0</v>
      </c>
    </row>
    <row r="930" spans="1:97" s="234" customFormat="1" ht="185.15" x14ac:dyDescent="0.8">
      <c r="A930" s="262">
        <f>ROW()</f>
        <v>930</v>
      </c>
      <c r="B930" s="234" t="s">
        <v>491</v>
      </c>
      <c r="C930" s="217" t="str">
        <f>N908</f>
        <v>Cooling tower fan wirh VSD - from MSSB power supply and BMS interface provisions</v>
      </c>
      <c r="D930" s="260" t="str">
        <f>IF(B930="Shopping List",IF(ISNUMBER(SEARCH("MSSB",C930)),"MSSB",IF(ISNUMBER(SEARCH("local",C930)),"LOCAL","")))</f>
        <v>MSSB</v>
      </c>
      <c r="E930" s="238"/>
      <c r="F930" s="217"/>
      <c r="G930" s="217"/>
      <c r="H930" s="245">
        <v>0</v>
      </c>
      <c r="I930" s="270"/>
      <c r="J930" s="241" t="str">
        <f>CONCATENATE(O908," ",L908, " (",M908,") ",N908,".", IF(M908&gt;1," Each "," This "),"includes supply and install of ",O909,O910,O911,O912,O913,O914,O915,O916,O917,O918,O919,O920,O921,O922,O923,O924,O925,O926,O927,O928,J909,J910,J911,J912,J913,J914,J915,J916,J917,J918,J919,J920,J921,J922,J923,J924,J925,J926,J927,J928)</f>
        <v xml:space="preserve">Electrical power supply and controls ( Excluding BMS) to Zero (0) Cooling tower fan wirh VSD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fan status, Auto/Off/On switch, BMS terminals for on/off control, trefolyte labelling, and commissioning/testing. </v>
      </c>
      <c r="K930" s="249">
        <f>P929</f>
        <v>0</v>
      </c>
      <c r="L930" s="234" t="str">
        <f>CONCATENATE(Q909,Q910,Q911,Q912,Q913,Q914,Q915,Q916,Q917,Q918,Q919,Q920,Q921,Q922,Q923,Q924,Q925,Q926,Q927,Q928,)</f>
        <v/>
      </c>
      <c r="M930" s="166" t="s">
        <v>367</v>
      </c>
      <c r="N930" s="160" t="str">
        <f>N908</f>
        <v>Cooling tower fan wirh VSD - from MSSB power supply and BMS interface provisions</v>
      </c>
      <c r="O930" s="160" t="s">
        <v>365</v>
      </c>
      <c r="P930" s="183" t="e">
        <f>P929/M908</f>
        <v>#DIV/0!</v>
      </c>
      <c r="Q930" s="191"/>
      <c r="R930" s="161"/>
      <c r="S930" s="160"/>
      <c r="T930" s="161"/>
      <c r="U930" s="503" t="s">
        <v>366</v>
      </c>
      <c r="V930" s="503"/>
      <c r="W930" s="162" t="e">
        <f>W929/M908</f>
        <v>#DIV/0!</v>
      </c>
      <c r="X930" s="163"/>
      <c r="Y930" s="501" t="s">
        <v>365</v>
      </c>
      <c r="Z930" s="501"/>
      <c r="AA930" s="164" t="e">
        <f>AA929/M908</f>
        <v>#DIV/0!</v>
      </c>
      <c r="AB930" s="161"/>
      <c r="AC930" s="161"/>
      <c r="AD930" s="161"/>
      <c r="AE930" s="161"/>
      <c r="AF930" s="501" t="s">
        <v>365</v>
      </c>
      <c r="AG930" s="501"/>
      <c r="AH930" s="164" t="e">
        <f>AH929/M908</f>
        <v>#DIV/0!</v>
      </c>
      <c r="AI930" s="161"/>
      <c r="AJ930" s="161"/>
      <c r="AK930" s="161"/>
      <c r="AL930" s="247"/>
      <c r="AM930" s="257"/>
      <c r="AN930" s="236">
        <f>K930*$D$9</f>
        <v>0</v>
      </c>
      <c r="AO930" s="286"/>
      <c r="AP930" s="284">
        <f t="shared" si="418"/>
        <v>0</v>
      </c>
      <c r="AQ930" s="281">
        <f t="shared" si="419"/>
        <v>0</v>
      </c>
      <c r="AR930" s="284">
        <f t="shared" si="420"/>
        <v>0</v>
      </c>
      <c r="AS930" s="281">
        <f t="shared" si="421"/>
        <v>0</v>
      </c>
      <c r="AT930" s="284">
        <f t="shared" si="422"/>
        <v>0</v>
      </c>
      <c r="AU930" s="117"/>
      <c r="AV930" s="117"/>
      <c r="AW930" s="117"/>
      <c r="AX930" s="117"/>
      <c r="AY930" s="117"/>
      <c r="AZ930" s="117"/>
      <c r="BA930" s="117"/>
      <c r="BB930" s="117"/>
      <c r="BC930" s="117"/>
      <c r="BD930" s="117"/>
      <c r="BE930" s="117"/>
      <c r="BF930" s="117"/>
      <c r="BG930" s="117"/>
      <c r="BH930" s="117"/>
      <c r="BI930" s="117"/>
      <c r="BJ930" s="117"/>
      <c r="BK930" s="117"/>
      <c r="BL930" s="117"/>
      <c r="BM930" s="117"/>
      <c r="BN930" s="117"/>
      <c r="BO930" s="117"/>
      <c r="BP930" s="117"/>
      <c r="BQ930" s="117"/>
      <c r="BR930" s="117"/>
      <c r="BS930" s="117"/>
      <c r="BT930" s="117"/>
      <c r="BU930" s="117"/>
      <c r="BV930" s="117"/>
      <c r="BW930" s="117"/>
      <c r="BX930" s="117"/>
      <c r="BY930" s="117"/>
      <c r="BZ930" s="117"/>
      <c r="CA930" s="117"/>
      <c r="CB930" s="117"/>
      <c r="CC930" s="117"/>
      <c r="CD930" s="117"/>
      <c r="CE930" s="117"/>
      <c r="CF930" s="117"/>
      <c r="CG930" s="117"/>
      <c r="CH930" s="117"/>
      <c r="CI930" s="117"/>
      <c r="CJ930" s="117"/>
      <c r="CK930" s="117"/>
      <c r="CL930" s="117"/>
      <c r="CM930" s="117"/>
      <c r="CN930" s="117"/>
      <c r="CO930" s="117"/>
      <c r="CP930" s="117"/>
      <c r="CQ930" s="117"/>
      <c r="CR930" s="117"/>
      <c r="CS930" s="117"/>
    </row>
    <row r="931" spans="1:97" s="116" customFormat="1" ht="192.75" customHeight="1" x14ac:dyDescent="0.8">
      <c r="A931" s="262">
        <f>ROW()</f>
        <v>931</v>
      </c>
      <c r="C931" s="211"/>
      <c r="D931" s="211"/>
      <c r="E931" s="211"/>
      <c r="F931" s="211"/>
      <c r="G931" s="211"/>
      <c r="H931" s="211"/>
      <c r="K931" s="116" t="s">
        <v>452</v>
      </c>
      <c r="M931" s="116" t="s">
        <v>107</v>
      </c>
      <c r="N931" s="116" t="s">
        <v>108</v>
      </c>
      <c r="O931" s="170" t="s">
        <v>386</v>
      </c>
      <c r="P931" s="504" t="s">
        <v>375</v>
      </c>
      <c r="Q931" s="504"/>
      <c r="R931" s="101" t="s">
        <v>452</v>
      </c>
      <c r="S931" s="116" t="s">
        <v>0</v>
      </c>
      <c r="T931" s="118"/>
      <c r="U931" s="116" t="s">
        <v>287</v>
      </c>
      <c r="V931" s="116" t="s">
        <v>288</v>
      </c>
      <c r="W931" s="116" t="s">
        <v>291</v>
      </c>
      <c r="X931" s="140"/>
      <c r="Y931" s="116" t="s">
        <v>289</v>
      </c>
      <c r="Z931" s="116" t="s">
        <v>354</v>
      </c>
      <c r="AA931" s="116" t="s">
        <v>355</v>
      </c>
      <c r="AB931" s="116" t="s">
        <v>317</v>
      </c>
      <c r="AC931" s="116" t="s">
        <v>318</v>
      </c>
      <c r="AD931" s="116" t="s">
        <v>316</v>
      </c>
      <c r="AE931" s="140"/>
      <c r="AF931" s="116" t="s">
        <v>293</v>
      </c>
      <c r="AG931" s="116" t="s">
        <v>354</v>
      </c>
      <c r="AH931" s="116" t="s">
        <v>355</v>
      </c>
      <c r="AI931" s="116" t="s">
        <v>296</v>
      </c>
      <c r="AJ931" s="116" t="s">
        <v>294</v>
      </c>
      <c r="AK931" s="116" t="s">
        <v>295</v>
      </c>
      <c r="AL931" s="140"/>
      <c r="AO931" s="288"/>
      <c r="AP931" s="284">
        <f t="shared" si="418"/>
        <v>0</v>
      </c>
      <c r="AQ931" s="281">
        <f t="shared" si="419"/>
        <v>0</v>
      </c>
      <c r="AR931" s="284">
        <f t="shared" si="420"/>
        <v>0</v>
      </c>
      <c r="AS931" s="281">
        <f t="shared" si="421"/>
        <v>0</v>
      </c>
      <c r="AT931" s="284">
        <f t="shared" si="422"/>
        <v>0</v>
      </c>
    </row>
    <row r="932" spans="1:97" s="114" customFormat="1" ht="59.25" customHeight="1" x14ac:dyDescent="0.8">
      <c r="A932" s="262">
        <f>ROW()</f>
        <v>932</v>
      </c>
      <c r="C932" s="208"/>
      <c r="D932" s="208"/>
      <c r="E932" s="208"/>
      <c r="F932" s="208"/>
      <c r="G932" s="208"/>
      <c r="H932" s="208"/>
      <c r="L932" s="124" t="str">
        <f>VLOOKUP(M932,Sheet2!$D$2:$E$1024,2,FALSE)</f>
        <v>Zero</v>
      </c>
      <c r="M932" s="121">
        <f>I954</f>
        <v>0</v>
      </c>
      <c r="N932" s="132" t="s">
        <v>569</v>
      </c>
      <c r="O932" s="121" t="s">
        <v>488</v>
      </c>
      <c r="P932" s="169" t="s">
        <v>379</v>
      </c>
      <c r="Q932" s="169" t="s">
        <v>375</v>
      </c>
      <c r="R932" s="169"/>
      <c r="S932" s="133">
        <f>M932</f>
        <v>0</v>
      </c>
      <c r="T932" s="119"/>
      <c r="U932" s="121" t="s">
        <v>292</v>
      </c>
      <c r="V932" s="133">
        <f>S932</f>
        <v>0</v>
      </c>
      <c r="W932" s="133">
        <f>VLOOKUP(U932,Sheet1!$B$6:$C$45,2,FALSE)*V932</f>
        <v>0</v>
      </c>
      <c r="X932" s="141"/>
      <c r="Y932" s="121" t="s">
        <v>292</v>
      </c>
      <c r="Z932" s="146">
        <f>VLOOKUP(Takeoffs!Y932,Sheet1!$B$6:$C$124,2,FALSE)</f>
        <v>0</v>
      </c>
      <c r="AA932" s="146">
        <f>Z932*AB932</f>
        <v>0</v>
      </c>
      <c r="AB932" s="143">
        <f>AD932*AC932</f>
        <v>0</v>
      </c>
      <c r="AC932" s="133">
        <f>S932</f>
        <v>0</v>
      </c>
      <c r="AD932" s="142">
        <v>1</v>
      </c>
      <c r="AE932" s="141"/>
      <c r="AF932" s="121" t="s">
        <v>292</v>
      </c>
      <c r="AG932" s="146">
        <f>VLOOKUP(Takeoffs!AF932,Sheet1!$B$6:$C$124,2,FALSE)</f>
        <v>0</v>
      </c>
      <c r="AH932" s="146">
        <f>AG932*AI932</f>
        <v>0</v>
      </c>
      <c r="AI932" s="143">
        <f>AK932*AJ932</f>
        <v>0</v>
      </c>
      <c r="AJ932" s="133">
        <f>S932</f>
        <v>0</v>
      </c>
      <c r="AK932" s="142">
        <f>T932</f>
        <v>0</v>
      </c>
      <c r="AL932" s="141"/>
      <c r="AO932" s="286"/>
      <c r="AP932" s="284">
        <f t="shared" si="418"/>
        <v>0</v>
      </c>
      <c r="AQ932" s="281">
        <f t="shared" si="419"/>
        <v>0</v>
      </c>
      <c r="AR932" s="284">
        <f t="shared" si="420"/>
        <v>0</v>
      </c>
      <c r="AS932" s="281">
        <f t="shared" si="421"/>
        <v>0</v>
      </c>
      <c r="AT932" s="284">
        <f t="shared" si="422"/>
        <v>0</v>
      </c>
    </row>
    <row r="933" spans="1:97" s="114" customFormat="1" ht="30.9" x14ac:dyDescent="0.8">
      <c r="A933" s="262">
        <f>ROW()</f>
        <v>933</v>
      </c>
      <c r="C933" s="208"/>
      <c r="D933" s="208"/>
      <c r="E933" s="208"/>
      <c r="F933" s="208"/>
      <c r="G933" s="208"/>
      <c r="H933" s="208"/>
      <c r="J933" s="114" t="str">
        <f>IF(COUNTBLANK(Q933)&gt;0,"",CONCATENATE("Coordination Note: - ",P933,": Please refer to our exclusions relating to ",Q933))</f>
        <v/>
      </c>
      <c r="K933" s="114" t="str">
        <f>IF(COUNTBLANK(R933)&gt;0,"",CONCATENATE(R933," for ",N932))</f>
        <v/>
      </c>
      <c r="M933" s="117"/>
      <c r="N933" s="123" t="s">
        <v>113</v>
      </c>
      <c r="O933" s="66" t="s">
        <v>340</v>
      </c>
      <c r="P933" s="121"/>
      <c r="Q933" s="66"/>
      <c r="R933" s="121"/>
      <c r="S933" s="133">
        <f>M932</f>
        <v>0</v>
      </c>
      <c r="T933" s="120"/>
      <c r="U933" s="121" t="s">
        <v>292</v>
      </c>
      <c r="V933" s="133">
        <f t="shared" ref="V933:V952" si="424">S933</f>
        <v>0</v>
      </c>
      <c r="W933" s="133">
        <f>VLOOKUP(U933,Sheet1!$B$6:$C$45,2,FALSE)*V933</f>
        <v>0</v>
      </c>
      <c r="X933" s="141"/>
      <c r="Y933" s="121" t="s">
        <v>292</v>
      </c>
      <c r="Z933" s="146">
        <f>VLOOKUP(Takeoffs!Y933,Sheet1!$B$6:$C$124,2,FALSE)</f>
        <v>0</v>
      </c>
      <c r="AA933" s="146">
        <f t="shared" ref="AA933:AA952" si="425">Z933*AB933</f>
        <v>0</v>
      </c>
      <c r="AB933" s="143">
        <f t="shared" ref="AB933:AB952" si="426">AD933*AC933</f>
        <v>0</v>
      </c>
      <c r="AC933" s="133">
        <f>S933</f>
        <v>0</v>
      </c>
      <c r="AD933" s="142">
        <v>1</v>
      </c>
      <c r="AE933" s="141"/>
      <c r="AF933" s="121" t="s">
        <v>292</v>
      </c>
      <c r="AG933" s="146">
        <f>VLOOKUP(Takeoffs!AF933,Sheet1!$B$6:$C$124,2,FALSE)</f>
        <v>0</v>
      </c>
      <c r="AH933" s="146">
        <f t="shared" ref="AH933:AH952" si="427">AG933*AI933</f>
        <v>0</v>
      </c>
      <c r="AI933" s="143">
        <f t="shared" ref="AI933:AI952" si="428">AK933*AJ933</f>
        <v>0</v>
      </c>
      <c r="AJ933" s="133">
        <f t="shared" ref="AJ933:AJ952" si="429">S933</f>
        <v>0</v>
      </c>
      <c r="AK933" s="142">
        <f>T933</f>
        <v>0</v>
      </c>
      <c r="AL933" s="141"/>
      <c r="AO933" s="286"/>
      <c r="AP933" s="284">
        <f t="shared" si="418"/>
        <v>0</v>
      </c>
      <c r="AQ933" s="281">
        <f t="shared" si="419"/>
        <v>0</v>
      </c>
      <c r="AR933" s="284">
        <f t="shared" si="420"/>
        <v>0</v>
      </c>
      <c r="AS933" s="281">
        <f t="shared" si="421"/>
        <v>0</v>
      </c>
      <c r="AT933" s="284">
        <f t="shared" si="422"/>
        <v>0</v>
      </c>
    </row>
    <row r="934" spans="1:97" s="114" customFormat="1" ht="30.9" x14ac:dyDescent="0.8">
      <c r="A934" s="262">
        <f>ROW()</f>
        <v>934</v>
      </c>
      <c r="C934" s="208"/>
      <c r="D934" s="208"/>
      <c r="E934" s="208"/>
      <c r="F934" s="208"/>
      <c r="G934" s="208"/>
      <c r="H934" s="208"/>
      <c r="J934" s="114" t="str">
        <f t="shared" ref="J934:J952" si="430">IF(COUNTBLANK(Q934)&gt;0,"",CONCATENATE("Coordination Note: - ",P934,": Please refer to our exclusions relating to ",Q934))</f>
        <v/>
      </c>
      <c r="K934" s="114" t="str">
        <f>IF(COUNTBLANK(R934)&gt;0,"",CONCATENATE(R934," for ",N932))</f>
        <v/>
      </c>
      <c r="M934" s="117"/>
      <c r="N934" s="123" t="s">
        <v>114</v>
      </c>
      <c r="O934" s="66" t="s">
        <v>308</v>
      </c>
      <c r="P934" s="121"/>
      <c r="Q934" s="66"/>
      <c r="R934" s="121"/>
      <c r="S934" s="133">
        <f>M932</f>
        <v>0</v>
      </c>
      <c r="T934" s="120"/>
      <c r="U934" s="121" t="s">
        <v>292</v>
      </c>
      <c r="V934" s="133">
        <f t="shared" si="424"/>
        <v>0</v>
      </c>
      <c r="W934" s="133">
        <f>VLOOKUP(U934,Sheet1!$B$6:$C$45,2,FALSE)*V934</f>
        <v>0</v>
      </c>
      <c r="X934" s="141"/>
      <c r="Y934" s="122" t="s">
        <v>252</v>
      </c>
      <c r="Z934" s="146">
        <f>VLOOKUP(Takeoffs!Y934,Sheet1!$B$6:$C$124,2,FALSE)</f>
        <v>43.440000000000005</v>
      </c>
      <c r="AA934" s="146">
        <f t="shared" si="425"/>
        <v>0</v>
      </c>
      <c r="AB934" s="143">
        <f t="shared" si="426"/>
        <v>0</v>
      </c>
      <c r="AC934" s="133">
        <f>S934</f>
        <v>0</v>
      </c>
      <c r="AD934" s="142">
        <v>1</v>
      </c>
      <c r="AE934" s="141"/>
      <c r="AF934" s="52" t="s">
        <v>267</v>
      </c>
      <c r="AG934" s="146">
        <f>VLOOKUP(Takeoffs!AF934,Sheet1!$B$6:$C$124,2,FALSE)</f>
        <v>3.48</v>
      </c>
      <c r="AH934" s="146">
        <f t="shared" si="427"/>
        <v>0</v>
      </c>
      <c r="AI934" s="143">
        <f t="shared" si="428"/>
        <v>0</v>
      </c>
      <c r="AJ934" s="133">
        <f t="shared" si="429"/>
        <v>0</v>
      </c>
      <c r="AK934" s="142">
        <v>20</v>
      </c>
      <c r="AL934" s="141"/>
      <c r="AO934" s="286"/>
      <c r="AP934" s="284">
        <f t="shared" si="418"/>
        <v>0</v>
      </c>
      <c r="AQ934" s="281">
        <f t="shared" si="419"/>
        <v>0</v>
      </c>
      <c r="AR934" s="284">
        <f t="shared" si="420"/>
        <v>0</v>
      </c>
      <c r="AS934" s="281">
        <f t="shared" si="421"/>
        <v>0</v>
      </c>
      <c r="AT934" s="284">
        <f t="shared" si="422"/>
        <v>0</v>
      </c>
    </row>
    <row r="935" spans="1:97" s="114" customFormat="1" ht="30.9" x14ac:dyDescent="0.8">
      <c r="A935" s="262">
        <f>ROW()</f>
        <v>935</v>
      </c>
      <c r="C935" s="208"/>
      <c r="D935" s="208"/>
      <c r="E935" s="208"/>
      <c r="F935" s="208"/>
      <c r="G935" s="208"/>
      <c r="H935" s="208"/>
      <c r="J935" s="114" t="str">
        <f t="shared" si="430"/>
        <v/>
      </c>
      <c r="K935" s="114" t="str">
        <f>IF(COUNTBLANK(R935)&gt;0,"",CONCATENATE(R935," for ",N932))</f>
        <v/>
      </c>
      <c r="M935" s="117"/>
      <c r="N935" s="123" t="s">
        <v>115</v>
      </c>
      <c r="O935" s="66" t="s">
        <v>305</v>
      </c>
      <c r="P935" s="121"/>
      <c r="Q935" s="66"/>
      <c r="R935" s="121"/>
      <c r="S935" s="133">
        <f>M932</f>
        <v>0</v>
      </c>
      <c r="T935" s="120"/>
      <c r="U935" s="117" t="s">
        <v>478</v>
      </c>
      <c r="V935" s="133">
        <f t="shared" si="424"/>
        <v>0</v>
      </c>
      <c r="W935" s="133">
        <f>VLOOKUP(U935,Sheet1!$B$6:$C$45,2,FALSE)*V935</f>
        <v>0</v>
      </c>
      <c r="X935" s="141"/>
      <c r="Y935" s="121" t="s">
        <v>292</v>
      </c>
      <c r="Z935" s="146">
        <f>VLOOKUP(Takeoffs!Y935,Sheet1!$B$6:$C$124,2,FALSE)</f>
        <v>0</v>
      </c>
      <c r="AA935" s="146">
        <f t="shared" si="425"/>
        <v>0</v>
      </c>
      <c r="AB935" s="143">
        <f t="shared" si="426"/>
        <v>0</v>
      </c>
      <c r="AC935" s="133">
        <f t="shared" ref="AC935:AC952" si="431">S935</f>
        <v>0</v>
      </c>
      <c r="AD935" s="142">
        <v>1</v>
      </c>
      <c r="AE935" s="141"/>
      <c r="AF935" s="121" t="s">
        <v>292</v>
      </c>
      <c r="AG935" s="146">
        <f>VLOOKUP(Takeoffs!AF935,Sheet1!$B$6:$C$124,2,FALSE)</f>
        <v>0</v>
      </c>
      <c r="AH935" s="146">
        <f t="shared" si="427"/>
        <v>0</v>
      </c>
      <c r="AI935" s="143">
        <f t="shared" si="428"/>
        <v>0</v>
      </c>
      <c r="AJ935" s="133">
        <f t="shared" si="429"/>
        <v>0</v>
      </c>
      <c r="AK935" s="142">
        <f t="shared" ref="AK935:AK941" si="432">T935</f>
        <v>0</v>
      </c>
      <c r="AL935" s="141"/>
      <c r="AO935" s="286"/>
      <c r="AP935" s="284">
        <f t="shared" si="418"/>
        <v>0</v>
      </c>
      <c r="AQ935" s="281">
        <f t="shared" si="419"/>
        <v>0</v>
      </c>
      <c r="AR935" s="284">
        <f t="shared" si="420"/>
        <v>0</v>
      </c>
      <c r="AS935" s="281">
        <f t="shared" si="421"/>
        <v>0</v>
      </c>
      <c r="AT935" s="284">
        <f t="shared" si="422"/>
        <v>0</v>
      </c>
    </row>
    <row r="936" spans="1:97" s="114" customFormat="1" ht="30.9" x14ac:dyDescent="0.8">
      <c r="A936" s="262">
        <f>ROW()</f>
        <v>936</v>
      </c>
      <c r="C936" s="208"/>
      <c r="D936" s="208"/>
      <c r="E936" s="208"/>
      <c r="F936" s="208"/>
      <c r="G936" s="208"/>
      <c r="H936" s="208"/>
      <c r="J936" s="114" t="str">
        <f t="shared" si="430"/>
        <v/>
      </c>
      <c r="K936" s="114" t="str">
        <f>IF(COUNTBLANK(R936)&gt;0,"",CONCATENATE(R936," for ",N932))</f>
        <v/>
      </c>
      <c r="M936" s="117"/>
      <c r="N936" s="123" t="s">
        <v>116</v>
      </c>
      <c r="O936" s="66" t="s">
        <v>323</v>
      </c>
      <c r="P936" s="121"/>
      <c r="Q936" s="66"/>
      <c r="R936" s="121"/>
      <c r="S936" s="133">
        <f>M932</f>
        <v>0</v>
      </c>
      <c r="T936" s="120"/>
      <c r="U936" s="121" t="s">
        <v>235</v>
      </c>
      <c r="V936" s="133">
        <f t="shared" si="424"/>
        <v>0</v>
      </c>
      <c r="W936" s="133">
        <f>VLOOKUP(U936,Sheet1!$B$6:$C$45,2,FALSE)*V936</f>
        <v>0</v>
      </c>
      <c r="X936" s="141"/>
      <c r="Y936" s="135" t="s">
        <v>490</v>
      </c>
      <c r="Z936" s="146">
        <f>VLOOKUP(Takeoffs!Y936,Sheet1!$B$6:$C$124,2,FALSE)</f>
        <v>1226.28</v>
      </c>
      <c r="AA936" s="146">
        <f t="shared" si="425"/>
        <v>0</v>
      </c>
      <c r="AB936" s="143">
        <f t="shared" si="426"/>
        <v>0</v>
      </c>
      <c r="AC936" s="133">
        <f t="shared" si="431"/>
        <v>0</v>
      </c>
      <c r="AD936" s="142">
        <v>1</v>
      </c>
      <c r="AE936" s="141"/>
      <c r="AF936" s="121" t="s">
        <v>292</v>
      </c>
      <c r="AG936" s="146">
        <f>VLOOKUP(Takeoffs!AF936,Sheet1!$B$6:$C$124,2,FALSE)</f>
        <v>0</v>
      </c>
      <c r="AH936" s="146">
        <f t="shared" si="427"/>
        <v>0</v>
      </c>
      <c r="AI936" s="143">
        <f t="shared" si="428"/>
        <v>0</v>
      </c>
      <c r="AJ936" s="133">
        <f t="shared" si="429"/>
        <v>0</v>
      </c>
      <c r="AK936" s="142">
        <f t="shared" si="432"/>
        <v>0</v>
      </c>
      <c r="AL936" s="141"/>
      <c r="AO936" s="286"/>
      <c r="AP936" s="284">
        <f t="shared" si="418"/>
        <v>0</v>
      </c>
      <c r="AQ936" s="281">
        <f t="shared" si="419"/>
        <v>0</v>
      </c>
      <c r="AR936" s="284">
        <f t="shared" si="420"/>
        <v>0</v>
      </c>
      <c r="AS936" s="281">
        <f t="shared" si="421"/>
        <v>0</v>
      </c>
      <c r="AT936" s="284">
        <f t="shared" si="422"/>
        <v>0</v>
      </c>
    </row>
    <row r="937" spans="1:97" s="114" customFormat="1" ht="30.9" x14ac:dyDescent="0.8">
      <c r="A937" s="262">
        <f>ROW()</f>
        <v>937</v>
      </c>
      <c r="C937" s="208"/>
      <c r="D937" s="208"/>
      <c r="E937" s="208"/>
      <c r="F937" s="208"/>
      <c r="G937" s="208"/>
      <c r="H937" s="208"/>
      <c r="J937" s="114" t="str">
        <f t="shared" si="430"/>
        <v/>
      </c>
      <c r="K937" s="114" t="str">
        <f>IF(COUNTBLANK(R937)&gt;0,"",CONCATENATE(R937," for ",N932))</f>
        <v/>
      </c>
      <c r="M937" s="117"/>
      <c r="N937" s="123" t="s">
        <v>117</v>
      </c>
      <c r="O937" s="66" t="s">
        <v>390</v>
      </c>
      <c r="P937" s="121"/>
      <c r="Q937" s="66"/>
      <c r="R937" s="121"/>
      <c r="S937" s="133">
        <f>M932</f>
        <v>0</v>
      </c>
      <c r="T937" s="120"/>
      <c r="U937" s="121" t="s">
        <v>292</v>
      </c>
      <c r="V937" s="133">
        <f t="shared" si="424"/>
        <v>0</v>
      </c>
      <c r="W937" s="133">
        <f>VLOOKUP(U937,Sheet1!$B$6:$C$45,2,FALSE)*V937</f>
        <v>0</v>
      </c>
      <c r="X937" s="141"/>
      <c r="Y937" s="121" t="s">
        <v>292</v>
      </c>
      <c r="Z937" s="146">
        <f>VLOOKUP(Takeoffs!Y937,Sheet1!$B$6:$C$124,2,FALSE)</f>
        <v>0</v>
      </c>
      <c r="AA937" s="146">
        <f t="shared" si="425"/>
        <v>0</v>
      </c>
      <c r="AB937" s="143">
        <f t="shared" si="426"/>
        <v>0</v>
      </c>
      <c r="AC937" s="133">
        <f t="shared" si="431"/>
        <v>0</v>
      </c>
      <c r="AD937" s="142">
        <v>1</v>
      </c>
      <c r="AE937" s="141"/>
      <c r="AF937" s="122" t="s">
        <v>268</v>
      </c>
      <c r="AG937" s="146">
        <f>VLOOKUP(Takeoffs!AF937,Sheet1!$B$6:$C$124,2,FALSE)</f>
        <v>1.02</v>
      </c>
      <c r="AH937" s="146">
        <f t="shared" si="427"/>
        <v>0</v>
      </c>
      <c r="AI937" s="143">
        <f t="shared" si="428"/>
        <v>0</v>
      </c>
      <c r="AJ937" s="133">
        <f t="shared" si="429"/>
        <v>0</v>
      </c>
      <c r="AK937" s="142">
        <v>3</v>
      </c>
      <c r="AL937" s="141"/>
      <c r="AO937" s="286"/>
      <c r="AP937" s="284">
        <f t="shared" si="418"/>
        <v>0</v>
      </c>
      <c r="AQ937" s="281">
        <f t="shared" si="419"/>
        <v>0</v>
      </c>
      <c r="AR937" s="284">
        <f t="shared" si="420"/>
        <v>0</v>
      </c>
      <c r="AS937" s="281">
        <f t="shared" si="421"/>
        <v>0</v>
      </c>
      <c r="AT937" s="284">
        <f t="shared" si="422"/>
        <v>0</v>
      </c>
    </row>
    <row r="938" spans="1:97" s="114" customFormat="1" ht="30.9" x14ac:dyDescent="0.8">
      <c r="A938" s="262">
        <f>ROW()</f>
        <v>938</v>
      </c>
      <c r="C938" s="208"/>
      <c r="D938" s="208"/>
      <c r="E938" s="208"/>
      <c r="F938" s="208"/>
      <c r="G938" s="208"/>
      <c r="H938" s="208"/>
      <c r="J938" s="114" t="str">
        <f t="shared" si="430"/>
        <v/>
      </c>
      <c r="K938" s="114" t="str">
        <f>IF(COUNTBLANK(R938)&gt;0,"",CONCATENATE(R938," for ",N932))</f>
        <v/>
      </c>
      <c r="M938" s="117"/>
      <c r="N938" s="123" t="s">
        <v>118</v>
      </c>
      <c r="O938" s="66" t="s">
        <v>309</v>
      </c>
      <c r="P938" s="121"/>
      <c r="Q938" s="66"/>
      <c r="R938" s="121"/>
      <c r="S938" s="133">
        <f>M932</f>
        <v>0</v>
      </c>
      <c r="T938" s="120"/>
      <c r="U938" s="121" t="s">
        <v>292</v>
      </c>
      <c r="V938" s="133">
        <f t="shared" si="424"/>
        <v>0</v>
      </c>
      <c r="W938" s="133">
        <f>VLOOKUP(U938,Sheet1!$B$6:$C$45,2,FALSE)*V938</f>
        <v>0</v>
      </c>
      <c r="X938" s="141"/>
      <c r="Y938" s="121" t="s">
        <v>292</v>
      </c>
      <c r="Z938" s="146">
        <f>VLOOKUP(Takeoffs!Y938,Sheet1!$B$6:$C$124,2,FALSE)</f>
        <v>0</v>
      </c>
      <c r="AA938" s="146">
        <f t="shared" si="425"/>
        <v>0</v>
      </c>
      <c r="AB938" s="143">
        <f t="shared" si="426"/>
        <v>0</v>
      </c>
      <c r="AC938" s="133">
        <f t="shared" si="431"/>
        <v>0</v>
      </c>
      <c r="AD938" s="142">
        <v>1</v>
      </c>
      <c r="AE938" s="141"/>
      <c r="AF938" s="121" t="s">
        <v>292</v>
      </c>
      <c r="AG938" s="146">
        <f>VLOOKUP(Takeoffs!AF938,Sheet1!$B$6:$C$124,2,FALSE)</f>
        <v>0</v>
      </c>
      <c r="AH938" s="146">
        <f t="shared" si="427"/>
        <v>0</v>
      </c>
      <c r="AI938" s="143">
        <f t="shared" si="428"/>
        <v>0</v>
      </c>
      <c r="AJ938" s="133">
        <f t="shared" si="429"/>
        <v>0</v>
      </c>
      <c r="AK938" s="142">
        <f t="shared" si="432"/>
        <v>0</v>
      </c>
      <c r="AL938" s="141"/>
      <c r="AO938" s="286"/>
      <c r="AP938" s="284">
        <f t="shared" si="418"/>
        <v>0</v>
      </c>
      <c r="AQ938" s="281">
        <f t="shared" si="419"/>
        <v>0</v>
      </c>
      <c r="AR938" s="284">
        <f t="shared" si="420"/>
        <v>0</v>
      </c>
      <c r="AS938" s="281">
        <f t="shared" si="421"/>
        <v>0</v>
      </c>
      <c r="AT938" s="284">
        <f t="shared" si="422"/>
        <v>0</v>
      </c>
    </row>
    <row r="939" spans="1:97" s="114" customFormat="1" ht="30.9" x14ac:dyDescent="0.8">
      <c r="A939" s="262">
        <f>ROW()</f>
        <v>939</v>
      </c>
      <c r="C939" s="208"/>
      <c r="D939" s="208"/>
      <c r="E939" s="208"/>
      <c r="F939" s="208"/>
      <c r="G939" s="208"/>
      <c r="H939" s="208"/>
      <c r="J939" s="114" t="str">
        <f t="shared" si="430"/>
        <v/>
      </c>
      <c r="K939" s="114" t="str">
        <f>IF(COUNTBLANK(R939)&gt;0,"",CONCATENATE(R939," for ",N932))</f>
        <v/>
      </c>
      <c r="N939" s="123" t="s">
        <v>119</v>
      </c>
      <c r="O939" s="66"/>
      <c r="P939" s="121"/>
      <c r="Q939" s="66"/>
      <c r="R939" s="121"/>
      <c r="S939" s="133">
        <f>M932</f>
        <v>0</v>
      </c>
      <c r="T939" s="120"/>
      <c r="U939" s="121" t="s">
        <v>292</v>
      </c>
      <c r="V939" s="133">
        <f t="shared" si="424"/>
        <v>0</v>
      </c>
      <c r="W939" s="133">
        <f>VLOOKUP(U939,Sheet1!$B$6:$C$45,2,FALSE)*V939</f>
        <v>0</v>
      </c>
      <c r="X939" s="141"/>
      <c r="Y939" s="121" t="s">
        <v>292</v>
      </c>
      <c r="Z939" s="146">
        <f>VLOOKUP(Takeoffs!Y939,Sheet1!$B$6:$C$124,2,FALSE)</f>
        <v>0</v>
      </c>
      <c r="AA939" s="146">
        <f t="shared" si="425"/>
        <v>0</v>
      </c>
      <c r="AB939" s="143">
        <f t="shared" si="426"/>
        <v>0</v>
      </c>
      <c r="AC939" s="133">
        <f t="shared" si="431"/>
        <v>0</v>
      </c>
      <c r="AD939" s="142">
        <v>1</v>
      </c>
      <c r="AE939" s="141"/>
      <c r="AF939" s="121" t="s">
        <v>292</v>
      </c>
      <c r="AG939" s="146">
        <f>VLOOKUP(Takeoffs!AF939,Sheet1!$B$6:$C$124,2,FALSE)</f>
        <v>0</v>
      </c>
      <c r="AH939" s="146">
        <f t="shared" si="427"/>
        <v>0</v>
      </c>
      <c r="AI939" s="143">
        <f t="shared" si="428"/>
        <v>0</v>
      </c>
      <c r="AJ939" s="133">
        <f t="shared" si="429"/>
        <v>0</v>
      </c>
      <c r="AK939" s="142">
        <f t="shared" si="432"/>
        <v>0</v>
      </c>
      <c r="AL939" s="141"/>
      <c r="AO939" s="286"/>
      <c r="AP939" s="284">
        <f t="shared" si="418"/>
        <v>0</v>
      </c>
      <c r="AQ939" s="281">
        <f t="shared" si="419"/>
        <v>0</v>
      </c>
      <c r="AR939" s="284">
        <f t="shared" si="420"/>
        <v>0</v>
      </c>
      <c r="AS939" s="281">
        <f t="shared" si="421"/>
        <v>0</v>
      </c>
      <c r="AT939" s="284">
        <f t="shared" si="422"/>
        <v>0</v>
      </c>
    </row>
    <row r="940" spans="1:97" s="114" customFormat="1" ht="30.9" x14ac:dyDescent="0.8">
      <c r="A940" s="262">
        <f>ROW()</f>
        <v>940</v>
      </c>
      <c r="C940" s="208"/>
      <c r="D940" s="208"/>
      <c r="E940" s="208"/>
      <c r="F940" s="208"/>
      <c r="G940" s="208"/>
      <c r="H940" s="208"/>
      <c r="J940" s="114" t="str">
        <f t="shared" si="430"/>
        <v/>
      </c>
      <c r="K940" s="114" t="str">
        <f>IF(COUNTBLANK(R940)&gt;0,"",CONCATENATE(R940," for ",N932))</f>
        <v/>
      </c>
      <c r="N940" s="123" t="s">
        <v>120</v>
      </c>
      <c r="O940" s="66" t="s">
        <v>328</v>
      </c>
      <c r="P940" s="121"/>
      <c r="Q940" s="66"/>
      <c r="R940" s="121"/>
      <c r="S940" s="133">
        <f>M932</f>
        <v>0</v>
      </c>
      <c r="T940" s="120"/>
      <c r="U940" s="121" t="s">
        <v>364</v>
      </c>
      <c r="V940" s="133">
        <f t="shared" si="424"/>
        <v>0</v>
      </c>
      <c r="W940" s="133">
        <f>VLOOKUP(U940,Sheet1!$B$6:$C$45,2,FALSE)*V940</f>
        <v>0</v>
      </c>
      <c r="X940" s="141"/>
      <c r="Y940" s="121" t="s">
        <v>292</v>
      </c>
      <c r="Z940" s="146">
        <f>VLOOKUP(Takeoffs!Y940,Sheet1!$B$6:$C$124,2,FALSE)</f>
        <v>0</v>
      </c>
      <c r="AA940" s="146">
        <f t="shared" si="425"/>
        <v>0</v>
      </c>
      <c r="AB940" s="143">
        <f t="shared" si="426"/>
        <v>0</v>
      </c>
      <c r="AC940" s="133">
        <f t="shared" si="431"/>
        <v>0</v>
      </c>
      <c r="AD940" s="142">
        <v>1</v>
      </c>
      <c r="AE940" s="141"/>
      <c r="AF940" s="121" t="s">
        <v>292</v>
      </c>
      <c r="AG940" s="146">
        <f>VLOOKUP(Takeoffs!AF940,Sheet1!$B$6:$C$124,2,FALSE)</f>
        <v>0</v>
      </c>
      <c r="AH940" s="146">
        <f t="shared" si="427"/>
        <v>0</v>
      </c>
      <c r="AI940" s="143">
        <f t="shared" si="428"/>
        <v>0</v>
      </c>
      <c r="AJ940" s="133">
        <f t="shared" si="429"/>
        <v>0</v>
      </c>
      <c r="AK940" s="142">
        <f t="shared" si="432"/>
        <v>0</v>
      </c>
      <c r="AL940" s="141"/>
      <c r="AO940" s="286"/>
      <c r="AP940" s="284">
        <f t="shared" si="418"/>
        <v>0</v>
      </c>
      <c r="AQ940" s="281">
        <f t="shared" si="419"/>
        <v>0</v>
      </c>
      <c r="AR940" s="284">
        <f t="shared" si="420"/>
        <v>0</v>
      </c>
      <c r="AS940" s="281">
        <f t="shared" si="421"/>
        <v>0</v>
      </c>
      <c r="AT940" s="284">
        <f t="shared" si="422"/>
        <v>0</v>
      </c>
    </row>
    <row r="941" spans="1:97" s="114" customFormat="1" ht="30.9" x14ac:dyDescent="0.8">
      <c r="A941" s="262">
        <f>ROW()</f>
        <v>941</v>
      </c>
      <c r="C941" s="208"/>
      <c r="D941" s="208"/>
      <c r="E941" s="208"/>
      <c r="F941" s="208"/>
      <c r="G941" s="208"/>
      <c r="H941" s="208"/>
      <c r="J941" s="114" t="str">
        <f t="shared" si="430"/>
        <v/>
      </c>
      <c r="K941" s="114" t="str">
        <f>IF(COUNTBLANK(R941)&gt;0,"",CONCATENATE(R941," for ",N932))</f>
        <v/>
      </c>
      <c r="N941" s="123" t="s">
        <v>121</v>
      </c>
      <c r="O941" s="66"/>
      <c r="P941" s="121"/>
      <c r="Q941" s="66"/>
      <c r="R941" s="121"/>
      <c r="S941" s="133">
        <f>M932</f>
        <v>0</v>
      </c>
      <c r="T941" s="120"/>
      <c r="U941" s="121" t="s">
        <v>292</v>
      </c>
      <c r="V941" s="133">
        <f t="shared" si="424"/>
        <v>0</v>
      </c>
      <c r="W941" s="133">
        <f>VLOOKUP(U941,Sheet1!$B$6:$C$45,2,FALSE)*V941</f>
        <v>0</v>
      </c>
      <c r="X941" s="141"/>
      <c r="Y941" s="121" t="s">
        <v>292</v>
      </c>
      <c r="Z941" s="146">
        <f>VLOOKUP(Takeoffs!Y941,Sheet1!$B$6:$C$124,2,FALSE)</f>
        <v>0</v>
      </c>
      <c r="AA941" s="146">
        <f t="shared" si="425"/>
        <v>0</v>
      </c>
      <c r="AB941" s="143">
        <f t="shared" si="426"/>
        <v>0</v>
      </c>
      <c r="AC941" s="133">
        <f t="shared" si="431"/>
        <v>0</v>
      </c>
      <c r="AD941" s="142">
        <v>1</v>
      </c>
      <c r="AE941" s="141"/>
      <c r="AF941" s="121" t="s">
        <v>292</v>
      </c>
      <c r="AG941" s="146">
        <f>VLOOKUP(Takeoffs!AF941,Sheet1!$B$6:$C$124,2,FALSE)</f>
        <v>0</v>
      </c>
      <c r="AH941" s="146">
        <f t="shared" si="427"/>
        <v>0</v>
      </c>
      <c r="AI941" s="143">
        <f t="shared" si="428"/>
        <v>0</v>
      </c>
      <c r="AJ941" s="133">
        <f t="shared" si="429"/>
        <v>0</v>
      </c>
      <c r="AK941" s="142">
        <f t="shared" si="432"/>
        <v>0</v>
      </c>
      <c r="AL941" s="141"/>
      <c r="AO941" s="286"/>
      <c r="AP941" s="284">
        <f t="shared" si="418"/>
        <v>0</v>
      </c>
      <c r="AQ941" s="281">
        <f t="shared" si="419"/>
        <v>0</v>
      </c>
      <c r="AR941" s="284">
        <f t="shared" si="420"/>
        <v>0</v>
      </c>
      <c r="AS941" s="281">
        <f t="shared" si="421"/>
        <v>0</v>
      </c>
      <c r="AT941" s="284">
        <f t="shared" si="422"/>
        <v>0</v>
      </c>
    </row>
    <row r="942" spans="1:97" s="114" customFormat="1" ht="30.9" x14ac:dyDescent="0.8">
      <c r="A942" s="262">
        <f>ROW()</f>
        <v>942</v>
      </c>
      <c r="C942" s="208"/>
      <c r="D942" s="208"/>
      <c r="E942" s="208"/>
      <c r="F942" s="208"/>
      <c r="G942" s="208"/>
      <c r="H942" s="208"/>
      <c r="J942" s="114" t="str">
        <f t="shared" si="430"/>
        <v/>
      </c>
      <c r="K942" s="114" t="str">
        <f>IF(COUNTBLANK(R942)&gt;0,"",CONCATENATE(R942," for ",N932))</f>
        <v/>
      </c>
      <c r="N942" s="123" t="s">
        <v>122</v>
      </c>
      <c r="O942" s="66"/>
      <c r="P942" s="121"/>
      <c r="Q942" s="66"/>
      <c r="R942" s="121"/>
      <c r="S942" s="133">
        <f>M932</f>
        <v>0</v>
      </c>
      <c r="T942" s="120"/>
      <c r="U942" s="121" t="s">
        <v>292</v>
      </c>
      <c r="V942" s="133">
        <f t="shared" si="424"/>
        <v>0</v>
      </c>
      <c r="W942" s="133">
        <f>VLOOKUP(U942,Sheet1!$B$6:$C$45,2,FALSE)*V942</f>
        <v>0</v>
      </c>
      <c r="X942" s="141"/>
      <c r="Y942" s="121" t="s">
        <v>292</v>
      </c>
      <c r="Z942" s="146">
        <f>VLOOKUP(Takeoffs!Y942,Sheet1!$B$6:$C$124,2,FALSE)</f>
        <v>0</v>
      </c>
      <c r="AA942" s="146">
        <f t="shared" si="425"/>
        <v>0</v>
      </c>
      <c r="AB942" s="143">
        <f t="shared" si="426"/>
        <v>0</v>
      </c>
      <c r="AC942" s="133">
        <f t="shared" si="431"/>
        <v>0</v>
      </c>
      <c r="AD942" s="142">
        <v>1</v>
      </c>
      <c r="AE942" s="141"/>
      <c r="AF942" s="121" t="s">
        <v>292</v>
      </c>
      <c r="AG942" s="146">
        <f>VLOOKUP(Takeoffs!AF942,Sheet1!$B$6:$C$124,2,FALSE)</f>
        <v>0</v>
      </c>
      <c r="AH942" s="146">
        <f t="shared" si="427"/>
        <v>0</v>
      </c>
      <c r="AI942" s="143">
        <f t="shared" si="428"/>
        <v>0</v>
      </c>
      <c r="AJ942" s="133">
        <f t="shared" si="429"/>
        <v>0</v>
      </c>
      <c r="AK942" s="142">
        <f>T942</f>
        <v>0</v>
      </c>
      <c r="AL942" s="141"/>
      <c r="AO942" s="286"/>
      <c r="AP942" s="284">
        <f t="shared" si="418"/>
        <v>0</v>
      </c>
      <c r="AQ942" s="281">
        <f t="shared" si="419"/>
        <v>0</v>
      </c>
      <c r="AR942" s="284">
        <f t="shared" si="420"/>
        <v>0</v>
      </c>
      <c r="AS942" s="281">
        <f t="shared" si="421"/>
        <v>0</v>
      </c>
      <c r="AT942" s="284">
        <f t="shared" si="422"/>
        <v>0</v>
      </c>
    </row>
    <row r="943" spans="1:97" s="114" customFormat="1" ht="30.9" x14ac:dyDescent="0.8">
      <c r="A943" s="262">
        <f>ROW()</f>
        <v>943</v>
      </c>
      <c r="C943" s="208"/>
      <c r="D943" s="208"/>
      <c r="E943" s="208"/>
      <c r="F943" s="208"/>
      <c r="G943" s="208"/>
      <c r="H943" s="208"/>
      <c r="J943" s="114" t="str">
        <f t="shared" si="430"/>
        <v/>
      </c>
      <c r="K943" s="114" t="str">
        <f>IF(COUNTBLANK(R943)&gt;0,"",CONCATENATE(R943," for ",N932))</f>
        <v/>
      </c>
      <c r="N943" s="123" t="s">
        <v>123</v>
      </c>
      <c r="O943" s="66"/>
      <c r="P943" s="121"/>
      <c r="Q943" s="66"/>
      <c r="R943" s="121"/>
      <c r="S943" s="133">
        <f>M932</f>
        <v>0</v>
      </c>
      <c r="T943" s="120"/>
      <c r="U943" s="121" t="s">
        <v>292</v>
      </c>
      <c r="V943" s="133">
        <f t="shared" si="424"/>
        <v>0</v>
      </c>
      <c r="W943" s="133">
        <f>VLOOKUP(U943,Sheet1!$B$6:$C$45,2,FALSE)*V943</f>
        <v>0</v>
      </c>
      <c r="X943" s="141"/>
      <c r="Y943" s="121" t="s">
        <v>292</v>
      </c>
      <c r="Z943" s="146">
        <f>VLOOKUP(Takeoffs!Y943,Sheet1!$B$6:$C$124,2,FALSE)</f>
        <v>0</v>
      </c>
      <c r="AA943" s="146">
        <f t="shared" si="425"/>
        <v>0</v>
      </c>
      <c r="AB943" s="143">
        <f t="shared" si="426"/>
        <v>0</v>
      </c>
      <c r="AC943" s="133">
        <f t="shared" si="431"/>
        <v>0</v>
      </c>
      <c r="AD943" s="142">
        <v>1</v>
      </c>
      <c r="AE943" s="141"/>
      <c r="AF943" s="121" t="s">
        <v>292</v>
      </c>
      <c r="AG943" s="146">
        <f>VLOOKUP(Takeoffs!AF943,Sheet1!$B$6:$C$124,2,FALSE)</f>
        <v>0</v>
      </c>
      <c r="AH943" s="146">
        <f t="shared" si="427"/>
        <v>0</v>
      </c>
      <c r="AI943" s="143">
        <f t="shared" si="428"/>
        <v>0</v>
      </c>
      <c r="AJ943" s="133">
        <f t="shared" si="429"/>
        <v>0</v>
      </c>
      <c r="AK943" s="142">
        <v>0</v>
      </c>
      <c r="AL943" s="141"/>
      <c r="AO943" s="286"/>
      <c r="AP943" s="284">
        <f t="shared" si="418"/>
        <v>0</v>
      </c>
      <c r="AQ943" s="281">
        <f t="shared" si="419"/>
        <v>0</v>
      </c>
      <c r="AR943" s="284">
        <f t="shared" si="420"/>
        <v>0</v>
      </c>
      <c r="AS943" s="281">
        <f t="shared" si="421"/>
        <v>0</v>
      </c>
      <c r="AT943" s="284">
        <f t="shared" si="422"/>
        <v>0</v>
      </c>
    </row>
    <row r="944" spans="1:97" s="114" customFormat="1" ht="30.9" x14ac:dyDescent="0.8">
      <c r="A944" s="262">
        <f>ROW()</f>
        <v>944</v>
      </c>
      <c r="C944" s="208"/>
      <c r="D944" s="208"/>
      <c r="E944" s="208"/>
      <c r="F944" s="208"/>
      <c r="G944" s="208"/>
      <c r="H944" s="208"/>
      <c r="J944" s="114" t="str">
        <f t="shared" si="430"/>
        <v/>
      </c>
      <c r="K944" s="114" t="str">
        <f>IF(COUNTBLANK(R944)&gt;0,"",CONCATENATE(R944," for ",N932))</f>
        <v/>
      </c>
      <c r="N944" s="123" t="s">
        <v>124</v>
      </c>
      <c r="O944" s="66" t="s">
        <v>140</v>
      </c>
      <c r="P944" s="121"/>
      <c r="Q944" s="66"/>
      <c r="R944" s="121"/>
      <c r="S944" s="133">
        <f>M932</f>
        <v>0</v>
      </c>
      <c r="T944" s="120"/>
      <c r="U944" s="121" t="s">
        <v>292</v>
      </c>
      <c r="V944" s="133">
        <f t="shared" si="424"/>
        <v>0</v>
      </c>
      <c r="W944" s="133">
        <f>VLOOKUP(U944,Sheet1!$B$6:$C$45,2,FALSE)*V944</f>
        <v>0</v>
      </c>
      <c r="X944" s="141"/>
      <c r="Y944" s="121" t="s">
        <v>292</v>
      </c>
      <c r="Z944" s="146">
        <f>VLOOKUP(Takeoffs!Y944,Sheet1!$B$6:$C$124,2,FALSE)</f>
        <v>0</v>
      </c>
      <c r="AA944" s="146">
        <f t="shared" si="425"/>
        <v>0</v>
      </c>
      <c r="AB944" s="143">
        <f t="shared" si="426"/>
        <v>0</v>
      </c>
      <c r="AC944" s="133">
        <f t="shared" si="431"/>
        <v>0</v>
      </c>
      <c r="AD944" s="142">
        <v>1</v>
      </c>
      <c r="AE944" s="141"/>
      <c r="AF944" s="152" t="s">
        <v>418</v>
      </c>
      <c r="AG944" s="146">
        <f>VLOOKUP(Takeoffs!AF944,Sheet1!$B$6:$C$124,2,FALSE)</f>
        <v>0.33600000000000002</v>
      </c>
      <c r="AH944" s="146">
        <f t="shared" si="427"/>
        <v>0</v>
      </c>
      <c r="AI944" s="143">
        <f t="shared" si="428"/>
        <v>0</v>
      </c>
      <c r="AJ944" s="133">
        <f t="shared" si="429"/>
        <v>0</v>
      </c>
      <c r="AK944" s="142">
        <v>1</v>
      </c>
      <c r="AL944" s="141"/>
      <c r="AO944" s="286"/>
      <c r="AP944" s="284">
        <f t="shared" si="418"/>
        <v>0</v>
      </c>
      <c r="AQ944" s="281">
        <f t="shared" si="419"/>
        <v>0</v>
      </c>
      <c r="AR944" s="284">
        <f t="shared" si="420"/>
        <v>0</v>
      </c>
      <c r="AS944" s="281">
        <f t="shared" si="421"/>
        <v>0</v>
      </c>
      <c r="AT944" s="284">
        <f t="shared" si="422"/>
        <v>0</v>
      </c>
    </row>
    <row r="945" spans="1:97" s="114" customFormat="1" ht="30.9" x14ac:dyDescent="0.8">
      <c r="A945" s="262">
        <f>ROW()</f>
        <v>945</v>
      </c>
      <c r="C945" s="208"/>
      <c r="D945" s="208"/>
      <c r="E945" s="208"/>
      <c r="F945" s="208"/>
      <c r="G945" s="208"/>
      <c r="H945" s="208"/>
      <c r="J945" s="114" t="str">
        <f t="shared" si="430"/>
        <v/>
      </c>
      <c r="K945" s="114" t="str">
        <f>IF(COUNTBLANK(R945)&gt;0,"",CONCATENATE(R945," for ",N932))</f>
        <v/>
      </c>
      <c r="N945" s="123" t="s">
        <v>125</v>
      </c>
      <c r="O945" s="66" t="s">
        <v>312</v>
      </c>
      <c r="P945" s="121"/>
      <c r="Q945" s="66"/>
      <c r="R945" s="121"/>
      <c r="S945" s="133">
        <f>M932</f>
        <v>0</v>
      </c>
      <c r="T945" s="120"/>
      <c r="U945" s="121" t="s">
        <v>232</v>
      </c>
      <c r="V945" s="133">
        <f t="shared" si="424"/>
        <v>0</v>
      </c>
      <c r="W945" s="133">
        <f>VLOOKUP(U945,Sheet1!$B$6:$C$45,2,FALSE)*V945</f>
        <v>0</v>
      </c>
      <c r="X945" s="141"/>
      <c r="Y945" s="122" t="s">
        <v>1345</v>
      </c>
      <c r="Z945" s="146">
        <f>VLOOKUP(Takeoffs!Y945,Sheet1!$B$6:$C$124,2,FALSE)</f>
        <v>109.25999999999999</v>
      </c>
      <c r="AA945" s="146">
        <f t="shared" si="425"/>
        <v>0</v>
      </c>
      <c r="AB945" s="143">
        <f t="shared" si="426"/>
        <v>0</v>
      </c>
      <c r="AC945" s="133">
        <f t="shared" si="431"/>
        <v>0</v>
      </c>
      <c r="AD945" s="142">
        <v>1</v>
      </c>
      <c r="AE945" s="141"/>
      <c r="AF945" s="121" t="s">
        <v>292</v>
      </c>
      <c r="AG945" s="146">
        <f>VLOOKUP(Takeoffs!AF945,Sheet1!$B$6:$C$124,2,FALSE)</f>
        <v>0</v>
      </c>
      <c r="AH945" s="146">
        <f t="shared" si="427"/>
        <v>0</v>
      </c>
      <c r="AI945" s="143">
        <f t="shared" si="428"/>
        <v>0</v>
      </c>
      <c r="AJ945" s="133">
        <f t="shared" si="429"/>
        <v>0</v>
      </c>
      <c r="AK945" s="142">
        <f t="shared" ref="AK945:AK952" si="433">T945</f>
        <v>0</v>
      </c>
      <c r="AL945" s="141"/>
      <c r="AO945" s="286"/>
      <c r="AP945" s="284">
        <f t="shared" si="418"/>
        <v>0</v>
      </c>
      <c r="AQ945" s="281">
        <f t="shared" si="419"/>
        <v>0</v>
      </c>
      <c r="AR945" s="284">
        <f t="shared" si="420"/>
        <v>0</v>
      </c>
      <c r="AS945" s="281">
        <f t="shared" si="421"/>
        <v>0</v>
      </c>
      <c r="AT945" s="284">
        <f t="shared" si="422"/>
        <v>0</v>
      </c>
    </row>
    <row r="946" spans="1:97" s="114" customFormat="1" ht="30.9" x14ac:dyDescent="0.8">
      <c r="A946" s="262">
        <f>ROW()</f>
        <v>946</v>
      </c>
      <c r="C946" s="208"/>
      <c r="D946" s="208"/>
      <c r="E946" s="208"/>
      <c r="F946" s="208"/>
      <c r="G946" s="208"/>
      <c r="H946" s="208"/>
      <c r="J946" s="114" t="str">
        <f t="shared" si="430"/>
        <v>Coordination Note: - Fire trade: Please refer to our exclusions relating to fire cabling from FIP.</v>
      </c>
      <c r="K946" s="114" t="str">
        <f>IF(COUNTBLANK(R946)&gt;0,"",CONCATENATE(R946," for ",N932))</f>
        <v/>
      </c>
      <c r="N946" s="123" t="s">
        <v>126</v>
      </c>
      <c r="O946" s="66" t="s">
        <v>345</v>
      </c>
      <c r="P946" s="121" t="s">
        <v>380</v>
      </c>
      <c r="Q946" s="66" t="s">
        <v>384</v>
      </c>
      <c r="R946" s="121"/>
      <c r="S946" s="133">
        <f>M932</f>
        <v>0</v>
      </c>
      <c r="T946" s="120"/>
      <c r="U946" s="121" t="s">
        <v>292</v>
      </c>
      <c r="V946" s="133">
        <f t="shared" si="424"/>
        <v>0</v>
      </c>
      <c r="W946" s="133">
        <f>VLOOKUP(U946,Sheet1!$B$6:$C$45,2,FALSE)*V946</f>
        <v>0</v>
      </c>
      <c r="X946" s="141"/>
      <c r="Y946" s="122" t="s">
        <v>326</v>
      </c>
      <c r="Z946" s="146">
        <f>VLOOKUP(Takeoffs!Y946,Sheet1!$B$6:$C$124,2,FALSE)</f>
        <v>29.04</v>
      </c>
      <c r="AA946" s="146">
        <f t="shared" si="425"/>
        <v>0</v>
      </c>
      <c r="AB946" s="143">
        <f t="shared" si="426"/>
        <v>0</v>
      </c>
      <c r="AC946" s="133">
        <f t="shared" si="431"/>
        <v>0</v>
      </c>
      <c r="AD946" s="142">
        <v>1</v>
      </c>
      <c r="AE946" s="141"/>
      <c r="AF946" s="121" t="s">
        <v>292</v>
      </c>
      <c r="AG946" s="146">
        <f>VLOOKUP(Takeoffs!AF946,Sheet1!$B$6:$C$124,2,FALSE)</f>
        <v>0</v>
      </c>
      <c r="AH946" s="146">
        <f t="shared" si="427"/>
        <v>0</v>
      </c>
      <c r="AI946" s="143">
        <f t="shared" si="428"/>
        <v>0</v>
      </c>
      <c r="AJ946" s="133">
        <f t="shared" si="429"/>
        <v>0</v>
      </c>
      <c r="AK946" s="142">
        <f t="shared" si="433"/>
        <v>0</v>
      </c>
      <c r="AL946" s="141"/>
      <c r="AO946" s="286"/>
      <c r="AP946" s="284">
        <f t="shared" si="418"/>
        <v>0</v>
      </c>
      <c r="AQ946" s="281">
        <f t="shared" si="419"/>
        <v>0</v>
      </c>
      <c r="AR946" s="284">
        <f t="shared" si="420"/>
        <v>0</v>
      </c>
      <c r="AS946" s="281">
        <f t="shared" si="421"/>
        <v>0</v>
      </c>
      <c r="AT946" s="284">
        <f t="shared" si="422"/>
        <v>0</v>
      </c>
    </row>
    <row r="947" spans="1:97" s="114" customFormat="1" ht="30.9" x14ac:dyDescent="0.8">
      <c r="A947" s="262">
        <f>ROW()</f>
        <v>947</v>
      </c>
      <c r="C947" s="208"/>
      <c r="D947" s="208"/>
      <c r="E947" s="208"/>
      <c r="F947" s="208"/>
      <c r="G947" s="208"/>
      <c r="H947" s="208"/>
      <c r="J947" s="114" t="str">
        <f t="shared" si="430"/>
        <v/>
      </c>
      <c r="K947" s="114" t="str">
        <f>IF(COUNTBLANK(R947)&gt;0,"",CONCATENATE(R947," for ",N932))</f>
        <v>run and fault lights for Large sized VSD fan with fire shutdown - from MSSB power supply and BMS interface provisions</v>
      </c>
      <c r="N947" s="123" t="s">
        <v>127</v>
      </c>
      <c r="O947" s="66" t="s">
        <v>337</v>
      </c>
      <c r="P947" s="121"/>
      <c r="Q947" s="66"/>
      <c r="R947" s="121" t="s">
        <v>331</v>
      </c>
      <c r="S947" s="133">
        <f>M932</f>
        <v>0</v>
      </c>
      <c r="T947" s="120"/>
      <c r="U947" s="121" t="s">
        <v>292</v>
      </c>
      <c r="V947" s="133">
        <f t="shared" si="424"/>
        <v>0</v>
      </c>
      <c r="W947" s="133">
        <f>VLOOKUP(U947,Sheet1!$B$6:$C$45,2,FALSE)*V947</f>
        <v>0</v>
      </c>
      <c r="X947" s="141"/>
      <c r="Y947" s="122" t="s">
        <v>280</v>
      </c>
      <c r="Z947" s="146">
        <f>VLOOKUP(Takeoffs!Y947,Sheet1!$B$6:$C$124,2,FALSE)</f>
        <v>19.2</v>
      </c>
      <c r="AA947" s="146">
        <f t="shared" si="425"/>
        <v>0</v>
      </c>
      <c r="AB947" s="143">
        <f t="shared" si="426"/>
        <v>0</v>
      </c>
      <c r="AC947" s="133">
        <f t="shared" si="431"/>
        <v>0</v>
      </c>
      <c r="AD947" s="142">
        <v>2</v>
      </c>
      <c r="AE947" s="141"/>
      <c r="AF947" s="121" t="s">
        <v>292</v>
      </c>
      <c r="AG947" s="146">
        <f>VLOOKUP(Takeoffs!AF947,Sheet1!$B$6:$C$124,2,FALSE)</f>
        <v>0</v>
      </c>
      <c r="AH947" s="146">
        <f t="shared" si="427"/>
        <v>0</v>
      </c>
      <c r="AI947" s="143">
        <f t="shared" si="428"/>
        <v>0</v>
      </c>
      <c r="AJ947" s="133">
        <f t="shared" si="429"/>
        <v>0</v>
      </c>
      <c r="AK947" s="142">
        <f t="shared" si="433"/>
        <v>0</v>
      </c>
      <c r="AL947" s="141"/>
      <c r="AO947" s="286"/>
      <c r="AP947" s="284">
        <f t="shared" si="418"/>
        <v>0</v>
      </c>
      <c r="AQ947" s="281">
        <f t="shared" si="419"/>
        <v>0</v>
      </c>
      <c r="AR947" s="284">
        <f t="shared" si="420"/>
        <v>0</v>
      </c>
      <c r="AS947" s="281">
        <f t="shared" si="421"/>
        <v>0</v>
      </c>
      <c r="AT947" s="284">
        <f t="shared" si="422"/>
        <v>0</v>
      </c>
    </row>
    <row r="948" spans="1:97" s="114" customFormat="1" ht="30.9" x14ac:dyDescent="0.8">
      <c r="A948" s="262">
        <f>ROW()</f>
        <v>948</v>
      </c>
      <c r="C948" s="208"/>
      <c r="D948" s="208"/>
      <c r="E948" s="208"/>
      <c r="F948" s="208"/>
      <c r="G948" s="208"/>
      <c r="H948" s="208"/>
      <c r="J948" s="114" t="str">
        <f t="shared" si="430"/>
        <v/>
      </c>
      <c r="K948" s="114" t="str">
        <f>IF(COUNTBLANK(R948)&gt;0,"",CONCATENATE(R948," for ",N932))</f>
        <v/>
      </c>
      <c r="N948" s="123" t="s">
        <v>128</v>
      </c>
      <c r="O948" s="66" t="s">
        <v>499</v>
      </c>
      <c r="P948" s="121"/>
      <c r="Q948" s="66"/>
      <c r="R948" s="121"/>
      <c r="S948" s="133">
        <f>M932</f>
        <v>0</v>
      </c>
      <c r="T948" s="120"/>
      <c r="U948" s="121" t="s">
        <v>292</v>
      </c>
      <c r="V948" s="133">
        <f t="shared" si="424"/>
        <v>0</v>
      </c>
      <c r="W948" s="133">
        <f>VLOOKUP(U948,Sheet1!$B$6:$C$45,2,FALSE)*V948</f>
        <v>0</v>
      </c>
      <c r="X948" s="141"/>
      <c r="Y948" s="135" t="s">
        <v>422</v>
      </c>
      <c r="Z948" s="146">
        <f>VLOOKUP(Takeoffs!Y948,Sheet1!$B$6:$C$124,2,FALSE)</f>
        <v>23.4</v>
      </c>
      <c r="AA948" s="146">
        <f t="shared" si="425"/>
        <v>0</v>
      </c>
      <c r="AB948" s="143">
        <f t="shared" si="426"/>
        <v>0</v>
      </c>
      <c r="AC948" s="133">
        <f t="shared" si="431"/>
        <v>0</v>
      </c>
      <c r="AD948" s="142">
        <v>1</v>
      </c>
      <c r="AE948" s="141"/>
      <c r="AF948" s="121" t="s">
        <v>292</v>
      </c>
      <c r="AG948" s="146">
        <f>VLOOKUP(Takeoffs!AF948,Sheet1!$B$6:$C$124,2,FALSE)</f>
        <v>0</v>
      </c>
      <c r="AH948" s="146">
        <f t="shared" si="427"/>
        <v>0</v>
      </c>
      <c r="AI948" s="143">
        <f t="shared" si="428"/>
        <v>0</v>
      </c>
      <c r="AJ948" s="133">
        <f t="shared" si="429"/>
        <v>0</v>
      </c>
      <c r="AK948" s="142">
        <f t="shared" si="433"/>
        <v>0</v>
      </c>
      <c r="AL948" s="141"/>
      <c r="AO948" s="286"/>
      <c r="AP948" s="284">
        <f t="shared" si="418"/>
        <v>0</v>
      </c>
      <c r="AQ948" s="281">
        <f t="shared" si="419"/>
        <v>0</v>
      </c>
      <c r="AR948" s="284">
        <f t="shared" si="420"/>
        <v>0</v>
      </c>
      <c r="AS948" s="281">
        <f t="shared" si="421"/>
        <v>0</v>
      </c>
      <c r="AT948" s="284">
        <f t="shared" si="422"/>
        <v>0</v>
      </c>
    </row>
    <row r="949" spans="1:97" s="114" customFormat="1" ht="30.9" x14ac:dyDescent="0.8">
      <c r="A949" s="262">
        <f>ROW()</f>
        <v>949</v>
      </c>
      <c r="C949" s="208"/>
      <c r="D949" s="208"/>
      <c r="E949" s="208"/>
      <c r="F949" s="208"/>
      <c r="G949" s="208"/>
      <c r="H949" s="208"/>
      <c r="J949" s="114" t="str">
        <f t="shared" si="430"/>
        <v/>
      </c>
      <c r="K949" s="114" t="str">
        <f>IF(COUNTBLANK(R949)&gt;0,"",CONCATENATE(R949," for ",N932))</f>
        <v>Auto/Off/On switch for Large sized VSD fan with fire shutdown - from MSSB power supply and BMS interface provisions</v>
      </c>
      <c r="N949" s="123" t="s">
        <v>129</v>
      </c>
      <c r="O949" s="66" t="s">
        <v>329</v>
      </c>
      <c r="P949" s="121"/>
      <c r="Q949" s="66"/>
      <c r="R949" s="121" t="s">
        <v>304</v>
      </c>
      <c r="S949" s="133">
        <f>M932</f>
        <v>0</v>
      </c>
      <c r="T949" s="120"/>
      <c r="U949" s="121" t="s">
        <v>292</v>
      </c>
      <c r="V949" s="133">
        <f t="shared" si="424"/>
        <v>0</v>
      </c>
      <c r="W949" s="133">
        <f>VLOOKUP(U949,Sheet1!$B$6:$C$45,2,FALSE)*V949</f>
        <v>0</v>
      </c>
      <c r="X949" s="141"/>
      <c r="Y949" s="122" t="s">
        <v>277</v>
      </c>
      <c r="Z949" s="146">
        <f>VLOOKUP(Takeoffs!Y949,Sheet1!$B$6:$C$124,2,FALSE)</f>
        <v>69.540000000000006</v>
      </c>
      <c r="AA949" s="146">
        <f t="shared" si="425"/>
        <v>0</v>
      </c>
      <c r="AB949" s="143">
        <f t="shared" si="426"/>
        <v>0</v>
      </c>
      <c r="AC949" s="133">
        <f t="shared" si="431"/>
        <v>0</v>
      </c>
      <c r="AD949" s="142">
        <v>1</v>
      </c>
      <c r="AE949" s="141"/>
      <c r="AF949" s="121" t="s">
        <v>292</v>
      </c>
      <c r="AG949" s="146">
        <f>VLOOKUP(Takeoffs!AF949,Sheet1!$B$6:$C$124,2,FALSE)</f>
        <v>0</v>
      </c>
      <c r="AH949" s="146">
        <f t="shared" si="427"/>
        <v>0</v>
      </c>
      <c r="AI949" s="143">
        <f t="shared" si="428"/>
        <v>0</v>
      </c>
      <c r="AJ949" s="133">
        <f t="shared" si="429"/>
        <v>0</v>
      </c>
      <c r="AK949" s="142">
        <f t="shared" si="433"/>
        <v>0</v>
      </c>
      <c r="AL949" s="141"/>
      <c r="AO949" s="286"/>
      <c r="AP949" s="284">
        <f t="shared" si="418"/>
        <v>0</v>
      </c>
      <c r="AQ949" s="281">
        <f t="shared" si="419"/>
        <v>0</v>
      </c>
      <c r="AR949" s="284">
        <f t="shared" si="420"/>
        <v>0</v>
      </c>
      <c r="AS949" s="281">
        <f t="shared" si="421"/>
        <v>0</v>
      </c>
      <c r="AT949" s="284">
        <f t="shared" si="422"/>
        <v>0</v>
      </c>
    </row>
    <row r="950" spans="1:97" s="114" customFormat="1" ht="30.9" x14ac:dyDescent="0.8">
      <c r="A950" s="262">
        <f>ROW()</f>
        <v>950</v>
      </c>
      <c r="C950" s="208"/>
      <c r="D950" s="208"/>
      <c r="E950" s="208"/>
      <c r="F950" s="208"/>
      <c r="G950" s="208"/>
      <c r="H950" s="208"/>
      <c r="J950" s="114" t="str">
        <f t="shared" si="430"/>
        <v/>
      </c>
      <c r="K950" s="114" t="str">
        <f>IF(COUNTBLANK(R950)&gt;0,"",CONCATENATE(R950," for ",N932))</f>
        <v/>
      </c>
      <c r="N950" s="123" t="s">
        <v>130</v>
      </c>
      <c r="O950" s="66" t="s">
        <v>500</v>
      </c>
      <c r="P950" s="121"/>
      <c r="Q950" s="66"/>
      <c r="R950" s="121"/>
      <c r="S950" s="133">
        <f>M932</f>
        <v>0</v>
      </c>
      <c r="T950" s="120"/>
      <c r="U950" s="121" t="s">
        <v>292</v>
      </c>
      <c r="V950" s="133">
        <f t="shared" si="424"/>
        <v>0</v>
      </c>
      <c r="W950" s="133">
        <f>VLOOKUP(U950,Sheet1!$B$6:$C$45,2,FALSE)*V950</f>
        <v>0</v>
      </c>
      <c r="X950" s="141"/>
      <c r="Y950" s="121" t="s">
        <v>292</v>
      </c>
      <c r="Z950" s="146">
        <f>VLOOKUP(Takeoffs!Y950,Sheet1!$B$6:$C$124,2,FALSE)</f>
        <v>0</v>
      </c>
      <c r="AA950" s="146">
        <f t="shared" si="425"/>
        <v>0</v>
      </c>
      <c r="AB950" s="143">
        <f t="shared" si="426"/>
        <v>0</v>
      </c>
      <c r="AC950" s="133">
        <f t="shared" si="431"/>
        <v>0</v>
      </c>
      <c r="AD950" s="142">
        <v>1</v>
      </c>
      <c r="AE950" s="141"/>
      <c r="AF950" s="121" t="s">
        <v>292</v>
      </c>
      <c r="AG950" s="146">
        <f>VLOOKUP(Takeoffs!AF950,Sheet1!$B$6:$C$124,2,FALSE)</f>
        <v>0</v>
      </c>
      <c r="AH950" s="146">
        <f t="shared" si="427"/>
        <v>0</v>
      </c>
      <c r="AI950" s="143">
        <f t="shared" si="428"/>
        <v>0</v>
      </c>
      <c r="AJ950" s="133">
        <f t="shared" si="429"/>
        <v>0</v>
      </c>
      <c r="AK950" s="142">
        <f t="shared" si="433"/>
        <v>0</v>
      </c>
      <c r="AL950" s="141"/>
      <c r="AO950" s="286"/>
      <c r="AP950" s="284">
        <f t="shared" si="418"/>
        <v>0</v>
      </c>
      <c r="AQ950" s="281">
        <f t="shared" si="419"/>
        <v>0</v>
      </c>
      <c r="AR950" s="284">
        <f t="shared" si="420"/>
        <v>0</v>
      </c>
      <c r="AS950" s="281">
        <f t="shared" si="421"/>
        <v>0</v>
      </c>
      <c r="AT950" s="284">
        <f t="shared" si="422"/>
        <v>0</v>
      </c>
    </row>
    <row r="951" spans="1:97" s="114" customFormat="1" ht="30.9" x14ac:dyDescent="0.8">
      <c r="A951" s="262">
        <f>ROW()</f>
        <v>951</v>
      </c>
      <c r="C951" s="208"/>
      <c r="D951" s="208"/>
      <c r="E951" s="208"/>
      <c r="F951" s="208"/>
      <c r="G951" s="208"/>
      <c r="H951" s="208"/>
      <c r="J951" s="114" t="str">
        <f t="shared" si="430"/>
        <v/>
      </c>
      <c r="K951" s="114" t="str">
        <f>IF(COUNTBLANK(R951)&gt;0,"",CONCATENATE(R951," for ",N932))</f>
        <v/>
      </c>
      <c r="N951" s="123" t="s">
        <v>131</v>
      </c>
      <c r="O951" s="66" t="s">
        <v>407</v>
      </c>
      <c r="P951" s="121"/>
      <c r="Q951" s="66"/>
      <c r="R951" s="121"/>
      <c r="S951" s="133">
        <f>M932</f>
        <v>0</v>
      </c>
      <c r="T951" s="120"/>
      <c r="U951" s="121" t="s">
        <v>292</v>
      </c>
      <c r="V951" s="133">
        <f t="shared" si="424"/>
        <v>0</v>
      </c>
      <c r="W951" s="133">
        <f>VLOOKUP(U951,Sheet1!$B$6:$C$45,2,FALSE)*V951</f>
        <v>0</v>
      </c>
      <c r="X951" s="141"/>
      <c r="Y951" s="121" t="s">
        <v>274</v>
      </c>
      <c r="Z951" s="146">
        <f>VLOOKUP(Takeoffs!Y951,Sheet1!$B$6:$C$124,2,FALSE)</f>
        <v>360</v>
      </c>
      <c r="AA951" s="146">
        <f t="shared" si="425"/>
        <v>0</v>
      </c>
      <c r="AB951" s="143">
        <f t="shared" si="426"/>
        <v>0</v>
      </c>
      <c r="AC951" s="133">
        <f t="shared" si="431"/>
        <v>0</v>
      </c>
      <c r="AD951" s="142">
        <v>1</v>
      </c>
      <c r="AE951" s="141"/>
      <c r="AF951" s="121" t="s">
        <v>292</v>
      </c>
      <c r="AG951" s="146">
        <f>VLOOKUP(Takeoffs!AF951,Sheet1!$B$6:$C$124,2,FALSE)</f>
        <v>0</v>
      </c>
      <c r="AH951" s="146">
        <f t="shared" si="427"/>
        <v>0</v>
      </c>
      <c r="AI951" s="143">
        <f t="shared" si="428"/>
        <v>0</v>
      </c>
      <c r="AJ951" s="133">
        <f t="shared" si="429"/>
        <v>0</v>
      </c>
      <c r="AK951" s="142">
        <f t="shared" si="433"/>
        <v>0</v>
      </c>
      <c r="AL951" s="141"/>
      <c r="AO951" s="286"/>
      <c r="AP951" s="284">
        <f t="shared" si="418"/>
        <v>0</v>
      </c>
      <c r="AQ951" s="281">
        <f t="shared" si="419"/>
        <v>0</v>
      </c>
      <c r="AR951" s="284">
        <f t="shared" si="420"/>
        <v>0</v>
      </c>
      <c r="AS951" s="281">
        <f t="shared" si="421"/>
        <v>0</v>
      </c>
      <c r="AT951" s="284">
        <f t="shared" si="422"/>
        <v>0</v>
      </c>
    </row>
    <row r="952" spans="1:97" s="114" customFormat="1" ht="30.9" x14ac:dyDescent="0.8">
      <c r="A952" s="262">
        <f>ROW()</f>
        <v>952</v>
      </c>
      <c r="C952" s="208"/>
      <c r="D952" s="208"/>
      <c r="E952" s="208"/>
      <c r="F952" s="208"/>
      <c r="G952" s="208"/>
      <c r="H952" s="208"/>
      <c r="J952" s="114" t="str">
        <f t="shared" si="430"/>
        <v/>
      </c>
      <c r="K952" s="114" t="str">
        <f>IF(COUNTBLANK(R952)&gt;0,"",CONCATENATE(R952," for ",N932))</f>
        <v/>
      </c>
      <c r="N952" s="123" t="s">
        <v>132</v>
      </c>
      <c r="O952" s="66" t="s">
        <v>408</v>
      </c>
      <c r="P952" s="121"/>
      <c r="Q952" s="66"/>
      <c r="R952" s="121"/>
      <c r="S952" s="133">
        <f>M932</f>
        <v>0</v>
      </c>
      <c r="T952" s="120"/>
      <c r="U952" s="121" t="s">
        <v>362</v>
      </c>
      <c r="V952" s="133">
        <f t="shared" si="424"/>
        <v>0</v>
      </c>
      <c r="W952" s="133">
        <f>VLOOKUP(U952,Sheet1!$B$6:$C$45,2,FALSE)*V952</f>
        <v>0</v>
      </c>
      <c r="X952" s="141"/>
      <c r="Y952" s="121" t="s">
        <v>292</v>
      </c>
      <c r="Z952" s="146">
        <f>VLOOKUP(Takeoffs!Y952,Sheet1!$B$6:$C$124,2,FALSE)</f>
        <v>0</v>
      </c>
      <c r="AA952" s="146">
        <f t="shared" si="425"/>
        <v>0</v>
      </c>
      <c r="AB952" s="143">
        <f t="shared" si="426"/>
        <v>0</v>
      </c>
      <c r="AC952" s="133">
        <f t="shared" si="431"/>
        <v>0</v>
      </c>
      <c r="AD952" s="142">
        <v>1</v>
      </c>
      <c r="AE952" s="141"/>
      <c r="AF952" s="121" t="s">
        <v>292</v>
      </c>
      <c r="AG952" s="146">
        <f>VLOOKUP(Takeoffs!AF952,Sheet1!$B$6:$C$124,2,FALSE)</f>
        <v>0</v>
      </c>
      <c r="AH952" s="146">
        <f t="shared" si="427"/>
        <v>0</v>
      </c>
      <c r="AI952" s="143">
        <f t="shared" si="428"/>
        <v>0</v>
      </c>
      <c r="AJ952" s="133">
        <f t="shared" si="429"/>
        <v>0</v>
      </c>
      <c r="AK952" s="142">
        <f t="shared" si="433"/>
        <v>0</v>
      </c>
      <c r="AL952" s="141"/>
      <c r="AO952" s="286"/>
      <c r="AP952" s="284">
        <f t="shared" si="418"/>
        <v>0</v>
      </c>
      <c r="AQ952" s="281">
        <f t="shared" si="419"/>
        <v>0</v>
      </c>
      <c r="AR952" s="284">
        <f t="shared" si="420"/>
        <v>0</v>
      </c>
      <c r="AS952" s="281">
        <f t="shared" si="421"/>
        <v>0</v>
      </c>
      <c r="AT952" s="284">
        <f t="shared" si="422"/>
        <v>0</v>
      </c>
    </row>
    <row r="953" spans="1:97" s="128" customFormat="1" ht="31.5" customHeight="1" x14ac:dyDescent="0.8">
      <c r="A953" s="262">
        <f>ROW()</f>
        <v>953</v>
      </c>
      <c r="C953" s="212"/>
      <c r="D953" s="212"/>
      <c r="E953" s="212"/>
      <c r="F953" s="212"/>
      <c r="G953" s="212"/>
      <c r="H953" s="212"/>
      <c r="J953" s="128" t="s">
        <v>377</v>
      </c>
      <c r="L953" s="128" t="s">
        <v>378</v>
      </c>
      <c r="N953" s="129"/>
      <c r="O953" s="130" t="s">
        <v>357</v>
      </c>
      <c r="P953" s="131">
        <f>V953+AA953+AH953</f>
        <v>0</v>
      </c>
      <c r="Q953" s="131"/>
      <c r="R953" s="131"/>
      <c r="S953" s="130"/>
      <c r="T953" s="127"/>
      <c r="U953" s="126" t="s">
        <v>351</v>
      </c>
      <c r="V953" s="127">
        <f>W953*80</f>
        <v>0</v>
      </c>
      <c r="W953" s="147">
        <f>SUM(W932:W952)</f>
        <v>0</v>
      </c>
      <c r="X953" s="148"/>
      <c r="Y953" s="127" t="s">
        <v>352</v>
      </c>
      <c r="Z953" s="116"/>
      <c r="AA953" s="116">
        <f>SUM(AA932:AA952)</f>
        <v>0</v>
      </c>
      <c r="AB953" s="149"/>
      <c r="AC953" s="149"/>
      <c r="AD953" s="149"/>
      <c r="AE953" s="149"/>
      <c r="AF953" s="127" t="s">
        <v>356</v>
      </c>
      <c r="AG953" s="116"/>
      <c r="AH953" s="116">
        <f>SUM(AH932:AH952)</f>
        <v>0</v>
      </c>
      <c r="AI953" s="149"/>
      <c r="AJ953" s="149"/>
      <c r="AK953" s="149"/>
      <c r="AL953" s="149"/>
      <c r="AM953" s="150">
        <f>P953</f>
        <v>0</v>
      </c>
      <c r="AO953" s="286"/>
      <c r="AP953" s="284">
        <f t="shared" si="418"/>
        <v>0</v>
      </c>
      <c r="AQ953" s="281">
        <f t="shared" si="419"/>
        <v>0</v>
      </c>
      <c r="AR953" s="284">
        <f t="shared" si="420"/>
        <v>0</v>
      </c>
      <c r="AS953" s="281">
        <f t="shared" si="421"/>
        <v>0</v>
      </c>
      <c r="AT953" s="284">
        <f t="shared" si="422"/>
        <v>0</v>
      </c>
    </row>
    <row r="954" spans="1:97" s="234" customFormat="1" ht="185.15" x14ac:dyDescent="0.8">
      <c r="A954" s="262">
        <f>ROW()</f>
        <v>954</v>
      </c>
      <c r="B954" s="234" t="s">
        <v>491</v>
      </c>
      <c r="C954" s="217" t="str">
        <f>N932</f>
        <v>Large sized VSD fan with fire shutdown - from MSSB power supply and BMS interface provisions</v>
      </c>
      <c r="D954" s="260" t="str">
        <f>IF(B954="Shopping List",IF(ISNUMBER(SEARCH("MSSB",C954)),"MSSB",IF(ISNUMBER(SEARCH("local",C954)),"LOCAL","")))</f>
        <v>MSSB</v>
      </c>
      <c r="E954" s="238"/>
      <c r="F954" s="217"/>
      <c r="G954" s="217"/>
      <c r="H954" s="245">
        <v>0</v>
      </c>
      <c r="I954" s="270"/>
      <c r="J954" s="241" t="str">
        <f>CONCATENATE(O932," ",L932, " (",M932,") ",N932,".", IF(M932&gt;1," Each "," This "),"includes supply and install of ",O933,O934,O935,O936,O937,O938,O939,O940,O941,O942,O943,O944,O945,O946,O947,O948,O949,O950,O951,O952,J933,J934,J935,J936,J937,J938,J939,J940,J941,J942,J943,J944,J945,J946,J947,J948,J949,J950,J951,J952)</f>
        <v>Electrical power supply and controls ( Excluding BMS) to Zero (0) Large sized VSD fan with fire shutdown - from MSSB power supply and BMS interface provisions. This includes supply and install of power and controls. Power for system includes: CB, cabling to VSD, Danfoss VSD, shielded cabling, local isolator, Controls for system includes: controls cabling, contactors/relays, fire relay for interface with fire trade, run and fault lights, current switch for fan status, Auto/Off/On switch, BMS terminals for on/off control, trefolyte labelling, and commissioning/testing. Coordination Note: - Fire trade: Please refer to our exclusions relating to fire cabling from FIP.</v>
      </c>
      <c r="K954" s="249">
        <f>P953</f>
        <v>0</v>
      </c>
      <c r="L954" s="234" t="str">
        <f>CONCATENATE(Q933,Q934,Q935,Q936,Q937,Q938,Q939,Q940,Q941,Q942,Q943,Q944,Q945,Q946,Q947,Q948,Q949,Q950,Q951,Q952,)</f>
        <v>fire cabling from FIP.</v>
      </c>
      <c r="M954" s="166" t="s">
        <v>367</v>
      </c>
      <c r="N954" s="160" t="str">
        <f>N932</f>
        <v>Large sized VSD fan with fire shutdown - from MSSB power supply and BMS interface provisions</v>
      </c>
      <c r="O954" s="160" t="s">
        <v>365</v>
      </c>
      <c r="P954" s="183" t="e">
        <f>P953/M932</f>
        <v>#DIV/0!</v>
      </c>
      <c r="Q954" s="191"/>
      <c r="R954" s="161"/>
      <c r="S954" s="160"/>
      <c r="T954" s="161"/>
      <c r="U954" s="503" t="s">
        <v>366</v>
      </c>
      <c r="V954" s="503"/>
      <c r="W954" s="162" t="e">
        <f>W953/M932</f>
        <v>#DIV/0!</v>
      </c>
      <c r="X954" s="163"/>
      <c r="Y954" s="501" t="s">
        <v>365</v>
      </c>
      <c r="Z954" s="501"/>
      <c r="AA954" s="164" t="e">
        <f>AA953/M932</f>
        <v>#DIV/0!</v>
      </c>
      <c r="AB954" s="161"/>
      <c r="AC954" s="161"/>
      <c r="AD954" s="161"/>
      <c r="AE954" s="161"/>
      <c r="AF954" s="501" t="s">
        <v>365</v>
      </c>
      <c r="AG954" s="501"/>
      <c r="AH954" s="164" t="e">
        <f>AH953/M932</f>
        <v>#DIV/0!</v>
      </c>
      <c r="AI954" s="161"/>
      <c r="AJ954" s="161"/>
      <c r="AK954" s="161"/>
      <c r="AL954" s="247"/>
      <c r="AM954" s="257"/>
      <c r="AN954" s="236">
        <f>K954*$D$9</f>
        <v>0</v>
      </c>
      <c r="AO954" s="286"/>
      <c r="AP954" s="284">
        <f t="shared" si="418"/>
        <v>0</v>
      </c>
      <c r="AQ954" s="281">
        <f t="shared" si="419"/>
        <v>0</v>
      </c>
      <c r="AR954" s="284">
        <f t="shared" si="420"/>
        <v>0</v>
      </c>
      <c r="AS954" s="281">
        <f t="shared" si="421"/>
        <v>0</v>
      </c>
      <c r="AT954" s="284">
        <f t="shared" si="422"/>
        <v>0</v>
      </c>
      <c r="AU954" s="117"/>
      <c r="AV954" s="117"/>
      <c r="AW954" s="117"/>
      <c r="AX954" s="117"/>
      <c r="AY954" s="117"/>
      <c r="AZ954" s="117"/>
      <c r="BA954" s="117"/>
      <c r="BB954" s="117"/>
      <c r="BC954" s="117"/>
      <c r="BD954" s="117"/>
      <c r="BE954" s="117"/>
      <c r="BF954" s="117"/>
      <c r="BG954" s="117"/>
      <c r="BH954" s="117"/>
      <c r="BI954" s="117"/>
      <c r="BJ954" s="117"/>
      <c r="BK954" s="117"/>
      <c r="BL954" s="117"/>
      <c r="BM954" s="117"/>
      <c r="BN954" s="117"/>
      <c r="BO954" s="117"/>
      <c r="BP954" s="117"/>
      <c r="BQ954" s="117"/>
      <c r="BR954" s="117"/>
      <c r="BS954" s="117"/>
      <c r="BT954" s="117"/>
      <c r="BU954" s="117"/>
      <c r="BV954" s="117"/>
      <c r="BW954" s="117"/>
      <c r="BX954" s="117"/>
      <c r="BY954" s="117"/>
      <c r="BZ954" s="117"/>
      <c r="CA954" s="117"/>
      <c r="CB954" s="117"/>
      <c r="CC954" s="117"/>
      <c r="CD954" s="117"/>
      <c r="CE954" s="117"/>
      <c r="CF954" s="117"/>
      <c r="CG954" s="117"/>
      <c r="CH954" s="117"/>
      <c r="CI954" s="117"/>
      <c r="CJ954" s="117"/>
      <c r="CK954" s="117"/>
      <c r="CL954" s="117"/>
      <c r="CM954" s="117"/>
      <c r="CN954" s="117"/>
      <c r="CO954" s="117"/>
      <c r="CP954" s="117"/>
      <c r="CQ954" s="117"/>
      <c r="CR954" s="117"/>
      <c r="CS954" s="117"/>
    </row>
    <row r="955" spans="1:97" s="261" customFormat="1" ht="92.6" x14ac:dyDescent="1.2">
      <c r="A955" s="262">
        <f>ROW()</f>
        <v>955</v>
      </c>
      <c r="B955" s="261" t="s">
        <v>491</v>
      </c>
      <c r="D955" s="261" t="str">
        <f>IF(B955="Shopping List",IF(ISNUMBER(SEARCH("MSSB",C955)),"MSSB",IF(ISNUMBER(SEARCH("local",C955)),"LOCAL","")))</f>
        <v/>
      </c>
      <c r="I955" s="269">
        <f>SUM(I979:I1171)</f>
        <v>0</v>
      </c>
      <c r="J955" s="261" t="s">
        <v>591</v>
      </c>
      <c r="L955" s="261" t="str">
        <f>J955</f>
        <v>Air Conditioning</v>
      </c>
      <c r="AN955" s="261">
        <f>K955*1.25</f>
        <v>0</v>
      </c>
      <c r="AO955" s="289"/>
      <c r="AP955" s="284">
        <f t="shared" si="418"/>
        <v>0</v>
      </c>
      <c r="AQ955" s="281">
        <f t="shared" si="419"/>
        <v>0</v>
      </c>
      <c r="AR955" s="284">
        <f t="shared" si="420"/>
        <v>0</v>
      </c>
      <c r="AS955" s="281">
        <f t="shared" si="421"/>
        <v>0</v>
      </c>
      <c r="AT955" s="284">
        <f t="shared" si="422"/>
        <v>0</v>
      </c>
    </row>
    <row r="956" spans="1:97" s="116" customFormat="1" ht="193.5" customHeight="1" x14ac:dyDescent="0.8">
      <c r="A956" s="262">
        <f>ROW()</f>
        <v>956</v>
      </c>
      <c r="C956" s="211"/>
      <c r="D956" s="211"/>
      <c r="E956" s="211"/>
      <c r="F956" s="211"/>
      <c r="G956" s="211"/>
      <c r="H956" s="211"/>
      <c r="K956" s="116" t="s">
        <v>452</v>
      </c>
      <c r="M956" s="116" t="s">
        <v>107</v>
      </c>
      <c r="N956" s="116" t="s">
        <v>108</v>
      </c>
      <c r="O956" s="170" t="s">
        <v>386</v>
      </c>
      <c r="P956" s="504" t="s">
        <v>375</v>
      </c>
      <c r="Q956" s="504"/>
      <c r="R956" s="101" t="s">
        <v>452</v>
      </c>
      <c r="S956" s="116" t="s">
        <v>0</v>
      </c>
      <c r="T956" s="118"/>
      <c r="U956" s="116" t="s">
        <v>287</v>
      </c>
      <c r="V956" s="116" t="s">
        <v>288</v>
      </c>
      <c r="W956" s="116" t="s">
        <v>291</v>
      </c>
      <c r="X956" s="140"/>
      <c r="Y956" s="116" t="s">
        <v>289</v>
      </c>
      <c r="Z956" s="116" t="s">
        <v>354</v>
      </c>
      <c r="AA956" s="116" t="s">
        <v>355</v>
      </c>
      <c r="AB956" s="116" t="s">
        <v>317</v>
      </c>
      <c r="AC956" s="116" t="s">
        <v>318</v>
      </c>
      <c r="AD956" s="116" t="s">
        <v>316</v>
      </c>
      <c r="AE956" s="140"/>
      <c r="AF956" s="116" t="s">
        <v>293</v>
      </c>
      <c r="AG956" s="116" t="s">
        <v>354</v>
      </c>
      <c r="AH956" s="116" t="s">
        <v>355</v>
      </c>
      <c r="AI956" s="116" t="s">
        <v>296</v>
      </c>
      <c r="AJ956" s="116" t="s">
        <v>294</v>
      </c>
      <c r="AK956" s="116" t="s">
        <v>295</v>
      </c>
      <c r="AL956" s="140"/>
      <c r="AO956" s="288"/>
      <c r="AP956" s="284">
        <f t="shared" si="418"/>
        <v>0</v>
      </c>
      <c r="AQ956" s="281">
        <f t="shared" si="419"/>
        <v>0</v>
      </c>
      <c r="AR956" s="284">
        <f t="shared" si="420"/>
        <v>0</v>
      </c>
      <c r="AS956" s="281">
        <f t="shared" si="421"/>
        <v>0</v>
      </c>
      <c r="AT956" s="284">
        <f t="shared" si="422"/>
        <v>0</v>
      </c>
    </row>
    <row r="957" spans="1:97" s="114" customFormat="1" ht="32.25" customHeight="1" x14ac:dyDescent="0.8">
      <c r="A957" s="262">
        <f>ROW()</f>
        <v>957</v>
      </c>
      <c r="C957" s="208"/>
      <c r="D957" s="208"/>
      <c r="E957" s="208"/>
      <c r="F957" s="208"/>
      <c r="G957" s="208"/>
      <c r="H957" s="208"/>
      <c r="L957" s="124" t="str">
        <f>VLOOKUP(M957,Sheet2!$D$2:$E$1024,2,FALSE)</f>
        <v>Zero</v>
      </c>
      <c r="M957" s="121">
        <f>I979</f>
        <v>0</v>
      </c>
      <c r="N957" s="132" t="s">
        <v>480</v>
      </c>
      <c r="O957" s="121" t="s">
        <v>347</v>
      </c>
      <c r="P957" s="169" t="s">
        <v>379</v>
      </c>
      <c r="Q957" s="169" t="s">
        <v>375</v>
      </c>
      <c r="R957" s="169"/>
      <c r="S957" s="133">
        <f>M957</f>
        <v>0</v>
      </c>
      <c r="T957" s="119"/>
      <c r="U957" s="153" t="s">
        <v>292</v>
      </c>
      <c r="V957" s="133">
        <f>S957</f>
        <v>0</v>
      </c>
      <c r="W957" s="133">
        <f>VLOOKUP(U957,Sheet1!$B$6:$C$45,2,FALSE)*V957</f>
        <v>0</v>
      </c>
      <c r="X957" s="141"/>
      <c r="Y957" s="121" t="s">
        <v>292</v>
      </c>
      <c r="Z957" s="146">
        <f>VLOOKUP(Takeoffs!Y957,Sheet1!$B$6:$C$124,2,FALSE)</f>
        <v>0</v>
      </c>
      <c r="AA957" s="146">
        <f>Z957*AB957</f>
        <v>0</v>
      </c>
      <c r="AB957" s="143">
        <f>AD957*AC957</f>
        <v>0</v>
      </c>
      <c r="AC957" s="133">
        <f>S957</f>
        <v>0</v>
      </c>
      <c r="AD957" s="142">
        <v>1</v>
      </c>
      <c r="AE957" s="141"/>
      <c r="AF957" s="121" t="s">
        <v>292</v>
      </c>
      <c r="AG957" s="146">
        <f>VLOOKUP(Takeoffs!AF957,Sheet1!$B$6:$C$124,2,FALSE)</f>
        <v>0</v>
      </c>
      <c r="AH957" s="146">
        <f>AG957*AI957</f>
        <v>0</v>
      </c>
      <c r="AI957" s="143">
        <f>AK957*AJ957</f>
        <v>0</v>
      </c>
      <c r="AJ957" s="133">
        <f>S957</f>
        <v>0</v>
      </c>
      <c r="AK957" s="142">
        <f>T957</f>
        <v>0</v>
      </c>
      <c r="AL957" s="141"/>
      <c r="AO957" s="286"/>
      <c r="AP957" s="284">
        <f t="shared" si="418"/>
        <v>0</v>
      </c>
      <c r="AQ957" s="281">
        <f t="shared" si="419"/>
        <v>0</v>
      </c>
      <c r="AR957" s="284">
        <f t="shared" si="420"/>
        <v>0</v>
      </c>
      <c r="AS957" s="281">
        <f t="shared" si="421"/>
        <v>0</v>
      </c>
      <c r="AT957" s="284">
        <f t="shared" si="422"/>
        <v>0</v>
      </c>
    </row>
    <row r="958" spans="1:97" s="114" customFormat="1" ht="30.9" x14ac:dyDescent="0.8">
      <c r="A958" s="262">
        <f>ROW()</f>
        <v>958</v>
      </c>
      <c r="C958" s="208"/>
      <c r="D958" s="208"/>
      <c r="E958" s="208"/>
      <c r="F958" s="208"/>
      <c r="G958" s="208"/>
      <c r="H958" s="208"/>
      <c r="J958" s="114" t="str">
        <f>IF(COUNTBLANK(Q958)&gt;0,"",CONCATENATE("Coordination Note: - ",P958,": Please refer to our exclusions relating to ",Q958))</f>
        <v/>
      </c>
      <c r="K958" s="114" t="str">
        <f>IF(COUNTBLANK(R958)&gt;0,"",CONCATENATE(R958," for ",N957))</f>
        <v/>
      </c>
      <c r="M958" s="117"/>
      <c r="N958" s="123" t="s">
        <v>113</v>
      </c>
      <c r="O958" s="66"/>
      <c r="P958" s="121"/>
      <c r="Q958" s="66"/>
      <c r="R958" s="121"/>
      <c r="S958" s="133">
        <f>M957</f>
        <v>0</v>
      </c>
      <c r="T958" s="120"/>
      <c r="U958" s="153" t="s">
        <v>292</v>
      </c>
      <c r="V958" s="133">
        <f t="shared" ref="V958:V977" si="434">S958</f>
        <v>0</v>
      </c>
      <c r="W958" s="133">
        <f>VLOOKUP(U958,Sheet1!$B$6:$C$45,2,FALSE)*V958</f>
        <v>0</v>
      </c>
      <c r="X958" s="141"/>
      <c r="Y958" s="121" t="s">
        <v>292</v>
      </c>
      <c r="Z958" s="146">
        <f>VLOOKUP(Takeoffs!Y958,Sheet1!$B$6:$C$124,2,FALSE)</f>
        <v>0</v>
      </c>
      <c r="AA958" s="146">
        <f t="shared" ref="AA958:AA977" si="435">Z958*AB958</f>
        <v>0</v>
      </c>
      <c r="AB958" s="143">
        <f t="shared" ref="AB958:AB977" si="436">AD958*AC958</f>
        <v>0</v>
      </c>
      <c r="AC958" s="133">
        <f>S958</f>
        <v>0</v>
      </c>
      <c r="AD958" s="142">
        <v>1</v>
      </c>
      <c r="AE958" s="141"/>
      <c r="AF958" s="121" t="s">
        <v>292</v>
      </c>
      <c r="AG958" s="146">
        <f>VLOOKUP(Takeoffs!AF958,Sheet1!$B$6:$C$124,2,FALSE)</f>
        <v>0</v>
      </c>
      <c r="AH958" s="146">
        <f t="shared" ref="AH958:AH977" si="437">AG958*AI958</f>
        <v>0</v>
      </c>
      <c r="AI958" s="143">
        <f t="shared" ref="AI958:AI977" si="438">AK958*AJ958</f>
        <v>0</v>
      </c>
      <c r="AJ958" s="133">
        <f t="shared" ref="AJ958:AJ977" si="439">S958</f>
        <v>0</v>
      </c>
      <c r="AK958" s="142"/>
      <c r="AL958" s="141"/>
      <c r="AO958" s="286"/>
      <c r="AP958" s="284">
        <f t="shared" si="418"/>
        <v>0</v>
      </c>
      <c r="AQ958" s="281">
        <f t="shared" si="419"/>
        <v>0</v>
      </c>
      <c r="AR958" s="284">
        <f t="shared" si="420"/>
        <v>0</v>
      </c>
      <c r="AS958" s="281">
        <f t="shared" si="421"/>
        <v>0</v>
      </c>
      <c r="AT958" s="284">
        <f t="shared" si="422"/>
        <v>0</v>
      </c>
    </row>
    <row r="959" spans="1:97" s="114" customFormat="1" ht="30.9" x14ac:dyDescent="0.8">
      <c r="A959" s="262">
        <f>ROW()</f>
        <v>959</v>
      </c>
      <c r="C959" s="208"/>
      <c r="D959" s="208"/>
      <c r="E959" s="208"/>
      <c r="F959" s="208"/>
      <c r="G959" s="208"/>
      <c r="H959" s="208"/>
      <c r="J959" s="114" t="str">
        <f t="shared" ref="J959:J977" si="440">IF(COUNTBLANK(Q959)&gt;0,"",CONCATENATE("Coordination Note: - ",P959,": Please refer to our exclusions relating to ",Q959))</f>
        <v/>
      </c>
      <c r="K959" s="114" t="str">
        <f>IF(COUNTBLANK(R959)&gt;0,"",CONCATENATE(R959," for ",N957))</f>
        <v/>
      </c>
      <c r="M959" s="117"/>
      <c r="N959" s="123" t="s">
        <v>114</v>
      </c>
      <c r="O959" s="66" t="s">
        <v>308</v>
      </c>
      <c r="P959" s="121"/>
      <c r="Q959" s="66"/>
      <c r="R959" s="121"/>
      <c r="S959" s="133">
        <f>M957</f>
        <v>0</v>
      </c>
      <c r="T959" s="120"/>
      <c r="U959" s="121" t="s">
        <v>292</v>
      </c>
      <c r="V959" s="133">
        <f t="shared" si="434"/>
        <v>0</v>
      </c>
      <c r="W959" s="133">
        <f>VLOOKUP(U959,Sheet1!$B$6:$C$45,2,FALSE)*V959</f>
        <v>0</v>
      </c>
      <c r="X959" s="141"/>
      <c r="Y959" s="135" t="s">
        <v>250</v>
      </c>
      <c r="Z959" s="146">
        <f>VLOOKUP(Takeoffs!Y959,Sheet1!$B$6:$C$124,2,FALSE)</f>
        <v>43.440000000000005</v>
      </c>
      <c r="AA959" s="146">
        <f t="shared" si="435"/>
        <v>0</v>
      </c>
      <c r="AB959" s="143">
        <f t="shared" si="436"/>
        <v>0</v>
      </c>
      <c r="AC959" s="133">
        <f>S959</f>
        <v>0</v>
      </c>
      <c r="AD959" s="142">
        <v>1</v>
      </c>
      <c r="AE959" s="141"/>
      <c r="AF959" s="121" t="s">
        <v>292</v>
      </c>
      <c r="AG959" s="146">
        <f>VLOOKUP(Takeoffs!AF959,Sheet1!$B$6:$C$124,2,FALSE)</f>
        <v>0</v>
      </c>
      <c r="AH959" s="146">
        <f t="shared" si="437"/>
        <v>0</v>
      </c>
      <c r="AI959" s="143">
        <f t="shared" si="438"/>
        <v>0</v>
      </c>
      <c r="AJ959" s="133">
        <f t="shared" si="439"/>
        <v>0</v>
      </c>
      <c r="AK959" s="142">
        <f>T959</f>
        <v>0</v>
      </c>
      <c r="AL959" s="141"/>
      <c r="AO959" s="286"/>
      <c r="AP959" s="284">
        <f t="shared" si="418"/>
        <v>0</v>
      </c>
      <c r="AQ959" s="281">
        <f t="shared" si="419"/>
        <v>0</v>
      </c>
      <c r="AR959" s="284">
        <f t="shared" si="420"/>
        <v>0</v>
      </c>
      <c r="AS959" s="281">
        <f t="shared" si="421"/>
        <v>0</v>
      </c>
      <c r="AT959" s="284">
        <f t="shared" si="422"/>
        <v>0</v>
      </c>
    </row>
    <row r="960" spans="1:97" s="114" customFormat="1" ht="30.9" x14ac:dyDescent="0.8">
      <c r="A960" s="262">
        <f>ROW()</f>
        <v>960</v>
      </c>
      <c r="C960" s="208"/>
      <c r="D960" s="208"/>
      <c r="E960" s="208"/>
      <c r="F960" s="208"/>
      <c r="G960" s="208"/>
      <c r="H960" s="208"/>
      <c r="J960" s="114" t="str">
        <f t="shared" si="440"/>
        <v/>
      </c>
      <c r="K960" s="114" t="str">
        <f>IF(COUNTBLANK(R960)&gt;0,"",CONCATENATE(R960," for ",N957))</f>
        <v/>
      </c>
      <c r="M960" s="117"/>
      <c r="N960" s="123" t="s">
        <v>115</v>
      </c>
      <c r="O960" s="66" t="s">
        <v>468</v>
      </c>
      <c r="P960" s="121"/>
      <c r="Q960" s="66"/>
      <c r="R960" s="121"/>
      <c r="S960" s="133">
        <f>M957</f>
        <v>0</v>
      </c>
      <c r="T960" s="120"/>
      <c r="U960" s="117" t="s">
        <v>478</v>
      </c>
      <c r="V960" s="133">
        <f t="shared" si="434"/>
        <v>0</v>
      </c>
      <c r="W960" s="133">
        <f>VLOOKUP(U960,Sheet1!$B$6:$C$45,2,FALSE)*V960</f>
        <v>0</v>
      </c>
      <c r="X960" s="141"/>
      <c r="Y960" s="121" t="s">
        <v>292</v>
      </c>
      <c r="Z960" s="146">
        <f>VLOOKUP(Takeoffs!Y960,Sheet1!$B$6:$C$124,2,FALSE)</f>
        <v>0</v>
      </c>
      <c r="AA960" s="146">
        <f t="shared" si="435"/>
        <v>0</v>
      </c>
      <c r="AB960" s="143">
        <f t="shared" si="436"/>
        <v>0</v>
      </c>
      <c r="AC960" s="133">
        <f t="shared" ref="AC960:AC977" si="441">S960</f>
        <v>0</v>
      </c>
      <c r="AD960" s="142">
        <v>1</v>
      </c>
      <c r="AE960" s="141"/>
      <c r="AF960" s="122" t="s">
        <v>267</v>
      </c>
      <c r="AG960" s="146">
        <f>VLOOKUP(Takeoffs!AF960,Sheet1!$B$6:$C$124,2,FALSE)</f>
        <v>3.48</v>
      </c>
      <c r="AH960" s="146">
        <f t="shared" si="437"/>
        <v>0</v>
      </c>
      <c r="AI960" s="143">
        <f t="shared" si="438"/>
        <v>0</v>
      </c>
      <c r="AJ960" s="133">
        <f t="shared" si="439"/>
        <v>0</v>
      </c>
      <c r="AK960" s="142">
        <v>20</v>
      </c>
      <c r="AL960" s="141"/>
      <c r="AO960" s="286"/>
      <c r="AP960" s="284">
        <f t="shared" si="418"/>
        <v>0</v>
      </c>
      <c r="AQ960" s="281">
        <f t="shared" si="419"/>
        <v>0</v>
      </c>
      <c r="AR960" s="284">
        <f t="shared" si="420"/>
        <v>0</v>
      </c>
      <c r="AS960" s="281">
        <f t="shared" si="421"/>
        <v>0</v>
      </c>
      <c r="AT960" s="284">
        <f t="shared" si="422"/>
        <v>0</v>
      </c>
    </row>
    <row r="961" spans="1:46" s="114" customFormat="1" ht="30.9" x14ac:dyDescent="0.8">
      <c r="A961" s="262">
        <f>ROW()</f>
        <v>961</v>
      </c>
      <c r="C961" s="208"/>
      <c r="D961" s="208"/>
      <c r="E961" s="208"/>
      <c r="F961" s="208"/>
      <c r="G961" s="208"/>
      <c r="H961" s="208"/>
      <c r="J961" s="114" t="str">
        <f t="shared" si="440"/>
        <v/>
      </c>
      <c r="K961" s="114" t="str">
        <f>IF(COUNTBLANK(R961)&gt;0,"",CONCATENATE(R961," for ",N957))</f>
        <v/>
      </c>
      <c r="M961" s="117"/>
      <c r="N961" s="123" t="s">
        <v>116</v>
      </c>
      <c r="O961" s="66"/>
      <c r="P961" s="121"/>
      <c r="Q961" s="66"/>
      <c r="R961" s="121"/>
      <c r="S961" s="133">
        <f>M957</f>
        <v>0</v>
      </c>
      <c r="T961" s="120"/>
      <c r="U961" s="121" t="s">
        <v>292</v>
      </c>
      <c r="V961" s="133">
        <f t="shared" si="434"/>
        <v>0</v>
      </c>
      <c r="W961" s="133">
        <f>VLOOKUP(U961,Sheet1!$B$6:$C$45,2,FALSE)*V961</f>
        <v>0</v>
      </c>
      <c r="X961" s="141"/>
      <c r="Y961" s="121" t="s">
        <v>292</v>
      </c>
      <c r="Z961" s="146">
        <f>VLOOKUP(Takeoffs!Y961,Sheet1!$B$6:$C$124,2,FALSE)</f>
        <v>0</v>
      </c>
      <c r="AA961" s="146">
        <f t="shared" si="435"/>
        <v>0</v>
      </c>
      <c r="AB961" s="143">
        <f t="shared" si="436"/>
        <v>0</v>
      </c>
      <c r="AC961" s="133">
        <f t="shared" si="441"/>
        <v>0</v>
      </c>
      <c r="AD961" s="142">
        <v>1</v>
      </c>
      <c r="AE961" s="141"/>
      <c r="AF961" s="121" t="s">
        <v>292</v>
      </c>
      <c r="AG961" s="146">
        <f>VLOOKUP(Takeoffs!AF961,Sheet1!$B$6:$C$124,2,FALSE)</f>
        <v>0</v>
      </c>
      <c r="AH961" s="146">
        <f t="shared" si="437"/>
        <v>0</v>
      </c>
      <c r="AI961" s="143">
        <f t="shared" si="438"/>
        <v>0</v>
      </c>
      <c r="AJ961" s="133">
        <f t="shared" si="439"/>
        <v>0</v>
      </c>
      <c r="AK961" s="142">
        <f>T961</f>
        <v>0</v>
      </c>
      <c r="AL961" s="141"/>
      <c r="AO961" s="286"/>
      <c r="AP961" s="284">
        <f t="shared" si="418"/>
        <v>0</v>
      </c>
      <c r="AQ961" s="281">
        <f t="shared" si="419"/>
        <v>0</v>
      </c>
      <c r="AR961" s="284">
        <f t="shared" si="420"/>
        <v>0</v>
      </c>
      <c r="AS961" s="281">
        <f t="shared" si="421"/>
        <v>0</v>
      </c>
      <c r="AT961" s="284">
        <f t="shared" si="422"/>
        <v>0</v>
      </c>
    </row>
    <row r="962" spans="1:46" s="114" customFormat="1" ht="30.9" x14ac:dyDescent="0.8">
      <c r="A962" s="262">
        <f>ROW()</f>
        <v>962</v>
      </c>
      <c r="C962" s="208"/>
      <c r="D962" s="208"/>
      <c r="E962" s="208"/>
      <c r="F962" s="208"/>
      <c r="G962" s="208"/>
      <c r="H962" s="208"/>
      <c r="J962" s="114" t="str">
        <f t="shared" si="440"/>
        <v/>
      </c>
      <c r="K962" s="114" t="str">
        <f>IF(COUNTBLANK(R962)&gt;0,"",CONCATENATE(R962," for ",N957))</f>
        <v/>
      </c>
      <c r="M962" s="117"/>
      <c r="N962" s="123" t="s">
        <v>117</v>
      </c>
      <c r="O962" s="66"/>
      <c r="P962" s="121"/>
      <c r="Q962" s="66"/>
      <c r="R962" s="121"/>
      <c r="S962" s="133">
        <f>M957</f>
        <v>0</v>
      </c>
      <c r="T962" s="120"/>
      <c r="U962" s="121" t="s">
        <v>292</v>
      </c>
      <c r="V962" s="133">
        <f t="shared" si="434"/>
        <v>0</v>
      </c>
      <c r="W962" s="133">
        <f>VLOOKUP(U962,Sheet1!$B$6:$C$45,2,FALSE)*V962</f>
        <v>0</v>
      </c>
      <c r="X962" s="141"/>
      <c r="Y962" s="121" t="s">
        <v>292</v>
      </c>
      <c r="Z962" s="146">
        <f>VLOOKUP(Takeoffs!Y962,Sheet1!$B$6:$C$124,2,FALSE)</f>
        <v>0</v>
      </c>
      <c r="AA962" s="146">
        <f t="shared" si="435"/>
        <v>0</v>
      </c>
      <c r="AB962" s="143">
        <f t="shared" si="436"/>
        <v>0</v>
      </c>
      <c r="AC962" s="133">
        <f t="shared" si="441"/>
        <v>0</v>
      </c>
      <c r="AD962" s="142">
        <v>1</v>
      </c>
      <c r="AE962" s="141"/>
      <c r="AF962" s="121" t="s">
        <v>292</v>
      </c>
      <c r="AG962" s="146">
        <f>VLOOKUP(Takeoffs!AF962,Sheet1!$B$6:$C$124,2,FALSE)</f>
        <v>0</v>
      </c>
      <c r="AH962" s="146">
        <f t="shared" si="437"/>
        <v>0</v>
      </c>
      <c r="AI962" s="143">
        <f t="shared" si="438"/>
        <v>0</v>
      </c>
      <c r="AJ962" s="133">
        <f t="shared" si="439"/>
        <v>0</v>
      </c>
      <c r="AK962" s="142">
        <f>T962</f>
        <v>0</v>
      </c>
      <c r="AL962" s="141"/>
      <c r="AO962" s="286"/>
      <c r="AP962" s="284">
        <f t="shared" si="418"/>
        <v>0</v>
      </c>
      <c r="AQ962" s="281">
        <f t="shared" si="419"/>
        <v>0</v>
      </c>
      <c r="AR962" s="284">
        <f t="shared" si="420"/>
        <v>0</v>
      </c>
      <c r="AS962" s="281">
        <f t="shared" si="421"/>
        <v>0</v>
      </c>
      <c r="AT962" s="284">
        <f t="shared" si="422"/>
        <v>0</v>
      </c>
    </row>
    <row r="963" spans="1:46" s="114" customFormat="1" ht="30.9" x14ac:dyDescent="0.8">
      <c r="A963" s="262">
        <f>ROW()</f>
        <v>963</v>
      </c>
      <c r="C963" s="208"/>
      <c r="D963" s="208"/>
      <c r="E963" s="208"/>
      <c r="F963" s="208"/>
      <c r="G963" s="208"/>
      <c r="H963" s="208"/>
      <c r="J963" s="114" t="str">
        <f t="shared" si="440"/>
        <v/>
      </c>
      <c r="K963" s="114" t="str">
        <f>IF(COUNTBLANK(R963)&gt;0,"",CONCATENATE(R963," for ",N957))</f>
        <v/>
      </c>
      <c r="M963" s="117"/>
      <c r="N963" s="123" t="s">
        <v>118</v>
      </c>
      <c r="O963" s="66" t="s">
        <v>309</v>
      </c>
      <c r="P963" s="121"/>
      <c r="Q963" s="66"/>
      <c r="R963" s="121"/>
      <c r="S963" s="133">
        <f>M957</f>
        <v>0</v>
      </c>
      <c r="T963" s="120"/>
      <c r="U963" s="121" t="s">
        <v>292</v>
      </c>
      <c r="V963" s="133">
        <f t="shared" si="434"/>
        <v>0</v>
      </c>
      <c r="W963" s="133">
        <f>VLOOKUP(U963,Sheet1!$B$6:$C$45,2,FALSE)*V963</f>
        <v>0</v>
      </c>
      <c r="X963" s="141"/>
      <c r="Y963" s="135" t="s">
        <v>245</v>
      </c>
      <c r="Z963" s="146">
        <f>VLOOKUP(Takeoffs!Y963,Sheet1!$B$6:$C$124,2,FALSE)</f>
        <v>46.463999999999999</v>
      </c>
      <c r="AA963" s="146">
        <f t="shared" si="435"/>
        <v>0</v>
      </c>
      <c r="AB963" s="143">
        <f t="shared" si="436"/>
        <v>0</v>
      </c>
      <c r="AC963" s="133">
        <f t="shared" si="441"/>
        <v>0</v>
      </c>
      <c r="AD963" s="142">
        <v>1</v>
      </c>
      <c r="AE963" s="141"/>
      <c r="AF963" s="121" t="s">
        <v>292</v>
      </c>
      <c r="AG963" s="146">
        <f>VLOOKUP(Takeoffs!AF963,Sheet1!$B$6:$C$124,2,FALSE)</f>
        <v>0</v>
      </c>
      <c r="AH963" s="146">
        <f t="shared" si="437"/>
        <v>0</v>
      </c>
      <c r="AI963" s="143">
        <f t="shared" si="438"/>
        <v>0</v>
      </c>
      <c r="AJ963" s="133">
        <f t="shared" si="439"/>
        <v>0</v>
      </c>
      <c r="AK963" s="142">
        <f>T963</f>
        <v>0</v>
      </c>
      <c r="AL963" s="141"/>
      <c r="AO963" s="286"/>
      <c r="AP963" s="284">
        <f t="shared" si="418"/>
        <v>0</v>
      </c>
      <c r="AQ963" s="281">
        <f t="shared" si="419"/>
        <v>0</v>
      </c>
      <c r="AR963" s="284">
        <f t="shared" si="420"/>
        <v>0</v>
      </c>
      <c r="AS963" s="281">
        <f t="shared" si="421"/>
        <v>0</v>
      </c>
      <c r="AT963" s="284">
        <f t="shared" si="422"/>
        <v>0</v>
      </c>
    </row>
    <row r="964" spans="1:46" s="114" customFormat="1" ht="30.9" x14ac:dyDescent="0.8">
      <c r="A964" s="262">
        <f>ROW()</f>
        <v>964</v>
      </c>
      <c r="C964" s="208"/>
      <c r="D964" s="208"/>
      <c r="E964" s="208"/>
      <c r="F964" s="208"/>
      <c r="G964" s="208"/>
      <c r="H964" s="208"/>
      <c r="J964" s="114" t="str">
        <f t="shared" si="440"/>
        <v/>
      </c>
      <c r="K964" s="114" t="str">
        <f>IF(COUNTBLANK(R964)&gt;0,"",CONCATENATE(R964," for ",N957))</f>
        <v/>
      </c>
      <c r="N964" s="123" t="s">
        <v>119</v>
      </c>
      <c r="O964" s="66"/>
      <c r="P964" s="121"/>
      <c r="Q964" s="66"/>
      <c r="R964" s="121"/>
      <c r="S964" s="133">
        <f>M957</f>
        <v>0</v>
      </c>
      <c r="T964" s="120"/>
      <c r="U964" s="121" t="s">
        <v>292</v>
      </c>
      <c r="V964" s="133">
        <f t="shared" si="434"/>
        <v>0</v>
      </c>
      <c r="W964" s="133">
        <f>VLOOKUP(U964,Sheet1!$B$6:$C$45,2,FALSE)*V964</f>
        <v>0</v>
      </c>
      <c r="X964" s="141"/>
      <c r="Y964" s="121" t="s">
        <v>292</v>
      </c>
      <c r="Z964" s="146">
        <f>VLOOKUP(Takeoffs!Y964,Sheet1!$B$6:$C$124,2,FALSE)</f>
        <v>0</v>
      </c>
      <c r="AA964" s="146">
        <f t="shared" si="435"/>
        <v>0</v>
      </c>
      <c r="AB964" s="143">
        <f t="shared" si="436"/>
        <v>0</v>
      </c>
      <c r="AC964" s="133">
        <f t="shared" si="441"/>
        <v>0</v>
      </c>
      <c r="AD964" s="142">
        <v>1</v>
      </c>
      <c r="AE964" s="141"/>
      <c r="AF964" s="121" t="s">
        <v>292</v>
      </c>
      <c r="AG964" s="146">
        <f>VLOOKUP(Takeoffs!AF964,Sheet1!$B$6:$C$124,2,FALSE)</f>
        <v>0</v>
      </c>
      <c r="AH964" s="146">
        <f t="shared" si="437"/>
        <v>0</v>
      </c>
      <c r="AI964" s="143">
        <f t="shared" si="438"/>
        <v>0</v>
      </c>
      <c r="AJ964" s="133">
        <f t="shared" si="439"/>
        <v>0</v>
      </c>
      <c r="AK964" s="142">
        <f>T964</f>
        <v>0</v>
      </c>
      <c r="AL964" s="141"/>
      <c r="AO964" s="286"/>
      <c r="AP964" s="284">
        <f t="shared" si="418"/>
        <v>0</v>
      </c>
      <c r="AQ964" s="281">
        <f t="shared" si="419"/>
        <v>0</v>
      </c>
      <c r="AR964" s="284">
        <f t="shared" si="420"/>
        <v>0</v>
      </c>
      <c r="AS964" s="281">
        <f t="shared" si="421"/>
        <v>0</v>
      </c>
      <c r="AT964" s="284">
        <f t="shared" si="422"/>
        <v>0</v>
      </c>
    </row>
    <row r="965" spans="1:46" s="114" customFormat="1" ht="30.9" x14ac:dyDescent="0.8">
      <c r="A965" s="262">
        <f>ROW()</f>
        <v>965</v>
      </c>
      <c r="C965" s="208"/>
      <c r="D965" s="208"/>
      <c r="E965" s="208"/>
      <c r="F965" s="208"/>
      <c r="G965" s="208"/>
      <c r="H965" s="208"/>
      <c r="J965" s="114" t="str">
        <f t="shared" si="440"/>
        <v/>
      </c>
      <c r="K965" s="114" t="str">
        <f>IF(COUNTBLANK(R965)&gt;0,"",CONCATENATE(R965," for ",N957))</f>
        <v/>
      </c>
      <c r="N965" s="123" t="s">
        <v>120</v>
      </c>
      <c r="O965" s="66" t="s">
        <v>469</v>
      </c>
      <c r="P965" s="121"/>
      <c r="Q965" s="66"/>
      <c r="R965" s="121"/>
      <c r="S965" s="133">
        <f>M957</f>
        <v>0</v>
      </c>
      <c r="T965" s="120"/>
      <c r="U965" s="121" t="s">
        <v>292</v>
      </c>
      <c r="V965" s="133">
        <f t="shared" si="434"/>
        <v>0</v>
      </c>
      <c r="W965" s="133">
        <f>VLOOKUP(U965,Sheet1!$B$6:$C$45,2,FALSE)*V965</f>
        <v>0</v>
      </c>
      <c r="X965" s="141"/>
      <c r="Y965" s="121" t="s">
        <v>274</v>
      </c>
      <c r="Z965" s="146">
        <f>VLOOKUP(Takeoffs!Y965,Sheet1!$B$6:$C$124,2,FALSE)</f>
        <v>360</v>
      </c>
      <c r="AA965" s="146">
        <f t="shared" si="435"/>
        <v>0</v>
      </c>
      <c r="AB965" s="143">
        <f t="shared" si="436"/>
        <v>0</v>
      </c>
      <c r="AC965" s="133">
        <f t="shared" si="441"/>
        <v>0</v>
      </c>
      <c r="AD965" s="142">
        <v>1</v>
      </c>
      <c r="AE965" s="141"/>
      <c r="AF965" s="121" t="s">
        <v>292</v>
      </c>
      <c r="AG965" s="146">
        <f>VLOOKUP(Takeoffs!AF965,Sheet1!$B$6:$C$124,2,FALSE)</f>
        <v>0</v>
      </c>
      <c r="AH965" s="146">
        <f t="shared" si="437"/>
        <v>0</v>
      </c>
      <c r="AI965" s="143">
        <f t="shared" si="438"/>
        <v>0</v>
      </c>
      <c r="AJ965" s="133">
        <f t="shared" si="439"/>
        <v>0</v>
      </c>
      <c r="AK965" s="142">
        <f t="shared" ref="AK965:AK972" si="442">T965</f>
        <v>0</v>
      </c>
      <c r="AL965" s="141"/>
      <c r="AO965" s="286"/>
      <c r="AP965" s="284">
        <f t="shared" si="418"/>
        <v>0</v>
      </c>
      <c r="AQ965" s="281">
        <f t="shared" si="419"/>
        <v>0</v>
      </c>
      <c r="AR965" s="284">
        <f t="shared" si="420"/>
        <v>0</v>
      </c>
      <c r="AS965" s="281">
        <f t="shared" si="421"/>
        <v>0</v>
      </c>
      <c r="AT965" s="284">
        <f t="shared" si="422"/>
        <v>0</v>
      </c>
    </row>
    <row r="966" spans="1:46" s="114" customFormat="1" ht="30.9" x14ac:dyDescent="0.8">
      <c r="A966" s="262">
        <f>ROW()</f>
        <v>966</v>
      </c>
      <c r="C966" s="208"/>
      <c r="D966" s="208"/>
      <c r="E966" s="208"/>
      <c r="F966" s="208"/>
      <c r="G966" s="208"/>
      <c r="H966" s="208"/>
      <c r="J966" s="114" t="str">
        <f t="shared" si="440"/>
        <v/>
      </c>
      <c r="K966" s="114" t="str">
        <f>IF(COUNTBLANK(R966)&gt;0,"",CONCATENATE(R966," for ",N957))</f>
        <v/>
      </c>
      <c r="N966" s="123" t="s">
        <v>121</v>
      </c>
      <c r="O966" s="66" t="s">
        <v>307</v>
      </c>
      <c r="P966" s="121"/>
      <c r="Q966" s="66"/>
      <c r="R966" s="121"/>
      <c r="S966" s="133">
        <f>M957</f>
        <v>0</v>
      </c>
      <c r="T966" s="120"/>
      <c r="U966" s="117" t="s">
        <v>364</v>
      </c>
      <c r="V966" s="133">
        <f t="shared" si="434"/>
        <v>0</v>
      </c>
      <c r="W966" s="133">
        <f>VLOOKUP(U966,Sheet1!$B$6:$C$45,2,FALSE)*V966</f>
        <v>0</v>
      </c>
      <c r="X966" s="141"/>
      <c r="Y966" s="121" t="s">
        <v>292</v>
      </c>
      <c r="Z966" s="146">
        <f>VLOOKUP(Takeoffs!Y966,Sheet1!$B$6:$C$124,2,FALSE)</f>
        <v>0</v>
      </c>
      <c r="AA966" s="146">
        <f t="shared" si="435"/>
        <v>0</v>
      </c>
      <c r="AB966" s="143">
        <f t="shared" si="436"/>
        <v>0</v>
      </c>
      <c r="AC966" s="133">
        <f t="shared" si="441"/>
        <v>0</v>
      </c>
      <c r="AD966" s="142">
        <v>1</v>
      </c>
      <c r="AE966" s="141"/>
      <c r="AF966" s="121" t="s">
        <v>292</v>
      </c>
      <c r="AG966" s="146">
        <f>VLOOKUP(Takeoffs!AF966,Sheet1!$B$6:$C$124,2,FALSE)</f>
        <v>0</v>
      </c>
      <c r="AH966" s="146">
        <f t="shared" si="437"/>
        <v>0</v>
      </c>
      <c r="AI966" s="143">
        <f t="shared" si="438"/>
        <v>0</v>
      </c>
      <c r="AJ966" s="133">
        <f t="shared" si="439"/>
        <v>0</v>
      </c>
      <c r="AK966" s="142">
        <f t="shared" si="442"/>
        <v>0</v>
      </c>
      <c r="AL966" s="141"/>
      <c r="AO966" s="286"/>
      <c r="AP966" s="284">
        <f t="shared" si="418"/>
        <v>0</v>
      </c>
      <c r="AQ966" s="281">
        <f t="shared" si="419"/>
        <v>0</v>
      </c>
      <c r="AR966" s="284">
        <f t="shared" si="420"/>
        <v>0</v>
      </c>
      <c r="AS966" s="281">
        <f t="shared" si="421"/>
        <v>0</v>
      </c>
      <c r="AT966" s="284">
        <f t="shared" si="422"/>
        <v>0</v>
      </c>
    </row>
    <row r="967" spans="1:46" s="114" customFormat="1" ht="30.9" x14ac:dyDescent="0.8">
      <c r="A967" s="262">
        <f>ROW()</f>
        <v>967</v>
      </c>
      <c r="C967" s="208"/>
      <c r="D967" s="208"/>
      <c r="E967" s="208"/>
      <c r="F967" s="208"/>
      <c r="G967" s="208"/>
      <c r="H967" s="208"/>
      <c r="J967" s="114" t="str">
        <f t="shared" si="440"/>
        <v>Coordination Note: - BMS trade: Please refer to our exclusions relating to cabling from MSSB's to BMS system</v>
      </c>
      <c r="K967" s="114" t="str">
        <f>IF(COUNTBLANK(R967)&gt;0,"",CONCATENATE(R967," for ",N957))</f>
        <v/>
      </c>
      <c r="N967" s="123" t="s">
        <v>122</v>
      </c>
      <c r="O967" s="66" t="s">
        <v>501</v>
      </c>
      <c r="P967" s="121" t="s">
        <v>471</v>
      </c>
      <c r="Q967" s="66" t="s">
        <v>472</v>
      </c>
      <c r="R967" s="121"/>
      <c r="S967" s="133">
        <f>M957</f>
        <v>0</v>
      </c>
      <c r="T967" s="120"/>
      <c r="U967" s="121" t="s">
        <v>292</v>
      </c>
      <c r="V967" s="133">
        <f t="shared" si="434"/>
        <v>0</v>
      </c>
      <c r="W967" s="133">
        <f>VLOOKUP(U967,Sheet1!$B$6:$C$45,2,FALSE)*V967</f>
        <v>0</v>
      </c>
      <c r="X967" s="141"/>
      <c r="Y967" s="135" t="s">
        <v>475</v>
      </c>
      <c r="Z967" s="146">
        <f>VLOOKUP(Takeoffs!Y967,Sheet1!$B$6:$C$124,2,FALSE)</f>
        <v>60</v>
      </c>
      <c r="AA967" s="146">
        <f t="shared" si="435"/>
        <v>0</v>
      </c>
      <c r="AB967" s="143">
        <f t="shared" si="436"/>
        <v>0</v>
      </c>
      <c r="AC967" s="133">
        <f t="shared" si="441"/>
        <v>0</v>
      </c>
      <c r="AD967" s="142">
        <v>3</v>
      </c>
      <c r="AE967" s="141"/>
      <c r="AF967" s="121" t="s">
        <v>292</v>
      </c>
      <c r="AG967" s="146">
        <f>VLOOKUP(Takeoffs!AF967,Sheet1!$B$6:$C$124,2,FALSE)</f>
        <v>0</v>
      </c>
      <c r="AH967" s="146">
        <f t="shared" si="437"/>
        <v>0</v>
      </c>
      <c r="AI967" s="143">
        <f t="shared" si="438"/>
        <v>0</v>
      </c>
      <c r="AJ967" s="133">
        <f t="shared" si="439"/>
        <v>0</v>
      </c>
      <c r="AK967" s="142">
        <f t="shared" si="442"/>
        <v>0</v>
      </c>
      <c r="AL967" s="141"/>
      <c r="AO967" s="286"/>
      <c r="AP967" s="284">
        <f t="shared" si="418"/>
        <v>0</v>
      </c>
      <c r="AQ967" s="281">
        <f t="shared" si="419"/>
        <v>0</v>
      </c>
      <c r="AR967" s="284">
        <f t="shared" si="420"/>
        <v>0</v>
      </c>
      <c r="AS967" s="281">
        <f t="shared" si="421"/>
        <v>0</v>
      </c>
      <c r="AT967" s="284">
        <f t="shared" si="422"/>
        <v>0</v>
      </c>
    </row>
    <row r="968" spans="1:46" s="114" customFormat="1" ht="30.9" x14ac:dyDescent="0.8">
      <c r="A968" s="262">
        <f>ROW()</f>
        <v>968</v>
      </c>
      <c r="C968" s="208"/>
      <c r="D968" s="208"/>
      <c r="E968" s="208"/>
      <c r="F968" s="208"/>
      <c r="G968" s="208"/>
      <c r="H968" s="208"/>
      <c r="J968" s="114" t="str">
        <f t="shared" si="440"/>
        <v/>
      </c>
      <c r="K968" s="114" t="str">
        <f>IF(COUNTBLANK(R968)&gt;0,"",CONCATENATE(R968," for ",N957))</f>
        <v/>
      </c>
      <c r="N968" s="123" t="s">
        <v>123</v>
      </c>
      <c r="O968" s="66" t="s">
        <v>502</v>
      </c>
      <c r="P968" s="121"/>
      <c r="Q968" s="66"/>
      <c r="R968" s="121"/>
      <c r="S968" s="133">
        <f>M957</f>
        <v>0</v>
      </c>
      <c r="T968" s="120"/>
      <c r="U968" s="117" t="s">
        <v>363</v>
      </c>
      <c r="V968" s="133">
        <f t="shared" si="434"/>
        <v>0</v>
      </c>
      <c r="W968" s="133">
        <f>VLOOKUP(U968,Sheet1!$B$6:$C$45,2,FALSE)*V968</f>
        <v>0</v>
      </c>
      <c r="X968" s="141"/>
      <c r="Y968" s="135" t="s">
        <v>477</v>
      </c>
      <c r="Z968" s="146">
        <f>VLOOKUP(Takeoffs!Y968,Sheet1!$B$6:$C$124,2,FALSE)</f>
        <v>180</v>
      </c>
      <c r="AA968" s="146">
        <f t="shared" si="435"/>
        <v>0</v>
      </c>
      <c r="AB968" s="143">
        <f t="shared" si="436"/>
        <v>0</v>
      </c>
      <c r="AC968" s="133">
        <f t="shared" si="441"/>
        <v>0</v>
      </c>
      <c r="AD968" s="142">
        <v>1</v>
      </c>
      <c r="AE968" s="141"/>
      <c r="AF968" s="121" t="s">
        <v>292</v>
      </c>
      <c r="AG968" s="146">
        <f>VLOOKUP(Takeoffs!AF968,Sheet1!$B$6:$C$124,2,FALSE)</f>
        <v>0</v>
      </c>
      <c r="AH968" s="146">
        <f t="shared" si="437"/>
        <v>0</v>
      </c>
      <c r="AI968" s="143">
        <f t="shared" si="438"/>
        <v>0</v>
      </c>
      <c r="AJ968" s="133">
        <f t="shared" si="439"/>
        <v>0</v>
      </c>
      <c r="AK968" s="142">
        <f t="shared" si="442"/>
        <v>0</v>
      </c>
      <c r="AL968" s="141"/>
      <c r="AO968" s="286"/>
      <c r="AP968" s="284">
        <f t="shared" si="418"/>
        <v>0</v>
      </c>
      <c r="AQ968" s="281">
        <f t="shared" si="419"/>
        <v>0</v>
      </c>
      <c r="AR968" s="284">
        <f t="shared" si="420"/>
        <v>0</v>
      </c>
      <c r="AS968" s="281">
        <f t="shared" si="421"/>
        <v>0</v>
      </c>
      <c r="AT968" s="284">
        <f t="shared" si="422"/>
        <v>0</v>
      </c>
    </row>
    <row r="969" spans="1:46" s="114" customFormat="1" ht="30.9" x14ac:dyDescent="0.8">
      <c r="A969" s="262">
        <f>ROW()</f>
        <v>969</v>
      </c>
      <c r="C969" s="208"/>
      <c r="D969" s="208"/>
      <c r="E969" s="208"/>
      <c r="F969" s="208"/>
      <c r="G969" s="208"/>
      <c r="H969" s="208"/>
      <c r="J969" s="114" t="str">
        <f t="shared" si="440"/>
        <v/>
      </c>
      <c r="K969" s="114" t="str">
        <f>IF(COUNTBLANK(R969)&gt;0,"",CONCATENATE(R969," for ",N957))</f>
        <v/>
      </c>
      <c r="N969" s="123" t="s">
        <v>124</v>
      </c>
      <c r="O969" s="66" t="s">
        <v>140</v>
      </c>
      <c r="P969" s="121"/>
      <c r="Q969" s="66"/>
      <c r="R969" s="121"/>
      <c r="S969" s="133">
        <f>M957</f>
        <v>0</v>
      </c>
      <c r="T969" s="120"/>
      <c r="U969" s="121" t="s">
        <v>292</v>
      </c>
      <c r="V969" s="133">
        <f t="shared" si="434"/>
        <v>0</v>
      </c>
      <c r="W969" s="133">
        <f>VLOOKUP(U969,Sheet1!$B$6:$C$45,2,FALSE)*V969</f>
        <v>0</v>
      </c>
      <c r="X969" s="141"/>
      <c r="Y969" s="121" t="s">
        <v>292</v>
      </c>
      <c r="Z969" s="146">
        <f>VLOOKUP(Takeoffs!Y969,Sheet1!$B$6:$C$124,2,FALSE)</f>
        <v>0</v>
      </c>
      <c r="AA969" s="146">
        <f t="shared" si="435"/>
        <v>0</v>
      </c>
      <c r="AB969" s="143">
        <f t="shared" si="436"/>
        <v>0</v>
      </c>
      <c r="AC969" s="133">
        <f t="shared" si="441"/>
        <v>0</v>
      </c>
      <c r="AD969" s="142">
        <v>1</v>
      </c>
      <c r="AE969" s="141"/>
      <c r="AF969" s="144" t="s">
        <v>269</v>
      </c>
      <c r="AG969" s="146">
        <f>VLOOKUP(Takeoffs!AF969,Sheet1!$B$6:$C$124,2,FALSE)</f>
        <v>1.056</v>
      </c>
      <c r="AH969" s="146">
        <f t="shared" si="437"/>
        <v>0</v>
      </c>
      <c r="AI969" s="143">
        <f t="shared" si="438"/>
        <v>0</v>
      </c>
      <c r="AJ969" s="133">
        <f t="shared" si="439"/>
        <v>0</v>
      </c>
      <c r="AK969" s="142">
        <v>20</v>
      </c>
      <c r="AL969" s="141"/>
      <c r="AO969" s="286"/>
      <c r="AP969" s="284">
        <f t="shared" si="418"/>
        <v>0</v>
      </c>
      <c r="AQ969" s="281">
        <f t="shared" si="419"/>
        <v>0</v>
      </c>
      <c r="AR969" s="284">
        <f t="shared" si="420"/>
        <v>0</v>
      </c>
      <c r="AS969" s="281">
        <f t="shared" si="421"/>
        <v>0</v>
      </c>
      <c r="AT969" s="284">
        <f t="shared" si="422"/>
        <v>0</v>
      </c>
    </row>
    <row r="970" spans="1:46" s="114" customFormat="1" ht="30.9" x14ac:dyDescent="0.8">
      <c r="A970" s="262">
        <f>ROW()</f>
        <v>970</v>
      </c>
      <c r="C970" s="208"/>
      <c r="D970" s="208"/>
      <c r="E970" s="208"/>
      <c r="F970" s="208"/>
      <c r="G970" s="208"/>
      <c r="H970" s="208"/>
      <c r="J970" s="114" t="str">
        <f t="shared" si="440"/>
        <v/>
      </c>
      <c r="K970" s="114" t="str">
        <f>IF(COUNTBLANK(R970)&gt;0,"",CONCATENATE(R970," for ",N957))</f>
        <v/>
      </c>
      <c r="N970" s="123" t="s">
        <v>125</v>
      </c>
      <c r="O970" s="66" t="s">
        <v>473</v>
      </c>
      <c r="P970" s="121"/>
      <c r="Q970" s="66"/>
      <c r="R970" s="121"/>
      <c r="S970" s="133">
        <f>M957</f>
        <v>0</v>
      </c>
      <c r="T970" s="120"/>
      <c r="U970" s="135" t="s">
        <v>232</v>
      </c>
      <c r="V970" s="133">
        <f t="shared" si="434"/>
        <v>0</v>
      </c>
      <c r="W970" s="133">
        <f>VLOOKUP(U970,Sheet1!$B$6:$C$45,2,FALSE)*V970</f>
        <v>0</v>
      </c>
      <c r="X970" s="141"/>
      <c r="Y970" s="122" t="s">
        <v>1345</v>
      </c>
      <c r="Z970" s="146">
        <f>VLOOKUP(Takeoffs!Y970,Sheet1!$B$6:$C$124,2,FALSE)</f>
        <v>109.25999999999999</v>
      </c>
      <c r="AA970" s="146">
        <f t="shared" si="435"/>
        <v>0</v>
      </c>
      <c r="AB970" s="143">
        <f t="shared" si="436"/>
        <v>0</v>
      </c>
      <c r="AC970" s="133">
        <f t="shared" si="441"/>
        <v>0</v>
      </c>
      <c r="AD970" s="142">
        <v>1</v>
      </c>
      <c r="AE970" s="141"/>
      <c r="AF970" s="121" t="s">
        <v>292</v>
      </c>
      <c r="AG970" s="146">
        <f>VLOOKUP(Takeoffs!AF970,Sheet1!$B$6:$C$124,2,FALSE)</f>
        <v>0</v>
      </c>
      <c r="AH970" s="146">
        <f t="shared" si="437"/>
        <v>0</v>
      </c>
      <c r="AI970" s="143">
        <f t="shared" si="438"/>
        <v>0</v>
      </c>
      <c r="AJ970" s="133">
        <f t="shared" si="439"/>
        <v>0</v>
      </c>
      <c r="AK970" s="142">
        <f t="shared" si="442"/>
        <v>0</v>
      </c>
      <c r="AL970" s="141"/>
      <c r="AO970" s="286"/>
      <c r="AP970" s="284">
        <f t="shared" si="418"/>
        <v>0</v>
      </c>
      <c r="AQ970" s="281">
        <f t="shared" si="419"/>
        <v>0</v>
      </c>
      <c r="AR970" s="284">
        <f t="shared" si="420"/>
        <v>0</v>
      </c>
      <c r="AS970" s="281">
        <f t="shared" si="421"/>
        <v>0</v>
      </c>
      <c r="AT970" s="284">
        <f t="shared" si="422"/>
        <v>0</v>
      </c>
    </row>
    <row r="971" spans="1:46" s="114" customFormat="1" ht="30.9" x14ac:dyDescent="0.8">
      <c r="A971" s="262">
        <f>ROW()</f>
        <v>971</v>
      </c>
      <c r="C971" s="208"/>
      <c r="D971" s="208"/>
      <c r="E971" s="208"/>
      <c r="F971" s="208"/>
      <c r="G971" s="208"/>
      <c r="H971" s="208"/>
      <c r="J971" s="114" t="str">
        <f t="shared" si="440"/>
        <v/>
      </c>
      <c r="K971" s="114" t="str">
        <f>IF(COUNTBLANK(R971)&gt;0,"",CONCATENATE(R971," for ",N957))</f>
        <v/>
      </c>
      <c r="N971" s="123" t="s">
        <v>126</v>
      </c>
      <c r="O971" s="66" t="s">
        <v>470</v>
      </c>
      <c r="P971" s="121"/>
      <c r="Q971" s="66"/>
      <c r="R971" s="121"/>
      <c r="S971" s="133">
        <f>M957</f>
        <v>0</v>
      </c>
      <c r="T971" s="120"/>
      <c r="U971" s="121" t="s">
        <v>292</v>
      </c>
      <c r="V971" s="133">
        <f t="shared" si="434"/>
        <v>0</v>
      </c>
      <c r="W971" s="133">
        <f>VLOOKUP(U971,Sheet1!$B$6:$C$45,2,FALSE)*V971</f>
        <v>0</v>
      </c>
      <c r="X971" s="141"/>
      <c r="Y971" s="121" t="s">
        <v>292</v>
      </c>
      <c r="Z971" s="146">
        <f>VLOOKUP(Takeoffs!Y971,Sheet1!$B$6:$C$124,2,FALSE)</f>
        <v>0</v>
      </c>
      <c r="AA971" s="146">
        <f t="shared" si="435"/>
        <v>0</v>
      </c>
      <c r="AB971" s="143">
        <f t="shared" si="436"/>
        <v>0</v>
      </c>
      <c r="AC971" s="133">
        <f t="shared" si="441"/>
        <v>0</v>
      </c>
      <c r="AD971" s="142">
        <v>1</v>
      </c>
      <c r="AE971" s="141"/>
      <c r="AF971" s="121" t="s">
        <v>292</v>
      </c>
      <c r="AG971" s="146">
        <f>VLOOKUP(Takeoffs!AF971,Sheet1!$B$6:$C$124,2,FALSE)</f>
        <v>0</v>
      </c>
      <c r="AH971" s="146">
        <f t="shared" si="437"/>
        <v>0</v>
      </c>
      <c r="AI971" s="143">
        <f t="shared" si="438"/>
        <v>0</v>
      </c>
      <c r="AJ971" s="133">
        <f t="shared" si="439"/>
        <v>0</v>
      </c>
      <c r="AK971" s="142">
        <f t="shared" si="442"/>
        <v>0</v>
      </c>
      <c r="AL971" s="141"/>
      <c r="AO971" s="286"/>
      <c r="AP971" s="284">
        <f t="shared" si="418"/>
        <v>0</v>
      </c>
      <c r="AQ971" s="281">
        <f t="shared" si="419"/>
        <v>0</v>
      </c>
      <c r="AR971" s="284">
        <f t="shared" si="420"/>
        <v>0</v>
      </c>
      <c r="AS971" s="281">
        <f t="shared" si="421"/>
        <v>0</v>
      </c>
      <c r="AT971" s="284">
        <f t="shared" si="422"/>
        <v>0</v>
      </c>
    </row>
    <row r="972" spans="1:46" s="114" customFormat="1" ht="30.9" x14ac:dyDescent="0.8">
      <c r="A972" s="262">
        <f>ROW()</f>
        <v>972</v>
      </c>
      <c r="C972" s="208"/>
      <c r="D972" s="208"/>
      <c r="E972" s="208"/>
      <c r="F972" s="208"/>
      <c r="G972" s="208"/>
      <c r="H972" s="208"/>
      <c r="J972" s="114" t="str">
        <f t="shared" si="440"/>
        <v/>
      </c>
      <c r="K972" s="114" t="str">
        <f>IF(COUNTBLANK(R972)&gt;0,"",CONCATENATE(R972," for ",N957))</f>
        <v/>
      </c>
      <c r="N972" s="123" t="s">
        <v>127</v>
      </c>
      <c r="O972" s="66"/>
      <c r="P972" s="121"/>
      <c r="Q972" s="66"/>
      <c r="R972" s="121"/>
      <c r="S972" s="133">
        <f>M957</f>
        <v>0</v>
      </c>
      <c r="T972" s="120"/>
      <c r="U972" s="121" t="s">
        <v>292</v>
      </c>
      <c r="V972" s="133">
        <f t="shared" si="434"/>
        <v>0</v>
      </c>
      <c r="W972" s="133">
        <f>VLOOKUP(U972,Sheet1!$B$6:$C$45,2,FALSE)*V972</f>
        <v>0</v>
      </c>
      <c r="X972" s="141"/>
      <c r="Y972" s="121" t="s">
        <v>292</v>
      </c>
      <c r="Z972" s="146">
        <f>VLOOKUP(Takeoffs!Y972,Sheet1!$B$6:$C$124,2,FALSE)</f>
        <v>0</v>
      </c>
      <c r="AA972" s="146">
        <f t="shared" si="435"/>
        <v>0</v>
      </c>
      <c r="AB972" s="143">
        <f t="shared" si="436"/>
        <v>0</v>
      </c>
      <c r="AC972" s="133">
        <f t="shared" si="441"/>
        <v>0</v>
      </c>
      <c r="AD972" s="142">
        <v>1</v>
      </c>
      <c r="AE972" s="141"/>
      <c r="AF972" s="121" t="s">
        <v>292</v>
      </c>
      <c r="AG972" s="146">
        <f>VLOOKUP(Takeoffs!AF972,Sheet1!$B$6:$C$124,2,FALSE)</f>
        <v>0</v>
      </c>
      <c r="AH972" s="146">
        <f t="shared" si="437"/>
        <v>0</v>
      </c>
      <c r="AI972" s="143">
        <f t="shared" si="438"/>
        <v>0</v>
      </c>
      <c r="AJ972" s="133">
        <f t="shared" si="439"/>
        <v>0</v>
      </c>
      <c r="AK972" s="142">
        <f t="shared" si="442"/>
        <v>0</v>
      </c>
      <c r="AL972" s="141"/>
      <c r="AO972" s="286"/>
      <c r="AP972" s="284">
        <f t="shared" si="418"/>
        <v>0</v>
      </c>
      <c r="AQ972" s="281">
        <f t="shared" si="419"/>
        <v>0</v>
      </c>
      <c r="AR972" s="284">
        <f t="shared" si="420"/>
        <v>0</v>
      </c>
      <c r="AS972" s="281">
        <f t="shared" si="421"/>
        <v>0</v>
      </c>
      <c r="AT972" s="284">
        <f t="shared" si="422"/>
        <v>0</v>
      </c>
    </row>
    <row r="973" spans="1:46" s="114" customFormat="1" ht="30.9" x14ac:dyDescent="0.8">
      <c r="A973" s="262">
        <f>ROW()</f>
        <v>973</v>
      </c>
      <c r="C973" s="208"/>
      <c r="D973" s="208"/>
      <c r="E973" s="208"/>
      <c r="F973" s="208"/>
      <c r="G973" s="208"/>
      <c r="H973" s="208"/>
      <c r="J973" s="114" t="str">
        <f t="shared" si="440"/>
        <v/>
      </c>
      <c r="K973" s="114" t="str">
        <f>IF(COUNTBLANK(R973)&gt;0,"",CONCATENATE(R973," for ",N957))</f>
        <v/>
      </c>
      <c r="N973" s="123" t="s">
        <v>128</v>
      </c>
      <c r="O973" s="66" t="s">
        <v>474</v>
      </c>
      <c r="P973" s="121"/>
      <c r="Q973" s="66"/>
      <c r="R973" s="121"/>
      <c r="S973" s="133">
        <f>M957</f>
        <v>0</v>
      </c>
      <c r="T973" s="120"/>
      <c r="U973" s="121" t="s">
        <v>292</v>
      </c>
      <c r="V973" s="133">
        <f t="shared" si="434"/>
        <v>0</v>
      </c>
      <c r="W973" s="133">
        <f>VLOOKUP(U973,Sheet1!$B$6:$C$45,2,FALSE)*V973</f>
        <v>0</v>
      </c>
      <c r="X973" s="141"/>
      <c r="Y973" s="122" t="s">
        <v>280</v>
      </c>
      <c r="Z973" s="146">
        <f>VLOOKUP(Takeoffs!Y973,Sheet1!$B$6:$C$124,2,FALSE)</f>
        <v>19.2</v>
      </c>
      <c r="AA973" s="146">
        <f t="shared" si="435"/>
        <v>0</v>
      </c>
      <c r="AB973" s="143">
        <f t="shared" si="436"/>
        <v>0</v>
      </c>
      <c r="AC973" s="133">
        <f t="shared" si="441"/>
        <v>0</v>
      </c>
      <c r="AD973" s="142">
        <v>1</v>
      </c>
      <c r="AE973" s="141"/>
      <c r="AF973" s="121" t="s">
        <v>292</v>
      </c>
      <c r="AG973" s="146">
        <f>VLOOKUP(Takeoffs!AF973,Sheet1!$B$6:$C$124,2,FALSE)</f>
        <v>0</v>
      </c>
      <c r="AH973" s="146">
        <f t="shared" si="437"/>
        <v>0</v>
      </c>
      <c r="AI973" s="143">
        <f t="shared" si="438"/>
        <v>0</v>
      </c>
      <c r="AJ973" s="133">
        <f t="shared" si="439"/>
        <v>0</v>
      </c>
      <c r="AK973" s="142">
        <f>T973</f>
        <v>0</v>
      </c>
      <c r="AL973" s="141"/>
      <c r="AO973" s="286"/>
      <c r="AP973" s="284">
        <f t="shared" si="418"/>
        <v>0</v>
      </c>
      <c r="AQ973" s="281">
        <f t="shared" si="419"/>
        <v>0</v>
      </c>
      <c r="AR973" s="284">
        <f t="shared" si="420"/>
        <v>0</v>
      </c>
      <c r="AS973" s="281">
        <f t="shared" si="421"/>
        <v>0</v>
      </c>
      <c r="AT973" s="284">
        <f t="shared" si="422"/>
        <v>0</v>
      </c>
    </row>
    <row r="974" spans="1:46" s="114" customFormat="1" ht="30.9" x14ac:dyDescent="0.8">
      <c r="A974" s="262">
        <f>ROW()</f>
        <v>974</v>
      </c>
      <c r="C974" s="208"/>
      <c r="D974" s="208"/>
      <c r="E974" s="208"/>
      <c r="F974" s="208"/>
      <c r="G974" s="208"/>
      <c r="H974" s="208"/>
      <c r="J974" s="114" t="str">
        <f t="shared" si="440"/>
        <v>Coordination Note: - BMS trade: Please refer to our exclusions relating to cabling from MSSB's to BMS system</v>
      </c>
      <c r="K974" s="114" t="str">
        <f>IF(COUNTBLANK(R974)&gt;0,"",CONCATENATE(R974," for ",N957))</f>
        <v/>
      </c>
      <c r="N974" s="123" t="s">
        <v>129</v>
      </c>
      <c r="O974" s="66" t="s">
        <v>503</v>
      </c>
      <c r="P974" s="121" t="s">
        <v>471</v>
      </c>
      <c r="Q974" s="66" t="s">
        <v>472</v>
      </c>
      <c r="R974" s="121"/>
      <c r="S974" s="133">
        <f>M957</f>
        <v>0</v>
      </c>
      <c r="T974" s="120"/>
      <c r="U974" s="121" t="s">
        <v>292</v>
      </c>
      <c r="V974" s="133">
        <f t="shared" si="434"/>
        <v>0</v>
      </c>
      <c r="W974" s="133">
        <f>VLOOKUP(U974,Sheet1!$B$6:$C$45,2,FALSE)*V974</f>
        <v>0</v>
      </c>
      <c r="X974" s="141"/>
      <c r="Y974" s="121" t="s">
        <v>292</v>
      </c>
      <c r="Z974" s="146">
        <f>VLOOKUP(Takeoffs!Y974,Sheet1!$B$6:$C$124,2,FALSE)</f>
        <v>0</v>
      </c>
      <c r="AA974" s="146">
        <f t="shared" si="435"/>
        <v>0</v>
      </c>
      <c r="AB974" s="143">
        <f t="shared" si="436"/>
        <v>0</v>
      </c>
      <c r="AC974" s="133">
        <f t="shared" si="441"/>
        <v>0</v>
      </c>
      <c r="AD974" s="142">
        <v>1</v>
      </c>
      <c r="AE974" s="141"/>
      <c r="AF974" s="121" t="s">
        <v>292</v>
      </c>
      <c r="AG974" s="146">
        <f>VLOOKUP(Takeoffs!AF974,Sheet1!$B$6:$C$124,2,FALSE)</f>
        <v>0</v>
      </c>
      <c r="AH974" s="146">
        <f t="shared" si="437"/>
        <v>0</v>
      </c>
      <c r="AI974" s="143">
        <f t="shared" si="438"/>
        <v>0</v>
      </c>
      <c r="AJ974" s="133">
        <f t="shared" si="439"/>
        <v>0</v>
      </c>
      <c r="AK974" s="142">
        <f>T974</f>
        <v>0</v>
      </c>
      <c r="AL974" s="141"/>
      <c r="AO974" s="286"/>
      <c r="AP974" s="284">
        <f t="shared" si="418"/>
        <v>0</v>
      </c>
      <c r="AQ974" s="281">
        <f t="shared" si="419"/>
        <v>0</v>
      </c>
      <c r="AR974" s="284">
        <f t="shared" si="420"/>
        <v>0</v>
      </c>
      <c r="AS974" s="281">
        <f t="shared" si="421"/>
        <v>0</v>
      </c>
      <c r="AT974" s="284">
        <f t="shared" si="422"/>
        <v>0</v>
      </c>
    </row>
    <row r="975" spans="1:46" s="114" customFormat="1" ht="30.9" x14ac:dyDescent="0.8">
      <c r="A975" s="262">
        <f>ROW()</f>
        <v>975</v>
      </c>
      <c r="C975" s="208"/>
      <c r="D975" s="208"/>
      <c r="E975" s="208"/>
      <c r="F975" s="208"/>
      <c r="G975" s="208"/>
      <c r="H975" s="208"/>
      <c r="J975" s="114" t="str">
        <f t="shared" si="440"/>
        <v/>
      </c>
      <c r="K975" s="114" t="str">
        <f>IF(COUNTBLANK(R975)&gt;0,"",CONCATENATE(R975," for ",N957))</f>
        <v/>
      </c>
      <c r="N975" s="123" t="s">
        <v>130</v>
      </c>
      <c r="O975" s="66"/>
      <c r="P975" s="121"/>
      <c r="Q975" s="66"/>
      <c r="R975" s="121"/>
      <c r="S975" s="133">
        <f>M957</f>
        <v>0</v>
      </c>
      <c r="T975" s="120"/>
      <c r="U975" s="121" t="s">
        <v>292</v>
      </c>
      <c r="V975" s="133">
        <f t="shared" si="434"/>
        <v>0</v>
      </c>
      <c r="W975" s="133">
        <f>VLOOKUP(U975,Sheet1!$B$6:$C$45,2,FALSE)*V975</f>
        <v>0</v>
      </c>
      <c r="X975" s="141"/>
      <c r="Y975" s="121" t="s">
        <v>292</v>
      </c>
      <c r="Z975" s="146">
        <f>VLOOKUP(Takeoffs!Y975,Sheet1!$B$6:$C$124,2,FALSE)</f>
        <v>0</v>
      </c>
      <c r="AA975" s="146">
        <f t="shared" si="435"/>
        <v>0</v>
      </c>
      <c r="AB975" s="143">
        <f t="shared" si="436"/>
        <v>0</v>
      </c>
      <c r="AC975" s="133">
        <f t="shared" si="441"/>
        <v>0</v>
      </c>
      <c r="AD975" s="142">
        <v>1</v>
      </c>
      <c r="AE975" s="141"/>
      <c r="AF975" s="121" t="s">
        <v>292</v>
      </c>
      <c r="AG975" s="146">
        <f>VLOOKUP(Takeoffs!AF975,Sheet1!$B$6:$C$124,2,FALSE)</f>
        <v>0</v>
      </c>
      <c r="AH975" s="146">
        <f t="shared" si="437"/>
        <v>0</v>
      </c>
      <c r="AI975" s="143">
        <f t="shared" si="438"/>
        <v>0</v>
      </c>
      <c r="AJ975" s="133">
        <f t="shared" si="439"/>
        <v>0</v>
      </c>
      <c r="AK975" s="142">
        <f>T975</f>
        <v>0</v>
      </c>
      <c r="AL975" s="141"/>
      <c r="AO975" s="286"/>
      <c r="AP975" s="284">
        <f t="shared" si="418"/>
        <v>0</v>
      </c>
      <c r="AQ975" s="281">
        <f t="shared" si="419"/>
        <v>0</v>
      </c>
      <c r="AR975" s="284">
        <f t="shared" si="420"/>
        <v>0</v>
      </c>
      <c r="AS975" s="281">
        <f t="shared" si="421"/>
        <v>0</v>
      </c>
      <c r="AT975" s="284">
        <f t="shared" si="422"/>
        <v>0</v>
      </c>
    </row>
    <row r="976" spans="1:46" s="114" customFormat="1" ht="30.9" x14ac:dyDescent="0.8">
      <c r="A976" s="262">
        <f>ROW()</f>
        <v>976</v>
      </c>
      <c r="C976" s="208"/>
      <c r="D976" s="208"/>
      <c r="E976" s="208"/>
      <c r="F976" s="208"/>
      <c r="G976" s="208"/>
      <c r="H976" s="208"/>
      <c r="J976" s="114" t="str">
        <f t="shared" si="440"/>
        <v>Coordination Note: - Fire trade: Please refer to our exclusions relating to fire cabling from FIP.</v>
      </c>
      <c r="K976" s="114" t="str">
        <f>IF(COUNTBLANK(R976)&gt;0,"",CONCATENATE(R976," for ",N957))</f>
        <v/>
      </c>
      <c r="N976" s="123" t="s">
        <v>131</v>
      </c>
      <c r="O976" s="66" t="s">
        <v>412</v>
      </c>
      <c r="P976" s="121" t="s">
        <v>380</v>
      </c>
      <c r="Q976" s="66" t="s">
        <v>384</v>
      </c>
      <c r="R976" s="121"/>
      <c r="S976" s="133">
        <f>M957</f>
        <v>0</v>
      </c>
      <c r="T976" s="120"/>
      <c r="U976" s="121" t="s">
        <v>292</v>
      </c>
      <c r="V976" s="133">
        <f t="shared" si="434"/>
        <v>0</v>
      </c>
      <c r="W976" s="133">
        <f>VLOOKUP(U976,Sheet1!$B$6:$C$45,2,FALSE)*V976</f>
        <v>0</v>
      </c>
      <c r="X976" s="141"/>
      <c r="Y976" s="122" t="s">
        <v>322</v>
      </c>
      <c r="Z976" s="146">
        <f>VLOOKUP(Takeoffs!Y976,Sheet1!$B$6:$C$124,2,FALSE)</f>
        <v>48</v>
      </c>
      <c r="AA976" s="146">
        <f t="shared" si="435"/>
        <v>0</v>
      </c>
      <c r="AB976" s="143">
        <f t="shared" si="436"/>
        <v>0</v>
      </c>
      <c r="AC976" s="133">
        <f t="shared" si="441"/>
        <v>0</v>
      </c>
      <c r="AD976" s="142">
        <v>1</v>
      </c>
      <c r="AE976" s="141"/>
      <c r="AF976" s="121" t="s">
        <v>292</v>
      </c>
      <c r="AG976" s="146">
        <f>VLOOKUP(Takeoffs!AF976,Sheet1!$B$6:$C$124,2,FALSE)</f>
        <v>0</v>
      </c>
      <c r="AH976" s="146">
        <f t="shared" si="437"/>
        <v>0</v>
      </c>
      <c r="AI976" s="143">
        <f t="shared" si="438"/>
        <v>0</v>
      </c>
      <c r="AJ976" s="133">
        <f t="shared" si="439"/>
        <v>0</v>
      </c>
      <c r="AK976" s="142">
        <f>T976</f>
        <v>0</v>
      </c>
      <c r="AL976" s="141"/>
      <c r="AO976" s="286"/>
      <c r="AP976" s="284">
        <f t="shared" si="418"/>
        <v>0</v>
      </c>
      <c r="AQ976" s="281">
        <f t="shared" si="419"/>
        <v>0</v>
      </c>
      <c r="AR976" s="284">
        <f t="shared" si="420"/>
        <v>0</v>
      </c>
      <c r="AS976" s="281">
        <f t="shared" si="421"/>
        <v>0</v>
      </c>
      <c r="AT976" s="284">
        <f t="shared" si="422"/>
        <v>0</v>
      </c>
    </row>
    <row r="977" spans="1:97" s="114" customFormat="1" ht="30.9" x14ac:dyDescent="0.8">
      <c r="A977" s="262">
        <f>ROW()</f>
        <v>977</v>
      </c>
      <c r="C977" s="208"/>
      <c r="D977" s="208"/>
      <c r="E977" s="208"/>
      <c r="F977" s="208"/>
      <c r="G977" s="208"/>
      <c r="H977" s="208"/>
      <c r="J977" s="114" t="str">
        <f t="shared" si="440"/>
        <v/>
      </c>
      <c r="K977" s="114" t="str">
        <f>IF(COUNTBLANK(R977)&gt;0,"",CONCATENATE(R977," for ",N957))</f>
        <v/>
      </c>
      <c r="N977" s="123" t="s">
        <v>132</v>
      </c>
      <c r="O977" s="66" t="s">
        <v>408</v>
      </c>
      <c r="P977" s="121"/>
      <c r="Q977" s="66"/>
      <c r="R977" s="121"/>
      <c r="S977" s="133">
        <f>M957</f>
        <v>0</v>
      </c>
      <c r="T977" s="120"/>
      <c r="U977" s="121" t="s">
        <v>292</v>
      </c>
      <c r="V977" s="133">
        <f t="shared" si="434"/>
        <v>0</v>
      </c>
      <c r="W977" s="133">
        <f>VLOOKUP(U977,Sheet1!$B$6:$C$45,2,FALSE)*V977</f>
        <v>0</v>
      </c>
      <c r="X977" s="141"/>
      <c r="Y977" s="121" t="s">
        <v>292</v>
      </c>
      <c r="Z977" s="146">
        <f>VLOOKUP(Takeoffs!Y977,Sheet1!$B$6:$C$124,2,FALSE)</f>
        <v>0</v>
      </c>
      <c r="AA977" s="146">
        <f t="shared" si="435"/>
        <v>0</v>
      </c>
      <c r="AB977" s="143">
        <f t="shared" si="436"/>
        <v>0</v>
      </c>
      <c r="AC977" s="133">
        <f t="shared" si="441"/>
        <v>0</v>
      </c>
      <c r="AD977" s="142">
        <v>1</v>
      </c>
      <c r="AE977" s="141"/>
      <c r="AF977" s="121" t="s">
        <v>292</v>
      </c>
      <c r="AG977" s="146">
        <f>VLOOKUP(Takeoffs!AF977,Sheet1!$B$6:$C$124,2,FALSE)</f>
        <v>0</v>
      </c>
      <c r="AH977" s="146">
        <f t="shared" si="437"/>
        <v>0</v>
      </c>
      <c r="AI977" s="143">
        <f t="shared" si="438"/>
        <v>0</v>
      </c>
      <c r="AJ977" s="133">
        <f t="shared" si="439"/>
        <v>0</v>
      </c>
      <c r="AK977" s="142">
        <f>T977</f>
        <v>0</v>
      </c>
      <c r="AL977" s="141"/>
      <c r="AO977" s="286"/>
      <c r="AP977" s="284">
        <f t="shared" si="418"/>
        <v>0</v>
      </c>
      <c r="AQ977" s="281">
        <f t="shared" si="419"/>
        <v>0</v>
      </c>
      <c r="AR977" s="284">
        <f t="shared" si="420"/>
        <v>0</v>
      </c>
      <c r="AS977" s="281">
        <f t="shared" si="421"/>
        <v>0</v>
      </c>
      <c r="AT977" s="284">
        <f t="shared" si="422"/>
        <v>0</v>
      </c>
    </row>
    <row r="978" spans="1:97" s="128" customFormat="1" ht="32.25" customHeight="1" thickBot="1" x14ac:dyDescent="0.85">
      <c r="A978" s="262">
        <f>ROW()</f>
        <v>978</v>
      </c>
      <c r="C978" s="212"/>
      <c r="D978" s="212"/>
      <c r="E978" s="212"/>
      <c r="F978" s="212"/>
      <c r="G978" s="212"/>
      <c r="H978" s="212"/>
      <c r="J978" s="128" t="s">
        <v>377</v>
      </c>
      <c r="L978" s="128" t="s">
        <v>378</v>
      </c>
      <c r="N978" s="129"/>
      <c r="O978" s="130" t="s">
        <v>357</v>
      </c>
      <c r="P978" s="155">
        <f>V978+AA978+AH978</f>
        <v>0</v>
      </c>
      <c r="Q978" s="155"/>
      <c r="R978" s="131"/>
      <c r="S978" s="130"/>
      <c r="T978" s="127"/>
      <c r="U978" s="126" t="s">
        <v>351</v>
      </c>
      <c r="V978" s="127">
        <f>W978*80</f>
        <v>0</v>
      </c>
      <c r="W978" s="147">
        <f>SUM(W957:W977)</f>
        <v>0</v>
      </c>
      <c r="X978" s="148"/>
      <c r="Y978" s="127" t="s">
        <v>352</v>
      </c>
      <c r="Z978" s="116"/>
      <c r="AA978" s="116">
        <f>SUM(AA957:AA977)</f>
        <v>0</v>
      </c>
      <c r="AB978" s="149"/>
      <c r="AC978" s="149"/>
      <c r="AD978" s="149"/>
      <c r="AE978" s="149"/>
      <c r="AF978" s="127" t="s">
        <v>356</v>
      </c>
      <c r="AG978" s="116"/>
      <c r="AH978" s="116">
        <f>SUM(AH957:AH977)</f>
        <v>0</v>
      </c>
      <c r="AI978" s="149"/>
      <c r="AJ978" s="149"/>
      <c r="AK978" s="149"/>
      <c r="AL978" s="149"/>
      <c r="AM978" s="150">
        <f>P978</f>
        <v>0</v>
      </c>
      <c r="AO978" s="286"/>
      <c r="AP978" s="284">
        <f t="shared" si="418"/>
        <v>0</v>
      </c>
      <c r="AQ978" s="281">
        <f t="shared" si="419"/>
        <v>0</v>
      </c>
      <c r="AR978" s="284">
        <f t="shared" si="420"/>
        <v>0</v>
      </c>
      <c r="AS978" s="281">
        <f t="shared" si="421"/>
        <v>0</v>
      </c>
      <c r="AT978" s="284">
        <f t="shared" si="422"/>
        <v>0</v>
      </c>
    </row>
    <row r="979" spans="1:97" s="234" customFormat="1" ht="219.9" thickBot="1" x14ac:dyDescent="1.25">
      <c r="A979" s="262">
        <f>ROW()</f>
        <v>979</v>
      </c>
      <c r="B979" s="234" t="s">
        <v>491</v>
      </c>
      <c r="C979" s="217" t="str">
        <f>N957</f>
        <v>Electric Duct Heater ( 3 phase with SSR's)</v>
      </c>
      <c r="D979" s="260" t="s">
        <v>678</v>
      </c>
      <c r="E979" s="238"/>
      <c r="F979" s="217"/>
      <c r="G979" s="217"/>
      <c r="H979" s="245">
        <v>28</v>
      </c>
      <c r="I979" s="270"/>
      <c r="J979" s="241" t="str">
        <f>CONCATENATE(O957," ",L957, " (",M957,") ",N957,".", IF(M957&gt;1," Each "," This "),"includes supply and install of ",O958,O959,O960,O961,O962,O963,O964,O965,O966,O967,O968,O969,O970,O971,O972,O973,O974,O975,O976,O977,J958,J959,J960,J961,J962,J963,J964,J965,J966,J967,J968,J969,J970,J971,J972,J973,J974,J975,J976,J977)</f>
        <v>Electrical power supply and controls to Zero (0) Electric Duct Heater ( 3 phase with SSR's). This includes supply and install of CB, cabling between MSSB and Heater local isolator, heater  trefolyte label.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interface at MSSB for fire trade connection and commissioning/testing. Coordination Note: - BMS trade: Please refer to our exclusions relating to cabling from MSSB's to BMS systemCoordination Note: - BMS trade: Please refer to our exclusions relating to cabling from MSSB's to BMS systemCoordination Note: - Fire trade: Please refer to our exclusions relating to fire cabling from FIP.</v>
      </c>
      <c r="K979" s="248">
        <f>P978</f>
        <v>0</v>
      </c>
      <c r="L979" s="235" t="str">
        <f>CONCATENATE(Q958,Q959,Q960,Q961,Q962,Q963,Q964,Q965,Q966,Q967,Q968,Q969,Q970,Q971,Q972,Q973,Q974,Q975,Q976,Q977,)</f>
        <v>cabling from MSSB's to BMS systemcabling from MSSB's to BMS systemfire cabling from FIP.</v>
      </c>
      <c r="M979" s="166" t="s">
        <v>367</v>
      </c>
      <c r="N979" s="160" t="str">
        <f>N957</f>
        <v>Electric Duct Heater ( 3 phase with SSR's)</v>
      </c>
      <c r="O979" s="185" t="s">
        <v>365</v>
      </c>
      <c r="P979" s="203" t="e">
        <f>P978/M957</f>
        <v>#DIV/0!</v>
      </c>
      <c r="Q979" s="195"/>
      <c r="R979" s="188"/>
      <c r="S979" s="160"/>
      <c r="T979" s="161"/>
      <c r="U979" s="503" t="s">
        <v>366</v>
      </c>
      <c r="V979" s="503"/>
      <c r="W979" s="162" t="e">
        <f>W978/M957</f>
        <v>#DIV/0!</v>
      </c>
      <c r="X979" s="163"/>
      <c r="Y979" s="501" t="s">
        <v>365</v>
      </c>
      <c r="Z979" s="501"/>
      <c r="AA979" s="164" t="e">
        <f>AA978/M957</f>
        <v>#DIV/0!</v>
      </c>
      <c r="AB979" s="161"/>
      <c r="AC979" s="161"/>
      <c r="AD979" s="161"/>
      <c r="AE979" s="161"/>
      <c r="AF979" s="501" t="s">
        <v>365</v>
      </c>
      <c r="AG979" s="501"/>
      <c r="AH979" s="164" t="e">
        <f>AH978/M957</f>
        <v>#DIV/0!</v>
      </c>
      <c r="AI979" s="161"/>
      <c r="AJ979" s="161"/>
      <c r="AK979" s="161"/>
      <c r="AL979" s="247"/>
      <c r="AM979" s="257"/>
      <c r="AN979" s="230">
        <f>K979*1.25</f>
        <v>0</v>
      </c>
      <c r="AO979" s="286"/>
      <c r="AP979" s="284">
        <f t="shared" si="418"/>
        <v>0</v>
      </c>
      <c r="AQ979" s="281">
        <f t="shared" si="419"/>
        <v>0</v>
      </c>
      <c r="AR979" s="284">
        <f t="shared" si="420"/>
        <v>0</v>
      </c>
      <c r="AS979" s="281">
        <f t="shared" si="421"/>
        <v>0</v>
      </c>
      <c r="AT979" s="284">
        <f t="shared" si="422"/>
        <v>0</v>
      </c>
      <c r="AU979" s="117"/>
      <c r="AV979" s="117"/>
      <c r="AW979" s="117"/>
      <c r="AX979" s="117"/>
      <c r="AY979" s="117"/>
      <c r="AZ979" s="117"/>
      <c r="BA979" s="117"/>
      <c r="BB979" s="117"/>
      <c r="BC979" s="117"/>
      <c r="BD979" s="117"/>
      <c r="BE979" s="117"/>
      <c r="BF979" s="117"/>
      <c r="BG979" s="117"/>
      <c r="BH979" s="117"/>
      <c r="BI979" s="117"/>
      <c r="BJ979" s="117"/>
      <c r="BK979" s="117"/>
      <c r="BL979" s="117"/>
      <c r="BM979" s="117"/>
      <c r="BN979" s="117"/>
      <c r="BO979" s="117"/>
      <c r="BP979" s="117"/>
      <c r="BQ979" s="117"/>
      <c r="BR979" s="117"/>
      <c r="BS979" s="117"/>
      <c r="BT979" s="117"/>
      <c r="BU979" s="117"/>
      <c r="BV979" s="117"/>
      <c r="BW979" s="117"/>
      <c r="BX979" s="117"/>
      <c r="BY979" s="117"/>
      <c r="BZ979" s="117"/>
      <c r="CA979" s="117"/>
      <c r="CB979" s="117"/>
      <c r="CC979" s="117"/>
      <c r="CD979" s="117"/>
      <c r="CE979" s="117"/>
      <c r="CF979" s="117"/>
      <c r="CG979" s="117"/>
      <c r="CH979" s="117"/>
      <c r="CI979" s="117"/>
      <c r="CJ979" s="117"/>
      <c r="CK979" s="117"/>
      <c r="CL979" s="117"/>
      <c r="CM979" s="117"/>
      <c r="CN979" s="117"/>
      <c r="CO979" s="117"/>
      <c r="CP979" s="117"/>
      <c r="CQ979" s="117"/>
      <c r="CR979" s="117"/>
      <c r="CS979" s="117"/>
    </row>
    <row r="980" spans="1:97" s="116" customFormat="1" ht="192.75" customHeight="1" x14ac:dyDescent="0.8">
      <c r="A980" s="262">
        <f>ROW()</f>
        <v>980</v>
      </c>
      <c r="C980" s="211"/>
      <c r="D980" s="211"/>
      <c r="E980" s="211"/>
      <c r="F980" s="211"/>
      <c r="G980" s="211"/>
      <c r="H980" s="211"/>
      <c r="K980" s="116" t="s">
        <v>452</v>
      </c>
      <c r="M980" s="116" t="s">
        <v>107</v>
      </c>
      <c r="N980" s="116" t="s">
        <v>108</v>
      </c>
      <c r="O980" s="170" t="s">
        <v>386</v>
      </c>
      <c r="P980" s="504" t="s">
        <v>375</v>
      </c>
      <c r="Q980" s="504"/>
      <c r="R980" s="101" t="s">
        <v>452</v>
      </c>
      <c r="S980" s="116" t="s">
        <v>0</v>
      </c>
      <c r="T980" s="118"/>
      <c r="U980" s="116" t="s">
        <v>287</v>
      </c>
      <c r="V980" s="116" t="s">
        <v>288</v>
      </c>
      <c r="W980" s="116" t="s">
        <v>291</v>
      </c>
      <c r="X980" s="140"/>
      <c r="Y980" s="116" t="s">
        <v>289</v>
      </c>
      <c r="Z980" s="116" t="s">
        <v>354</v>
      </c>
      <c r="AA980" s="116" t="s">
        <v>355</v>
      </c>
      <c r="AB980" s="116" t="s">
        <v>317</v>
      </c>
      <c r="AC980" s="116" t="s">
        <v>318</v>
      </c>
      <c r="AD980" s="116" t="s">
        <v>316</v>
      </c>
      <c r="AE980" s="140"/>
      <c r="AF980" s="116" t="s">
        <v>293</v>
      </c>
      <c r="AG980" s="116" t="s">
        <v>354</v>
      </c>
      <c r="AH980" s="116" t="s">
        <v>355</v>
      </c>
      <c r="AI980" s="116" t="s">
        <v>296</v>
      </c>
      <c r="AJ980" s="116" t="s">
        <v>294</v>
      </c>
      <c r="AK980" s="116" t="s">
        <v>295</v>
      </c>
      <c r="AL980" s="140"/>
      <c r="AO980" s="288"/>
      <c r="AP980" s="284">
        <f t="shared" ref="AP980:AP1043" si="443">IF(AND(I980&gt;0, ISNUMBER(I980)),I980*P980,0)</f>
        <v>0</v>
      </c>
      <c r="AQ980" s="281">
        <f t="shared" ref="AQ980:AQ1043" si="444">IF(AND(I980&gt;0, ISNUMBER(I980)),I980*W980*80,0)</f>
        <v>0</v>
      </c>
      <c r="AR980" s="284">
        <f t="shared" ref="AR980:AR1043" si="445">IF(AND(I980&gt;0, ISNUMBER(I980)),I980*AA980,0)</f>
        <v>0</v>
      </c>
      <c r="AS980" s="281">
        <f t="shared" ref="AS980:AS1043" si="446">IF(AND(I980&gt;0, ISNUMBER(I980)),I980*AH980,0)</f>
        <v>0</v>
      </c>
      <c r="AT980" s="284">
        <f t="shared" ref="AT980:AT1043" si="447">IF(AND(I980&gt;0, ISNUMBER(I980)),I980*(AP980-(AQ980+AR980+AS980)),0)</f>
        <v>0</v>
      </c>
    </row>
    <row r="981" spans="1:97" s="114" customFormat="1" ht="40.5" customHeight="1" x14ac:dyDescent="0.8">
      <c r="A981" s="262">
        <f>ROW()</f>
        <v>981</v>
      </c>
      <c r="C981" s="208"/>
      <c r="D981" s="208"/>
      <c r="E981" s="208"/>
      <c r="F981" s="208"/>
      <c r="G981" s="208"/>
      <c r="H981" s="208"/>
      <c r="L981" s="124" t="str">
        <f>VLOOKUP(M981,Sheet2!$D$2:$E$1024,2,FALSE)</f>
        <v>Zero</v>
      </c>
      <c r="M981" s="121">
        <f>I1003</f>
        <v>0</v>
      </c>
      <c r="N981" s="132" t="s">
        <v>551</v>
      </c>
      <c r="O981" s="121" t="s">
        <v>347</v>
      </c>
      <c r="P981" s="169" t="s">
        <v>379</v>
      </c>
      <c r="Q981" s="169" t="s">
        <v>375</v>
      </c>
      <c r="R981" s="169"/>
      <c r="S981" s="133">
        <f>M981</f>
        <v>0</v>
      </c>
      <c r="T981" s="119"/>
      <c r="U981" s="153" t="s">
        <v>292</v>
      </c>
      <c r="V981" s="133">
        <f>S981</f>
        <v>0</v>
      </c>
      <c r="W981" s="133">
        <f>VLOOKUP(U981,Sheet1!$B$6:$C$45,2,FALSE)*V981</f>
        <v>0</v>
      </c>
      <c r="X981" s="141"/>
      <c r="Y981" s="121" t="s">
        <v>292</v>
      </c>
      <c r="Z981" s="146">
        <f>VLOOKUP(Takeoffs!Y981,Sheet1!$B$6:$C$124,2,FALSE)</f>
        <v>0</v>
      </c>
      <c r="AA981" s="146">
        <f>Z981*AB981</f>
        <v>0</v>
      </c>
      <c r="AB981" s="143">
        <f>AD981*AC981</f>
        <v>0</v>
      </c>
      <c r="AC981" s="133">
        <f>S981</f>
        <v>0</v>
      </c>
      <c r="AD981" s="142">
        <v>1</v>
      </c>
      <c r="AE981" s="141"/>
      <c r="AF981" s="121" t="s">
        <v>292</v>
      </c>
      <c r="AG981" s="146">
        <f>VLOOKUP(Takeoffs!AF981,Sheet1!$B$6:$C$124,2,FALSE)</f>
        <v>0</v>
      </c>
      <c r="AH981" s="146">
        <f>AG981*AI981</f>
        <v>0</v>
      </c>
      <c r="AI981" s="143">
        <f>AK981*AJ981</f>
        <v>0</v>
      </c>
      <c r="AJ981" s="133">
        <f>S981</f>
        <v>0</v>
      </c>
      <c r="AK981" s="142">
        <f>T981</f>
        <v>0</v>
      </c>
      <c r="AL981" s="141"/>
      <c r="AO981" s="286"/>
      <c r="AP981" s="284">
        <f t="shared" si="443"/>
        <v>0</v>
      </c>
      <c r="AQ981" s="281">
        <f t="shared" si="444"/>
        <v>0</v>
      </c>
      <c r="AR981" s="284">
        <f t="shared" si="445"/>
        <v>0</v>
      </c>
      <c r="AS981" s="281">
        <f t="shared" si="446"/>
        <v>0</v>
      </c>
      <c r="AT981" s="284">
        <f t="shared" si="447"/>
        <v>0</v>
      </c>
    </row>
    <row r="982" spans="1:97" s="114" customFormat="1" ht="30.9" x14ac:dyDescent="0.8">
      <c r="A982" s="262">
        <f>ROW()</f>
        <v>982</v>
      </c>
      <c r="C982" s="208"/>
      <c r="D982" s="208"/>
      <c r="E982" s="208"/>
      <c r="F982" s="208"/>
      <c r="G982" s="208"/>
      <c r="H982" s="208"/>
      <c r="J982" s="114" t="str">
        <f>IF(COUNTBLANK(Q982)&gt;0,"",CONCATENATE("Coordination Note: - ",P982,": Please refer to our exclusions relating to ",Q982))</f>
        <v/>
      </c>
      <c r="K982" s="114" t="str">
        <f>IF(COUNTBLANK(R982)&gt;0,"",CONCATENATE(R982," for ",N981))</f>
        <v/>
      </c>
      <c r="M982" s="117"/>
      <c r="N982" s="123" t="s">
        <v>113</v>
      </c>
      <c r="O982" s="66" t="s">
        <v>411</v>
      </c>
      <c r="P982" s="121"/>
      <c r="Q982" s="121"/>
      <c r="R982" s="121"/>
      <c r="S982" s="133">
        <f>M981</f>
        <v>0</v>
      </c>
      <c r="T982" s="120"/>
      <c r="U982" s="121" t="s">
        <v>235</v>
      </c>
      <c r="V982" s="133">
        <f t="shared" ref="V982:V1001" si="448">S982</f>
        <v>0</v>
      </c>
      <c r="W982" s="133">
        <f>VLOOKUP(U982,Sheet1!$B$6:$C$45,2,FALSE)*V982</f>
        <v>0</v>
      </c>
      <c r="X982" s="141"/>
      <c r="Y982" s="121" t="s">
        <v>292</v>
      </c>
      <c r="Z982" s="146">
        <f>VLOOKUP(Takeoffs!Y982,Sheet1!$B$6:$C$124,2,FALSE)</f>
        <v>0</v>
      </c>
      <c r="AA982" s="146">
        <f t="shared" ref="AA982:AA1001" si="449">Z982*AB982</f>
        <v>0</v>
      </c>
      <c r="AB982" s="143">
        <f t="shared" ref="AB982:AB1001" si="450">AD982*AC982</f>
        <v>0</v>
      </c>
      <c r="AC982" s="133">
        <f t="shared" ref="AC982:AC1001" si="451">S982</f>
        <v>0</v>
      </c>
      <c r="AD982" s="142">
        <v>1</v>
      </c>
      <c r="AE982" s="141"/>
      <c r="AF982" s="121" t="s">
        <v>292</v>
      </c>
      <c r="AG982" s="146">
        <f>VLOOKUP(Takeoffs!AF982,Sheet1!$B$6:$C$124,2,FALSE)</f>
        <v>0</v>
      </c>
      <c r="AH982" s="146">
        <f t="shared" ref="AH982:AH1001" si="452">AG982*AI982</f>
        <v>0</v>
      </c>
      <c r="AI982" s="143">
        <f t="shared" ref="AI982:AI1001" si="453">AK982*AJ982</f>
        <v>0</v>
      </c>
      <c r="AJ982" s="133">
        <f t="shared" ref="AJ982:AJ1001" si="454">S982</f>
        <v>0</v>
      </c>
      <c r="AK982" s="142"/>
      <c r="AL982" s="141"/>
      <c r="AO982" s="286"/>
      <c r="AP982" s="284">
        <f t="shared" si="443"/>
        <v>0</v>
      </c>
      <c r="AQ982" s="281">
        <f t="shared" si="444"/>
        <v>0</v>
      </c>
      <c r="AR982" s="284">
        <f t="shared" si="445"/>
        <v>0</v>
      </c>
      <c r="AS982" s="281">
        <f t="shared" si="446"/>
        <v>0</v>
      </c>
      <c r="AT982" s="284">
        <f t="shared" si="447"/>
        <v>0</v>
      </c>
    </row>
    <row r="983" spans="1:97" s="114" customFormat="1" ht="30.9" x14ac:dyDescent="0.8">
      <c r="A983" s="262">
        <f>ROW()</f>
        <v>983</v>
      </c>
      <c r="C983" s="208"/>
      <c r="D983" s="208"/>
      <c r="E983" s="208"/>
      <c r="F983" s="208"/>
      <c r="G983" s="208"/>
      <c r="H983" s="208"/>
      <c r="J983" s="114" t="str">
        <f t="shared" ref="J983:J1001" si="455">IF(COUNTBLANK(Q983)&gt;0,"",CONCATENATE("Coordination Note: - ",P983,": Please refer to our exclusions relating to ",Q983))</f>
        <v/>
      </c>
      <c r="K983" s="114" t="str">
        <f>IF(COUNTBLANK(R983)&gt;0,"",CONCATENATE(R983," for ",N981))</f>
        <v/>
      </c>
      <c r="M983" s="117"/>
      <c r="N983" s="123" t="s">
        <v>114</v>
      </c>
      <c r="O983" s="66" t="s">
        <v>552</v>
      </c>
      <c r="P983" s="121"/>
      <c r="Q983" s="121"/>
      <c r="R983" s="121"/>
      <c r="S983" s="133">
        <f>M981*2</f>
        <v>0</v>
      </c>
      <c r="T983" s="120"/>
      <c r="U983" s="121" t="s">
        <v>292</v>
      </c>
      <c r="V983" s="133">
        <f t="shared" si="448"/>
        <v>0</v>
      </c>
      <c r="W983" s="133">
        <f>VLOOKUP(U983,Sheet1!$B$6:$C$45,2,FALSE)*V983</f>
        <v>0</v>
      </c>
      <c r="X983" s="141"/>
      <c r="Y983" s="122" t="s">
        <v>252</v>
      </c>
      <c r="Z983" s="146">
        <f>VLOOKUP(Takeoffs!Y983,Sheet1!$B$6:$C$124,2,FALSE)</f>
        <v>43.440000000000005</v>
      </c>
      <c r="AA983" s="146">
        <f t="shared" si="449"/>
        <v>0</v>
      </c>
      <c r="AB983" s="143">
        <f t="shared" si="450"/>
        <v>0</v>
      </c>
      <c r="AC983" s="133">
        <f t="shared" si="451"/>
        <v>0</v>
      </c>
      <c r="AD983" s="142">
        <v>1</v>
      </c>
      <c r="AE983" s="141"/>
      <c r="AF983" s="121" t="s">
        <v>292</v>
      </c>
      <c r="AG983" s="146">
        <f>VLOOKUP(Takeoffs!AF983,Sheet1!$B$6:$C$124,2,FALSE)</f>
        <v>0</v>
      </c>
      <c r="AH983" s="146">
        <f t="shared" si="452"/>
        <v>0</v>
      </c>
      <c r="AI983" s="143">
        <f t="shared" si="453"/>
        <v>0</v>
      </c>
      <c r="AJ983" s="133">
        <f t="shared" si="454"/>
        <v>0</v>
      </c>
      <c r="AK983" s="142">
        <f>T983</f>
        <v>0</v>
      </c>
      <c r="AL983" s="141"/>
      <c r="AO983" s="286"/>
      <c r="AP983" s="284">
        <f t="shared" si="443"/>
        <v>0</v>
      </c>
      <c r="AQ983" s="281">
        <f t="shared" si="444"/>
        <v>0</v>
      </c>
      <c r="AR983" s="284">
        <f t="shared" si="445"/>
        <v>0</v>
      </c>
      <c r="AS983" s="281">
        <f t="shared" si="446"/>
        <v>0</v>
      </c>
      <c r="AT983" s="284">
        <f t="shared" si="447"/>
        <v>0</v>
      </c>
    </row>
    <row r="984" spans="1:97" s="114" customFormat="1" ht="30.9" x14ac:dyDescent="0.8">
      <c r="A984" s="262">
        <f>ROW()</f>
        <v>984</v>
      </c>
      <c r="C984" s="208"/>
      <c r="D984" s="208"/>
      <c r="E984" s="208"/>
      <c r="F984" s="208"/>
      <c r="G984" s="208"/>
      <c r="H984" s="208"/>
      <c r="J984" s="114" t="str">
        <f t="shared" si="455"/>
        <v/>
      </c>
      <c r="K984" s="114" t="str">
        <f>IF(COUNTBLANK(R984)&gt;0,"",CONCATENATE(R984," for ",N981))</f>
        <v/>
      </c>
      <c r="M984" s="117"/>
      <c r="N984" s="123" t="s">
        <v>115</v>
      </c>
      <c r="O984" s="66" t="s">
        <v>553</v>
      </c>
      <c r="P984" s="121"/>
      <c r="Q984" s="121"/>
      <c r="R984" s="121"/>
      <c r="S984" s="133">
        <f>M981*2</f>
        <v>0</v>
      </c>
      <c r="T984" s="120"/>
      <c r="U984" s="117" t="s">
        <v>478</v>
      </c>
      <c r="V984" s="133">
        <f t="shared" si="448"/>
        <v>0</v>
      </c>
      <c r="W984" s="133">
        <f>VLOOKUP(U984,Sheet1!$B$6:$C$45,2,FALSE)*V984</f>
        <v>0</v>
      </c>
      <c r="X984" s="141"/>
      <c r="Y984" s="121" t="s">
        <v>292</v>
      </c>
      <c r="Z984" s="146">
        <f>VLOOKUP(Takeoffs!Y984,Sheet1!$B$6:$C$124,2,FALSE)</f>
        <v>0</v>
      </c>
      <c r="AA984" s="146">
        <f t="shared" si="449"/>
        <v>0</v>
      </c>
      <c r="AB984" s="143">
        <f t="shared" si="450"/>
        <v>0</v>
      </c>
      <c r="AC984" s="133">
        <f t="shared" si="451"/>
        <v>0</v>
      </c>
      <c r="AD984" s="142">
        <v>1</v>
      </c>
      <c r="AE984" s="141"/>
      <c r="AF984" s="122" t="s">
        <v>267</v>
      </c>
      <c r="AG984" s="146">
        <f>VLOOKUP(Takeoffs!AF984,Sheet1!$B$6:$C$124,2,FALSE)</f>
        <v>3.48</v>
      </c>
      <c r="AH984" s="146">
        <f t="shared" si="452"/>
        <v>0</v>
      </c>
      <c r="AI984" s="143">
        <f t="shared" si="453"/>
        <v>0</v>
      </c>
      <c r="AJ984" s="133">
        <f t="shared" si="454"/>
        <v>0</v>
      </c>
      <c r="AK984" s="142">
        <v>20</v>
      </c>
      <c r="AL984" s="141"/>
      <c r="AO984" s="286"/>
      <c r="AP984" s="284">
        <f t="shared" si="443"/>
        <v>0</v>
      </c>
      <c r="AQ984" s="281">
        <f t="shared" si="444"/>
        <v>0</v>
      </c>
      <c r="AR984" s="284">
        <f t="shared" si="445"/>
        <v>0</v>
      </c>
      <c r="AS984" s="281">
        <f t="shared" si="446"/>
        <v>0</v>
      </c>
      <c r="AT984" s="284">
        <f t="shared" si="447"/>
        <v>0</v>
      </c>
    </row>
    <row r="985" spans="1:97" s="114" customFormat="1" ht="30.9" x14ac:dyDescent="0.8">
      <c r="A985" s="262">
        <f>ROW()</f>
        <v>985</v>
      </c>
      <c r="C985" s="208"/>
      <c r="D985" s="208"/>
      <c r="E985" s="208"/>
      <c r="F985" s="208"/>
      <c r="G985" s="208"/>
      <c r="H985" s="208"/>
      <c r="J985" s="114" t="str">
        <f t="shared" si="455"/>
        <v/>
      </c>
      <c r="K985" s="114" t="str">
        <f>IF(COUNTBLANK(R985)&gt;0,"",CONCATENATE(R985," for ",N981))</f>
        <v/>
      </c>
      <c r="M985" s="117"/>
      <c r="N985" s="123" t="s">
        <v>116</v>
      </c>
      <c r="O985" s="66" t="s">
        <v>554</v>
      </c>
      <c r="P985" s="121"/>
      <c r="Q985" s="121"/>
      <c r="R985" s="121"/>
      <c r="S985" s="133">
        <f>M981*2</f>
        <v>0</v>
      </c>
      <c r="T985" s="120"/>
      <c r="U985" s="121" t="s">
        <v>292</v>
      </c>
      <c r="V985" s="133">
        <f t="shared" si="448"/>
        <v>0</v>
      </c>
      <c r="W985" s="133">
        <f>VLOOKUP(U985,Sheet1!$B$6:$C$45,2,FALSE)*V985</f>
        <v>0</v>
      </c>
      <c r="X985" s="141"/>
      <c r="Y985" s="135" t="s">
        <v>546</v>
      </c>
      <c r="Z985" s="146">
        <f>VLOOKUP(Takeoffs!Y985,Sheet1!$B$6:$C$124,2,FALSE)</f>
        <v>865.92</v>
      </c>
      <c r="AA985" s="146">
        <f t="shared" si="449"/>
        <v>0</v>
      </c>
      <c r="AB985" s="143">
        <f t="shared" si="450"/>
        <v>0</v>
      </c>
      <c r="AC985" s="133">
        <f t="shared" si="451"/>
        <v>0</v>
      </c>
      <c r="AD985" s="142">
        <v>1</v>
      </c>
      <c r="AE985" s="141"/>
      <c r="AF985" s="121" t="s">
        <v>292</v>
      </c>
      <c r="AG985" s="146">
        <f>VLOOKUP(Takeoffs!AF985,Sheet1!$B$6:$C$124,2,FALSE)</f>
        <v>0</v>
      </c>
      <c r="AH985" s="146">
        <f t="shared" si="452"/>
        <v>0</v>
      </c>
      <c r="AI985" s="143">
        <f t="shared" si="453"/>
        <v>0</v>
      </c>
      <c r="AJ985" s="133">
        <f t="shared" si="454"/>
        <v>0</v>
      </c>
      <c r="AK985" s="142">
        <f>T985</f>
        <v>0</v>
      </c>
      <c r="AL985" s="141"/>
      <c r="AO985" s="286"/>
      <c r="AP985" s="284">
        <f t="shared" si="443"/>
        <v>0</v>
      </c>
      <c r="AQ985" s="281">
        <f t="shared" si="444"/>
        <v>0</v>
      </c>
      <c r="AR985" s="284">
        <f t="shared" si="445"/>
        <v>0</v>
      </c>
      <c r="AS985" s="281">
        <f t="shared" si="446"/>
        <v>0</v>
      </c>
      <c r="AT985" s="284">
        <f t="shared" si="447"/>
        <v>0</v>
      </c>
    </row>
    <row r="986" spans="1:97" s="114" customFormat="1" ht="30.9" x14ac:dyDescent="0.8">
      <c r="A986" s="262">
        <f>ROW()</f>
        <v>986</v>
      </c>
      <c r="C986" s="208"/>
      <c r="D986" s="208"/>
      <c r="E986" s="208"/>
      <c r="F986" s="208"/>
      <c r="G986" s="208"/>
      <c r="H986" s="208"/>
      <c r="J986" s="114" t="str">
        <f t="shared" si="455"/>
        <v/>
      </c>
      <c r="K986" s="114" t="str">
        <f>IF(COUNTBLANK(R986)&gt;0,"",CONCATENATE(R986," for ",N981))</f>
        <v/>
      </c>
      <c r="M986" s="117"/>
      <c r="N986" s="123" t="s">
        <v>117</v>
      </c>
      <c r="O986" s="66" t="s">
        <v>555</v>
      </c>
      <c r="P986" s="121"/>
      <c r="Q986" s="121"/>
      <c r="R986" s="121"/>
      <c r="S986" s="133">
        <f>M981*2</f>
        <v>0</v>
      </c>
      <c r="T986" s="120"/>
      <c r="U986" s="121" t="s">
        <v>292</v>
      </c>
      <c r="V986" s="133">
        <f t="shared" si="448"/>
        <v>0</v>
      </c>
      <c r="W986" s="133">
        <f>VLOOKUP(U986,Sheet1!$B$6:$C$45,2,FALSE)*V986</f>
        <v>0</v>
      </c>
      <c r="X986" s="141"/>
      <c r="Y986" s="121" t="s">
        <v>292</v>
      </c>
      <c r="Z986" s="146">
        <f>VLOOKUP(Takeoffs!Y986,Sheet1!$B$6:$C$124,2,FALSE)</f>
        <v>0</v>
      </c>
      <c r="AA986" s="146">
        <f t="shared" si="449"/>
        <v>0</v>
      </c>
      <c r="AB986" s="143">
        <f t="shared" si="450"/>
        <v>0</v>
      </c>
      <c r="AC986" s="133">
        <f t="shared" si="451"/>
        <v>0</v>
      </c>
      <c r="AD986" s="142">
        <v>1</v>
      </c>
      <c r="AE986" s="141"/>
      <c r="AF986" s="122" t="s">
        <v>267</v>
      </c>
      <c r="AG986" s="146">
        <f>VLOOKUP(Takeoffs!AF986,Sheet1!$B$6:$C$124,2,FALSE)</f>
        <v>3.48</v>
      </c>
      <c r="AH986" s="146">
        <f t="shared" si="452"/>
        <v>0</v>
      </c>
      <c r="AI986" s="143">
        <f t="shared" si="453"/>
        <v>0</v>
      </c>
      <c r="AJ986" s="133">
        <f t="shared" si="454"/>
        <v>0</v>
      </c>
      <c r="AK986" s="142">
        <v>3</v>
      </c>
      <c r="AL986" s="141"/>
      <c r="AO986" s="286"/>
      <c r="AP986" s="284">
        <f t="shared" si="443"/>
        <v>0</v>
      </c>
      <c r="AQ986" s="281">
        <f t="shared" si="444"/>
        <v>0</v>
      </c>
      <c r="AR986" s="284">
        <f t="shared" si="445"/>
        <v>0</v>
      </c>
      <c r="AS986" s="281">
        <f t="shared" si="446"/>
        <v>0</v>
      </c>
      <c r="AT986" s="284">
        <f t="shared" si="447"/>
        <v>0</v>
      </c>
    </row>
    <row r="987" spans="1:97" s="114" customFormat="1" ht="30.9" x14ac:dyDescent="0.8">
      <c r="A987" s="262">
        <f>ROW()</f>
        <v>987</v>
      </c>
      <c r="C987" s="208"/>
      <c r="D987" s="208"/>
      <c r="E987" s="208"/>
      <c r="F987" s="208"/>
      <c r="G987" s="208"/>
      <c r="H987" s="208"/>
      <c r="J987" s="114" t="str">
        <f t="shared" si="455"/>
        <v/>
      </c>
      <c r="K987" s="114" t="str">
        <f>IF(COUNTBLANK(R987)&gt;0,"",CONCATENATE(R987," for ",N981))</f>
        <v/>
      </c>
      <c r="M987" s="117"/>
      <c r="N987" s="123" t="s">
        <v>118</v>
      </c>
      <c r="O987" s="66" t="s">
        <v>556</v>
      </c>
      <c r="P987" s="121"/>
      <c r="Q987" s="121"/>
      <c r="R987" s="121"/>
      <c r="S987" s="133">
        <f>M981*2</f>
        <v>0</v>
      </c>
      <c r="T987" s="120"/>
      <c r="U987" s="121" t="s">
        <v>292</v>
      </c>
      <c r="V987" s="133">
        <f t="shared" si="448"/>
        <v>0</v>
      </c>
      <c r="W987" s="133">
        <f>VLOOKUP(U987,Sheet1!$B$6:$C$45,2,FALSE)*V987</f>
        <v>0</v>
      </c>
      <c r="X987" s="141"/>
      <c r="Y987" s="122" t="s">
        <v>245</v>
      </c>
      <c r="Z987" s="146">
        <f>VLOOKUP(Takeoffs!Y987,Sheet1!$B$6:$C$124,2,FALSE)</f>
        <v>46.463999999999999</v>
      </c>
      <c r="AA987" s="146">
        <f t="shared" si="449"/>
        <v>0</v>
      </c>
      <c r="AB987" s="143">
        <f t="shared" si="450"/>
        <v>0</v>
      </c>
      <c r="AC987" s="133">
        <f t="shared" si="451"/>
        <v>0</v>
      </c>
      <c r="AD987" s="142">
        <v>1</v>
      </c>
      <c r="AE987" s="141"/>
      <c r="AF987" s="121" t="s">
        <v>292</v>
      </c>
      <c r="AG987" s="146">
        <f>VLOOKUP(Takeoffs!AF987,Sheet1!$B$6:$C$124,2,FALSE)</f>
        <v>0</v>
      </c>
      <c r="AH987" s="146">
        <f t="shared" si="452"/>
        <v>0</v>
      </c>
      <c r="AI987" s="143">
        <f t="shared" si="453"/>
        <v>0</v>
      </c>
      <c r="AJ987" s="133">
        <f t="shared" si="454"/>
        <v>0</v>
      </c>
      <c r="AK987" s="142">
        <f t="shared" ref="AK987:AK992" si="456">T987</f>
        <v>0</v>
      </c>
      <c r="AL987" s="141"/>
      <c r="AO987" s="286"/>
      <c r="AP987" s="284">
        <f t="shared" si="443"/>
        <v>0</v>
      </c>
      <c r="AQ987" s="281">
        <f t="shared" si="444"/>
        <v>0</v>
      </c>
      <c r="AR987" s="284">
        <f t="shared" si="445"/>
        <v>0</v>
      </c>
      <c r="AS987" s="281">
        <f t="shared" si="446"/>
        <v>0</v>
      </c>
      <c r="AT987" s="284">
        <f t="shared" si="447"/>
        <v>0</v>
      </c>
    </row>
    <row r="988" spans="1:97" s="114" customFormat="1" ht="30.9" x14ac:dyDescent="0.8">
      <c r="A988" s="262">
        <f>ROW()</f>
        <v>988</v>
      </c>
      <c r="C988" s="208"/>
      <c r="D988" s="208"/>
      <c r="E988" s="208"/>
      <c r="F988" s="208"/>
      <c r="G988" s="208"/>
      <c r="H988" s="208"/>
      <c r="J988" s="114" t="str">
        <f t="shared" si="455"/>
        <v/>
      </c>
      <c r="K988" s="114" t="str">
        <f>IF(COUNTBLANK(R988)&gt;0,"",CONCATENATE(R988," for ",N981))</f>
        <v/>
      </c>
      <c r="N988" s="123" t="s">
        <v>119</v>
      </c>
      <c r="O988" s="66"/>
      <c r="P988" s="121"/>
      <c r="Q988" s="121"/>
      <c r="R988" s="121"/>
      <c r="S988" s="133">
        <f>M981</f>
        <v>0</v>
      </c>
      <c r="T988" s="120"/>
      <c r="U988" s="121" t="s">
        <v>292</v>
      </c>
      <c r="V988" s="133">
        <f t="shared" si="448"/>
        <v>0</v>
      </c>
      <c r="W988" s="133">
        <f>VLOOKUP(U988,Sheet1!$B$6:$C$45,2,FALSE)*V988</f>
        <v>0</v>
      </c>
      <c r="X988" s="141"/>
      <c r="Y988" s="122" t="s">
        <v>278</v>
      </c>
      <c r="Z988" s="146">
        <f>VLOOKUP(Takeoffs!Y988,Sheet1!$B$6:$C$124,2,FALSE)</f>
        <v>36</v>
      </c>
      <c r="AA988" s="146">
        <f t="shared" si="449"/>
        <v>0</v>
      </c>
      <c r="AB988" s="143">
        <f t="shared" si="450"/>
        <v>0</v>
      </c>
      <c r="AC988" s="133">
        <f t="shared" si="451"/>
        <v>0</v>
      </c>
      <c r="AD988" s="142">
        <v>1</v>
      </c>
      <c r="AE988" s="141"/>
      <c r="AF988" s="121" t="s">
        <v>292</v>
      </c>
      <c r="AG988" s="146">
        <f>VLOOKUP(Takeoffs!AF988,Sheet1!$B$6:$C$124,2,FALSE)</f>
        <v>0</v>
      </c>
      <c r="AH988" s="146">
        <f t="shared" si="452"/>
        <v>0</v>
      </c>
      <c r="AI988" s="143">
        <f t="shared" si="453"/>
        <v>0</v>
      </c>
      <c r="AJ988" s="133">
        <f t="shared" si="454"/>
        <v>0</v>
      </c>
      <c r="AK988" s="142">
        <f t="shared" si="456"/>
        <v>0</v>
      </c>
      <c r="AL988" s="141"/>
      <c r="AO988" s="286"/>
      <c r="AP988" s="284">
        <f t="shared" si="443"/>
        <v>0</v>
      </c>
      <c r="AQ988" s="281">
        <f t="shared" si="444"/>
        <v>0</v>
      </c>
      <c r="AR988" s="284">
        <f t="shared" si="445"/>
        <v>0</v>
      </c>
      <c r="AS988" s="281">
        <f t="shared" si="446"/>
        <v>0</v>
      </c>
      <c r="AT988" s="284">
        <f t="shared" si="447"/>
        <v>0</v>
      </c>
    </row>
    <row r="989" spans="1:97" s="114" customFormat="1" ht="30.9" x14ac:dyDescent="0.8">
      <c r="A989" s="262">
        <f>ROW()</f>
        <v>989</v>
      </c>
      <c r="C989" s="208"/>
      <c r="D989" s="208"/>
      <c r="E989" s="208"/>
      <c r="F989" s="208"/>
      <c r="G989" s="208"/>
      <c r="H989" s="208"/>
      <c r="J989" s="114" t="str">
        <f t="shared" si="455"/>
        <v/>
      </c>
      <c r="K989" s="114" t="str">
        <f>IF(COUNTBLANK(R989)&gt;0,"",CONCATENATE(R989," for ",N981))</f>
        <v/>
      </c>
      <c r="N989" s="123" t="s">
        <v>120</v>
      </c>
      <c r="O989" s="66" t="s">
        <v>557</v>
      </c>
      <c r="P989" s="121"/>
      <c r="Q989" s="121"/>
      <c r="R989" s="121"/>
      <c r="S989" s="133">
        <f>M981*2</f>
        <v>0</v>
      </c>
      <c r="T989" s="120"/>
      <c r="U989" s="121" t="s">
        <v>292</v>
      </c>
      <c r="V989" s="133">
        <f t="shared" si="448"/>
        <v>0</v>
      </c>
      <c r="W989" s="133">
        <f>VLOOKUP(U989,Sheet1!$B$6:$C$45,2,FALSE)*V989</f>
        <v>0</v>
      </c>
      <c r="X989" s="141"/>
      <c r="Y989" s="122" t="s">
        <v>274</v>
      </c>
      <c r="Z989" s="146">
        <f>VLOOKUP(Takeoffs!Y989,Sheet1!$B$6:$C$124,2,FALSE)</f>
        <v>360</v>
      </c>
      <c r="AA989" s="146">
        <f t="shared" si="449"/>
        <v>0</v>
      </c>
      <c r="AB989" s="143">
        <f t="shared" si="450"/>
        <v>0</v>
      </c>
      <c r="AC989" s="133">
        <f t="shared" si="451"/>
        <v>0</v>
      </c>
      <c r="AD989" s="142">
        <v>1</v>
      </c>
      <c r="AE989" s="141"/>
      <c r="AF989" s="121" t="s">
        <v>292</v>
      </c>
      <c r="AG989" s="146">
        <f>VLOOKUP(Takeoffs!AF989,Sheet1!$B$6:$C$124,2,FALSE)</f>
        <v>0</v>
      </c>
      <c r="AH989" s="146">
        <f t="shared" si="452"/>
        <v>0</v>
      </c>
      <c r="AI989" s="143">
        <f t="shared" si="453"/>
        <v>0</v>
      </c>
      <c r="AJ989" s="133">
        <f t="shared" si="454"/>
        <v>0</v>
      </c>
      <c r="AK989" s="142">
        <f t="shared" si="456"/>
        <v>0</v>
      </c>
      <c r="AL989" s="141"/>
      <c r="AO989" s="286"/>
      <c r="AP989" s="284">
        <f t="shared" si="443"/>
        <v>0</v>
      </c>
      <c r="AQ989" s="281">
        <f t="shared" si="444"/>
        <v>0</v>
      </c>
      <c r="AR989" s="284">
        <f t="shared" si="445"/>
        <v>0</v>
      </c>
      <c r="AS989" s="281">
        <f t="shared" si="446"/>
        <v>0</v>
      </c>
      <c r="AT989" s="284">
        <f t="shared" si="447"/>
        <v>0</v>
      </c>
    </row>
    <row r="990" spans="1:97" s="114" customFormat="1" ht="30.9" x14ac:dyDescent="0.8">
      <c r="A990" s="262">
        <f>ROW()</f>
        <v>990</v>
      </c>
      <c r="C990" s="208"/>
      <c r="D990" s="208"/>
      <c r="E990" s="208"/>
      <c r="F990" s="208"/>
      <c r="G990" s="208"/>
      <c r="H990" s="208"/>
      <c r="J990" s="114" t="str">
        <f t="shared" si="455"/>
        <v/>
      </c>
      <c r="K990" s="114" t="str">
        <f>IF(COUNTBLANK(R990)&gt;0,"",CONCATENATE(R990," for ",N981))</f>
        <v/>
      </c>
      <c r="N990" s="123" t="s">
        <v>121</v>
      </c>
      <c r="O990" s="66" t="s">
        <v>307</v>
      </c>
      <c r="P990" s="121"/>
      <c r="Q990" s="121"/>
      <c r="R990" s="121"/>
      <c r="S990" s="133">
        <f>M981</f>
        <v>0</v>
      </c>
      <c r="T990" s="120"/>
      <c r="U990" s="121" t="s">
        <v>364</v>
      </c>
      <c r="V990" s="133">
        <f t="shared" si="448"/>
        <v>0</v>
      </c>
      <c r="W990" s="133">
        <f>VLOOKUP(U990,Sheet1!$B$6:$C$45,2,FALSE)*V990</f>
        <v>0</v>
      </c>
      <c r="X990" s="141"/>
      <c r="Y990" s="121" t="s">
        <v>292</v>
      </c>
      <c r="Z990" s="146">
        <f>VLOOKUP(Takeoffs!Y990,Sheet1!$B$6:$C$124,2,FALSE)</f>
        <v>0</v>
      </c>
      <c r="AA990" s="146">
        <f t="shared" si="449"/>
        <v>0</v>
      </c>
      <c r="AB990" s="143">
        <f t="shared" si="450"/>
        <v>0</v>
      </c>
      <c r="AC990" s="133">
        <f t="shared" si="451"/>
        <v>0</v>
      </c>
      <c r="AD990" s="142">
        <v>1</v>
      </c>
      <c r="AE990" s="141"/>
      <c r="AF990" s="121" t="s">
        <v>292</v>
      </c>
      <c r="AG990" s="146">
        <f>VLOOKUP(Takeoffs!AF990,Sheet1!$B$6:$C$124,2,FALSE)</f>
        <v>0</v>
      </c>
      <c r="AH990" s="146">
        <f t="shared" si="452"/>
        <v>0</v>
      </c>
      <c r="AI990" s="143">
        <f t="shared" si="453"/>
        <v>0</v>
      </c>
      <c r="AJ990" s="133">
        <f t="shared" si="454"/>
        <v>0</v>
      </c>
      <c r="AK990" s="142">
        <f t="shared" si="456"/>
        <v>0</v>
      </c>
      <c r="AL990" s="141"/>
      <c r="AO990" s="286"/>
      <c r="AP990" s="284">
        <f t="shared" si="443"/>
        <v>0</v>
      </c>
      <c r="AQ990" s="281">
        <f t="shared" si="444"/>
        <v>0</v>
      </c>
      <c r="AR990" s="284">
        <f t="shared" si="445"/>
        <v>0</v>
      </c>
      <c r="AS990" s="281">
        <f t="shared" si="446"/>
        <v>0</v>
      </c>
      <c r="AT990" s="284">
        <f t="shared" si="447"/>
        <v>0</v>
      </c>
    </row>
    <row r="991" spans="1:97" s="114" customFormat="1" ht="30.9" x14ac:dyDescent="0.8">
      <c r="A991" s="262">
        <f>ROW()</f>
        <v>991</v>
      </c>
      <c r="C991" s="208"/>
      <c r="D991" s="208"/>
      <c r="E991" s="208"/>
      <c r="F991" s="208"/>
      <c r="G991" s="208"/>
      <c r="H991" s="208"/>
      <c r="J991" s="114" t="str">
        <f t="shared" si="455"/>
        <v/>
      </c>
      <c r="K991" s="114" t="str">
        <f>IF(COUNTBLANK(R991)&gt;0,"",CONCATENATE(R991," for ",N981))</f>
        <v/>
      </c>
      <c r="N991" s="123" t="s">
        <v>122</v>
      </c>
      <c r="O991" s="66"/>
      <c r="P991" s="121"/>
      <c r="Q991" s="121"/>
      <c r="R991" s="121"/>
      <c r="S991" s="133">
        <f>M981</f>
        <v>0</v>
      </c>
      <c r="T991" s="120"/>
      <c r="U991" s="121" t="s">
        <v>292</v>
      </c>
      <c r="V991" s="133">
        <f t="shared" si="448"/>
        <v>0</v>
      </c>
      <c r="W991" s="133">
        <f>VLOOKUP(U991,Sheet1!$B$6:$C$45,2,FALSE)*V991</f>
        <v>0</v>
      </c>
      <c r="X991" s="141"/>
      <c r="Y991" s="121" t="s">
        <v>292</v>
      </c>
      <c r="Z991" s="146">
        <f>VLOOKUP(Takeoffs!Y991,Sheet1!$B$6:$C$124,2,FALSE)</f>
        <v>0</v>
      </c>
      <c r="AA991" s="146">
        <f t="shared" si="449"/>
        <v>0</v>
      </c>
      <c r="AB991" s="143">
        <f t="shared" si="450"/>
        <v>0</v>
      </c>
      <c r="AC991" s="133">
        <f t="shared" si="451"/>
        <v>0</v>
      </c>
      <c r="AD991" s="142">
        <v>1</v>
      </c>
      <c r="AE991" s="141"/>
      <c r="AF991" s="121" t="s">
        <v>292</v>
      </c>
      <c r="AG991" s="146">
        <f>VLOOKUP(Takeoffs!AF991,Sheet1!$B$6:$C$124,2,FALSE)</f>
        <v>0</v>
      </c>
      <c r="AH991" s="146">
        <f t="shared" si="452"/>
        <v>0</v>
      </c>
      <c r="AI991" s="143">
        <f t="shared" si="453"/>
        <v>0</v>
      </c>
      <c r="AJ991" s="133">
        <f t="shared" si="454"/>
        <v>0</v>
      </c>
      <c r="AK991" s="142">
        <f t="shared" si="456"/>
        <v>0</v>
      </c>
      <c r="AL991" s="141"/>
      <c r="AO991" s="286"/>
      <c r="AP991" s="284">
        <f t="shared" si="443"/>
        <v>0</v>
      </c>
      <c r="AQ991" s="281">
        <f t="shared" si="444"/>
        <v>0</v>
      </c>
      <c r="AR991" s="284">
        <f t="shared" si="445"/>
        <v>0</v>
      </c>
      <c r="AS991" s="281">
        <f t="shared" si="446"/>
        <v>0</v>
      </c>
      <c r="AT991" s="284">
        <f t="shared" si="447"/>
        <v>0</v>
      </c>
    </row>
    <row r="992" spans="1:97" s="114" customFormat="1" ht="30.9" x14ac:dyDescent="0.8">
      <c r="A992" s="262">
        <f>ROW()</f>
        <v>992</v>
      </c>
      <c r="C992" s="208"/>
      <c r="D992" s="208"/>
      <c r="E992" s="208"/>
      <c r="F992" s="208"/>
      <c r="G992" s="208"/>
      <c r="H992" s="208"/>
      <c r="J992" s="114" t="str">
        <f t="shared" si="455"/>
        <v/>
      </c>
      <c r="K992" s="114" t="str">
        <f>IF(COUNTBLANK(R992)&gt;0,"",CONCATENATE(R992," for ",N981))</f>
        <v/>
      </c>
      <c r="N992" s="123" t="s">
        <v>123</v>
      </c>
      <c r="O992" s="66"/>
      <c r="P992" s="121"/>
      <c r="Q992" s="121"/>
      <c r="R992" s="121"/>
      <c r="S992" s="133">
        <f>M981</f>
        <v>0</v>
      </c>
      <c r="T992" s="120"/>
      <c r="U992" s="121" t="s">
        <v>292</v>
      </c>
      <c r="V992" s="133">
        <f t="shared" si="448"/>
        <v>0</v>
      </c>
      <c r="W992" s="133">
        <f>VLOOKUP(U992,Sheet1!$B$6:$C$45,2,FALSE)*V992</f>
        <v>0</v>
      </c>
      <c r="X992" s="141"/>
      <c r="Y992" s="121" t="s">
        <v>292</v>
      </c>
      <c r="Z992" s="146">
        <f>VLOOKUP(Takeoffs!Y992,Sheet1!$B$6:$C$124,2,FALSE)</f>
        <v>0</v>
      </c>
      <c r="AA992" s="146">
        <f t="shared" si="449"/>
        <v>0</v>
      </c>
      <c r="AB992" s="143">
        <f t="shared" si="450"/>
        <v>0</v>
      </c>
      <c r="AC992" s="133">
        <f t="shared" si="451"/>
        <v>0</v>
      </c>
      <c r="AD992" s="142">
        <v>1</v>
      </c>
      <c r="AE992" s="141"/>
      <c r="AF992" s="121" t="s">
        <v>292</v>
      </c>
      <c r="AG992" s="146">
        <f>VLOOKUP(Takeoffs!AF992,Sheet1!$B$6:$C$124,2,FALSE)</f>
        <v>0</v>
      </c>
      <c r="AH992" s="146">
        <f t="shared" si="452"/>
        <v>0</v>
      </c>
      <c r="AI992" s="143">
        <f t="shared" si="453"/>
        <v>0</v>
      </c>
      <c r="AJ992" s="133">
        <f t="shared" si="454"/>
        <v>0</v>
      </c>
      <c r="AK992" s="142">
        <f t="shared" si="456"/>
        <v>0</v>
      </c>
      <c r="AL992" s="141"/>
      <c r="AO992" s="286"/>
      <c r="AP992" s="284">
        <f t="shared" si="443"/>
        <v>0</v>
      </c>
      <c r="AQ992" s="281">
        <f t="shared" si="444"/>
        <v>0</v>
      </c>
      <c r="AR992" s="284">
        <f t="shared" si="445"/>
        <v>0</v>
      </c>
      <c r="AS992" s="281">
        <f t="shared" si="446"/>
        <v>0</v>
      </c>
      <c r="AT992" s="284">
        <f t="shared" si="447"/>
        <v>0</v>
      </c>
    </row>
    <row r="993" spans="1:97" s="114" customFormat="1" ht="30.9" x14ac:dyDescent="0.8">
      <c r="A993" s="262">
        <f>ROW()</f>
        <v>993</v>
      </c>
      <c r="C993" s="208"/>
      <c r="D993" s="208"/>
      <c r="E993" s="208"/>
      <c r="F993" s="208"/>
      <c r="G993" s="208"/>
      <c r="H993" s="208"/>
      <c r="J993" s="114" t="str">
        <f t="shared" si="455"/>
        <v/>
      </c>
      <c r="K993" s="114" t="str">
        <f>IF(COUNTBLANK(R993)&gt;0,"",CONCATENATE(R993," for ",N981))</f>
        <v/>
      </c>
      <c r="N993" s="123" t="s">
        <v>124</v>
      </c>
      <c r="O993" s="66" t="s">
        <v>140</v>
      </c>
      <c r="P993" s="121"/>
      <c r="Q993" s="121"/>
      <c r="R993" s="121"/>
      <c r="S993" s="133">
        <f>M981</f>
        <v>0</v>
      </c>
      <c r="T993" s="120"/>
      <c r="U993" s="121" t="s">
        <v>363</v>
      </c>
      <c r="V993" s="133">
        <f t="shared" si="448"/>
        <v>0</v>
      </c>
      <c r="W993" s="133">
        <f>VLOOKUP(U993,Sheet1!$B$6:$C$45,2,FALSE)*V993</f>
        <v>0</v>
      </c>
      <c r="X993" s="141"/>
      <c r="Y993" s="121" t="s">
        <v>292</v>
      </c>
      <c r="Z993" s="146">
        <f>VLOOKUP(Takeoffs!Y993,Sheet1!$B$6:$C$124,2,FALSE)</f>
        <v>0</v>
      </c>
      <c r="AA993" s="146">
        <f t="shared" si="449"/>
        <v>0</v>
      </c>
      <c r="AB993" s="143">
        <f t="shared" si="450"/>
        <v>0</v>
      </c>
      <c r="AC993" s="133">
        <f t="shared" si="451"/>
        <v>0</v>
      </c>
      <c r="AD993" s="142">
        <v>1</v>
      </c>
      <c r="AE993" s="141"/>
      <c r="AF993" s="144" t="s">
        <v>269</v>
      </c>
      <c r="AG993" s="146">
        <f>VLOOKUP(Takeoffs!AF993,Sheet1!$B$6:$C$124,2,FALSE)</f>
        <v>1.056</v>
      </c>
      <c r="AH993" s="146">
        <f t="shared" si="452"/>
        <v>0</v>
      </c>
      <c r="AI993" s="143">
        <f t="shared" si="453"/>
        <v>0</v>
      </c>
      <c r="AJ993" s="133">
        <f t="shared" si="454"/>
        <v>0</v>
      </c>
      <c r="AK993" s="142">
        <v>30</v>
      </c>
      <c r="AL993" s="141"/>
      <c r="AO993" s="286"/>
      <c r="AP993" s="284">
        <f t="shared" si="443"/>
        <v>0</v>
      </c>
      <c r="AQ993" s="281">
        <f t="shared" si="444"/>
        <v>0</v>
      </c>
      <c r="AR993" s="284">
        <f t="shared" si="445"/>
        <v>0</v>
      </c>
      <c r="AS993" s="281">
        <f t="shared" si="446"/>
        <v>0</v>
      </c>
      <c r="AT993" s="284">
        <f t="shared" si="447"/>
        <v>0</v>
      </c>
    </row>
    <row r="994" spans="1:97" s="114" customFormat="1" ht="30.9" x14ac:dyDescent="0.8">
      <c r="A994" s="262">
        <f>ROW()</f>
        <v>994</v>
      </c>
      <c r="C994" s="208"/>
      <c r="D994" s="208"/>
      <c r="E994" s="208"/>
      <c r="F994" s="208"/>
      <c r="G994" s="208"/>
      <c r="H994" s="208"/>
      <c r="J994" s="114" t="str">
        <f t="shared" si="455"/>
        <v/>
      </c>
      <c r="K994" s="114" t="str">
        <f>IF(COUNTBLANK(R994)&gt;0,"",CONCATENATE(R994," for ",N981))</f>
        <v/>
      </c>
      <c r="N994" s="123" t="s">
        <v>125</v>
      </c>
      <c r="O994" s="66" t="s">
        <v>312</v>
      </c>
      <c r="P994" s="121"/>
      <c r="Q994" s="121"/>
      <c r="R994" s="121"/>
      <c r="S994" s="133">
        <f>M981*2</f>
        <v>0</v>
      </c>
      <c r="T994" s="120"/>
      <c r="U994" s="121" t="s">
        <v>232</v>
      </c>
      <c r="V994" s="133">
        <f t="shared" si="448"/>
        <v>0</v>
      </c>
      <c r="W994" s="133">
        <f>VLOOKUP(U994,Sheet1!$B$6:$C$45,2,FALSE)*V994</f>
        <v>0</v>
      </c>
      <c r="X994" s="141"/>
      <c r="Y994" s="122" t="s">
        <v>1345</v>
      </c>
      <c r="Z994" s="146">
        <f>VLOOKUP(Takeoffs!Y994,Sheet1!$B$6:$C$124,2,FALSE)</f>
        <v>109.25999999999999</v>
      </c>
      <c r="AA994" s="146">
        <f t="shared" si="449"/>
        <v>0</v>
      </c>
      <c r="AB994" s="143">
        <f t="shared" si="450"/>
        <v>0</v>
      </c>
      <c r="AC994" s="133">
        <f t="shared" si="451"/>
        <v>0</v>
      </c>
      <c r="AD994" s="142">
        <v>1</v>
      </c>
      <c r="AE994" s="141"/>
      <c r="AF994" s="121" t="s">
        <v>292</v>
      </c>
      <c r="AG994" s="146">
        <f>VLOOKUP(Takeoffs!AF994,Sheet1!$B$6:$C$124,2,FALSE)</f>
        <v>0</v>
      </c>
      <c r="AH994" s="146">
        <f t="shared" si="452"/>
        <v>0</v>
      </c>
      <c r="AI994" s="143">
        <f t="shared" si="453"/>
        <v>0</v>
      </c>
      <c r="AJ994" s="133">
        <f t="shared" si="454"/>
        <v>0</v>
      </c>
      <c r="AK994" s="142">
        <f t="shared" ref="AK994:AK999" si="457">T994</f>
        <v>0</v>
      </c>
      <c r="AL994" s="141"/>
      <c r="AO994" s="286"/>
      <c r="AP994" s="284">
        <f t="shared" si="443"/>
        <v>0</v>
      </c>
      <c r="AQ994" s="281">
        <f t="shared" si="444"/>
        <v>0</v>
      </c>
      <c r="AR994" s="284">
        <f t="shared" si="445"/>
        <v>0</v>
      </c>
      <c r="AS994" s="281">
        <f t="shared" si="446"/>
        <v>0</v>
      </c>
      <c r="AT994" s="284">
        <f t="shared" si="447"/>
        <v>0</v>
      </c>
    </row>
    <row r="995" spans="1:97" s="114" customFormat="1" ht="30.9" x14ac:dyDescent="0.8">
      <c r="A995" s="262">
        <f>ROW()</f>
        <v>995</v>
      </c>
      <c r="C995" s="208"/>
      <c r="D995" s="208"/>
      <c r="E995" s="208"/>
      <c r="F995" s="208"/>
      <c r="G995" s="208"/>
      <c r="H995" s="208"/>
      <c r="J995" s="114" t="str">
        <f t="shared" si="455"/>
        <v/>
      </c>
      <c r="K995" s="114" t="str">
        <f>IF(COUNTBLANK(R995)&gt;0,"",CONCATENATE(R995," for ",N981))</f>
        <v/>
      </c>
      <c r="N995" s="123" t="s">
        <v>126</v>
      </c>
      <c r="O995" s="66" t="s">
        <v>313</v>
      </c>
      <c r="P995" s="121"/>
      <c r="Q995" s="121"/>
      <c r="R995" s="121"/>
      <c r="S995" s="133">
        <f>M981</f>
        <v>0</v>
      </c>
      <c r="T995" s="120"/>
      <c r="U995" s="121" t="s">
        <v>363</v>
      </c>
      <c r="V995" s="133">
        <f t="shared" si="448"/>
        <v>0</v>
      </c>
      <c r="W995" s="133">
        <f>VLOOKUP(U995,Sheet1!$B$6:$C$45,2,FALSE)*V995</f>
        <v>0</v>
      </c>
      <c r="X995" s="141"/>
      <c r="Y995" s="122" t="s">
        <v>321</v>
      </c>
      <c r="Z995" s="146">
        <f>VLOOKUP(Takeoffs!Y995,Sheet1!$B$6:$C$124,2,FALSE)</f>
        <v>60</v>
      </c>
      <c r="AA995" s="146">
        <f t="shared" si="449"/>
        <v>0</v>
      </c>
      <c r="AB995" s="143">
        <f t="shared" si="450"/>
        <v>0</v>
      </c>
      <c r="AC995" s="133">
        <f t="shared" si="451"/>
        <v>0</v>
      </c>
      <c r="AD995" s="142">
        <v>1</v>
      </c>
      <c r="AE995" s="141"/>
      <c r="AF995" s="121" t="s">
        <v>292</v>
      </c>
      <c r="AG995" s="146">
        <f>VLOOKUP(Takeoffs!AF995,Sheet1!$B$6:$C$124,2,FALSE)</f>
        <v>0</v>
      </c>
      <c r="AH995" s="146">
        <f t="shared" si="452"/>
        <v>0</v>
      </c>
      <c r="AI995" s="143">
        <f t="shared" si="453"/>
        <v>0</v>
      </c>
      <c r="AJ995" s="133">
        <f t="shared" si="454"/>
        <v>0</v>
      </c>
      <c r="AK995" s="142">
        <f t="shared" si="457"/>
        <v>0</v>
      </c>
      <c r="AL995" s="141"/>
      <c r="AO995" s="286"/>
      <c r="AP995" s="284">
        <f t="shared" si="443"/>
        <v>0</v>
      </c>
      <c r="AQ995" s="281">
        <f t="shared" si="444"/>
        <v>0</v>
      </c>
      <c r="AR995" s="284">
        <f t="shared" si="445"/>
        <v>0</v>
      </c>
      <c r="AS995" s="281">
        <f t="shared" si="446"/>
        <v>0</v>
      </c>
      <c r="AT995" s="284">
        <f t="shared" si="447"/>
        <v>0</v>
      </c>
    </row>
    <row r="996" spans="1:97" s="114" customFormat="1" ht="30.9" x14ac:dyDescent="0.8">
      <c r="A996" s="262">
        <f>ROW()</f>
        <v>996</v>
      </c>
      <c r="C996" s="208"/>
      <c r="D996" s="208"/>
      <c r="E996" s="208"/>
      <c r="F996" s="208"/>
      <c r="G996" s="208"/>
      <c r="H996" s="208"/>
      <c r="J996" s="114" t="str">
        <f t="shared" si="455"/>
        <v/>
      </c>
      <c r="K996" s="114" t="str">
        <f>IF(COUNTBLANK(R996)&gt;0,"",CONCATENATE(R996," for ",N981))</f>
        <v>Run and fault lights for Chilled Water AHU with 2 x medium VSD ( Dual fan)</v>
      </c>
      <c r="N996" s="123" t="s">
        <v>127</v>
      </c>
      <c r="O996" s="66" t="s">
        <v>314</v>
      </c>
      <c r="P996" s="121"/>
      <c r="Q996" s="121"/>
      <c r="R996" s="121" t="s">
        <v>455</v>
      </c>
      <c r="S996" s="133">
        <f>M981</f>
        <v>0</v>
      </c>
      <c r="T996" s="120"/>
      <c r="U996" s="121" t="s">
        <v>292</v>
      </c>
      <c r="V996" s="133">
        <f t="shared" si="448"/>
        <v>0</v>
      </c>
      <c r="W996" s="133">
        <f>VLOOKUP(U996,Sheet1!$B$6:$C$45,2,FALSE)*V996</f>
        <v>0</v>
      </c>
      <c r="X996" s="141"/>
      <c r="Y996" s="122" t="s">
        <v>280</v>
      </c>
      <c r="Z996" s="146">
        <f>VLOOKUP(Takeoffs!Y996,Sheet1!$B$6:$C$124,2,FALSE)</f>
        <v>19.2</v>
      </c>
      <c r="AA996" s="146">
        <f t="shared" si="449"/>
        <v>0</v>
      </c>
      <c r="AB996" s="143">
        <f t="shared" si="450"/>
        <v>0</v>
      </c>
      <c r="AC996" s="133">
        <f t="shared" si="451"/>
        <v>0</v>
      </c>
      <c r="AD996" s="142">
        <v>1</v>
      </c>
      <c r="AE996" s="141"/>
      <c r="AF996" s="121" t="s">
        <v>292</v>
      </c>
      <c r="AG996" s="146">
        <f>VLOOKUP(Takeoffs!AF996,Sheet1!$B$6:$C$124,2,FALSE)</f>
        <v>0</v>
      </c>
      <c r="AH996" s="146">
        <f t="shared" si="452"/>
        <v>0</v>
      </c>
      <c r="AI996" s="143">
        <f t="shared" si="453"/>
        <v>0</v>
      </c>
      <c r="AJ996" s="133">
        <f t="shared" si="454"/>
        <v>0</v>
      </c>
      <c r="AK996" s="142">
        <f t="shared" si="457"/>
        <v>0</v>
      </c>
      <c r="AL996" s="141"/>
      <c r="AO996" s="286"/>
      <c r="AP996" s="284">
        <f t="shared" si="443"/>
        <v>0</v>
      </c>
      <c r="AQ996" s="281">
        <f t="shared" si="444"/>
        <v>0</v>
      </c>
      <c r="AR996" s="284">
        <f t="shared" si="445"/>
        <v>0</v>
      </c>
      <c r="AS996" s="281">
        <f t="shared" si="446"/>
        <v>0</v>
      </c>
      <c r="AT996" s="284">
        <f t="shared" si="447"/>
        <v>0</v>
      </c>
    </row>
    <row r="997" spans="1:97" s="114" customFormat="1" ht="30.9" x14ac:dyDescent="0.8">
      <c r="A997" s="262">
        <f>ROW()</f>
        <v>997</v>
      </c>
      <c r="C997" s="208"/>
      <c r="D997" s="208"/>
      <c r="E997" s="208"/>
      <c r="F997" s="208"/>
      <c r="G997" s="208"/>
      <c r="H997" s="208"/>
      <c r="J997" s="114" t="str">
        <f t="shared" si="455"/>
        <v/>
      </c>
      <c r="K997" s="114" t="str">
        <f>IF(COUNTBLANK(R997)&gt;0,"",CONCATENATE(R997," for ",N981))</f>
        <v/>
      </c>
      <c r="N997" s="123" t="s">
        <v>128</v>
      </c>
      <c r="O997" s="66" t="s">
        <v>315</v>
      </c>
      <c r="P997" s="121"/>
      <c r="Q997" s="121"/>
      <c r="R997" s="121"/>
      <c r="S997" s="133">
        <f>M981</f>
        <v>0</v>
      </c>
      <c r="T997" s="120"/>
      <c r="U997" s="121" t="s">
        <v>292</v>
      </c>
      <c r="V997" s="133">
        <f t="shared" si="448"/>
        <v>0</v>
      </c>
      <c r="W997" s="133">
        <f>VLOOKUP(U997,Sheet1!$B$6:$C$45,2,FALSE)*V997</f>
        <v>0</v>
      </c>
      <c r="X997" s="141"/>
      <c r="Y997" s="122" t="s">
        <v>280</v>
      </c>
      <c r="Z997" s="146">
        <f>VLOOKUP(Takeoffs!Y997,Sheet1!$B$6:$C$124,2,FALSE)</f>
        <v>19.2</v>
      </c>
      <c r="AA997" s="146">
        <f t="shared" si="449"/>
        <v>0</v>
      </c>
      <c r="AB997" s="143">
        <f t="shared" si="450"/>
        <v>0</v>
      </c>
      <c r="AC997" s="133">
        <f t="shared" si="451"/>
        <v>0</v>
      </c>
      <c r="AD997" s="142">
        <v>1</v>
      </c>
      <c r="AE997" s="141"/>
      <c r="AF997" s="121" t="s">
        <v>292</v>
      </c>
      <c r="AG997" s="146">
        <f>VLOOKUP(Takeoffs!AF997,Sheet1!$B$6:$C$124,2,FALSE)</f>
        <v>0</v>
      </c>
      <c r="AH997" s="146">
        <f t="shared" si="452"/>
        <v>0</v>
      </c>
      <c r="AI997" s="143">
        <f t="shared" si="453"/>
        <v>0</v>
      </c>
      <c r="AJ997" s="133">
        <f t="shared" si="454"/>
        <v>0</v>
      </c>
      <c r="AK997" s="142">
        <f t="shared" si="457"/>
        <v>0</v>
      </c>
      <c r="AL997" s="141"/>
      <c r="AO997" s="286"/>
      <c r="AP997" s="284">
        <f t="shared" si="443"/>
        <v>0</v>
      </c>
      <c r="AQ997" s="281">
        <f t="shared" si="444"/>
        <v>0</v>
      </c>
      <c r="AR997" s="284">
        <f t="shared" si="445"/>
        <v>0</v>
      </c>
      <c r="AS997" s="281">
        <f t="shared" si="446"/>
        <v>0</v>
      </c>
      <c r="AT997" s="284">
        <f t="shared" si="447"/>
        <v>0</v>
      </c>
    </row>
    <row r="998" spans="1:97" s="114" customFormat="1" ht="30.9" x14ac:dyDescent="0.8">
      <c r="A998" s="262">
        <f>ROW()</f>
        <v>998</v>
      </c>
      <c r="C998" s="208"/>
      <c r="D998" s="208"/>
      <c r="E998" s="208"/>
      <c r="F998" s="208"/>
      <c r="G998" s="208"/>
      <c r="H998" s="208"/>
      <c r="J998" s="114" t="str">
        <f t="shared" si="455"/>
        <v/>
      </c>
      <c r="K998" s="114" t="str">
        <f>IF(COUNTBLANK(R998)&gt;0,"",CONCATENATE(R998," for ",N981))</f>
        <v>Auto/Off/On switch for Chilled Water AHU with 2 x medium VSD ( Dual fan)</v>
      </c>
      <c r="N998" s="123" t="s">
        <v>129</v>
      </c>
      <c r="O998" s="66" t="s">
        <v>329</v>
      </c>
      <c r="P998" s="121"/>
      <c r="Q998" s="121"/>
      <c r="R998" s="121" t="s">
        <v>304</v>
      </c>
      <c r="S998" s="133">
        <f>M981</f>
        <v>0</v>
      </c>
      <c r="T998" s="120"/>
      <c r="U998" s="121" t="s">
        <v>292</v>
      </c>
      <c r="V998" s="133">
        <f t="shared" si="448"/>
        <v>0</v>
      </c>
      <c r="W998" s="133">
        <f>VLOOKUP(U998,Sheet1!$B$6:$C$45,2,FALSE)*V998</f>
        <v>0</v>
      </c>
      <c r="X998" s="141"/>
      <c r="Y998" s="122" t="s">
        <v>277</v>
      </c>
      <c r="Z998" s="146">
        <f>VLOOKUP(Takeoffs!Y998,Sheet1!$B$6:$C$124,2,FALSE)</f>
        <v>69.540000000000006</v>
      </c>
      <c r="AA998" s="146">
        <f t="shared" si="449"/>
        <v>0</v>
      </c>
      <c r="AB998" s="143">
        <f t="shared" si="450"/>
        <v>0</v>
      </c>
      <c r="AC998" s="133">
        <f t="shared" si="451"/>
        <v>0</v>
      </c>
      <c r="AD998" s="142">
        <v>1</v>
      </c>
      <c r="AE998" s="141"/>
      <c r="AF998" s="121" t="s">
        <v>292</v>
      </c>
      <c r="AG998" s="146">
        <f>VLOOKUP(Takeoffs!AF998,Sheet1!$B$6:$C$124,2,FALSE)</f>
        <v>0</v>
      </c>
      <c r="AH998" s="146">
        <f t="shared" si="452"/>
        <v>0</v>
      </c>
      <c r="AI998" s="143">
        <f t="shared" si="453"/>
        <v>0</v>
      </c>
      <c r="AJ998" s="133">
        <f t="shared" si="454"/>
        <v>0</v>
      </c>
      <c r="AK998" s="142">
        <f t="shared" si="457"/>
        <v>0</v>
      </c>
      <c r="AL998" s="141"/>
      <c r="AO998" s="286"/>
      <c r="AP998" s="284">
        <f t="shared" si="443"/>
        <v>0</v>
      </c>
      <c r="AQ998" s="281">
        <f t="shared" si="444"/>
        <v>0</v>
      </c>
      <c r="AR998" s="284">
        <f t="shared" si="445"/>
        <v>0</v>
      </c>
      <c r="AS998" s="281">
        <f t="shared" si="446"/>
        <v>0</v>
      </c>
      <c r="AT998" s="284">
        <f t="shared" si="447"/>
        <v>0</v>
      </c>
    </row>
    <row r="999" spans="1:97" s="114" customFormat="1" ht="30.9" x14ac:dyDescent="0.8">
      <c r="A999" s="262">
        <f>ROW()</f>
        <v>999</v>
      </c>
      <c r="C999" s="208"/>
      <c r="D999" s="208"/>
      <c r="E999" s="208"/>
      <c r="F999" s="208"/>
      <c r="G999" s="208"/>
      <c r="H999" s="208"/>
      <c r="J999" s="114" t="str">
        <f t="shared" si="455"/>
        <v/>
      </c>
      <c r="K999" s="114" t="str">
        <f>IF(COUNTBLANK(R999)&gt;0,"",CONCATENATE(R999," for ",N981))</f>
        <v/>
      </c>
      <c r="N999" s="123" t="s">
        <v>130</v>
      </c>
      <c r="O999" s="66"/>
      <c r="P999" s="121"/>
      <c r="Q999" s="121"/>
      <c r="R999" s="121"/>
      <c r="S999" s="133">
        <f>M981</f>
        <v>0</v>
      </c>
      <c r="T999" s="120"/>
      <c r="U999" s="121" t="s">
        <v>292</v>
      </c>
      <c r="V999" s="133">
        <f t="shared" si="448"/>
        <v>0</v>
      </c>
      <c r="W999" s="133">
        <f>VLOOKUP(U999,Sheet1!$B$6:$C$45,2,FALSE)*V999</f>
        <v>0</v>
      </c>
      <c r="X999" s="141"/>
      <c r="Y999" s="121" t="s">
        <v>292</v>
      </c>
      <c r="Z999" s="146">
        <f>VLOOKUP(Takeoffs!Y999,Sheet1!$B$6:$C$124,2,FALSE)</f>
        <v>0</v>
      </c>
      <c r="AA999" s="146">
        <f t="shared" si="449"/>
        <v>0</v>
      </c>
      <c r="AB999" s="143">
        <f t="shared" si="450"/>
        <v>0</v>
      </c>
      <c r="AC999" s="133">
        <f t="shared" si="451"/>
        <v>0</v>
      </c>
      <c r="AD999" s="142">
        <v>1</v>
      </c>
      <c r="AE999" s="141"/>
      <c r="AF999" s="121" t="s">
        <v>292</v>
      </c>
      <c r="AG999" s="146">
        <f>VLOOKUP(Takeoffs!AF999,Sheet1!$B$6:$C$124,2,FALSE)</f>
        <v>0</v>
      </c>
      <c r="AH999" s="146">
        <f t="shared" si="452"/>
        <v>0</v>
      </c>
      <c r="AI999" s="143">
        <f t="shared" si="453"/>
        <v>0</v>
      </c>
      <c r="AJ999" s="133">
        <f t="shared" si="454"/>
        <v>0</v>
      </c>
      <c r="AK999" s="142">
        <f t="shared" si="457"/>
        <v>0</v>
      </c>
      <c r="AL999" s="141"/>
      <c r="AO999" s="286"/>
      <c r="AP999" s="284">
        <f t="shared" si="443"/>
        <v>0</v>
      </c>
      <c r="AQ999" s="281">
        <f t="shared" si="444"/>
        <v>0</v>
      </c>
      <c r="AR999" s="284">
        <f t="shared" si="445"/>
        <v>0</v>
      </c>
      <c r="AS999" s="281">
        <f t="shared" si="446"/>
        <v>0</v>
      </c>
      <c r="AT999" s="284">
        <f t="shared" si="447"/>
        <v>0</v>
      </c>
    </row>
    <row r="1000" spans="1:97" s="114" customFormat="1" ht="30.9" x14ac:dyDescent="0.8">
      <c r="A1000" s="262">
        <f>ROW()</f>
        <v>1000</v>
      </c>
      <c r="C1000" s="208"/>
      <c r="D1000" s="208"/>
      <c r="E1000" s="208"/>
      <c r="F1000" s="208"/>
      <c r="G1000" s="208"/>
      <c r="H1000" s="208"/>
      <c r="J1000" s="114" t="str">
        <f t="shared" si="455"/>
        <v>Coordination Note: - Fire trade: Please refer to our exclusions relating to fire cabling from FIP.</v>
      </c>
      <c r="K1000" s="114" t="str">
        <f>IF(COUNTBLANK(R1000)&gt;0,"",CONCATENATE(R1000," for ",N981))</f>
        <v/>
      </c>
      <c r="N1000" s="123" t="s">
        <v>131</v>
      </c>
      <c r="O1000" s="66" t="s">
        <v>412</v>
      </c>
      <c r="P1000" s="121" t="s">
        <v>380</v>
      </c>
      <c r="Q1000" s="121" t="s">
        <v>384</v>
      </c>
      <c r="R1000" s="121"/>
      <c r="S1000" s="133">
        <f>M981</f>
        <v>0</v>
      </c>
      <c r="T1000" s="120"/>
      <c r="U1000" s="121" t="s">
        <v>292</v>
      </c>
      <c r="V1000" s="133">
        <f t="shared" si="448"/>
        <v>0</v>
      </c>
      <c r="W1000" s="133">
        <f>VLOOKUP(U1000,Sheet1!$B$6:$C$45,2,FALSE)*V1000</f>
        <v>0</v>
      </c>
      <c r="X1000" s="141"/>
      <c r="Y1000" s="122" t="s">
        <v>322</v>
      </c>
      <c r="Z1000" s="146">
        <f>VLOOKUP(Takeoffs!Y1000,Sheet1!$B$6:$C$124,2,FALSE)</f>
        <v>48</v>
      </c>
      <c r="AA1000" s="146">
        <f t="shared" si="449"/>
        <v>0</v>
      </c>
      <c r="AB1000" s="143">
        <f t="shared" si="450"/>
        <v>0</v>
      </c>
      <c r="AC1000" s="133">
        <f t="shared" si="451"/>
        <v>0</v>
      </c>
      <c r="AD1000" s="142">
        <v>1</v>
      </c>
      <c r="AE1000" s="141"/>
      <c r="AF1000" s="121" t="s">
        <v>292</v>
      </c>
      <c r="AG1000" s="146">
        <f>VLOOKUP(Takeoffs!AF1000,Sheet1!$B$6:$C$124,2,FALSE)</f>
        <v>0</v>
      </c>
      <c r="AH1000" s="146">
        <f t="shared" si="452"/>
        <v>0</v>
      </c>
      <c r="AI1000" s="143">
        <f t="shared" si="453"/>
        <v>0</v>
      </c>
      <c r="AJ1000" s="133">
        <f t="shared" si="454"/>
        <v>0</v>
      </c>
      <c r="AK1000" s="142">
        <f>T1000</f>
        <v>0</v>
      </c>
      <c r="AL1000" s="141"/>
      <c r="AO1000" s="286"/>
      <c r="AP1000" s="284">
        <f t="shared" si="443"/>
        <v>0</v>
      </c>
      <c r="AQ1000" s="281">
        <f t="shared" si="444"/>
        <v>0</v>
      </c>
      <c r="AR1000" s="284">
        <f t="shared" si="445"/>
        <v>0</v>
      </c>
      <c r="AS1000" s="281">
        <f t="shared" si="446"/>
        <v>0</v>
      </c>
      <c r="AT1000" s="284">
        <f t="shared" si="447"/>
        <v>0</v>
      </c>
    </row>
    <row r="1001" spans="1:97" s="114" customFormat="1" ht="30.9" x14ac:dyDescent="0.8">
      <c r="A1001" s="262">
        <f>ROW()</f>
        <v>1001</v>
      </c>
      <c r="C1001" s="208"/>
      <c r="D1001" s="208"/>
      <c r="E1001" s="208"/>
      <c r="F1001" s="208"/>
      <c r="G1001" s="208"/>
      <c r="H1001" s="208"/>
      <c r="J1001" s="114" t="str">
        <f t="shared" si="455"/>
        <v/>
      </c>
      <c r="K1001" s="114" t="str">
        <f>IF(COUNTBLANK(R1001)&gt;0,"",CONCATENATE(R1001," for ",N981))</f>
        <v/>
      </c>
      <c r="N1001" s="123" t="s">
        <v>132</v>
      </c>
      <c r="O1001" s="66" t="s">
        <v>408</v>
      </c>
      <c r="P1001" s="121"/>
      <c r="Q1001" s="121"/>
      <c r="R1001" s="121"/>
      <c r="S1001" s="133">
        <f>M981</f>
        <v>0</v>
      </c>
      <c r="T1001" s="120"/>
      <c r="U1001" s="121" t="s">
        <v>364</v>
      </c>
      <c r="V1001" s="133">
        <f t="shared" si="448"/>
        <v>0</v>
      </c>
      <c r="W1001" s="133">
        <f>VLOOKUP(U1001,Sheet1!$B$6:$C$45,2,FALSE)*V1001</f>
        <v>0</v>
      </c>
      <c r="X1001" s="141"/>
      <c r="Y1001" s="121" t="s">
        <v>292</v>
      </c>
      <c r="Z1001" s="146">
        <f>VLOOKUP(Takeoffs!Y1001,Sheet1!$B$6:$C$124,2,FALSE)</f>
        <v>0</v>
      </c>
      <c r="AA1001" s="146">
        <f t="shared" si="449"/>
        <v>0</v>
      </c>
      <c r="AB1001" s="143">
        <f t="shared" si="450"/>
        <v>0</v>
      </c>
      <c r="AC1001" s="133">
        <f t="shared" si="451"/>
        <v>0</v>
      </c>
      <c r="AD1001" s="142">
        <v>1</v>
      </c>
      <c r="AE1001" s="141"/>
      <c r="AF1001" s="121" t="s">
        <v>292</v>
      </c>
      <c r="AG1001" s="146">
        <f>VLOOKUP(Takeoffs!AF1001,Sheet1!$B$6:$C$124,2,FALSE)</f>
        <v>0</v>
      </c>
      <c r="AH1001" s="146">
        <f t="shared" si="452"/>
        <v>0</v>
      </c>
      <c r="AI1001" s="143">
        <f t="shared" si="453"/>
        <v>0</v>
      </c>
      <c r="AJ1001" s="133">
        <f t="shared" si="454"/>
        <v>0</v>
      </c>
      <c r="AK1001" s="142">
        <f>T1001</f>
        <v>0</v>
      </c>
      <c r="AL1001" s="141"/>
      <c r="AO1001" s="286"/>
      <c r="AP1001" s="284">
        <f t="shared" si="443"/>
        <v>0</v>
      </c>
      <c r="AQ1001" s="281">
        <f t="shared" si="444"/>
        <v>0</v>
      </c>
      <c r="AR1001" s="284">
        <f t="shared" si="445"/>
        <v>0</v>
      </c>
      <c r="AS1001" s="281">
        <f t="shared" si="446"/>
        <v>0</v>
      </c>
      <c r="AT1001" s="284">
        <f t="shared" si="447"/>
        <v>0</v>
      </c>
    </row>
    <row r="1002" spans="1:97" s="128" customFormat="1" ht="31.5" customHeight="1" x14ac:dyDescent="0.8">
      <c r="A1002" s="262">
        <f>ROW()</f>
        <v>1002</v>
      </c>
      <c r="C1002" s="212"/>
      <c r="D1002" s="212"/>
      <c r="E1002" s="212"/>
      <c r="F1002" s="212"/>
      <c r="G1002" s="212"/>
      <c r="H1002" s="212"/>
      <c r="J1002" s="128" t="s">
        <v>377</v>
      </c>
      <c r="L1002" s="128" t="s">
        <v>378</v>
      </c>
      <c r="N1002" s="129"/>
      <c r="O1002" s="130" t="s">
        <v>357</v>
      </c>
      <c r="P1002" s="131">
        <f>V1002+AA1002+AH1002</f>
        <v>0</v>
      </c>
      <c r="Q1002" s="131"/>
      <c r="R1002" s="131"/>
      <c r="S1002" s="130"/>
      <c r="T1002" s="127"/>
      <c r="U1002" s="126" t="s">
        <v>351</v>
      </c>
      <c r="V1002" s="127">
        <f>W1002*80</f>
        <v>0</v>
      </c>
      <c r="W1002" s="147">
        <f>SUM(W981:W1001)</f>
        <v>0</v>
      </c>
      <c r="X1002" s="148"/>
      <c r="Y1002" s="127" t="s">
        <v>352</v>
      </c>
      <c r="Z1002" s="116"/>
      <c r="AA1002" s="116">
        <f>SUM(AA981:AA1001)</f>
        <v>0</v>
      </c>
      <c r="AB1002" s="149"/>
      <c r="AC1002" s="149"/>
      <c r="AD1002" s="149"/>
      <c r="AE1002" s="149"/>
      <c r="AF1002" s="127" t="s">
        <v>356</v>
      </c>
      <c r="AG1002" s="116"/>
      <c r="AH1002" s="116">
        <f>SUM(AH981:AH1001)</f>
        <v>0</v>
      </c>
      <c r="AI1002" s="149"/>
      <c r="AJ1002" s="149"/>
      <c r="AK1002" s="149"/>
      <c r="AL1002" s="149"/>
      <c r="AM1002" s="150">
        <f>P1002</f>
        <v>0</v>
      </c>
      <c r="AO1002" s="286"/>
      <c r="AP1002" s="284">
        <f t="shared" si="443"/>
        <v>0</v>
      </c>
      <c r="AQ1002" s="281">
        <f t="shared" si="444"/>
        <v>0</v>
      </c>
      <c r="AR1002" s="284">
        <f t="shared" si="445"/>
        <v>0</v>
      </c>
      <c r="AS1002" s="281">
        <f t="shared" si="446"/>
        <v>0</v>
      </c>
      <c r="AT1002" s="284">
        <f t="shared" si="447"/>
        <v>0</v>
      </c>
    </row>
    <row r="1003" spans="1:97" s="234" customFormat="1" ht="154.30000000000001" x14ac:dyDescent="0.8">
      <c r="A1003" s="262">
        <f>ROW()</f>
        <v>1003</v>
      </c>
      <c r="B1003" s="234" t="s">
        <v>491</v>
      </c>
      <c r="C1003" s="217" t="str">
        <f>N981</f>
        <v>Chilled Water AHU with 2 x medium VSD ( Dual fan)</v>
      </c>
      <c r="D1003" s="260" t="s">
        <v>678</v>
      </c>
      <c r="E1003" s="238"/>
      <c r="F1003" s="217"/>
      <c r="G1003" s="217"/>
      <c r="H1003" s="245">
        <v>4</v>
      </c>
      <c r="I1003" s="270"/>
      <c r="J1003" s="241" t="str">
        <f>CONCATENATE(O981," ",L981, " (",M981,") ",N981,".", IF(M981&gt;1," Each "," This "),"includes supply and install of ",O982,O983,O984,O985,O986,O987,O988,O989,O990,O991,O992,O993,O994,O995,O996,O997,O998,O999,O1000,O1001,J982,J983,J984,J985,J986,J987,J988,J989,J990,J991,J992,J993,J994,J995,J996,J997,J998,J999,J1000,J1001)</f>
        <v>Electrical power supply and controls to Zero (0) Chilled Water AHU with 2 x medium VSD ( Dual fan). This includes supply and install of power and controls. Power for systems includes: CB ( 2 per system), cabling to VSD ( 2 per system), Danfoss VSD  ( 2 per system), shielded cabling ( 2 per system), local isolator ( 2 per system), fan isolator and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03" s="246">
        <f>P1002</f>
        <v>0</v>
      </c>
      <c r="L1003" s="234" t="str">
        <f>CONCATENATE(Q982,Q983,Q984,Q985,Q986,Q987,Q988,Q989,Q990,Q991,Q992,Q993,Q994,Q995,Q996,Q997,Q998,Q999,Q1000,Q1001,)</f>
        <v>fire cabling from FIP.</v>
      </c>
      <c r="M1003" s="166" t="s">
        <v>367</v>
      </c>
      <c r="N1003" s="160" t="str">
        <f>N981</f>
        <v>Chilled Water AHU with 2 x medium VSD ( Dual fan)</v>
      </c>
      <c r="O1003" s="160" t="s">
        <v>365</v>
      </c>
      <c r="P1003" s="64" t="e">
        <f>P1002/M981</f>
        <v>#DIV/0!</v>
      </c>
      <c r="Q1003" s="161"/>
      <c r="R1003" s="161"/>
      <c r="S1003" s="160"/>
      <c r="T1003" s="161"/>
      <c r="U1003" s="503" t="s">
        <v>366</v>
      </c>
      <c r="V1003" s="503"/>
      <c r="W1003" s="162" t="e">
        <f>W1002/M981</f>
        <v>#DIV/0!</v>
      </c>
      <c r="X1003" s="163"/>
      <c r="Y1003" s="501" t="s">
        <v>365</v>
      </c>
      <c r="Z1003" s="501"/>
      <c r="AA1003" s="164" t="e">
        <f>AA1002/M981</f>
        <v>#DIV/0!</v>
      </c>
      <c r="AB1003" s="161"/>
      <c r="AC1003" s="161"/>
      <c r="AD1003" s="161"/>
      <c r="AE1003" s="161"/>
      <c r="AF1003" s="501" t="s">
        <v>365</v>
      </c>
      <c r="AG1003" s="501"/>
      <c r="AH1003" s="164" t="e">
        <f>AH1002/M981</f>
        <v>#DIV/0!</v>
      </c>
      <c r="AI1003" s="161"/>
      <c r="AJ1003" s="161"/>
      <c r="AK1003" s="161"/>
      <c r="AL1003" s="247"/>
      <c r="AM1003" s="257"/>
      <c r="AN1003" s="236">
        <f>K1003*1.25</f>
        <v>0</v>
      </c>
      <c r="AO1003" s="286"/>
      <c r="AP1003" s="284">
        <f t="shared" si="443"/>
        <v>0</v>
      </c>
      <c r="AQ1003" s="281">
        <f t="shared" si="444"/>
        <v>0</v>
      </c>
      <c r="AR1003" s="284">
        <f t="shared" si="445"/>
        <v>0</v>
      </c>
      <c r="AS1003" s="281">
        <f t="shared" si="446"/>
        <v>0</v>
      </c>
      <c r="AT1003" s="284">
        <f t="shared" si="447"/>
        <v>0</v>
      </c>
      <c r="AU1003" s="117"/>
      <c r="AV1003" s="117"/>
      <c r="AW1003" s="117"/>
      <c r="AX1003" s="117"/>
      <c r="AY1003" s="117"/>
      <c r="AZ1003" s="117"/>
      <c r="BA1003" s="117"/>
      <c r="BB1003" s="117"/>
      <c r="BC1003" s="117"/>
      <c r="BD1003" s="117"/>
      <c r="BE1003" s="117"/>
      <c r="BF1003" s="117"/>
      <c r="BG1003" s="117"/>
      <c r="BH1003" s="117"/>
      <c r="BI1003" s="117"/>
      <c r="BJ1003" s="117"/>
      <c r="BK1003" s="117"/>
      <c r="BL1003" s="117"/>
      <c r="BM1003" s="117"/>
      <c r="BN1003" s="117"/>
      <c r="BO1003" s="117"/>
      <c r="BP1003" s="117"/>
      <c r="BQ1003" s="117"/>
      <c r="BR1003" s="117"/>
      <c r="BS1003" s="117"/>
      <c r="BT1003" s="117"/>
      <c r="BU1003" s="117"/>
      <c r="BV1003" s="117"/>
      <c r="BW1003" s="117"/>
      <c r="BX1003" s="117"/>
      <c r="BY1003" s="117"/>
      <c r="BZ1003" s="117"/>
      <c r="CA1003" s="117"/>
      <c r="CB1003" s="117"/>
      <c r="CC1003" s="117"/>
      <c r="CD1003" s="117"/>
      <c r="CE1003" s="117"/>
      <c r="CF1003" s="117"/>
      <c r="CG1003" s="117"/>
      <c r="CH1003" s="117"/>
      <c r="CI1003" s="117"/>
      <c r="CJ1003" s="117"/>
      <c r="CK1003" s="117"/>
      <c r="CL1003" s="117"/>
      <c r="CM1003" s="117"/>
      <c r="CN1003" s="117"/>
      <c r="CO1003" s="117"/>
      <c r="CP1003" s="117"/>
      <c r="CQ1003" s="117"/>
      <c r="CR1003" s="117"/>
      <c r="CS1003" s="117"/>
    </row>
    <row r="1004" spans="1:97" s="116" customFormat="1" ht="192.75" customHeight="1" x14ac:dyDescent="0.8">
      <c r="A1004" s="262">
        <f>ROW()</f>
        <v>1004</v>
      </c>
      <c r="C1004" s="211"/>
      <c r="D1004" s="211"/>
      <c r="E1004" s="211"/>
      <c r="F1004" s="211"/>
      <c r="G1004" s="211"/>
      <c r="H1004" s="211"/>
      <c r="K1004" s="116" t="s">
        <v>452</v>
      </c>
      <c r="M1004" s="116" t="s">
        <v>107</v>
      </c>
      <c r="N1004" s="116" t="s">
        <v>108</v>
      </c>
      <c r="O1004" s="170" t="s">
        <v>386</v>
      </c>
      <c r="P1004" s="504" t="s">
        <v>375</v>
      </c>
      <c r="Q1004" s="504"/>
      <c r="R1004" s="101" t="s">
        <v>452</v>
      </c>
      <c r="S1004" s="116" t="s">
        <v>0</v>
      </c>
      <c r="T1004" s="118"/>
      <c r="U1004" s="116" t="s">
        <v>287</v>
      </c>
      <c r="V1004" s="116" t="s">
        <v>288</v>
      </c>
      <c r="W1004" s="116" t="s">
        <v>291</v>
      </c>
      <c r="X1004" s="140"/>
      <c r="Y1004" s="116" t="s">
        <v>289</v>
      </c>
      <c r="Z1004" s="116" t="s">
        <v>354</v>
      </c>
      <c r="AA1004" s="116" t="s">
        <v>355</v>
      </c>
      <c r="AB1004" s="116" t="s">
        <v>317</v>
      </c>
      <c r="AC1004" s="116" t="s">
        <v>318</v>
      </c>
      <c r="AD1004" s="116" t="s">
        <v>316</v>
      </c>
      <c r="AE1004" s="140"/>
      <c r="AF1004" s="116" t="s">
        <v>293</v>
      </c>
      <c r="AG1004" s="116" t="s">
        <v>354</v>
      </c>
      <c r="AH1004" s="116" t="s">
        <v>355</v>
      </c>
      <c r="AI1004" s="116" t="s">
        <v>296</v>
      </c>
      <c r="AJ1004" s="116" t="s">
        <v>294</v>
      </c>
      <c r="AK1004" s="116" t="s">
        <v>295</v>
      </c>
      <c r="AL1004" s="140"/>
      <c r="AO1004" s="288"/>
      <c r="AP1004" s="284">
        <f t="shared" si="443"/>
        <v>0</v>
      </c>
      <c r="AQ1004" s="281">
        <f t="shared" si="444"/>
        <v>0</v>
      </c>
      <c r="AR1004" s="284">
        <f t="shared" si="445"/>
        <v>0</v>
      </c>
      <c r="AS1004" s="281">
        <f t="shared" si="446"/>
        <v>0</v>
      </c>
      <c r="AT1004" s="284">
        <f t="shared" si="447"/>
        <v>0</v>
      </c>
    </row>
    <row r="1005" spans="1:97" s="114" customFormat="1" ht="31.5" customHeight="1" x14ac:dyDescent="0.8">
      <c r="A1005" s="262">
        <f>ROW()</f>
        <v>1005</v>
      </c>
      <c r="C1005" s="208"/>
      <c r="D1005" s="208"/>
      <c r="E1005" s="208"/>
      <c r="F1005" s="208"/>
      <c r="G1005" s="208"/>
      <c r="H1005" s="208"/>
      <c r="L1005" s="124" t="str">
        <f>VLOOKUP(M1005,Sheet2!$D$2:$E$1024,2,FALSE)</f>
        <v>Zero</v>
      </c>
      <c r="M1005" s="121">
        <f>I1027</f>
        <v>0</v>
      </c>
      <c r="N1005" s="132" t="s">
        <v>550</v>
      </c>
      <c r="O1005" s="121" t="s">
        <v>347</v>
      </c>
      <c r="P1005" s="169" t="s">
        <v>379</v>
      </c>
      <c r="Q1005" s="169" t="s">
        <v>375</v>
      </c>
      <c r="R1005" s="169"/>
      <c r="S1005" s="133">
        <f>M1005</f>
        <v>0</v>
      </c>
      <c r="T1005" s="119"/>
      <c r="U1005" s="153" t="s">
        <v>292</v>
      </c>
      <c r="V1005" s="133">
        <f>S1005</f>
        <v>0</v>
      </c>
      <c r="W1005" s="133">
        <f>VLOOKUP(U1005,Sheet1!$B$6:$C$45,2,FALSE)*V1005</f>
        <v>0</v>
      </c>
      <c r="X1005" s="141"/>
      <c r="Y1005" s="121" t="s">
        <v>292</v>
      </c>
      <c r="Z1005" s="146">
        <f>VLOOKUP(Takeoffs!Y1005,Sheet1!$B$6:$C$124,2,FALSE)</f>
        <v>0</v>
      </c>
      <c r="AA1005" s="146">
        <f>Z1005*AB1005</f>
        <v>0</v>
      </c>
      <c r="AB1005" s="143">
        <f>AD1005*AC1005</f>
        <v>0</v>
      </c>
      <c r="AC1005" s="133">
        <f>S1005</f>
        <v>0</v>
      </c>
      <c r="AD1005" s="142">
        <v>1</v>
      </c>
      <c r="AE1005" s="141"/>
      <c r="AF1005" s="121" t="s">
        <v>292</v>
      </c>
      <c r="AG1005" s="146">
        <f>VLOOKUP(Takeoffs!AF1005,Sheet1!$B$6:$C$124,2,FALSE)</f>
        <v>0</v>
      </c>
      <c r="AH1005" s="146">
        <f>AG1005*AI1005</f>
        <v>0</v>
      </c>
      <c r="AI1005" s="143">
        <f>AK1005*AJ1005</f>
        <v>0</v>
      </c>
      <c r="AJ1005" s="133">
        <f>S1005</f>
        <v>0</v>
      </c>
      <c r="AK1005" s="142">
        <f>T1005</f>
        <v>0</v>
      </c>
      <c r="AL1005" s="141"/>
      <c r="AO1005" s="286"/>
      <c r="AP1005" s="284">
        <f t="shared" si="443"/>
        <v>0</v>
      </c>
      <c r="AQ1005" s="281">
        <f t="shared" si="444"/>
        <v>0</v>
      </c>
      <c r="AR1005" s="284">
        <f t="shared" si="445"/>
        <v>0</v>
      </c>
      <c r="AS1005" s="281">
        <f t="shared" si="446"/>
        <v>0</v>
      </c>
      <c r="AT1005" s="284">
        <f t="shared" si="447"/>
        <v>0</v>
      </c>
    </row>
    <row r="1006" spans="1:97" s="114" customFormat="1" ht="30.9" x14ac:dyDescent="0.8">
      <c r="A1006" s="262">
        <f>ROW()</f>
        <v>1006</v>
      </c>
      <c r="C1006" s="208"/>
      <c r="D1006" s="208"/>
      <c r="E1006" s="208"/>
      <c r="F1006" s="208"/>
      <c r="G1006" s="208"/>
      <c r="H1006" s="208"/>
      <c r="J1006" s="114" t="str">
        <f>IF(COUNTBLANK(Q1006)&gt;0,"",CONCATENATE("Coordination Note: - ",P1006,": Please refer to our exclusions relating to ",Q1006))</f>
        <v/>
      </c>
      <c r="K1006" s="114" t="str">
        <f>IF(COUNTBLANK(R1006)&gt;0,"",CONCATENATE(R1006," for ",N1005))</f>
        <v/>
      </c>
      <c r="M1006" s="117"/>
      <c r="N1006" s="123" t="s">
        <v>113</v>
      </c>
      <c r="O1006" s="66" t="s">
        <v>411</v>
      </c>
      <c r="P1006" s="121"/>
      <c r="Q1006" s="121"/>
      <c r="R1006" s="121"/>
      <c r="S1006" s="133">
        <f>M1005</f>
        <v>0</v>
      </c>
      <c r="T1006" s="120"/>
      <c r="U1006" s="121" t="s">
        <v>235</v>
      </c>
      <c r="V1006" s="133">
        <f t="shared" ref="V1006:V1025" si="458">S1006</f>
        <v>0</v>
      </c>
      <c r="W1006" s="133">
        <f>VLOOKUP(U1006,Sheet1!$B$6:$C$45,2,FALSE)*V1006</f>
        <v>0</v>
      </c>
      <c r="X1006" s="141"/>
      <c r="Y1006" s="121" t="s">
        <v>292</v>
      </c>
      <c r="Z1006" s="146">
        <f>VLOOKUP(Takeoffs!Y1006,Sheet1!$B$6:$C$124,2,FALSE)</f>
        <v>0</v>
      </c>
      <c r="AA1006" s="146">
        <f t="shared" ref="AA1006:AA1025" si="459">Z1006*AB1006</f>
        <v>0</v>
      </c>
      <c r="AB1006" s="143">
        <f t="shared" ref="AB1006:AB1025" si="460">AD1006*AC1006</f>
        <v>0</v>
      </c>
      <c r="AC1006" s="133">
        <f t="shared" ref="AC1006:AC1025" si="461">S1006</f>
        <v>0</v>
      </c>
      <c r="AD1006" s="142">
        <v>1</v>
      </c>
      <c r="AE1006" s="141"/>
      <c r="AF1006" s="121" t="s">
        <v>292</v>
      </c>
      <c r="AG1006" s="146">
        <f>VLOOKUP(Takeoffs!AF1006,Sheet1!$B$6:$C$124,2,FALSE)</f>
        <v>0</v>
      </c>
      <c r="AH1006" s="146">
        <f t="shared" ref="AH1006:AH1025" si="462">AG1006*AI1006</f>
        <v>0</v>
      </c>
      <c r="AI1006" s="143">
        <f t="shared" ref="AI1006:AI1025" si="463">AK1006*AJ1006</f>
        <v>0</v>
      </c>
      <c r="AJ1006" s="133">
        <f t="shared" ref="AJ1006:AJ1025" si="464">S1006</f>
        <v>0</v>
      </c>
      <c r="AK1006" s="142"/>
      <c r="AL1006" s="141"/>
      <c r="AO1006" s="286"/>
      <c r="AP1006" s="284">
        <f t="shared" si="443"/>
        <v>0</v>
      </c>
      <c r="AQ1006" s="281">
        <f t="shared" si="444"/>
        <v>0</v>
      </c>
      <c r="AR1006" s="284">
        <f t="shared" si="445"/>
        <v>0</v>
      </c>
      <c r="AS1006" s="281">
        <f t="shared" si="446"/>
        <v>0</v>
      </c>
      <c r="AT1006" s="284">
        <f t="shared" si="447"/>
        <v>0</v>
      </c>
    </row>
    <row r="1007" spans="1:97" s="114" customFormat="1" ht="30.9" x14ac:dyDescent="0.8">
      <c r="A1007" s="262">
        <f>ROW()</f>
        <v>1007</v>
      </c>
      <c r="C1007" s="208"/>
      <c r="D1007" s="208"/>
      <c r="E1007" s="208"/>
      <c r="F1007" s="208"/>
      <c r="G1007" s="208"/>
      <c r="H1007" s="208"/>
      <c r="J1007" s="114" t="str">
        <f t="shared" ref="J1007:J1025" si="465">IF(COUNTBLANK(Q1007)&gt;0,"",CONCATENATE("Coordination Note: - ",P1007,": Please refer to our exclusions relating to ",Q1007))</f>
        <v/>
      </c>
      <c r="K1007" s="114" t="str">
        <f>IF(COUNTBLANK(R1007)&gt;0,"",CONCATENATE(R1007," for ",N1005))</f>
        <v/>
      </c>
      <c r="M1007" s="117"/>
      <c r="N1007" s="123" t="s">
        <v>114</v>
      </c>
      <c r="O1007" s="66" t="s">
        <v>308</v>
      </c>
      <c r="P1007" s="121"/>
      <c r="Q1007" s="121"/>
      <c r="R1007" s="121"/>
      <c r="S1007" s="133">
        <f>M1005</f>
        <v>0</v>
      </c>
      <c r="T1007" s="120"/>
      <c r="U1007" s="121" t="s">
        <v>292</v>
      </c>
      <c r="V1007" s="133">
        <f t="shared" si="458"/>
        <v>0</v>
      </c>
      <c r="W1007" s="133">
        <f>VLOOKUP(U1007,Sheet1!$B$6:$C$45,2,FALSE)*V1007</f>
        <v>0</v>
      </c>
      <c r="X1007" s="141"/>
      <c r="Y1007" s="122" t="s">
        <v>252</v>
      </c>
      <c r="Z1007" s="146">
        <f>VLOOKUP(Takeoffs!Y1007,Sheet1!$B$6:$C$124,2,FALSE)</f>
        <v>43.440000000000005</v>
      </c>
      <c r="AA1007" s="146">
        <f t="shared" si="459"/>
        <v>0</v>
      </c>
      <c r="AB1007" s="143">
        <f t="shared" si="460"/>
        <v>0</v>
      </c>
      <c r="AC1007" s="133">
        <f t="shared" si="461"/>
        <v>0</v>
      </c>
      <c r="AD1007" s="142">
        <v>1</v>
      </c>
      <c r="AE1007" s="141"/>
      <c r="AF1007" s="121" t="s">
        <v>292</v>
      </c>
      <c r="AG1007" s="146">
        <f>VLOOKUP(Takeoffs!AF1007,Sheet1!$B$6:$C$124,2,FALSE)</f>
        <v>0</v>
      </c>
      <c r="AH1007" s="146">
        <f t="shared" si="462"/>
        <v>0</v>
      </c>
      <c r="AI1007" s="143">
        <f t="shared" si="463"/>
        <v>0</v>
      </c>
      <c r="AJ1007" s="133">
        <f t="shared" si="464"/>
        <v>0</v>
      </c>
      <c r="AK1007" s="142">
        <f>T1007</f>
        <v>0</v>
      </c>
      <c r="AL1007" s="141"/>
      <c r="AO1007" s="286"/>
      <c r="AP1007" s="284">
        <f t="shared" si="443"/>
        <v>0</v>
      </c>
      <c r="AQ1007" s="281">
        <f t="shared" si="444"/>
        <v>0</v>
      </c>
      <c r="AR1007" s="284">
        <f t="shared" si="445"/>
        <v>0</v>
      </c>
      <c r="AS1007" s="281">
        <f t="shared" si="446"/>
        <v>0</v>
      </c>
      <c r="AT1007" s="284">
        <f t="shared" si="447"/>
        <v>0</v>
      </c>
    </row>
    <row r="1008" spans="1:97" s="114" customFormat="1" ht="30.9" x14ac:dyDescent="0.8">
      <c r="A1008" s="262">
        <f>ROW()</f>
        <v>1008</v>
      </c>
      <c r="C1008" s="208"/>
      <c r="D1008" s="208"/>
      <c r="E1008" s="208"/>
      <c r="F1008" s="208"/>
      <c r="G1008" s="208"/>
      <c r="H1008" s="208"/>
      <c r="J1008" s="114" t="str">
        <f t="shared" si="465"/>
        <v/>
      </c>
      <c r="K1008" s="114" t="str">
        <f>IF(COUNTBLANK(R1008)&gt;0,"",CONCATENATE(R1008," for ",N1005))</f>
        <v/>
      </c>
      <c r="M1008" s="117"/>
      <c r="N1008" s="123" t="s">
        <v>115</v>
      </c>
      <c r="O1008" s="66" t="s">
        <v>305</v>
      </c>
      <c r="P1008" s="121"/>
      <c r="Q1008" s="121"/>
      <c r="R1008" s="121"/>
      <c r="S1008" s="133">
        <f>M1005</f>
        <v>0</v>
      </c>
      <c r="T1008" s="120"/>
      <c r="U1008" s="117" t="s">
        <v>478</v>
      </c>
      <c r="V1008" s="133">
        <f t="shared" si="458"/>
        <v>0</v>
      </c>
      <c r="W1008" s="133">
        <f>VLOOKUP(U1008,Sheet1!$B$6:$C$45,2,FALSE)*V1008</f>
        <v>0</v>
      </c>
      <c r="X1008" s="141"/>
      <c r="Y1008" s="121" t="s">
        <v>292</v>
      </c>
      <c r="Z1008" s="146">
        <f>VLOOKUP(Takeoffs!Y1008,Sheet1!$B$6:$C$124,2,FALSE)</f>
        <v>0</v>
      </c>
      <c r="AA1008" s="146">
        <f t="shared" si="459"/>
        <v>0</v>
      </c>
      <c r="AB1008" s="143">
        <f t="shared" si="460"/>
        <v>0</v>
      </c>
      <c r="AC1008" s="133">
        <f t="shared" si="461"/>
        <v>0</v>
      </c>
      <c r="AD1008" s="142">
        <v>1</v>
      </c>
      <c r="AE1008" s="141"/>
      <c r="AF1008" s="122" t="s">
        <v>267</v>
      </c>
      <c r="AG1008" s="146">
        <f>VLOOKUP(Takeoffs!AF1008,Sheet1!$B$6:$C$124,2,FALSE)</f>
        <v>3.48</v>
      </c>
      <c r="AH1008" s="146">
        <f t="shared" si="462"/>
        <v>0</v>
      </c>
      <c r="AI1008" s="143">
        <f t="shared" si="463"/>
        <v>0</v>
      </c>
      <c r="AJ1008" s="133">
        <f t="shared" si="464"/>
        <v>0</v>
      </c>
      <c r="AK1008" s="142">
        <v>20</v>
      </c>
      <c r="AL1008" s="141"/>
      <c r="AO1008" s="286"/>
      <c r="AP1008" s="284">
        <f t="shared" si="443"/>
        <v>0</v>
      </c>
      <c r="AQ1008" s="281">
        <f t="shared" si="444"/>
        <v>0</v>
      </c>
      <c r="AR1008" s="284">
        <f t="shared" si="445"/>
        <v>0</v>
      </c>
      <c r="AS1008" s="281">
        <f t="shared" si="446"/>
        <v>0</v>
      </c>
      <c r="AT1008" s="284">
        <f t="shared" si="447"/>
        <v>0</v>
      </c>
    </row>
    <row r="1009" spans="1:46" s="114" customFormat="1" ht="30.9" x14ac:dyDescent="0.8">
      <c r="A1009" s="262">
        <f>ROW()</f>
        <v>1009</v>
      </c>
      <c r="C1009" s="208"/>
      <c r="D1009" s="208"/>
      <c r="E1009" s="208"/>
      <c r="F1009" s="208"/>
      <c r="G1009" s="208"/>
      <c r="H1009" s="208"/>
      <c r="J1009" s="114" t="str">
        <f t="shared" si="465"/>
        <v/>
      </c>
      <c r="K1009" s="114" t="str">
        <f>IF(COUNTBLANK(R1009)&gt;0,"",CONCATENATE(R1009," for ",N1005))</f>
        <v/>
      </c>
      <c r="M1009" s="117"/>
      <c r="N1009" s="123" t="s">
        <v>116</v>
      </c>
      <c r="O1009" s="66" t="s">
        <v>323</v>
      </c>
      <c r="P1009" s="121"/>
      <c r="Q1009" s="121"/>
      <c r="R1009" s="121"/>
      <c r="S1009" s="133">
        <f>M1005</f>
        <v>0</v>
      </c>
      <c r="T1009" s="120"/>
      <c r="U1009" s="121" t="s">
        <v>292</v>
      </c>
      <c r="V1009" s="133">
        <f t="shared" si="458"/>
        <v>0</v>
      </c>
      <c r="W1009" s="133">
        <f>VLOOKUP(U1009,Sheet1!$B$6:$C$45,2,FALSE)*V1009</f>
        <v>0</v>
      </c>
      <c r="X1009" s="141"/>
      <c r="Y1009" s="135" t="s">
        <v>546</v>
      </c>
      <c r="Z1009" s="146">
        <f>VLOOKUP(Takeoffs!Y1009,Sheet1!$B$6:$C$124,2,FALSE)</f>
        <v>865.92</v>
      </c>
      <c r="AA1009" s="146">
        <f t="shared" si="459"/>
        <v>0</v>
      </c>
      <c r="AB1009" s="143">
        <f t="shared" si="460"/>
        <v>0</v>
      </c>
      <c r="AC1009" s="133">
        <f t="shared" si="461"/>
        <v>0</v>
      </c>
      <c r="AD1009" s="142">
        <v>1</v>
      </c>
      <c r="AE1009" s="141"/>
      <c r="AF1009" s="121" t="s">
        <v>292</v>
      </c>
      <c r="AG1009" s="146">
        <f>VLOOKUP(Takeoffs!AF1009,Sheet1!$B$6:$C$124,2,FALSE)</f>
        <v>0</v>
      </c>
      <c r="AH1009" s="146">
        <f t="shared" si="462"/>
        <v>0</v>
      </c>
      <c r="AI1009" s="143">
        <f t="shared" si="463"/>
        <v>0</v>
      </c>
      <c r="AJ1009" s="133">
        <f t="shared" si="464"/>
        <v>0</v>
      </c>
      <c r="AK1009" s="142">
        <f>T1009</f>
        <v>0</v>
      </c>
      <c r="AL1009" s="141"/>
      <c r="AO1009" s="286"/>
      <c r="AP1009" s="284">
        <f t="shared" si="443"/>
        <v>0</v>
      </c>
      <c r="AQ1009" s="281">
        <f t="shared" si="444"/>
        <v>0</v>
      </c>
      <c r="AR1009" s="284">
        <f t="shared" si="445"/>
        <v>0</v>
      </c>
      <c r="AS1009" s="281">
        <f t="shared" si="446"/>
        <v>0</v>
      </c>
      <c r="AT1009" s="284">
        <f t="shared" si="447"/>
        <v>0</v>
      </c>
    </row>
    <row r="1010" spans="1:46" s="114" customFormat="1" ht="30.9" x14ac:dyDescent="0.8">
      <c r="A1010" s="262">
        <f>ROW()</f>
        <v>1010</v>
      </c>
      <c r="C1010" s="208"/>
      <c r="D1010" s="208"/>
      <c r="E1010" s="208"/>
      <c r="F1010" s="208"/>
      <c r="G1010" s="208"/>
      <c r="H1010" s="208"/>
      <c r="J1010" s="114" t="str">
        <f t="shared" si="465"/>
        <v/>
      </c>
      <c r="K1010" s="114" t="str">
        <f>IF(COUNTBLANK(R1010)&gt;0,"",CONCATENATE(R1010," for ",N1005))</f>
        <v/>
      </c>
      <c r="M1010" s="117"/>
      <c r="N1010" s="123" t="s">
        <v>117</v>
      </c>
      <c r="O1010" s="66" t="s">
        <v>390</v>
      </c>
      <c r="P1010" s="121"/>
      <c r="Q1010" s="121"/>
      <c r="R1010" s="121"/>
      <c r="S1010" s="133">
        <f>M1005</f>
        <v>0</v>
      </c>
      <c r="T1010" s="120"/>
      <c r="U1010" s="121" t="s">
        <v>292</v>
      </c>
      <c r="V1010" s="133">
        <f t="shared" si="458"/>
        <v>0</v>
      </c>
      <c r="W1010" s="133">
        <f>VLOOKUP(U1010,Sheet1!$B$6:$C$45,2,FALSE)*V1010</f>
        <v>0</v>
      </c>
      <c r="X1010" s="141"/>
      <c r="Y1010" s="121" t="s">
        <v>292</v>
      </c>
      <c r="Z1010" s="146">
        <f>VLOOKUP(Takeoffs!Y1010,Sheet1!$B$6:$C$124,2,FALSE)</f>
        <v>0</v>
      </c>
      <c r="AA1010" s="146">
        <f t="shared" si="459"/>
        <v>0</v>
      </c>
      <c r="AB1010" s="143">
        <f t="shared" si="460"/>
        <v>0</v>
      </c>
      <c r="AC1010" s="133">
        <f t="shared" si="461"/>
        <v>0</v>
      </c>
      <c r="AD1010" s="142">
        <v>1</v>
      </c>
      <c r="AE1010" s="141"/>
      <c r="AF1010" s="122" t="s">
        <v>267</v>
      </c>
      <c r="AG1010" s="146">
        <f>VLOOKUP(Takeoffs!AF1010,Sheet1!$B$6:$C$124,2,FALSE)</f>
        <v>3.48</v>
      </c>
      <c r="AH1010" s="146">
        <f t="shared" si="462"/>
        <v>0</v>
      </c>
      <c r="AI1010" s="143">
        <f t="shared" si="463"/>
        <v>0</v>
      </c>
      <c r="AJ1010" s="133">
        <f t="shared" si="464"/>
        <v>0</v>
      </c>
      <c r="AK1010" s="142">
        <v>3</v>
      </c>
      <c r="AL1010" s="141"/>
      <c r="AO1010" s="286"/>
      <c r="AP1010" s="284">
        <f t="shared" si="443"/>
        <v>0</v>
      </c>
      <c r="AQ1010" s="281">
        <f t="shared" si="444"/>
        <v>0</v>
      </c>
      <c r="AR1010" s="284">
        <f t="shared" si="445"/>
        <v>0</v>
      </c>
      <c r="AS1010" s="281">
        <f t="shared" si="446"/>
        <v>0</v>
      </c>
      <c r="AT1010" s="284">
        <f t="shared" si="447"/>
        <v>0</v>
      </c>
    </row>
    <row r="1011" spans="1:46" s="114" customFormat="1" ht="30.9" x14ac:dyDescent="0.8">
      <c r="A1011" s="262">
        <f>ROW()</f>
        <v>1011</v>
      </c>
      <c r="C1011" s="208"/>
      <c r="D1011" s="208"/>
      <c r="E1011" s="208"/>
      <c r="F1011" s="208"/>
      <c r="G1011" s="208"/>
      <c r="H1011" s="208"/>
      <c r="J1011" s="114" t="str">
        <f t="shared" si="465"/>
        <v/>
      </c>
      <c r="K1011" s="114" t="str">
        <f>IF(COUNTBLANK(R1011)&gt;0,"",CONCATENATE(R1011," for ",N1005))</f>
        <v/>
      </c>
      <c r="M1011" s="117"/>
      <c r="N1011" s="123" t="s">
        <v>118</v>
      </c>
      <c r="O1011" s="66" t="s">
        <v>309</v>
      </c>
      <c r="P1011" s="121"/>
      <c r="Q1011" s="121"/>
      <c r="R1011" s="121"/>
      <c r="S1011" s="133">
        <f>M1005</f>
        <v>0</v>
      </c>
      <c r="T1011" s="120"/>
      <c r="U1011" s="121" t="s">
        <v>292</v>
      </c>
      <c r="V1011" s="133">
        <f t="shared" si="458"/>
        <v>0</v>
      </c>
      <c r="W1011" s="133">
        <f>VLOOKUP(U1011,Sheet1!$B$6:$C$45,2,FALSE)*V1011</f>
        <v>0</v>
      </c>
      <c r="X1011" s="141"/>
      <c r="Y1011" s="122" t="s">
        <v>245</v>
      </c>
      <c r="Z1011" s="146">
        <f>VLOOKUP(Takeoffs!Y1011,Sheet1!$B$6:$C$124,2,FALSE)</f>
        <v>46.463999999999999</v>
      </c>
      <c r="AA1011" s="146">
        <f t="shared" si="459"/>
        <v>0</v>
      </c>
      <c r="AB1011" s="143">
        <f t="shared" si="460"/>
        <v>0</v>
      </c>
      <c r="AC1011" s="133">
        <f t="shared" si="461"/>
        <v>0</v>
      </c>
      <c r="AD1011" s="142">
        <v>1</v>
      </c>
      <c r="AE1011" s="141"/>
      <c r="AF1011" s="121" t="s">
        <v>292</v>
      </c>
      <c r="AG1011" s="146">
        <f>VLOOKUP(Takeoffs!AF1011,Sheet1!$B$6:$C$124,2,FALSE)</f>
        <v>0</v>
      </c>
      <c r="AH1011" s="146">
        <f t="shared" si="462"/>
        <v>0</v>
      </c>
      <c r="AI1011" s="143">
        <f t="shared" si="463"/>
        <v>0</v>
      </c>
      <c r="AJ1011" s="133">
        <f t="shared" si="464"/>
        <v>0</v>
      </c>
      <c r="AK1011" s="142">
        <f t="shared" ref="AK1011:AK1016" si="466">T1011</f>
        <v>0</v>
      </c>
      <c r="AL1011" s="141"/>
      <c r="AO1011" s="286"/>
      <c r="AP1011" s="284">
        <f t="shared" si="443"/>
        <v>0</v>
      </c>
      <c r="AQ1011" s="281">
        <f t="shared" si="444"/>
        <v>0</v>
      </c>
      <c r="AR1011" s="284">
        <f t="shared" si="445"/>
        <v>0</v>
      </c>
      <c r="AS1011" s="281">
        <f t="shared" si="446"/>
        <v>0</v>
      </c>
      <c r="AT1011" s="284">
        <f t="shared" si="447"/>
        <v>0</v>
      </c>
    </row>
    <row r="1012" spans="1:46" s="114" customFormat="1" ht="30.9" x14ac:dyDescent="0.8">
      <c r="A1012" s="262">
        <f>ROW()</f>
        <v>1012</v>
      </c>
      <c r="C1012" s="208"/>
      <c r="D1012" s="208"/>
      <c r="E1012" s="208"/>
      <c r="F1012" s="208"/>
      <c r="G1012" s="208"/>
      <c r="H1012" s="208"/>
      <c r="J1012" s="114" t="str">
        <f t="shared" si="465"/>
        <v/>
      </c>
      <c r="K1012" s="114" t="str">
        <f>IF(COUNTBLANK(R1012)&gt;0,"",CONCATENATE(R1012," for ",N1005))</f>
        <v/>
      </c>
      <c r="N1012" s="123" t="s">
        <v>119</v>
      </c>
      <c r="O1012" s="66"/>
      <c r="P1012" s="121"/>
      <c r="Q1012" s="121"/>
      <c r="R1012" s="121"/>
      <c r="S1012" s="133">
        <f>M1005</f>
        <v>0</v>
      </c>
      <c r="T1012" s="120"/>
      <c r="U1012" s="121" t="s">
        <v>292</v>
      </c>
      <c r="V1012" s="133">
        <f t="shared" si="458"/>
        <v>0</v>
      </c>
      <c r="W1012" s="133">
        <f>VLOOKUP(U1012,Sheet1!$B$6:$C$45,2,FALSE)*V1012</f>
        <v>0</v>
      </c>
      <c r="X1012" s="141"/>
      <c r="Y1012" s="121" t="s">
        <v>292</v>
      </c>
      <c r="Z1012" s="146">
        <f>VLOOKUP(Takeoffs!Y1012,Sheet1!$B$6:$C$124,2,FALSE)</f>
        <v>0</v>
      </c>
      <c r="AA1012" s="146">
        <f t="shared" si="459"/>
        <v>0</v>
      </c>
      <c r="AB1012" s="143">
        <f t="shared" si="460"/>
        <v>0</v>
      </c>
      <c r="AC1012" s="133">
        <f t="shared" si="461"/>
        <v>0</v>
      </c>
      <c r="AD1012" s="142">
        <v>1</v>
      </c>
      <c r="AE1012" s="141"/>
      <c r="AF1012" s="121" t="s">
        <v>292</v>
      </c>
      <c r="AG1012" s="146">
        <f>VLOOKUP(Takeoffs!AF1012,Sheet1!$B$6:$C$124,2,FALSE)</f>
        <v>0</v>
      </c>
      <c r="AH1012" s="146">
        <f t="shared" si="462"/>
        <v>0</v>
      </c>
      <c r="AI1012" s="143">
        <f t="shared" si="463"/>
        <v>0</v>
      </c>
      <c r="AJ1012" s="133">
        <f t="shared" si="464"/>
        <v>0</v>
      </c>
      <c r="AK1012" s="142">
        <f t="shared" si="466"/>
        <v>0</v>
      </c>
      <c r="AL1012" s="141"/>
      <c r="AO1012" s="286"/>
      <c r="AP1012" s="284">
        <f t="shared" si="443"/>
        <v>0</v>
      </c>
      <c r="AQ1012" s="281">
        <f t="shared" si="444"/>
        <v>0</v>
      </c>
      <c r="AR1012" s="284">
        <f t="shared" si="445"/>
        <v>0</v>
      </c>
      <c r="AS1012" s="281">
        <f t="shared" si="446"/>
        <v>0</v>
      </c>
      <c r="AT1012" s="284">
        <f t="shared" si="447"/>
        <v>0</v>
      </c>
    </row>
    <row r="1013" spans="1:46" s="114" customFormat="1" ht="30.9" x14ac:dyDescent="0.8">
      <c r="A1013" s="262">
        <f>ROW()</f>
        <v>1013</v>
      </c>
      <c r="C1013" s="208"/>
      <c r="D1013" s="208"/>
      <c r="E1013" s="208"/>
      <c r="F1013" s="208"/>
      <c r="G1013" s="208"/>
      <c r="H1013" s="208"/>
      <c r="J1013" s="114" t="str">
        <f t="shared" si="465"/>
        <v/>
      </c>
      <c r="K1013" s="114" t="str">
        <f>IF(COUNTBLANK(R1013)&gt;0,"",CONCATENATE(R1013," for ",N1005))</f>
        <v/>
      </c>
      <c r="N1013" s="123" t="s">
        <v>120</v>
      </c>
      <c r="O1013" s="66" t="s">
        <v>306</v>
      </c>
      <c r="P1013" s="121"/>
      <c r="Q1013" s="121"/>
      <c r="R1013" s="121"/>
      <c r="S1013" s="133">
        <f>M1005</f>
        <v>0</v>
      </c>
      <c r="T1013" s="120"/>
      <c r="U1013" s="121" t="s">
        <v>292</v>
      </c>
      <c r="V1013" s="133">
        <f t="shared" si="458"/>
        <v>0</v>
      </c>
      <c r="W1013" s="133">
        <f>VLOOKUP(U1013,Sheet1!$B$6:$C$45,2,FALSE)*V1013</f>
        <v>0</v>
      </c>
      <c r="X1013" s="141"/>
      <c r="Y1013" s="122" t="s">
        <v>274</v>
      </c>
      <c r="Z1013" s="146">
        <f>VLOOKUP(Takeoffs!Y1013,Sheet1!$B$6:$C$124,2,FALSE)</f>
        <v>360</v>
      </c>
      <c r="AA1013" s="146">
        <f t="shared" si="459"/>
        <v>0</v>
      </c>
      <c r="AB1013" s="143">
        <f t="shared" si="460"/>
        <v>0</v>
      </c>
      <c r="AC1013" s="133">
        <f t="shared" si="461"/>
        <v>0</v>
      </c>
      <c r="AD1013" s="142">
        <v>1</v>
      </c>
      <c r="AE1013" s="141"/>
      <c r="AF1013" s="121" t="s">
        <v>292</v>
      </c>
      <c r="AG1013" s="146">
        <f>VLOOKUP(Takeoffs!AF1013,Sheet1!$B$6:$C$124,2,FALSE)</f>
        <v>0</v>
      </c>
      <c r="AH1013" s="146">
        <f t="shared" si="462"/>
        <v>0</v>
      </c>
      <c r="AI1013" s="143">
        <f t="shared" si="463"/>
        <v>0</v>
      </c>
      <c r="AJ1013" s="133">
        <f t="shared" si="464"/>
        <v>0</v>
      </c>
      <c r="AK1013" s="142">
        <f t="shared" si="466"/>
        <v>0</v>
      </c>
      <c r="AL1013" s="141"/>
      <c r="AO1013" s="286"/>
      <c r="AP1013" s="284">
        <f t="shared" si="443"/>
        <v>0</v>
      </c>
      <c r="AQ1013" s="281">
        <f t="shared" si="444"/>
        <v>0</v>
      </c>
      <c r="AR1013" s="284">
        <f t="shared" si="445"/>
        <v>0</v>
      </c>
      <c r="AS1013" s="281">
        <f t="shared" si="446"/>
        <v>0</v>
      </c>
      <c r="AT1013" s="284">
        <f t="shared" si="447"/>
        <v>0</v>
      </c>
    </row>
    <row r="1014" spans="1:46" s="114" customFormat="1" ht="30.9" x14ac:dyDescent="0.8">
      <c r="A1014" s="262">
        <f>ROW()</f>
        <v>1014</v>
      </c>
      <c r="C1014" s="208"/>
      <c r="D1014" s="208"/>
      <c r="E1014" s="208"/>
      <c r="F1014" s="208"/>
      <c r="G1014" s="208"/>
      <c r="H1014" s="208"/>
      <c r="J1014" s="114" t="str">
        <f t="shared" si="465"/>
        <v/>
      </c>
      <c r="K1014" s="114" t="str">
        <f>IF(COUNTBLANK(R1014)&gt;0,"",CONCATENATE(R1014," for ",N1005))</f>
        <v/>
      </c>
      <c r="N1014" s="123" t="s">
        <v>121</v>
      </c>
      <c r="O1014" s="66" t="s">
        <v>307</v>
      </c>
      <c r="P1014" s="121"/>
      <c r="Q1014" s="121"/>
      <c r="R1014" s="121"/>
      <c r="S1014" s="133">
        <f>M1005</f>
        <v>0</v>
      </c>
      <c r="T1014" s="120"/>
      <c r="U1014" s="121" t="s">
        <v>364</v>
      </c>
      <c r="V1014" s="133">
        <f t="shared" si="458"/>
        <v>0</v>
      </c>
      <c r="W1014" s="133">
        <f>VLOOKUP(U1014,Sheet1!$B$6:$C$45,2,FALSE)*V1014</f>
        <v>0</v>
      </c>
      <c r="X1014" s="141"/>
      <c r="Y1014" s="121" t="s">
        <v>292</v>
      </c>
      <c r="Z1014" s="146">
        <f>VLOOKUP(Takeoffs!Y1014,Sheet1!$B$6:$C$124,2,FALSE)</f>
        <v>0</v>
      </c>
      <c r="AA1014" s="146">
        <f t="shared" si="459"/>
        <v>0</v>
      </c>
      <c r="AB1014" s="143">
        <f t="shared" si="460"/>
        <v>0</v>
      </c>
      <c r="AC1014" s="133">
        <f t="shared" si="461"/>
        <v>0</v>
      </c>
      <c r="AD1014" s="142">
        <v>1</v>
      </c>
      <c r="AE1014" s="141"/>
      <c r="AF1014" s="121" t="s">
        <v>292</v>
      </c>
      <c r="AG1014" s="146">
        <f>VLOOKUP(Takeoffs!AF1014,Sheet1!$B$6:$C$124,2,FALSE)</f>
        <v>0</v>
      </c>
      <c r="AH1014" s="146">
        <f t="shared" si="462"/>
        <v>0</v>
      </c>
      <c r="AI1014" s="143">
        <f t="shared" si="463"/>
        <v>0</v>
      </c>
      <c r="AJ1014" s="133">
        <f t="shared" si="464"/>
        <v>0</v>
      </c>
      <c r="AK1014" s="142">
        <f t="shared" si="466"/>
        <v>0</v>
      </c>
      <c r="AL1014" s="141"/>
      <c r="AO1014" s="286"/>
      <c r="AP1014" s="284">
        <f t="shared" si="443"/>
        <v>0</v>
      </c>
      <c r="AQ1014" s="281">
        <f t="shared" si="444"/>
        <v>0</v>
      </c>
      <c r="AR1014" s="284">
        <f t="shared" si="445"/>
        <v>0</v>
      </c>
      <c r="AS1014" s="281">
        <f t="shared" si="446"/>
        <v>0</v>
      </c>
      <c r="AT1014" s="284">
        <f t="shared" si="447"/>
        <v>0</v>
      </c>
    </row>
    <row r="1015" spans="1:46" s="114" customFormat="1" ht="30.9" x14ac:dyDescent="0.8">
      <c r="A1015" s="262">
        <f>ROW()</f>
        <v>1015</v>
      </c>
      <c r="C1015" s="208"/>
      <c r="D1015" s="208"/>
      <c r="E1015" s="208"/>
      <c r="F1015" s="208"/>
      <c r="G1015" s="208"/>
      <c r="H1015" s="208"/>
      <c r="J1015" s="114" t="str">
        <f t="shared" si="465"/>
        <v/>
      </c>
      <c r="K1015" s="114" t="str">
        <f>IF(COUNTBLANK(R1015)&gt;0,"",CONCATENATE(R1015," for ",N1005))</f>
        <v/>
      </c>
      <c r="N1015" s="123" t="s">
        <v>122</v>
      </c>
      <c r="O1015" s="66"/>
      <c r="P1015" s="121"/>
      <c r="Q1015" s="121"/>
      <c r="R1015" s="121"/>
      <c r="S1015" s="133">
        <f>M1005</f>
        <v>0</v>
      </c>
      <c r="T1015" s="120"/>
      <c r="U1015" s="121" t="s">
        <v>292</v>
      </c>
      <c r="V1015" s="133">
        <f t="shared" si="458"/>
        <v>0</v>
      </c>
      <c r="W1015" s="133">
        <f>VLOOKUP(U1015,Sheet1!$B$6:$C$45,2,FALSE)*V1015</f>
        <v>0</v>
      </c>
      <c r="X1015" s="141"/>
      <c r="Y1015" s="121" t="s">
        <v>292</v>
      </c>
      <c r="Z1015" s="146">
        <f>VLOOKUP(Takeoffs!Y1015,Sheet1!$B$6:$C$124,2,FALSE)</f>
        <v>0</v>
      </c>
      <c r="AA1015" s="146">
        <f t="shared" si="459"/>
        <v>0</v>
      </c>
      <c r="AB1015" s="143">
        <f t="shared" si="460"/>
        <v>0</v>
      </c>
      <c r="AC1015" s="133">
        <f t="shared" si="461"/>
        <v>0</v>
      </c>
      <c r="AD1015" s="142">
        <v>1</v>
      </c>
      <c r="AE1015" s="141"/>
      <c r="AF1015" s="121" t="s">
        <v>292</v>
      </c>
      <c r="AG1015" s="146">
        <f>VLOOKUP(Takeoffs!AF1015,Sheet1!$B$6:$C$124,2,FALSE)</f>
        <v>0</v>
      </c>
      <c r="AH1015" s="146">
        <f t="shared" si="462"/>
        <v>0</v>
      </c>
      <c r="AI1015" s="143">
        <f t="shared" si="463"/>
        <v>0</v>
      </c>
      <c r="AJ1015" s="133">
        <f t="shared" si="464"/>
        <v>0</v>
      </c>
      <c r="AK1015" s="142">
        <f t="shared" si="466"/>
        <v>0</v>
      </c>
      <c r="AL1015" s="141"/>
      <c r="AO1015" s="286"/>
      <c r="AP1015" s="284">
        <f t="shared" si="443"/>
        <v>0</v>
      </c>
      <c r="AQ1015" s="281">
        <f t="shared" si="444"/>
        <v>0</v>
      </c>
      <c r="AR1015" s="284">
        <f t="shared" si="445"/>
        <v>0</v>
      </c>
      <c r="AS1015" s="281">
        <f t="shared" si="446"/>
        <v>0</v>
      </c>
      <c r="AT1015" s="284">
        <f t="shared" si="447"/>
        <v>0</v>
      </c>
    </row>
    <row r="1016" spans="1:46" s="114" customFormat="1" ht="30.9" x14ac:dyDescent="0.8">
      <c r="A1016" s="262">
        <f>ROW()</f>
        <v>1016</v>
      </c>
      <c r="C1016" s="208"/>
      <c r="D1016" s="208"/>
      <c r="E1016" s="208"/>
      <c r="F1016" s="208"/>
      <c r="G1016" s="208"/>
      <c r="H1016" s="208"/>
      <c r="J1016" s="114" t="str">
        <f t="shared" si="465"/>
        <v/>
      </c>
      <c r="K1016" s="114" t="str">
        <f>IF(COUNTBLANK(R1016)&gt;0,"",CONCATENATE(R1016," for ",N1005))</f>
        <v/>
      </c>
      <c r="N1016" s="123" t="s">
        <v>123</v>
      </c>
      <c r="O1016" s="66"/>
      <c r="P1016" s="121"/>
      <c r="Q1016" s="121"/>
      <c r="R1016" s="121"/>
      <c r="S1016" s="133">
        <f>M1005</f>
        <v>0</v>
      </c>
      <c r="T1016" s="120"/>
      <c r="U1016" s="121" t="s">
        <v>292</v>
      </c>
      <c r="V1016" s="133">
        <f t="shared" si="458"/>
        <v>0</v>
      </c>
      <c r="W1016" s="133">
        <f>VLOOKUP(U1016,Sheet1!$B$6:$C$45,2,FALSE)*V1016</f>
        <v>0</v>
      </c>
      <c r="X1016" s="141"/>
      <c r="Y1016" s="121" t="s">
        <v>292</v>
      </c>
      <c r="Z1016" s="146">
        <f>VLOOKUP(Takeoffs!Y1016,Sheet1!$B$6:$C$124,2,FALSE)</f>
        <v>0</v>
      </c>
      <c r="AA1016" s="146">
        <f t="shared" si="459"/>
        <v>0</v>
      </c>
      <c r="AB1016" s="143">
        <f t="shared" si="460"/>
        <v>0</v>
      </c>
      <c r="AC1016" s="133">
        <f t="shared" si="461"/>
        <v>0</v>
      </c>
      <c r="AD1016" s="142">
        <v>1</v>
      </c>
      <c r="AE1016" s="141"/>
      <c r="AF1016" s="121" t="s">
        <v>292</v>
      </c>
      <c r="AG1016" s="146">
        <f>VLOOKUP(Takeoffs!AF1016,Sheet1!$B$6:$C$124,2,FALSE)</f>
        <v>0</v>
      </c>
      <c r="AH1016" s="146">
        <f t="shared" si="462"/>
        <v>0</v>
      </c>
      <c r="AI1016" s="143">
        <f t="shared" si="463"/>
        <v>0</v>
      </c>
      <c r="AJ1016" s="133">
        <f t="shared" si="464"/>
        <v>0</v>
      </c>
      <c r="AK1016" s="142">
        <f t="shared" si="466"/>
        <v>0</v>
      </c>
      <c r="AL1016" s="141"/>
      <c r="AO1016" s="286"/>
      <c r="AP1016" s="284">
        <f t="shared" si="443"/>
        <v>0</v>
      </c>
      <c r="AQ1016" s="281">
        <f t="shared" si="444"/>
        <v>0</v>
      </c>
      <c r="AR1016" s="284">
        <f t="shared" si="445"/>
        <v>0</v>
      </c>
      <c r="AS1016" s="281">
        <f t="shared" si="446"/>
        <v>0</v>
      </c>
      <c r="AT1016" s="284">
        <f t="shared" si="447"/>
        <v>0</v>
      </c>
    </row>
    <row r="1017" spans="1:46" s="114" customFormat="1" ht="30.9" x14ac:dyDescent="0.8">
      <c r="A1017" s="262">
        <f>ROW()</f>
        <v>1017</v>
      </c>
      <c r="C1017" s="208"/>
      <c r="D1017" s="208"/>
      <c r="E1017" s="208"/>
      <c r="F1017" s="208"/>
      <c r="G1017" s="208"/>
      <c r="H1017" s="208"/>
      <c r="J1017" s="114" t="str">
        <f t="shared" si="465"/>
        <v/>
      </c>
      <c r="K1017" s="114" t="str">
        <f>IF(COUNTBLANK(R1017)&gt;0,"",CONCATENATE(R1017," for ",N1005))</f>
        <v/>
      </c>
      <c r="N1017" s="123" t="s">
        <v>124</v>
      </c>
      <c r="O1017" s="66" t="s">
        <v>140</v>
      </c>
      <c r="P1017" s="121"/>
      <c r="Q1017" s="121"/>
      <c r="R1017" s="121"/>
      <c r="S1017" s="133">
        <f>M1005</f>
        <v>0</v>
      </c>
      <c r="T1017" s="120"/>
      <c r="U1017" s="121" t="s">
        <v>363</v>
      </c>
      <c r="V1017" s="133">
        <f t="shared" si="458"/>
        <v>0</v>
      </c>
      <c r="W1017" s="133">
        <f>VLOOKUP(U1017,Sheet1!$B$6:$C$45,2,FALSE)*V1017</f>
        <v>0</v>
      </c>
      <c r="X1017" s="141"/>
      <c r="Y1017" s="121" t="s">
        <v>292</v>
      </c>
      <c r="Z1017" s="146">
        <f>VLOOKUP(Takeoffs!Y1017,Sheet1!$B$6:$C$124,2,FALSE)</f>
        <v>0</v>
      </c>
      <c r="AA1017" s="146">
        <f t="shared" si="459"/>
        <v>0</v>
      </c>
      <c r="AB1017" s="143">
        <f t="shared" si="460"/>
        <v>0</v>
      </c>
      <c r="AC1017" s="133">
        <f t="shared" si="461"/>
        <v>0</v>
      </c>
      <c r="AD1017" s="142">
        <v>1</v>
      </c>
      <c r="AE1017" s="141"/>
      <c r="AF1017" s="144" t="s">
        <v>269</v>
      </c>
      <c r="AG1017" s="146">
        <f>VLOOKUP(Takeoffs!AF1017,Sheet1!$B$6:$C$124,2,FALSE)</f>
        <v>1.056</v>
      </c>
      <c r="AH1017" s="146">
        <f t="shared" si="462"/>
        <v>0</v>
      </c>
      <c r="AI1017" s="143">
        <f t="shared" si="463"/>
        <v>0</v>
      </c>
      <c r="AJ1017" s="133">
        <f t="shared" si="464"/>
        <v>0</v>
      </c>
      <c r="AK1017" s="142">
        <v>30</v>
      </c>
      <c r="AL1017" s="141"/>
      <c r="AO1017" s="286"/>
      <c r="AP1017" s="284">
        <f t="shared" si="443"/>
        <v>0</v>
      </c>
      <c r="AQ1017" s="281">
        <f t="shared" si="444"/>
        <v>0</v>
      </c>
      <c r="AR1017" s="284">
        <f t="shared" si="445"/>
        <v>0</v>
      </c>
      <c r="AS1017" s="281">
        <f t="shared" si="446"/>
        <v>0</v>
      </c>
      <c r="AT1017" s="284">
        <f t="shared" si="447"/>
        <v>0</v>
      </c>
    </row>
    <row r="1018" spans="1:46" s="114" customFormat="1" ht="30.9" x14ac:dyDescent="0.8">
      <c r="A1018" s="262">
        <f>ROW()</f>
        <v>1018</v>
      </c>
      <c r="C1018" s="208"/>
      <c r="D1018" s="208"/>
      <c r="E1018" s="208"/>
      <c r="F1018" s="208"/>
      <c r="G1018" s="208"/>
      <c r="H1018" s="208"/>
      <c r="J1018" s="114" t="str">
        <f t="shared" si="465"/>
        <v/>
      </c>
      <c r="K1018" s="114" t="str">
        <f>IF(COUNTBLANK(R1018)&gt;0,"",CONCATENATE(R1018," for ",N1005))</f>
        <v/>
      </c>
      <c r="N1018" s="123" t="s">
        <v>125</v>
      </c>
      <c r="O1018" s="66" t="s">
        <v>312</v>
      </c>
      <c r="P1018" s="121"/>
      <c r="Q1018" s="121"/>
      <c r="R1018" s="121"/>
      <c r="S1018" s="133">
        <f>M1005</f>
        <v>0</v>
      </c>
      <c r="T1018" s="120"/>
      <c r="U1018" s="121" t="s">
        <v>232</v>
      </c>
      <c r="V1018" s="133">
        <f t="shared" si="458"/>
        <v>0</v>
      </c>
      <c r="W1018" s="133">
        <f>VLOOKUP(U1018,Sheet1!$B$6:$C$45,2,FALSE)*V1018</f>
        <v>0</v>
      </c>
      <c r="X1018" s="141"/>
      <c r="Y1018" s="122" t="s">
        <v>1345</v>
      </c>
      <c r="Z1018" s="146">
        <f>VLOOKUP(Takeoffs!Y1018,Sheet1!$B$6:$C$124,2,FALSE)</f>
        <v>109.25999999999999</v>
      </c>
      <c r="AA1018" s="146">
        <f t="shared" si="459"/>
        <v>0</v>
      </c>
      <c r="AB1018" s="143">
        <f t="shared" si="460"/>
        <v>0</v>
      </c>
      <c r="AC1018" s="133">
        <f t="shared" si="461"/>
        <v>0</v>
      </c>
      <c r="AD1018" s="142">
        <v>1</v>
      </c>
      <c r="AE1018" s="141"/>
      <c r="AF1018" s="121" t="s">
        <v>292</v>
      </c>
      <c r="AG1018" s="146">
        <f>VLOOKUP(Takeoffs!AF1018,Sheet1!$B$6:$C$124,2,FALSE)</f>
        <v>0</v>
      </c>
      <c r="AH1018" s="146">
        <f t="shared" si="462"/>
        <v>0</v>
      </c>
      <c r="AI1018" s="143">
        <f t="shared" si="463"/>
        <v>0</v>
      </c>
      <c r="AJ1018" s="133">
        <f t="shared" si="464"/>
        <v>0</v>
      </c>
      <c r="AK1018" s="142">
        <f t="shared" ref="AK1018:AK1023" si="467">T1018</f>
        <v>0</v>
      </c>
      <c r="AL1018" s="141"/>
      <c r="AO1018" s="286"/>
      <c r="AP1018" s="284">
        <f t="shared" si="443"/>
        <v>0</v>
      </c>
      <c r="AQ1018" s="281">
        <f t="shared" si="444"/>
        <v>0</v>
      </c>
      <c r="AR1018" s="284">
        <f t="shared" si="445"/>
        <v>0</v>
      </c>
      <c r="AS1018" s="281">
        <f t="shared" si="446"/>
        <v>0</v>
      </c>
      <c r="AT1018" s="284">
        <f t="shared" si="447"/>
        <v>0</v>
      </c>
    </row>
    <row r="1019" spans="1:46" s="114" customFormat="1" ht="30.9" x14ac:dyDescent="0.8">
      <c r="A1019" s="262">
        <f>ROW()</f>
        <v>1019</v>
      </c>
      <c r="C1019" s="208"/>
      <c r="D1019" s="208"/>
      <c r="E1019" s="208"/>
      <c r="F1019" s="208"/>
      <c r="G1019" s="208"/>
      <c r="H1019" s="208"/>
      <c r="J1019" s="114" t="str">
        <f t="shared" si="465"/>
        <v/>
      </c>
      <c r="K1019" s="114" t="str">
        <f>IF(COUNTBLANK(R1019)&gt;0,"",CONCATENATE(R1019," for ",N1005))</f>
        <v/>
      </c>
      <c r="N1019" s="123" t="s">
        <v>126</v>
      </c>
      <c r="O1019" s="66" t="s">
        <v>313</v>
      </c>
      <c r="P1019" s="121"/>
      <c r="Q1019" s="121"/>
      <c r="R1019" s="121"/>
      <c r="S1019" s="133">
        <f>M1005</f>
        <v>0</v>
      </c>
      <c r="T1019" s="120"/>
      <c r="U1019" s="121" t="s">
        <v>363</v>
      </c>
      <c r="V1019" s="133">
        <f t="shared" si="458"/>
        <v>0</v>
      </c>
      <c r="W1019" s="133">
        <f>VLOOKUP(U1019,Sheet1!$B$6:$C$45,2,FALSE)*V1019</f>
        <v>0</v>
      </c>
      <c r="X1019" s="141"/>
      <c r="Y1019" s="122" t="s">
        <v>321</v>
      </c>
      <c r="Z1019" s="146">
        <f>VLOOKUP(Takeoffs!Y1019,Sheet1!$B$6:$C$124,2,FALSE)</f>
        <v>60</v>
      </c>
      <c r="AA1019" s="146">
        <f t="shared" si="459"/>
        <v>0</v>
      </c>
      <c r="AB1019" s="143">
        <f t="shared" si="460"/>
        <v>0</v>
      </c>
      <c r="AC1019" s="133">
        <f t="shared" si="461"/>
        <v>0</v>
      </c>
      <c r="AD1019" s="142">
        <v>1</v>
      </c>
      <c r="AE1019" s="141"/>
      <c r="AF1019" s="121" t="s">
        <v>292</v>
      </c>
      <c r="AG1019" s="146">
        <f>VLOOKUP(Takeoffs!AF1019,Sheet1!$B$6:$C$124,2,FALSE)</f>
        <v>0</v>
      </c>
      <c r="AH1019" s="146">
        <f t="shared" si="462"/>
        <v>0</v>
      </c>
      <c r="AI1019" s="143">
        <f t="shared" si="463"/>
        <v>0</v>
      </c>
      <c r="AJ1019" s="133">
        <f t="shared" si="464"/>
        <v>0</v>
      </c>
      <c r="AK1019" s="142">
        <f t="shared" si="467"/>
        <v>0</v>
      </c>
      <c r="AL1019" s="141"/>
      <c r="AO1019" s="286"/>
      <c r="AP1019" s="284">
        <f t="shared" si="443"/>
        <v>0</v>
      </c>
      <c r="AQ1019" s="281">
        <f t="shared" si="444"/>
        <v>0</v>
      </c>
      <c r="AR1019" s="284">
        <f t="shared" si="445"/>
        <v>0</v>
      </c>
      <c r="AS1019" s="281">
        <f t="shared" si="446"/>
        <v>0</v>
      </c>
      <c r="AT1019" s="284">
        <f t="shared" si="447"/>
        <v>0</v>
      </c>
    </row>
    <row r="1020" spans="1:46" s="114" customFormat="1" ht="30.9" x14ac:dyDescent="0.8">
      <c r="A1020" s="262">
        <f>ROW()</f>
        <v>1020</v>
      </c>
      <c r="C1020" s="208"/>
      <c r="D1020" s="208"/>
      <c r="E1020" s="208"/>
      <c r="F1020" s="208"/>
      <c r="G1020" s="208"/>
      <c r="H1020" s="208"/>
      <c r="J1020" s="114" t="str">
        <f t="shared" si="465"/>
        <v/>
      </c>
      <c r="K1020" s="114" t="str">
        <f>IF(COUNTBLANK(R1020)&gt;0,"",CONCATENATE(R1020," for ",N1005))</f>
        <v>Run and fault lights for Chilled Water AHU with medium VSD</v>
      </c>
      <c r="N1020" s="123" t="s">
        <v>127</v>
      </c>
      <c r="O1020" s="66" t="s">
        <v>314</v>
      </c>
      <c r="P1020" s="121"/>
      <c r="Q1020" s="121"/>
      <c r="R1020" s="121" t="s">
        <v>455</v>
      </c>
      <c r="S1020" s="133">
        <f>M1005</f>
        <v>0</v>
      </c>
      <c r="T1020" s="120"/>
      <c r="U1020" s="121" t="s">
        <v>292</v>
      </c>
      <c r="V1020" s="133">
        <f t="shared" si="458"/>
        <v>0</v>
      </c>
      <c r="W1020" s="133">
        <f>VLOOKUP(U1020,Sheet1!$B$6:$C$45,2,FALSE)*V1020</f>
        <v>0</v>
      </c>
      <c r="X1020" s="141"/>
      <c r="Y1020" s="122" t="s">
        <v>280</v>
      </c>
      <c r="Z1020" s="146">
        <f>VLOOKUP(Takeoffs!Y1020,Sheet1!$B$6:$C$124,2,FALSE)</f>
        <v>19.2</v>
      </c>
      <c r="AA1020" s="146">
        <f t="shared" si="459"/>
        <v>0</v>
      </c>
      <c r="AB1020" s="143">
        <f t="shared" si="460"/>
        <v>0</v>
      </c>
      <c r="AC1020" s="133">
        <f t="shared" si="461"/>
        <v>0</v>
      </c>
      <c r="AD1020" s="142">
        <v>1</v>
      </c>
      <c r="AE1020" s="141"/>
      <c r="AF1020" s="121" t="s">
        <v>292</v>
      </c>
      <c r="AG1020" s="146">
        <f>VLOOKUP(Takeoffs!AF1020,Sheet1!$B$6:$C$124,2,FALSE)</f>
        <v>0</v>
      </c>
      <c r="AH1020" s="146">
        <f t="shared" si="462"/>
        <v>0</v>
      </c>
      <c r="AI1020" s="143">
        <f t="shared" si="463"/>
        <v>0</v>
      </c>
      <c r="AJ1020" s="133">
        <f t="shared" si="464"/>
        <v>0</v>
      </c>
      <c r="AK1020" s="142">
        <f t="shared" si="467"/>
        <v>0</v>
      </c>
      <c r="AL1020" s="141"/>
      <c r="AO1020" s="286"/>
      <c r="AP1020" s="284">
        <f t="shared" si="443"/>
        <v>0</v>
      </c>
      <c r="AQ1020" s="281">
        <f t="shared" si="444"/>
        <v>0</v>
      </c>
      <c r="AR1020" s="284">
        <f t="shared" si="445"/>
        <v>0</v>
      </c>
      <c r="AS1020" s="281">
        <f t="shared" si="446"/>
        <v>0</v>
      </c>
      <c r="AT1020" s="284">
        <f t="shared" si="447"/>
        <v>0</v>
      </c>
    </row>
    <row r="1021" spans="1:46" s="114" customFormat="1" ht="30.9" x14ac:dyDescent="0.8">
      <c r="A1021" s="262">
        <f>ROW()</f>
        <v>1021</v>
      </c>
      <c r="C1021" s="208"/>
      <c r="D1021" s="208"/>
      <c r="E1021" s="208"/>
      <c r="F1021" s="208"/>
      <c r="G1021" s="208"/>
      <c r="H1021" s="208"/>
      <c r="J1021" s="114" t="str">
        <f t="shared" si="465"/>
        <v/>
      </c>
      <c r="K1021" s="114" t="str">
        <f>IF(COUNTBLANK(R1021)&gt;0,"",CONCATENATE(R1021," for ",N1005))</f>
        <v/>
      </c>
      <c r="N1021" s="123" t="s">
        <v>128</v>
      </c>
      <c r="O1021" s="66" t="s">
        <v>315</v>
      </c>
      <c r="P1021" s="121"/>
      <c r="Q1021" s="121"/>
      <c r="R1021" s="121"/>
      <c r="S1021" s="133">
        <f>M1005</f>
        <v>0</v>
      </c>
      <c r="T1021" s="120"/>
      <c r="U1021" s="121" t="s">
        <v>292</v>
      </c>
      <c r="V1021" s="133">
        <f t="shared" si="458"/>
        <v>0</v>
      </c>
      <c r="W1021" s="133">
        <f>VLOOKUP(U1021,Sheet1!$B$6:$C$45,2,FALSE)*V1021</f>
        <v>0</v>
      </c>
      <c r="X1021" s="141"/>
      <c r="Y1021" s="122" t="s">
        <v>280</v>
      </c>
      <c r="Z1021" s="146">
        <f>VLOOKUP(Takeoffs!Y1021,Sheet1!$B$6:$C$124,2,FALSE)</f>
        <v>19.2</v>
      </c>
      <c r="AA1021" s="146">
        <f t="shared" si="459"/>
        <v>0</v>
      </c>
      <c r="AB1021" s="143">
        <f t="shared" si="460"/>
        <v>0</v>
      </c>
      <c r="AC1021" s="133">
        <f t="shared" si="461"/>
        <v>0</v>
      </c>
      <c r="AD1021" s="142">
        <v>1</v>
      </c>
      <c r="AE1021" s="141"/>
      <c r="AF1021" s="121" t="s">
        <v>292</v>
      </c>
      <c r="AG1021" s="146">
        <f>VLOOKUP(Takeoffs!AF1021,Sheet1!$B$6:$C$124,2,FALSE)</f>
        <v>0</v>
      </c>
      <c r="AH1021" s="146">
        <f t="shared" si="462"/>
        <v>0</v>
      </c>
      <c r="AI1021" s="143">
        <f t="shared" si="463"/>
        <v>0</v>
      </c>
      <c r="AJ1021" s="133">
        <f t="shared" si="464"/>
        <v>0</v>
      </c>
      <c r="AK1021" s="142">
        <f t="shared" si="467"/>
        <v>0</v>
      </c>
      <c r="AL1021" s="141"/>
      <c r="AO1021" s="286"/>
      <c r="AP1021" s="284">
        <f t="shared" si="443"/>
        <v>0</v>
      </c>
      <c r="AQ1021" s="281">
        <f t="shared" si="444"/>
        <v>0</v>
      </c>
      <c r="AR1021" s="284">
        <f t="shared" si="445"/>
        <v>0</v>
      </c>
      <c r="AS1021" s="281">
        <f t="shared" si="446"/>
        <v>0</v>
      </c>
      <c r="AT1021" s="284">
        <f t="shared" si="447"/>
        <v>0</v>
      </c>
    </row>
    <row r="1022" spans="1:46" s="114" customFormat="1" ht="30.9" x14ac:dyDescent="0.8">
      <c r="A1022" s="262">
        <f>ROW()</f>
        <v>1022</v>
      </c>
      <c r="C1022" s="208"/>
      <c r="D1022" s="208"/>
      <c r="E1022" s="208"/>
      <c r="F1022" s="208"/>
      <c r="G1022" s="208"/>
      <c r="H1022" s="208"/>
      <c r="J1022" s="114" t="str">
        <f t="shared" si="465"/>
        <v/>
      </c>
      <c r="K1022" s="114" t="str">
        <f>IF(COUNTBLANK(R1022)&gt;0,"",CONCATENATE(R1022," for ",N1005))</f>
        <v>Auto/Off/On switch for Chilled Water AHU with medium VSD</v>
      </c>
      <c r="N1022" s="123" t="s">
        <v>129</v>
      </c>
      <c r="O1022" s="66" t="s">
        <v>329</v>
      </c>
      <c r="P1022" s="121"/>
      <c r="Q1022" s="121"/>
      <c r="R1022" s="121" t="s">
        <v>304</v>
      </c>
      <c r="S1022" s="133">
        <f>M1005</f>
        <v>0</v>
      </c>
      <c r="T1022" s="120"/>
      <c r="U1022" s="121" t="s">
        <v>292</v>
      </c>
      <c r="V1022" s="133">
        <f t="shared" si="458"/>
        <v>0</v>
      </c>
      <c r="W1022" s="133">
        <f>VLOOKUP(U1022,Sheet1!$B$6:$C$45,2,FALSE)*V1022</f>
        <v>0</v>
      </c>
      <c r="X1022" s="141"/>
      <c r="Y1022" s="122" t="s">
        <v>277</v>
      </c>
      <c r="Z1022" s="146">
        <f>VLOOKUP(Takeoffs!Y1022,Sheet1!$B$6:$C$124,2,FALSE)</f>
        <v>69.540000000000006</v>
      </c>
      <c r="AA1022" s="146">
        <f t="shared" si="459"/>
        <v>0</v>
      </c>
      <c r="AB1022" s="143">
        <f t="shared" si="460"/>
        <v>0</v>
      </c>
      <c r="AC1022" s="133">
        <f t="shared" si="461"/>
        <v>0</v>
      </c>
      <c r="AD1022" s="142">
        <v>1</v>
      </c>
      <c r="AE1022" s="141"/>
      <c r="AF1022" s="121" t="s">
        <v>292</v>
      </c>
      <c r="AG1022" s="146">
        <f>VLOOKUP(Takeoffs!AF1022,Sheet1!$B$6:$C$124,2,FALSE)</f>
        <v>0</v>
      </c>
      <c r="AH1022" s="146">
        <f t="shared" si="462"/>
        <v>0</v>
      </c>
      <c r="AI1022" s="143">
        <f t="shared" si="463"/>
        <v>0</v>
      </c>
      <c r="AJ1022" s="133">
        <f t="shared" si="464"/>
        <v>0</v>
      </c>
      <c r="AK1022" s="142">
        <f t="shared" si="467"/>
        <v>0</v>
      </c>
      <c r="AL1022" s="141"/>
      <c r="AO1022" s="286"/>
      <c r="AP1022" s="284">
        <f t="shared" si="443"/>
        <v>0</v>
      </c>
      <c r="AQ1022" s="281">
        <f t="shared" si="444"/>
        <v>0</v>
      </c>
      <c r="AR1022" s="284">
        <f t="shared" si="445"/>
        <v>0</v>
      </c>
      <c r="AS1022" s="281">
        <f t="shared" si="446"/>
        <v>0</v>
      </c>
      <c r="AT1022" s="284">
        <f t="shared" si="447"/>
        <v>0</v>
      </c>
    </row>
    <row r="1023" spans="1:46" s="114" customFormat="1" ht="30.9" x14ac:dyDescent="0.8">
      <c r="A1023" s="262">
        <f>ROW()</f>
        <v>1023</v>
      </c>
      <c r="C1023" s="208"/>
      <c r="D1023" s="208"/>
      <c r="E1023" s="208"/>
      <c r="F1023" s="208"/>
      <c r="G1023" s="208"/>
      <c r="H1023" s="208"/>
      <c r="J1023" s="114" t="str">
        <f t="shared" si="465"/>
        <v/>
      </c>
      <c r="K1023" s="114" t="str">
        <f>IF(COUNTBLANK(R1023)&gt;0,"",CONCATENATE(R1023," for ",N1005))</f>
        <v/>
      </c>
      <c r="N1023" s="123" t="s">
        <v>130</v>
      </c>
      <c r="O1023" s="66"/>
      <c r="P1023" s="121"/>
      <c r="Q1023" s="121"/>
      <c r="R1023" s="121"/>
      <c r="S1023" s="133">
        <f>M1005</f>
        <v>0</v>
      </c>
      <c r="T1023" s="120"/>
      <c r="U1023" s="121" t="s">
        <v>292</v>
      </c>
      <c r="V1023" s="133">
        <f t="shared" si="458"/>
        <v>0</v>
      </c>
      <c r="W1023" s="133">
        <f>VLOOKUP(U1023,Sheet1!$B$6:$C$45,2,FALSE)*V1023</f>
        <v>0</v>
      </c>
      <c r="X1023" s="141"/>
      <c r="Y1023" s="121" t="s">
        <v>292</v>
      </c>
      <c r="Z1023" s="146">
        <f>VLOOKUP(Takeoffs!Y1023,Sheet1!$B$6:$C$124,2,FALSE)</f>
        <v>0</v>
      </c>
      <c r="AA1023" s="146">
        <f t="shared" si="459"/>
        <v>0</v>
      </c>
      <c r="AB1023" s="143">
        <f t="shared" si="460"/>
        <v>0</v>
      </c>
      <c r="AC1023" s="133">
        <f t="shared" si="461"/>
        <v>0</v>
      </c>
      <c r="AD1023" s="142">
        <v>1</v>
      </c>
      <c r="AE1023" s="141"/>
      <c r="AF1023" s="121" t="s">
        <v>292</v>
      </c>
      <c r="AG1023" s="146">
        <f>VLOOKUP(Takeoffs!AF1023,Sheet1!$B$6:$C$124,2,FALSE)</f>
        <v>0</v>
      </c>
      <c r="AH1023" s="146">
        <f t="shared" si="462"/>
        <v>0</v>
      </c>
      <c r="AI1023" s="143">
        <f t="shared" si="463"/>
        <v>0</v>
      </c>
      <c r="AJ1023" s="133">
        <f t="shared" si="464"/>
        <v>0</v>
      </c>
      <c r="AK1023" s="142">
        <f t="shared" si="467"/>
        <v>0</v>
      </c>
      <c r="AL1023" s="141"/>
      <c r="AO1023" s="286"/>
      <c r="AP1023" s="284">
        <f t="shared" si="443"/>
        <v>0</v>
      </c>
      <c r="AQ1023" s="281">
        <f t="shared" si="444"/>
        <v>0</v>
      </c>
      <c r="AR1023" s="284">
        <f t="shared" si="445"/>
        <v>0</v>
      </c>
      <c r="AS1023" s="281">
        <f t="shared" si="446"/>
        <v>0</v>
      </c>
      <c r="AT1023" s="284">
        <f t="shared" si="447"/>
        <v>0</v>
      </c>
    </row>
    <row r="1024" spans="1:46" s="114" customFormat="1" ht="30.9" x14ac:dyDescent="0.8">
      <c r="A1024" s="262">
        <f>ROW()</f>
        <v>1024</v>
      </c>
      <c r="C1024" s="208"/>
      <c r="D1024" s="208"/>
      <c r="E1024" s="208"/>
      <c r="F1024" s="208"/>
      <c r="G1024" s="208"/>
      <c r="H1024" s="208"/>
      <c r="J1024" s="114" t="str">
        <f t="shared" si="465"/>
        <v>Coordination Note: - Fire trade: Please refer to our exclusions relating to fire cabling from FIP.</v>
      </c>
      <c r="K1024" s="114" t="str">
        <f>IF(COUNTBLANK(R1024)&gt;0,"",CONCATENATE(R1024," for ",N1005))</f>
        <v/>
      </c>
      <c r="N1024" s="123" t="s">
        <v>131</v>
      </c>
      <c r="O1024" s="66" t="s">
        <v>412</v>
      </c>
      <c r="P1024" s="121" t="s">
        <v>380</v>
      </c>
      <c r="Q1024" s="121" t="s">
        <v>384</v>
      </c>
      <c r="R1024" s="121"/>
      <c r="S1024" s="133">
        <f>M1005</f>
        <v>0</v>
      </c>
      <c r="T1024" s="120"/>
      <c r="U1024" s="121" t="s">
        <v>292</v>
      </c>
      <c r="V1024" s="133">
        <f t="shared" si="458"/>
        <v>0</v>
      </c>
      <c r="W1024" s="133">
        <f>VLOOKUP(U1024,Sheet1!$B$6:$C$45,2,FALSE)*V1024</f>
        <v>0</v>
      </c>
      <c r="X1024" s="141"/>
      <c r="Y1024" s="122" t="s">
        <v>322</v>
      </c>
      <c r="Z1024" s="146">
        <f>VLOOKUP(Takeoffs!Y1024,Sheet1!$B$6:$C$124,2,FALSE)</f>
        <v>48</v>
      </c>
      <c r="AA1024" s="146">
        <f t="shared" si="459"/>
        <v>0</v>
      </c>
      <c r="AB1024" s="143">
        <f t="shared" si="460"/>
        <v>0</v>
      </c>
      <c r="AC1024" s="133">
        <f t="shared" si="461"/>
        <v>0</v>
      </c>
      <c r="AD1024" s="142">
        <v>1</v>
      </c>
      <c r="AE1024" s="141"/>
      <c r="AF1024" s="121" t="s">
        <v>292</v>
      </c>
      <c r="AG1024" s="146">
        <f>VLOOKUP(Takeoffs!AF1024,Sheet1!$B$6:$C$124,2,FALSE)</f>
        <v>0</v>
      </c>
      <c r="AH1024" s="146">
        <f t="shared" si="462"/>
        <v>0</v>
      </c>
      <c r="AI1024" s="143">
        <f t="shared" si="463"/>
        <v>0</v>
      </c>
      <c r="AJ1024" s="133">
        <f t="shared" si="464"/>
        <v>0</v>
      </c>
      <c r="AK1024" s="142">
        <f>T1024</f>
        <v>0</v>
      </c>
      <c r="AL1024" s="141"/>
      <c r="AO1024" s="286"/>
      <c r="AP1024" s="284">
        <f t="shared" si="443"/>
        <v>0</v>
      </c>
      <c r="AQ1024" s="281">
        <f t="shared" si="444"/>
        <v>0</v>
      </c>
      <c r="AR1024" s="284">
        <f t="shared" si="445"/>
        <v>0</v>
      </c>
      <c r="AS1024" s="281">
        <f t="shared" si="446"/>
        <v>0</v>
      </c>
      <c r="AT1024" s="284">
        <f t="shared" si="447"/>
        <v>0</v>
      </c>
    </row>
    <row r="1025" spans="1:97" s="114" customFormat="1" ht="30.9" x14ac:dyDescent="0.8">
      <c r="A1025" s="262">
        <f>ROW()</f>
        <v>1025</v>
      </c>
      <c r="C1025" s="208"/>
      <c r="D1025" s="208"/>
      <c r="E1025" s="208"/>
      <c r="F1025" s="208"/>
      <c r="G1025" s="208"/>
      <c r="H1025" s="208"/>
      <c r="J1025" s="114" t="str">
        <f t="shared" si="465"/>
        <v/>
      </c>
      <c r="K1025" s="114" t="str">
        <f>IF(COUNTBLANK(R1025)&gt;0,"",CONCATENATE(R1025," for ",N1005))</f>
        <v/>
      </c>
      <c r="N1025" s="123" t="s">
        <v>132</v>
      </c>
      <c r="O1025" s="66" t="s">
        <v>408</v>
      </c>
      <c r="P1025" s="121"/>
      <c r="Q1025" s="121"/>
      <c r="R1025" s="121"/>
      <c r="S1025" s="133">
        <f>M1005</f>
        <v>0</v>
      </c>
      <c r="T1025" s="120"/>
      <c r="U1025" s="121" t="s">
        <v>364</v>
      </c>
      <c r="V1025" s="133">
        <f t="shared" si="458"/>
        <v>0</v>
      </c>
      <c r="W1025" s="133">
        <f>VLOOKUP(U1025,Sheet1!$B$6:$C$45,2,FALSE)*V1025</f>
        <v>0</v>
      </c>
      <c r="X1025" s="141"/>
      <c r="Y1025" s="121" t="s">
        <v>292</v>
      </c>
      <c r="Z1025" s="146">
        <f>VLOOKUP(Takeoffs!Y1025,Sheet1!$B$6:$C$124,2,FALSE)</f>
        <v>0</v>
      </c>
      <c r="AA1025" s="146">
        <f t="shared" si="459"/>
        <v>0</v>
      </c>
      <c r="AB1025" s="143">
        <f t="shared" si="460"/>
        <v>0</v>
      </c>
      <c r="AC1025" s="133">
        <f t="shared" si="461"/>
        <v>0</v>
      </c>
      <c r="AD1025" s="142">
        <v>1</v>
      </c>
      <c r="AE1025" s="141"/>
      <c r="AF1025" s="121" t="s">
        <v>292</v>
      </c>
      <c r="AG1025" s="146">
        <f>VLOOKUP(Takeoffs!AF1025,Sheet1!$B$6:$C$124,2,FALSE)</f>
        <v>0</v>
      </c>
      <c r="AH1025" s="146">
        <f t="shared" si="462"/>
        <v>0</v>
      </c>
      <c r="AI1025" s="143">
        <f t="shared" si="463"/>
        <v>0</v>
      </c>
      <c r="AJ1025" s="133">
        <f t="shared" si="464"/>
        <v>0</v>
      </c>
      <c r="AK1025" s="142">
        <f>T1025</f>
        <v>0</v>
      </c>
      <c r="AL1025" s="141"/>
      <c r="AO1025" s="286"/>
      <c r="AP1025" s="284">
        <f t="shared" si="443"/>
        <v>0</v>
      </c>
      <c r="AQ1025" s="281">
        <f t="shared" si="444"/>
        <v>0</v>
      </c>
      <c r="AR1025" s="284">
        <f t="shared" si="445"/>
        <v>0</v>
      </c>
      <c r="AS1025" s="281">
        <f t="shared" si="446"/>
        <v>0</v>
      </c>
      <c r="AT1025" s="284">
        <f t="shared" si="447"/>
        <v>0</v>
      </c>
    </row>
    <row r="1026" spans="1:97" s="128" customFormat="1" ht="31.5" customHeight="1" x14ac:dyDescent="0.8">
      <c r="A1026" s="262">
        <f>ROW()</f>
        <v>1026</v>
      </c>
      <c r="C1026" s="212"/>
      <c r="D1026" s="212"/>
      <c r="E1026" s="212"/>
      <c r="F1026" s="212"/>
      <c r="G1026" s="212"/>
      <c r="H1026" s="212"/>
      <c r="J1026" s="128" t="s">
        <v>377</v>
      </c>
      <c r="L1026" s="128" t="s">
        <v>378</v>
      </c>
      <c r="N1026" s="129"/>
      <c r="O1026" s="130" t="s">
        <v>357</v>
      </c>
      <c r="P1026" s="131">
        <f>V1026+AA1026+AH1026</f>
        <v>0</v>
      </c>
      <c r="Q1026" s="131"/>
      <c r="R1026" s="131"/>
      <c r="S1026" s="130"/>
      <c r="T1026" s="127"/>
      <c r="U1026" s="126" t="s">
        <v>351</v>
      </c>
      <c r="V1026" s="127">
        <f>W1026*80</f>
        <v>0</v>
      </c>
      <c r="W1026" s="147">
        <f>SUM(W1005:W1025)</f>
        <v>0</v>
      </c>
      <c r="X1026" s="148"/>
      <c r="Y1026" s="127" t="s">
        <v>352</v>
      </c>
      <c r="Z1026" s="116"/>
      <c r="AA1026" s="116">
        <f>SUM(AA1005:AA1025)</f>
        <v>0</v>
      </c>
      <c r="AB1026" s="149"/>
      <c r="AC1026" s="149"/>
      <c r="AD1026" s="149"/>
      <c r="AE1026" s="149"/>
      <c r="AF1026" s="127" t="s">
        <v>356</v>
      </c>
      <c r="AG1026" s="116"/>
      <c r="AH1026" s="116">
        <f>SUM(AH1005:AH1025)</f>
        <v>0</v>
      </c>
      <c r="AI1026" s="149"/>
      <c r="AJ1026" s="149"/>
      <c r="AK1026" s="149"/>
      <c r="AL1026" s="149"/>
      <c r="AM1026" s="150">
        <f>P1026</f>
        <v>0</v>
      </c>
      <c r="AO1026" s="286"/>
      <c r="AP1026" s="284">
        <f t="shared" si="443"/>
        <v>0</v>
      </c>
      <c r="AQ1026" s="281">
        <f t="shared" si="444"/>
        <v>0</v>
      </c>
      <c r="AR1026" s="284">
        <f t="shared" si="445"/>
        <v>0</v>
      </c>
      <c r="AS1026" s="281">
        <f t="shared" si="446"/>
        <v>0</v>
      </c>
      <c r="AT1026" s="284">
        <f t="shared" si="447"/>
        <v>0</v>
      </c>
    </row>
    <row r="1027" spans="1:97" s="234" customFormat="1" ht="154.30000000000001" x14ac:dyDescent="0.8">
      <c r="A1027" s="262">
        <f>ROW()</f>
        <v>1027</v>
      </c>
      <c r="B1027" s="234" t="s">
        <v>491</v>
      </c>
      <c r="C1027" s="217" t="str">
        <f>N1005</f>
        <v>Chilled Water AHU with medium VSD</v>
      </c>
      <c r="D1027" s="260" t="s">
        <v>678</v>
      </c>
      <c r="E1027" s="238"/>
      <c r="F1027" s="217"/>
      <c r="G1027" s="217"/>
      <c r="H1027" s="245">
        <v>7</v>
      </c>
      <c r="I1027" s="270"/>
      <c r="J1027" s="241" t="str">
        <f>CONCATENATE(O1005," ",L1005, " (",M1005,") ",N1005,".", IF(M1005&gt;1," Each "," This "),"includes supply and install of ",O1006,O1007,O1008,O1009,O1010,O1011,O1012,O1013,O1014,O1015,O1016,O1017,O1018,O1019,O1020,O1021,O1022,O1023,O1024,O1025,J1006,J1007,J1008,J1009,J1010,J1011,J1012,J1013,J1014,J1015,J1016,J1017,J1018,J1019,J1020,J1021,J1022,J1023,J1024,J1025)</f>
        <v>Electrical power supply and controls to Zero (0) Chilled Water AHU with medium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27" s="246">
        <f>P1026</f>
        <v>0</v>
      </c>
      <c r="L1027" s="234" t="str">
        <f>CONCATENATE(Q1006,Q1007,Q1008,Q1009,Q1010,Q1011,Q1012,Q1013,Q1014,Q1015,Q1016,Q1017,Q1018,Q1019,Q1020,Q1021,Q1022,Q1023,Q1024,Q1025,)</f>
        <v>fire cabling from FIP.</v>
      </c>
      <c r="M1027" s="166" t="s">
        <v>367</v>
      </c>
      <c r="N1027" s="160" t="str">
        <f>N1005</f>
        <v>Chilled Water AHU with medium VSD</v>
      </c>
      <c r="O1027" s="160" t="s">
        <v>365</v>
      </c>
      <c r="P1027" s="64" t="e">
        <f>P1026/M1005</f>
        <v>#DIV/0!</v>
      </c>
      <c r="Q1027" s="161"/>
      <c r="R1027" s="161"/>
      <c r="S1027" s="160"/>
      <c r="T1027" s="161"/>
      <c r="U1027" s="503" t="s">
        <v>366</v>
      </c>
      <c r="V1027" s="503"/>
      <c r="W1027" s="162" t="e">
        <f>W1026/M1005</f>
        <v>#DIV/0!</v>
      </c>
      <c r="X1027" s="163"/>
      <c r="Y1027" s="501" t="s">
        <v>365</v>
      </c>
      <c r="Z1027" s="501"/>
      <c r="AA1027" s="164" t="e">
        <f>AA1026/M1005</f>
        <v>#DIV/0!</v>
      </c>
      <c r="AB1027" s="161"/>
      <c r="AC1027" s="161"/>
      <c r="AD1027" s="161"/>
      <c r="AE1027" s="161"/>
      <c r="AF1027" s="501" t="s">
        <v>365</v>
      </c>
      <c r="AG1027" s="501"/>
      <c r="AH1027" s="164" t="e">
        <f>AH1026/M1005</f>
        <v>#DIV/0!</v>
      </c>
      <c r="AI1027" s="161"/>
      <c r="AJ1027" s="161"/>
      <c r="AK1027" s="161"/>
      <c r="AL1027" s="247"/>
      <c r="AM1027" s="257"/>
      <c r="AN1027" s="236">
        <f>K1027*1.25</f>
        <v>0</v>
      </c>
      <c r="AO1027" s="286"/>
      <c r="AP1027" s="284">
        <f t="shared" si="443"/>
        <v>0</v>
      </c>
      <c r="AQ1027" s="281">
        <f t="shared" si="444"/>
        <v>0</v>
      </c>
      <c r="AR1027" s="284">
        <f t="shared" si="445"/>
        <v>0</v>
      </c>
      <c r="AS1027" s="281">
        <f t="shared" si="446"/>
        <v>0</v>
      </c>
      <c r="AT1027" s="284">
        <f t="shared" si="447"/>
        <v>0</v>
      </c>
      <c r="AU1027" s="117"/>
      <c r="AV1027" s="117"/>
      <c r="AW1027" s="117"/>
      <c r="AX1027" s="117"/>
      <c r="AY1027" s="117"/>
      <c r="AZ1027" s="117"/>
      <c r="BA1027" s="117"/>
      <c r="BB1027" s="117"/>
      <c r="BC1027" s="117"/>
      <c r="BD1027" s="117"/>
      <c r="BE1027" s="117"/>
      <c r="BF1027" s="117"/>
      <c r="BG1027" s="117"/>
      <c r="BH1027" s="117"/>
      <c r="BI1027" s="117"/>
      <c r="BJ1027" s="117"/>
      <c r="BK1027" s="117"/>
      <c r="BL1027" s="117"/>
      <c r="BM1027" s="117"/>
      <c r="BN1027" s="117"/>
      <c r="BO1027" s="117"/>
      <c r="BP1027" s="117"/>
      <c r="BQ1027" s="117"/>
      <c r="BR1027" s="117"/>
      <c r="BS1027" s="117"/>
      <c r="BT1027" s="117"/>
      <c r="BU1027" s="117"/>
      <c r="BV1027" s="117"/>
      <c r="BW1027" s="117"/>
      <c r="BX1027" s="117"/>
      <c r="BY1027" s="117"/>
      <c r="BZ1027" s="117"/>
      <c r="CA1027" s="117"/>
      <c r="CB1027" s="117"/>
      <c r="CC1027" s="117"/>
      <c r="CD1027" s="117"/>
      <c r="CE1027" s="117"/>
      <c r="CF1027" s="117"/>
      <c r="CG1027" s="117"/>
      <c r="CH1027" s="117"/>
      <c r="CI1027" s="117"/>
      <c r="CJ1027" s="117"/>
      <c r="CK1027" s="117"/>
      <c r="CL1027" s="117"/>
      <c r="CM1027" s="117"/>
      <c r="CN1027" s="117"/>
      <c r="CO1027" s="117"/>
      <c r="CP1027" s="117"/>
      <c r="CQ1027" s="117"/>
      <c r="CR1027" s="117"/>
      <c r="CS1027" s="117"/>
    </row>
    <row r="1028" spans="1:97" s="116" customFormat="1" ht="192.75" customHeight="1" x14ac:dyDescent="0.8">
      <c r="A1028" s="262">
        <f>ROW()</f>
        <v>1028</v>
      </c>
      <c r="C1028" s="211"/>
      <c r="D1028" s="211"/>
      <c r="E1028" s="211"/>
      <c r="F1028" s="211"/>
      <c r="G1028" s="211"/>
      <c r="H1028" s="211"/>
      <c r="K1028" s="116" t="s">
        <v>452</v>
      </c>
      <c r="M1028" s="116" t="s">
        <v>107</v>
      </c>
      <c r="N1028" s="116" t="s">
        <v>108</v>
      </c>
      <c r="O1028" s="170" t="s">
        <v>386</v>
      </c>
      <c r="P1028" s="504" t="s">
        <v>375</v>
      </c>
      <c r="Q1028" s="504"/>
      <c r="R1028" s="101" t="s">
        <v>452</v>
      </c>
      <c r="S1028" s="116" t="s">
        <v>0</v>
      </c>
      <c r="T1028" s="118"/>
      <c r="U1028" s="116" t="s">
        <v>287</v>
      </c>
      <c r="V1028" s="116" t="s">
        <v>288</v>
      </c>
      <c r="W1028" s="116" t="s">
        <v>291</v>
      </c>
      <c r="X1028" s="140"/>
      <c r="Y1028" s="116" t="s">
        <v>289</v>
      </c>
      <c r="Z1028" s="116" t="s">
        <v>354</v>
      </c>
      <c r="AA1028" s="116" t="s">
        <v>355</v>
      </c>
      <c r="AB1028" s="116" t="s">
        <v>317</v>
      </c>
      <c r="AC1028" s="116" t="s">
        <v>318</v>
      </c>
      <c r="AD1028" s="116" t="s">
        <v>316</v>
      </c>
      <c r="AE1028" s="140"/>
      <c r="AF1028" s="116" t="s">
        <v>293</v>
      </c>
      <c r="AG1028" s="116" t="s">
        <v>354</v>
      </c>
      <c r="AH1028" s="116" t="s">
        <v>355</v>
      </c>
      <c r="AI1028" s="116" t="s">
        <v>296</v>
      </c>
      <c r="AJ1028" s="116" t="s">
        <v>294</v>
      </c>
      <c r="AK1028" s="116" t="s">
        <v>295</v>
      </c>
      <c r="AL1028" s="140"/>
      <c r="AO1028" s="288"/>
      <c r="AP1028" s="284">
        <f t="shared" si="443"/>
        <v>0</v>
      </c>
      <c r="AQ1028" s="281">
        <f t="shared" si="444"/>
        <v>0</v>
      </c>
      <c r="AR1028" s="284">
        <f t="shared" si="445"/>
        <v>0</v>
      </c>
      <c r="AS1028" s="281">
        <f t="shared" si="446"/>
        <v>0</v>
      </c>
      <c r="AT1028" s="284">
        <f t="shared" si="447"/>
        <v>0</v>
      </c>
    </row>
    <row r="1029" spans="1:97" s="114" customFormat="1" ht="31.5" customHeight="1" x14ac:dyDescent="0.8">
      <c r="A1029" s="262">
        <f>ROW()</f>
        <v>1029</v>
      </c>
      <c r="C1029" s="208"/>
      <c r="D1029" s="208"/>
      <c r="E1029" s="208"/>
      <c r="F1029" s="208"/>
      <c r="G1029" s="208"/>
      <c r="H1029" s="208"/>
      <c r="L1029" s="124" t="str">
        <f>VLOOKUP(M1029,Sheet2!$D$2:$E$1024,2,FALSE)</f>
        <v>Zero</v>
      </c>
      <c r="M1029" s="121">
        <f>I1051</f>
        <v>0</v>
      </c>
      <c r="N1029" s="132" t="s">
        <v>581</v>
      </c>
      <c r="O1029" s="121" t="s">
        <v>347</v>
      </c>
      <c r="P1029" s="169" t="s">
        <v>379</v>
      </c>
      <c r="Q1029" s="169" t="s">
        <v>375</v>
      </c>
      <c r="R1029" s="169"/>
      <c r="S1029" s="133">
        <f>M1029</f>
        <v>0</v>
      </c>
      <c r="T1029" s="119"/>
      <c r="U1029" s="153" t="s">
        <v>292</v>
      </c>
      <c r="V1029" s="133">
        <f>S1029</f>
        <v>0</v>
      </c>
      <c r="W1029" s="133">
        <f>VLOOKUP(U1029,Sheet1!$B$6:$C$45,2,FALSE)*V1029</f>
        <v>0</v>
      </c>
      <c r="X1029" s="141"/>
      <c r="Y1029" s="121" t="s">
        <v>292</v>
      </c>
      <c r="Z1029" s="146">
        <f>VLOOKUP(Takeoffs!Y1029,Sheet1!$B$6:$C$124,2,FALSE)</f>
        <v>0</v>
      </c>
      <c r="AA1029" s="146">
        <f>Z1029*AB1029</f>
        <v>0</v>
      </c>
      <c r="AB1029" s="143">
        <f>AD1029*AC1029</f>
        <v>0</v>
      </c>
      <c r="AC1029" s="133">
        <f>S1029</f>
        <v>0</v>
      </c>
      <c r="AD1029" s="142">
        <v>1</v>
      </c>
      <c r="AE1029" s="141"/>
      <c r="AF1029" s="121" t="s">
        <v>292</v>
      </c>
      <c r="AG1029" s="146">
        <f>VLOOKUP(Takeoffs!AF1029,Sheet1!$B$6:$C$124,2,FALSE)</f>
        <v>0</v>
      </c>
      <c r="AH1029" s="146">
        <f>AG1029*AI1029</f>
        <v>0</v>
      </c>
      <c r="AI1029" s="143">
        <f>AK1029*AJ1029</f>
        <v>0</v>
      </c>
      <c r="AJ1029" s="133">
        <f>S1029</f>
        <v>0</v>
      </c>
      <c r="AK1029" s="142">
        <f>T1029</f>
        <v>0</v>
      </c>
      <c r="AL1029" s="141"/>
      <c r="AO1029" s="286"/>
      <c r="AP1029" s="284">
        <f t="shared" si="443"/>
        <v>0</v>
      </c>
      <c r="AQ1029" s="281">
        <f t="shared" si="444"/>
        <v>0</v>
      </c>
      <c r="AR1029" s="284">
        <f t="shared" si="445"/>
        <v>0</v>
      </c>
      <c r="AS1029" s="281">
        <f t="shared" si="446"/>
        <v>0</v>
      </c>
      <c r="AT1029" s="284">
        <f t="shared" si="447"/>
        <v>0</v>
      </c>
    </row>
    <row r="1030" spans="1:97" s="114" customFormat="1" ht="30.9" x14ac:dyDescent="0.8">
      <c r="A1030" s="262">
        <f>ROW()</f>
        <v>1030</v>
      </c>
      <c r="C1030" s="208"/>
      <c r="D1030" s="208"/>
      <c r="E1030" s="208"/>
      <c r="F1030" s="208"/>
      <c r="G1030" s="208"/>
      <c r="H1030" s="208"/>
      <c r="J1030" s="114" t="str">
        <f>IF(COUNTBLANK(Q1030)&gt;0,"",CONCATENATE("Coordination Note: - ",P1030,": Please refer to our exclusions relating to ",Q1030))</f>
        <v/>
      </c>
      <c r="K1030" s="114" t="str">
        <f>IF(COUNTBLANK(R1030)&gt;0,"",CONCATENATE(R1030," for ",N1029))</f>
        <v/>
      </c>
      <c r="M1030" s="117"/>
      <c r="N1030" s="123" t="s">
        <v>113</v>
      </c>
      <c r="O1030" s="66" t="s">
        <v>411</v>
      </c>
      <c r="P1030" s="121"/>
      <c r="Q1030" s="121"/>
      <c r="R1030" s="121"/>
      <c r="S1030" s="133">
        <f>M1029</f>
        <v>0</v>
      </c>
      <c r="T1030" s="120"/>
      <c r="U1030" s="121" t="s">
        <v>235</v>
      </c>
      <c r="V1030" s="133">
        <f t="shared" ref="V1030:V1049" si="468">S1030</f>
        <v>0</v>
      </c>
      <c r="W1030" s="133">
        <f>VLOOKUP(U1030,Sheet1!$B$6:$C$45,2,FALSE)*V1030</f>
        <v>0</v>
      </c>
      <c r="X1030" s="141"/>
      <c r="Y1030" s="121" t="s">
        <v>292</v>
      </c>
      <c r="Z1030" s="146">
        <f>VLOOKUP(Takeoffs!Y1030,Sheet1!$B$6:$C$124,2,FALSE)</f>
        <v>0</v>
      </c>
      <c r="AA1030" s="146">
        <f t="shared" ref="AA1030:AA1049" si="469">Z1030*AB1030</f>
        <v>0</v>
      </c>
      <c r="AB1030" s="143">
        <f t="shared" ref="AB1030:AB1049" si="470">AD1030*AC1030</f>
        <v>0</v>
      </c>
      <c r="AC1030" s="133">
        <f t="shared" ref="AC1030:AC1049" si="471">S1030</f>
        <v>0</v>
      </c>
      <c r="AD1030" s="142">
        <v>1</v>
      </c>
      <c r="AE1030" s="141"/>
      <c r="AF1030" s="121" t="s">
        <v>292</v>
      </c>
      <c r="AG1030" s="146">
        <f>VLOOKUP(Takeoffs!AF1030,Sheet1!$B$6:$C$124,2,FALSE)</f>
        <v>0</v>
      </c>
      <c r="AH1030" s="146">
        <f t="shared" ref="AH1030:AH1049" si="472">AG1030*AI1030</f>
        <v>0</v>
      </c>
      <c r="AI1030" s="143">
        <f t="shared" ref="AI1030:AI1049" si="473">AK1030*AJ1030</f>
        <v>0</v>
      </c>
      <c r="AJ1030" s="133">
        <f t="shared" ref="AJ1030:AJ1049" si="474">S1030</f>
        <v>0</v>
      </c>
      <c r="AK1030" s="142"/>
      <c r="AL1030" s="141"/>
      <c r="AO1030" s="286"/>
      <c r="AP1030" s="284">
        <f t="shared" si="443"/>
        <v>0</v>
      </c>
      <c r="AQ1030" s="281">
        <f t="shared" si="444"/>
        <v>0</v>
      </c>
      <c r="AR1030" s="284">
        <f t="shared" si="445"/>
        <v>0</v>
      </c>
      <c r="AS1030" s="281">
        <f t="shared" si="446"/>
        <v>0</v>
      </c>
      <c r="AT1030" s="284">
        <f t="shared" si="447"/>
        <v>0</v>
      </c>
    </row>
    <row r="1031" spans="1:97" s="114" customFormat="1" ht="30.9" x14ac:dyDescent="0.8">
      <c r="A1031" s="262">
        <f>ROW()</f>
        <v>1031</v>
      </c>
      <c r="C1031" s="208"/>
      <c r="D1031" s="208"/>
      <c r="E1031" s="208"/>
      <c r="F1031" s="208"/>
      <c r="G1031" s="208"/>
      <c r="H1031" s="208"/>
      <c r="J1031" s="114" t="str">
        <f t="shared" ref="J1031:J1049" si="475">IF(COUNTBLANK(Q1031)&gt;0,"",CONCATENATE("Coordination Note: - ",P1031,": Please refer to our exclusions relating to ",Q1031))</f>
        <v/>
      </c>
      <c r="K1031" s="114" t="str">
        <f>IF(COUNTBLANK(R1031)&gt;0,"",CONCATENATE(R1031," for ",N1029))</f>
        <v/>
      </c>
      <c r="M1031" s="117"/>
      <c r="N1031" s="123" t="s">
        <v>114</v>
      </c>
      <c r="O1031" s="66" t="s">
        <v>308</v>
      </c>
      <c r="P1031" s="121"/>
      <c r="Q1031" s="121"/>
      <c r="R1031" s="121"/>
      <c r="S1031" s="133">
        <f>M1029</f>
        <v>0</v>
      </c>
      <c r="T1031" s="120"/>
      <c r="U1031" s="121" t="s">
        <v>292</v>
      </c>
      <c r="V1031" s="133">
        <f t="shared" si="468"/>
        <v>0</v>
      </c>
      <c r="W1031" s="133">
        <f>VLOOKUP(U1031,Sheet1!$B$6:$C$45,2,FALSE)*V1031</f>
        <v>0</v>
      </c>
      <c r="X1031" s="141"/>
      <c r="Y1031" s="122" t="s">
        <v>252</v>
      </c>
      <c r="Z1031" s="146">
        <f>VLOOKUP(Takeoffs!Y1031,Sheet1!$B$6:$C$124,2,FALSE)</f>
        <v>43.440000000000005</v>
      </c>
      <c r="AA1031" s="146">
        <f t="shared" si="469"/>
        <v>0</v>
      </c>
      <c r="AB1031" s="143">
        <f t="shared" si="470"/>
        <v>0</v>
      </c>
      <c r="AC1031" s="133">
        <f t="shared" si="471"/>
        <v>0</v>
      </c>
      <c r="AD1031" s="142">
        <v>1</v>
      </c>
      <c r="AE1031" s="141"/>
      <c r="AF1031" s="121" t="s">
        <v>292</v>
      </c>
      <c r="AG1031" s="146">
        <f>VLOOKUP(Takeoffs!AF1031,Sheet1!$B$6:$C$124,2,FALSE)</f>
        <v>0</v>
      </c>
      <c r="AH1031" s="146">
        <f t="shared" si="472"/>
        <v>0</v>
      </c>
      <c r="AI1031" s="143">
        <f t="shared" si="473"/>
        <v>0</v>
      </c>
      <c r="AJ1031" s="133">
        <f t="shared" si="474"/>
        <v>0</v>
      </c>
      <c r="AK1031" s="142">
        <f>T1031</f>
        <v>0</v>
      </c>
      <c r="AL1031" s="141"/>
      <c r="AO1031" s="286"/>
      <c r="AP1031" s="284">
        <f t="shared" si="443"/>
        <v>0</v>
      </c>
      <c r="AQ1031" s="281">
        <f t="shared" si="444"/>
        <v>0</v>
      </c>
      <c r="AR1031" s="284">
        <f t="shared" si="445"/>
        <v>0</v>
      </c>
      <c r="AS1031" s="281">
        <f t="shared" si="446"/>
        <v>0</v>
      </c>
      <c r="AT1031" s="284">
        <f t="shared" si="447"/>
        <v>0</v>
      </c>
    </row>
    <row r="1032" spans="1:97" s="114" customFormat="1" ht="30.9" x14ac:dyDescent="0.8">
      <c r="A1032" s="262">
        <f>ROW()</f>
        <v>1032</v>
      </c>
      <c r="C1032" s="208"/>
      <c r="D1032" s="208"/>
      <c r="E1032" s="208"/>
      <c r="F1032" s="208"/>
      <c r="G1032" s="208"/>
      <c r="H1032" s="208"/>
      <c r="J1032" s="114" t="str">
        <f t="shared" si="475"/>
        <v/>
      </c>
      <c r="K1032" s="114" t="str">
        <f>IF(COUNTBLANK(R1032)&gt;0,"",CONCATENATE(R1032," for ",N1029))</f>
        <v/>
      </c>
      <c r="M1032" s="117"/>
      <c r="N1032" s="123" t="s">
        <v>115</v>
      </c>
      <c r="O1032" s="66" t="s">
        <v>305</v>
      </c>
      <c r="P1032" s="121"/>
      <c r="Q1032" s="121"/>
      <c r="R1032" s="121"/>
      <c r="S1032" s="133">
        <f>M1029</f>
        <v>0</v>
      </c>
      <c r="T1032" s="120"/>
      <c r="U1032" s="117" t="s">
        <v>478</v>
      </c>
      <c r="V1032" s="133">
        <f t="shared" si="468"/>
        <v>0</v>
      </c>
      <c r="W1032" s="133">
        <f>VLOOKUP(U1032,Sheet1!$B$6:$C$45,2,FALSE)*V1032</f>
        <v>0</v>
      </c>
      <c r="X1032" s="141"/>
      <c r="Y1032" s="121" t="s">
        <v>292</v>
      </c>
      <c r="Z1032" s="146">
        <f>VLOOKUP(Takeoffs!Y1032,Sheet1!$B$6:$C$124,2,FALSE)</f>
        <v>0</v>
      </c>
      <c r="AA1032" s="146">
        <f t="shared" si="469"/>
        <v>0</v>
      </c>
      <c r="AB1032" s="143">
        <f t="shared" si="470"/>
        <v>0</v>
      </c>
      <c r="AC1032" s="133">
        <f t="shared" si="471"/>
        <v>0</v>
      </c>
      <c r="AD1032" s="142">
        <v>1</v>
      </c>
      <c r="AE1032" s="141"/>
      <c r="AF1032" s="122" t="s">
        <v>267</v>
      </c>
      <c r="AG1032" s="146">
        <f>VLOOKUP(Takeoffs!AF1032,Sheet1!$B$6:$C$124,2,FALSE)</f>
        <v>3.48</v>
      </c>
      <c r="AH1032" s="146">
        <f t="shared" si="472"/>
        <v>0</v>
      </c>
      <c r="AI1032" s="143">
        <f t="shared" si="473"/>
        <v>0</v>
      </c>
      <c r="AJ1032" s="133">
        <f t="shared" si="474"/>
        <v>0</v>
      </c>
      <c r="AK1032" s="142">
        <v>20</v>
      </c>
      <c r="AL1032" s="141"/>
      <c r="AO1032" s="286"/>
      <c r="AP1032" s="284">
        <f t="shared" si="443"/>
        <v>0</v>
      </c>
      <c r="AQ1032" s="281">
        <f t="shared" si="444"/>
        <v>0</v>
      </c>
      <c r="AR1032" s="284">
        <f t="shared" si="445"/>
        <v>0</v>
      </c>
      <c r="AS1032" s="281">
        <f t="shared" si="446"/>
        <v>0</v>
      </c>
      <c r="AT1032" s="284">
        <f t="shared" si="447"/>
        <v>0</v>
      </c>
    </row>
    <row r="1033" spans="1:97" s="114" customFormat="1" ht="30.9" x14ac:dyDescent="0.8">
      <c r="A1033" s="262">
        <f>ROW()</f>
        <v>1033</v>
      </c>
      <c r="C1033" s="208"/>
      <c r="D1033" s="208"/>
      <c r="E1033" s="208"/>
      <c r="F1033" s="208"/>
      <c r="G1033" s="208"/>
      <c r="H1033" s="208"/>
      <c r="J1033" s="114" t="str">
        <f t="shared" si="475"/>
        <v/>
      </c>
      <c r="K1033" s="114" t="str">
        <f>IF(COUNTBLANK(R1033)&gt;0,"",CONCATENATE(R1033," for ",N1029))</f>
        <v/>
      </c>
      <c r="M1033" s="117"/>
      <c r="N1033" s="123" t="s">
        <v>116</v>
      </c>
      <c r="O1033" s="66" t="s">
        <v>323</v>
      </c>
      <c r="P1033" s="121"/>
      <c r="Q1033" s="121"/>
      <c r="R1033" s="121"/>
      <c r="S1033" s="133">
        <f>M1029</f>
        <v>0</v>
      </c>
      <c r="T1033" s="120"/>
      <c r="U1033" s="121" t="s">
        <v>292</v>
      </c>
      <c r="V1033" s="133">
        <f t="shared" si="468"/>
        <v>0</v>
      </c>
      <c r="W1033" s="133">
        <f>VLOOKUP(U1033,Sheet1!$B$6:$C$45,2,FALSE)*V1033</f>
        <v>0</v>
      </c>
      <c r="X1033" s="141"/>
      <c r="Y1033" s="135" t="s">
        <v>490</v>
      </c>
      <c r="Z1033" s="146">
        <f>VLOOKUP(Takeoffs!Y1033,Sheet1!$B$6:$C$124,2,FALSE)</f>
        <v>1226.28</v>
      </c>
      <c r="AA1033" s="146">
        <f t="shared" si="469"/>
        <v>0</v>
      </c>
      <c r="AB1033" s="143">
        <f t="shared" si="470"/>
        <v>0</v>
      </c>
      <c r="AC1033" s="133">
        <f t="shared" si="471"/>
        <v>0</v>
      </c>
      <c r="AD1033" s="142">
        <v>1</v>
      </c>
      <c r="AE1033" s="141"/>
      <c r="AF1033" s="121" t="s">
        <v>292</v>
      </c>
      <c r="AG1033" s="146">
        <f>VLOOKUP(Takeoffs!AF1033,Sheet1!$B$6:$C$124,2,FALSE)</f>
        <v>0</v>
      </c>
      <c r="AH1033" s="146">
        <f t="shared" si="472"/>
        <v>0</v>
      </c>
      <c r="AI1033" s="143">
        <f t="shared" si="473"/>
        <v>0</v>
      </c>
      <c r="AJ1033" s="133">
        <f t="shared" si="474"/>
        <v>0</v>
      </c>
      <c r="AK1033" s="142">
        <f>T1033</f>
        <v>0</v>
      </c>
      <c r="AL1033" s="141"/>
      <c r="AO1033" s="286"/>
      <c r="AP1033" s="284">
        <f t="shared" si="443"/>
        <v>0</v>
      </c>
      <c r="AQ1033" s="281">
        <f t="shared" si="444"/>
        <v>0</v>
      </c>
      <c r="AR1033" s="284">
        <f t="shared" si="445"/>
        <v>0</v>
      </c>
      <c r="AS1033" s="281">
        <f t="shared" si="446"/>
        <v>0</v>
      </c>
      <c r="AT1033" s="284">
        <f t="shared" si="447"/>
        <v>0</v>
      </c>
    </row>
    <row r="1034" spans="1:97" s="114" customFormat="1" ht="30.9" x14ac:dyDescent="0.8">
      <c r="A1034" s="262">
        <f>ROW()</f>
        <v>1034</v>
      </c>
      <c r="C1034" s="208"/>
      <c r="D1034" s="208"/>
      <c r="E1034" s="208"/>
      <c r="F1034" s="208"/>
      <c r="G1034" s="208"/>
      <c r="H1034" s="208"/>
      <c r="J1034" s="114" t="str">
        <f t="shared" si="475"/>
        <v/>
      </c>
      <c r="K1034" s="114" t="str">
        <f>IF(COUNTBLANK(R1034)&gt;0,"",CONCATENATE(R1034," for ",N1029))</f>
        <v/>
      </c>
      <c r="M1034" s="117"/>
      <c r="N1034" s="123" t="s">
        <v>117</v>
      </c>
      <c r="O1034" s="66" t="s">
        <v>390</v>
      </c>
      <c r="P1034" s="121"/>
      <c r="Q1034" s="121"/>
      <c r="R1034" s="121"/>
      <c r="S1034" s="133">
        <f>M1029</f>
        <v>0</v>
      </c>
      <c r="T1034" s="120"/>
      <c r="U1034" s="121" t="s">
        <v>292</v>
      </c>
      <c r="V1034" s="133">
        <f t="shared" si="468"/>
        <v>0</v>
      </c>
      <c r="W1034" s="133">
        <f>VLOOKUP(U1034,Sheet1!$B$6:$C$45,2,FALSE)*V1034</f>
        <v>0</v>
      </c>
      <c r="X1034" s="141"/>
      <c r="Y1034" s="121" t="s">
        <v>292</v>
      </c>
      <c r="Z1034" s="146">
        <f>VLOOKUP(Takeoffs!Y1034,Sheet1!$B$6:$C$124,2,FALSE)</f>
        <v>0</v>
      </c>
      <c r="AA1034" s="146">
        <f t="shared" si="469"/>
        <v>0</v>
      </c>
      <c r="AB1034" s="143">
        <f t="shared" si="470"/>
        <v>0</v>
      </c>
      <c r="AC1034" s="133">
        <f t="shared" si="471"/>
        <v>0</v>
      </c>
      <c r="AD1034" s="142">
        <v>1</v>
      </c>
      <c r="AE1034" s="141"/>
      <c r="AF1034" s="122" t="s">
        <v>267</v>
      </c>
      <c r="AG1034" s="146">
        <f>VLOOKUP(Takeoffs!AF1034,Sheet1!$B$6:$C$124,2,FALSE)</f>
        <v>3.48</v>
      </c>
      <c r="AH1034" s="146">
        <f t="shared" si="472"/>
        <v>0</v>
      </c>
      <c r="AI1034" s="143">
        <f t="shared" si="473"/>
        <v>0</v>
      </c>
      <c r="AJ1034" s="133">
        <f t="shared" si="474"/>
        <v>0</v>
      </c>
      <c r="AK1034" s="142">
        <v>3</v>
      </c>
      <c r="AL1034" s="141"/>
      <c r="AO1034" s="286"/>
      <c r="AP1034" s="284">
        <f t="shared" si="443"/>
        <v>0</v>
      </c>
      <c r="AQ1034" s="281">
        <f t="shared" si="444"/>
        <v>0</v>
      </c>
      <c r="AR1034" s="284">
        <f t="shared" si="445"/>
        <v>0</v>
      </c>
      <c r="AS1034" s="281">
        <f t="shared" si="446"/>
        <v>0</v>
      </c>
      <c r="AT1034" s="284">
        <f t="shared" si="447"/>
        <v>0</v>
      </c>
    </row>
    <row r="1035" spans="1:97" s="114" customFormat="1" ht="30.9" x14ac:dyDescent="0.8">
      <c r="A1035" s="262">
        <f>ROW()</f>
        <v>1035</v>
      </c>
      <c r="C1035" s="208"/>
      <c r="D1035" s="208"/>
      <c r="E1035" s="208"/>
      <c r="F1035" s="208"/>
      <c r="G1035" s="208"/>
      <c r="H1035" s="208"/>
      <c r="J1035" s="114" t="str">
        <f t="shared" si="475"/>
        <v/>
      </c>
      <c r="K1035" s="114" t="str">
        <f>IF(COUNTBLANK(R1035)&gt;0,"",CONCATENATE(R1035," for ",N1029))</f>
        <v/>
      </c>
      <c r="M1035" s="117"/>
      <c r="N1035" s="123" t="s">
        <v>118</v>
      </c>
      <c r="O1035" s="66" t="s">
        <v>309</v>
      </c>
      <c r="P1035" s="121"/>
      <c r="Q1035" s="121"/>
      <c r="R1035" s="121"/>
      <c r="S1035" s="133">
        <f>M1029</f>
        <v>0</v>
      </c>
      <c r="T1035" s="120"/>
      <c r="U1035" s="121" t="s">
        <v>292</v>
      </c>
      <c r="V1035" s="133">
        <f t="shared" si="468"/>
        <v>0</v>
      </c>
      <c r="W1035" s="133">
        <f>VLOOKUP(U1035,Sheet1!$B$6:$C$45,2,FALSE)*V1035</f>
        <v>0</v>
      </c>
      <c r="X1035" s="141"/>
      <c r="Y1035" s="122" t="s">
        <v>245</v>
      </c>
      <c r="Z1035" s="146">
        <f>VLOOKUP(Takeoffs!Y1035,Sheet1!$B$6:$C$124,2,FALSE)</f>
        <v>46.463999999999999</v>
      </c>
      <c r="AA1035" s="146">
        <f t="shared" si="469"/>
        <v>0</v>
      </c>
      <c r="AB1035" s="143">
        <f t="shared" si="470"/>
        <v>0</v>
      </c>
      <c r="AC1035" s="133">
        <f t="shared" si="471"/>
        <v>0</v>
      </c>
      <c r="AD1035" s="142">
        <v>1</v>
      </c>
      <c r="AE1035" s="141"/>
      <c r="AF1035" s="121" t="s">
        <v>292</v>
      </c>
      <c r="AG1035" s="146">
        <f>VLOOKUP(Takeoffs!AF1035,Sheet1!$B$6:$C$124,2,FALSE)</f>
        <v>0</v>
      </c>
      <c r="AH1035" s="146">
        <f t="shared" si="472"/>
        <v>0</v>
      </c>
      <c r="AI1035" s="143">
        <f t="shared" si="473"/>
        <v>0</v>
      </c>
      <c r="AJ1035" s="133">
        <f t="shared" si="474"/>
        <v>0</v>
      </c>
      <c r="AK1035" s="142">
        <f t="shared" ref="AK1035:AK1040" si="476">T1035</f>
        <v>0</v>
      </c>
      <c r="AL1035" s="141"/>
      <c r="AO1035" s="286"/>
      <c r="AP1035" s="284">
        <f t="shared" si="443"/>
        <v>0</v>
      </c>
      <c r="AQ1035" s="281">
        <f t="shared" si="444"/>
        <v>0</v>
      </c>
      <c r="AR1035" s="284">
        <f t="shared" si="445"/>
        <v>0</v>
      </c>
      <c r="AS1035" s="281">
        <f t="shared" si="446"/>
        <v>0</v>
      </c>
      <c r="AT1035" s="284">
        <f t="shared" si="447"/>
        <v>0</v>
      </c>
    </row>
    <row r="1036" spans="1:97" s="114" customFormat="1" ht="30.9" x14ac:dyDescent="0.8">
      <c r="A1036" s="262">
        <f>ROW()</f>
        <v>1036</v>
      </c>
      <c r="C1036" s="208"/>
      <c r="D1036" s="208"/>
      <c r="E1036" s="208"/>
      <c r="F1036" s="208"/>
      <c r="G1036" s="208"/>
      <c r="H1036" s="208"/>
      <c r="J1036" s="114" t="str">
        <f t="shared" si="475"/>
        <v/>
      </c>
      <c r="K1036" s="114" t="str">
        <f>IF(COUNTBLANK(R1036)&gt;0,"",CONCATENATE(R1036," for ",N1029))</f>
        <v/>
      </c>
      <c r="N1036" s="123" t="s">
        <v>119</v>
      </c>
      <c r="O1036" s="66"/>
      <c r="P1036" s="121"/>
      <c r="Q1036" s="121"/>
      <c r="R1036" s="121"/>
      <c r="S1036" s="133">
        <f>M1029</f>
        <v>0</v>
      </c>
      <c r="T1036" s="120"/>
      <c r="U1036" s="121" t="s">
        <v>292</v>
      </c>
      <c r="V1036" s="133">
        <f t="shared" si="468"/>
        <v>0</v>
      </c>
      <c r="W1036" s="133">
        <f>VLOOKUP(U1036,Sheet1!$B$6:$C$45,2,FALSE)*V1036</f>
        <v>0</v>
      </c>
      <c r="X1036" s="141"/>
      <c r="Y1036" s="121" t="s">
        <v>292</v>
      </c>
      <c r="Z1036" s="146">
        <f>VLOOKUP(Takeoffs!Y1036,Sheet1!$B$6:$C$124,2,FALSE)</f>
        <v>0</v>
      </c>
      <c r="AA1036" s="146">
        <f t="shared" si="469"/>
        <v>0</v>
      </c>
      <c r="AB1036" s="143">
        <f t="shared" si="470"/>
        <v>0</v>
      </c>
      <c r="AC1036" s="133">
        <f t="shared" si="471"/>
        <v>0</v>
      </c>
      <c r="AD1036" s="142">
        <v>1</v>
      </c>
      <c r="AE1036" s="141"/>
      <c r="AF1036" s="121" t="s">
        <v>292</v>
      </c>
      <c r="AG1036" s="146">
        <f>VLOOKUP(Takeoffs!AF1036,Sheet1!$B$6:$C$124,2,FALSE)</f>
        <v>0</v>
      </c>
      <c r="AH1036" s="146">
        <f t="shared" si="472"/>
        <v>0</v>
      </c>
      <c r="AI1036" s="143">
        <f t="shared" si="473"/>
        <v>0</v>
      </c>
      <c r="AJ1036" s="133">
        <f t="shared" si="474"/>
        <v>0</v>
      </c>
      <c r="AK1036" s="142">
        <f t="shared" si="476"/>
        <v>0</v>
      </c>
      <c r="AL1036" s="141"/>
      <c r="AO1036" s="286"/>
      <c r="AP1036" s="284">
        <f t="shared" si="443"/>
        <v>0</v>
      </c>
      <c r="AQ1036" s="281">
        <f t="shared" si="444"/>
        <v>0</v>
      </c>
      <c r="AR1036" s="284">
        <f t="shared" si="445"/>
        <v>0</v>
      </c>
      <c r="AS1036" s="281">
        <f t="shared" si="446"/>
        <v>0</v>
      </c>
      <c r="AT1036" s="284">
        <f t="shared" si="447"/>
        <v>0</v>
      </c>
    </row>
    <row r="1037" spans="1:97" s="114" customFormat="1" ht="30.9" x14ac:dyDescent="0.8">
      <c r="A1037" s="262">
        <f>ROW()</f>
        <v>1037</v>
      </c>
      <c r="C1037" s="208"/>
      <c r="D1037" s="208"/>
      <c r="E1037" s="208"/>
      <c r="F1037" s="208"/>
      <c r="G1037" s="208"/>
      <c r="H1037" s="208"/>
      <c r="J1037" s="114" t="str">
        <f t="shared" si="475"/>
        <v/>
      </c>
      <c r="K1037" s="114" t="str">
        <f>IF(COUNTBLANK(R1037)&gt;0,"",CONCATENATE(R1037," for ",N1029))</f>
        <v/>
      </c>
      <c r="N1037" s="123" t="s">
        <v>120</v>
      </c>
      <c r="O1037" s="66" t="s">
        <v>306</v>
      </c>
      <c r="P1037" s="121"/>
      <c r="Q1037" s="121"/>
      <c r="R1037" s="121"/>
      <c r="S1037" s="133">
        <f>M1029</f>
        <v>0</v>
      </c>
      <c r="T1037" s="120"/>
      <c r="U1037" s="121" t="s">
        <v>292</v>
      </c>
      <c r="V1037" s="133">
        <f t="shared" si="468"/>
        <v>0</v>
      </c>
      <c r="W1037" s="133">
        <f>VLOOKUP(U1037,Sheet1!$B$6:$C$45,2,FALSE)*V1037</f>
        <v>0</v>
      </c>
      <c r="X1037" s="141"/>
      <c r="Y1037" s="122" t="s">
        <v>274</v>
      </c>
      <c r="Z1037" s="146">
        <f>VLOOKUP(Takeoffs!Y1037,Sheet1!$B$6:$C$124,2,FALSE)</f>
        <v>360</v>
      </c>
      <c r="AA1037" s="146">
        <f t="shared" si="469"/>
        <v>0</v>
      </c>
      <c r="AB1037" s="143">
        <f t="shared" si="470"/>
        <v>0</v>
      </c>
      <c r="AC1037" s="133">
        <f t="shared" si="471"/>
        <v>0</v>
      </c>
      <c r="AD1037" s="142">
        <v>1</v>
      </c>
      <c r="AE1037" s="141"/>
      <c r="AF1037" s="121" t="s">
        <v>292</v>
      </c>
      <c r="AG1037" s="146">
        <f>VLOOKUP(Takeoffs!AF1037,Sheet1!$B$6:$C$124,2,FALSE)</f>
        <v>0</v>
      </c>
      <c r="AH1037" s="146">
        <f t="shared" si="472"/>
        <v>0</v>
      </c>
      <c r="AI1037" s="143">
        <f t="shared" si="473"/>
        <v>0</v>
      </c>
      <c r="AJ1037" s="133">
        <f t="shared" si="474"/>
        <v>0</v>
      </c>
      <c r="AK1037" s="142">
        <f t="shared" si="476"/>
        <v>0</v>
      </c>
      <c r="AL1037" s="141"/>
      <c r="AO1037" s="286"/>
      <c r="AP1037" s="284">
        <f t="shared" si="443"/>
        <v>0</v>
      </c>
      <c r="AQ1037" s="281">
        <f t="shared" si="444"/>
        <v>0</v>
      </c>
      <c r="AR1037" s="284">
        <f t="shared" si="445"/>
        <v>0</v>
      </c>
      <c r="AS1037" s="281">
        <f t="shared" si="446"/>
        <v>0</v>
      </c>
      <c r="AT1037" s="284">
        <f t="shared" si="447"/>
        <v>0</v>
      </c>
    </row>
    <row r="1038" spans="1:97" s="114" customFormat="1" ht="30.9" x14ac:dyDescent="0.8">
      <c r="A1038" s="262">
        <f>ROW()</f>
        <v>1038</v>
      </c>
      <c r="C1038" s="208"/>
      <c r="D1038" s="208"/>
      <c r="E1038" s="208"/>
      <c r="F1038" s="208"/>
      <c r="G1038" s="208"/>
      <c r="H1038" s="208"/>
      <c r="J1038" s="114" t="str">
        <f t="shared" si="475"/>
        <v/>
      </c>
      <c r="K1038" s="114" t="str">
        <f>IF(COUNTBLANK(R1038)&gt;0,"",CONCATENATE(R1038," for ",N1029))</f>
        <v/>
      </c>
      <c r="N1038" s="123" t="s">
        <v>121</v>
      </c>
      <c r="O1038" s="66" t="s">
        <v>307</v>
      </c>
      <c r="P1038" s="121"/>
      <c r="Q1038" s="121"/>
      <c r="R1038" s="121"/>
      <c r="S1038" s="133">
        <f>M1029</f>
        <v>0</v>
      </c>
      <c r="T1038" s="120"/>
      <c r="U1038" s="121" t="s">
        <v>364</v>
      </c>
      <c r="V1038" s="133">
        <f t="shared" si="468"/>
        <v>0</v>
      </c>
      <c r="W1038" s="133">
        <f>VLOOKUP(U1038,Sheet1!$B$6:$C$45,2,FALSE)*V1038</f>
        <v>0</v>
      </c>
      <c r="X1038" s="141"/>
      <c r="Y1038" s="121" t="s">
        <v>292</v>
      </c>
      <c r="Z1038" s="146">
        <f>VLOOKUP(Takeoffs!Y1038,Sheet1!$B$6:$C$124,2,FALSE)</f>
        <v>0</v>
      </c>
      <c r="AA1038" s="146">
        <f t="shared" si="469"/>
        <v>0</v>
      </c>
      <c r="AB1038" s="143">
        <f t="shared" si="470"/>
        <v>0</v>
      </c>
      <c r="AC1038" s="133">
        <f t="shared" si="471"/>
        <v>0</v>
      </c>
      <c r="AD1038" s="142">
        <v>1</v>
      </c>
      <c r="AE1038" s="141"/>
      <c r="AF1038" s="121" t="s">
        <v>292</v>
      </c>
      <c r="AG1038" s="146">
        <f>VLOOKUP(Takeoffs!AF1038,Sheet1!$B$6:$C$124,2,FALSE)</f>
        <v>0</v>
      </c>
      <c r="AH1038" s="146">
        <f t="shared" si="472"/>
        <v>0</v>
      </c>
      <c r="AI1038" s="143">
        <f t="shared" si="473"/>
        <v>0</v>
      </c>
      <c r="AJ1038" s="133">
        <f t="shared" si="474"/>
        <v>0</v>
      </c>
      <c r="AK1038" s="142">
        <f t="shared" si="476"/>
        <v>0</v>
      </c>
      <c r="AL1038" s="141"/>
      <c r="AO1038" s="286"/>
      <c r="AP1038" s="284">
        <f t="shared" si="443"/>
        <v>0</v>
      </c>
      <c r="AQ1038" s="281">
        <f t="shared" si="444"/>
        <v>0</v>
      </c>
      <c r="AR1038" s="284">
        <f t="shared" si="445"/>
        <v>0</v>
      </c>
      <c r="AS1038" s="281">
        <f t="shared" si="446"/>
        <v>0</v>
      </c>
      <c r="AT1038" s="284">
        <f t="shared" si="447"/>
        <v>0</v>
      </c>
    </row>
    <row r="1039" spans="1:97" s="114" customFormat="1" ht="30.9" x14ac:dyDescent="0.8">
      <c r="A1039" s="262">
        <f>ROW()</f>
        <v>1039</v>
      </c>
      <c r="C1039" s="208"/>
      <c r="D1039" s="208"/>
      <c r="E1039" s="208"/>
      <c r="F1039" s="208"/>
      <c r="G1039" s="208"/>
      <c r="H1039" s="208"/>
      <c r="J1039" s="114" t="str">
        <f t="shared" si="475"/>
        <v/>
      </c>
      <c r="K1039" s="114" t="str">
        <f>IF(COUNTBLANK(R1039)&gt;0,"",CONCATENATE(R1039," for ",N1029))</f>
        <v/>
      </c>
      <c r="N1039" s="123" t="s">
        <v>122</v>
      </c>
      <c r="O1039" s="66"/>
      <c r="P1039" s="121"/>
      <c r="Q1039" s="121"/>
      <c r="R1039" s="121"/>
      <c r="S1039" s="133">
        <f>M1029</f>
        <v>0</v>
      </c>
      <c r="T1039" s="120"/>
      <c r="U1039" s="121" t="s">
        <v>292</v>
      </c>
      <c r="V1039" s="133">
        <f t="shared" si="468"/>
        <v>0</v>
      </c>
      <c r="W1039" s="133">
        <f>VLOOKUP(U1039,Sheet1!$B$6:$C$45,2,FALSE)*V1039</f>
        <v>0</v>
      </c>
      <c r="X1039" s="141"/>
      <c r="Y1039" s="121" t="s">
        <v>292</v>
      </c>
      <c r="Z1039" s="146">
        <f>VLOOKUP(Takeoffs!Y1039,Sheet1!$B$6:$C$124,2,FALSE)</f>
        <v>0</v>
      </c>
      <c r="AA1039" s="146">
        <f t="shared" si="469"/>
        <v>0</v>
      </c>
      <c r="AB1039" s="143">
        <f t="shared" si="470"/>
        <v>0</v>
      </c>
      <c r="AC1039" s="133">
        <f t="shared" si="471"/>
        <v>0</v>
      </c>
      <c r="AD1039" s="142">
        <v>1</v>
      </c>
      <c r="AE1039" s="141"/>
      <c r="AF1039" s="121" t="s">
        <v>292</v>
      </c>
      <c r="AG1039" s="146">
        <f>VLOOKUP(Takeoffs!AF1039,Sheet1!$B$6:$C$124,2,FALSE)</f>
        <v>0</v>
      </c>
      <c r="AH1039" s="146">
        <f t="shared" si="472"/>
        <v>0</v>
      </c>
      <c r="AI1039" s="143">
        <f t="shared" si="473"/>
        <v>0</v>
      </c>
      <c r="AJ1039" s="133">
        <f t="shared" si="474"/>
        <v>0</v>
      </c>
      <c r="AK1039" s="142">
        <f t="shared" si="476"/>
        <v>0</v>
      </c>
      <c r="AL1039" s="141"/>
      <c r="AO1039" s="286"/>
      <c r="AP1039" s="284">
        <f t="shared" si="443"/>
        <v>0</v>
      </c>
      <c r="AQ1039" s="281">
        <f t="shared" si="444"/>
        <v>0</v>
      </c>
      <c r="AR1039" s="284">
        <f t="shared" si="445"/>
        <v>0</v>
      </c>
      <c r="AS1039" s="281">
        <f t="shared" si="446"/>
        <v>0</v>
      </c>
      <c r="AT1039" s="284">
        <f t="shared" si="447"/>
        <v>0</v>
      </c>
    </row>
    <row r="1040" spans="1:97" s="114" customFormat="1" ht="30.9" x14ac:dyDescent="0.8">
      <c r="A1040" s="262">
        <f>ROW()</f>
        <v>1040</v>
      </c>
      <c r="C1040" s="208"/>
      <c r="D1040" s="208"/>
      <c r="E1040" s="208"/>
      <c r="F1040" s="208"/>
      <c r="G1040" s="208"/>
      <c r="H1040" s="208"/>
      <c r="J1040" s="114" t="str">
        <f t="shared" si="475"/>
        <v/>
      </c>
      <c r="K1040" s="114" t="str">
        <f>IF(COUNTBLANK(R1040)&gt;0,"",CONCATENATE(R1040," for ",N1029))</f>
        <v/>
      </c>
      <c r="N1040" s="123" t="s">
        <v>123</v>
      </c>
      <c r="O1040" s="66"/>
      <c r="P1040" s="121"/>
      <c r="Q1040" s="121"/>
      <c r="R1040" s="121"/>
      <c r="S1040" s="133">
        <f>M1029</f>
        <v>0</v>
      </c>
      <c r="T1040" s="120"/>
      <c r="U1040" s="121" t="s">
        <v>292</v>
      </c>
      <c r="V1040" s="133">
        <f t="shared" si="468"/>
        <v>0</v>
      </c>
      <c r="W1040" s="133">
        <f>VLOOKUP(U1040,Sheet1!$B$6:$C$45,2,FALSE)*V1040</f>
        <v>0</v>
      </c>
      <c r="X1040" s="141"/>
      <c r="Y1040" s="121" t="s">
        <v>292</v>
      </c>
      <c r="Z1040" s="146">
        <f>VLOOKUP(Takeoffs!Y1040,Sheet1!$B$6:$C$124,2,FALSE)</f>
        <v>0</v>
      </c>
      <c r="AA1040" s="146">
        <f t="shared" si="469"/>
        <v>0</v>
      </c>
      <c r="AB1040" s="143">
        <f t="shared" si="470"/>
        <v>0</v>
      </c>
      <c r="AC1040" s="133">
        <f t="shared" si="471"/>
        <v>0</v>
      </c>
      <c r="AD1040" s="142">
        <v>1</v>
      </c>
      <c r="AE1040" s="141"/>
      <c r="AF1040" s="121" t="s">
        <v>292</v>
      </c>
      <c r="AG1040" s="146">
        <f>VLOOKUP(Takeoffs!AF1040,Sheet1!$B$6:$C$124,2,FALSE)</f>
        <v>0</v>
      </c>
      <c r="AH1040" s="146">
        <f t="shared" si="472"/>
        <v>0</v>
      </c>
      <c r="AI1040" s="143">
        <f t="shared" si="473"/>
        <v>0</v>
      </c>
      <c r="AJ1040" s="133">
        <f t="shared" si="474"/>
        <v>0</v>
      </c>
      <c r="AK1040" s="142">
        <f t="shared" si="476"/>
        <v>0</v>
      </c>
      <c r="AL1040" s="141"/>
      <c r="AO1040" s="286"/>
      <c r="AP1040" s="284">
        <f t="shared" si="443"/>
        <v>0</v>
      </c>
      <c r="AQ1040" s="281">
        <f t="shared" si="444"/>
        <v>0</v>
      </c>
      <c r="AR1040" s="284">
        <f t="shared" si="445"/>
        <v>0</v>
      </c>
      <c r="AS1040" s="281">
        <f t="shared" si="446"/>
        <v>0</v>
      </c>
      <c r="AT1040" s="284">
        <f t="shared" si="447"/>
        <v>0</v>
      </c>
    </row>
    <row r="1041" spans="1:97" s="114" customFormat="1" ht="30.9" x14ac:dyDescent="0.8">
      <c r="A1041" s="262">
        <f>ROW()</f>
        <v>1041</v>
      </c>
      <c r="C1041" s="208"/>
      <c r="D1041" s="208"/>
      <c r="E1041" s="208"/>
      <c r="F1041" s="208"/>
      <c r="G1041" s="208"/>
      <c r="H1041" s="208"/>
      <c r="J1041" s="114" t="str">
        <f t="shared" si="475"/>
        <v/>
      </c>
      <c r="K1041" s="114" t="str">
        <f>IF(COUNTBLANK(R1041)&gt;0,"",CONCATENATE(R1041," for ",N1029))</f>
        <v/>
      </c>
      <c r="N1041" s="123" t="s">
        <v>124</v>
      </c>
      <c r="O1041" s="66" t="s">
        <v>140</v>
      </c>
      <c r="P1041" s="121"/>
      <c r="Q1041" s="121"/>
      <c r="R1041" s="121"/>
      <c r="S1041" s="133">
        <f>M1029</f>
        <v>0</v>
      </c>
      <c r="T1041" s="120"/>
      <c r="U1041" s="121" t="s">
        <v>363</v>
      </c>
      <c r="V1041" s="133">
        <f t="shared" si="468"/>
        <v>0</v>
      </c>
      <c r="W1041" s="133">
        <f>VLOOKUP(U1041,Sheet1!$B$6:$C$45,2,FALSE)*V1041</f>
        <v>0</v>
      </c>
      <c r="X1041" s="141"/>
      <c r="Y1041" s="121" t="s">
        <v>292</v>
      </c>
      <c r="Z1041" s="146">
        <f>VLOOKUP(Takeoffs!Y1041,Sheet1!$B$6:$C$124,2,FALSE)</f>
        <v>0</v>
      </c>
      <c r="AA1041" s="146">
        <f t="shared" si="469"/>
        <v>0</v>
      </c>
      <c r="AB1041" s="143">
        <f t="shared" si="470"/>
        <v>0</v>
      </c>
      <c r="AC1041" s="133">
        <f t="shared" si="471"/>
        <v>0</v>
      </c>
      <c r="AD1041" s="142">
        <v>1</v>
      </c>
      <c r="AE1041" s="141"/>
      <c r="AF1041" s="144" t="s">
        <v>269</v>
      </c>
      <c r="AG1041" s="146">
        <f>VLOOKUP(Takeoffs!AF1041,Sheet1!$B$6:$C$124,2,FALSE)</f>
        <v>1.056</v>
      </c>
      <c r="AH1041" s="146">
        <f t="shared" si="472"/>
        <v>0</v>
      </c>
      <c r="AI1041" s="143">
        <f t="shared" si="473"/>
        <v>0</v>
      </c>
      <c r="AJ1041" s="133">
        <f t="shared" si="474"/>
        <v>0</v>
      </c>
      <c r="AK1041" s="142">
        <v>30</v>
      </c>
      <c r="AL1041" s="141"/>
      <c r="AO1041" s="286"/>
      <c r="AP1041" s="284">
        <f t="shared" si="443"/>
        <v>0</v>
      </c>
      <c r="AQ1041" s="281">
        <f t="shared" si="444"/>
        <v>0</v>
      </c>
      <c r="AR1041" s="284">
        <f t="shared" si="445"/>
        <v>0</v>
      </c>
      <c r="AS1041" s="281">
        <f t="shared" si="446"/>
        <v>0</v>
      </c>
      <c r="AT1041" s="284">
        <f t="shared" si="447"/>
        <v>0</v>
      </c>
    </row>
    <row r="1042" spans="1:97" s="114" customFormat="1" ht="30.9" x14ac:dyDescent="0.8">
      <c r="A1042" s="262">
        <f>ROW()</f>
        <v>1042</v>
      </c>
      <c r="C1042" s="208"/>
      <c r="D1042" s="208"/>
      <c r="E1042" s="208"/>
      <c r="F1042" s="208"/>
      <c r="G1042" s="208"/>
      <c r="H1042" s="208"/>
      <c r="J1042" s="114" t="str">
        <f t="shared" si="475"/>
        <v/>
      </c>
      <c r="K1042" s="114" t="str">
        <f>IF(COUNTBLANK(R1042)&gt;0,"",CONCATENATE(R1042," for ",N1029))</f>
        <v/>
      </c>
      <c r="N1042" s="123" t="s">
        <v>125</v>
      </c>
      <c r="O1042" s="66" t="s">
        <v>312</v>
      </c>
      <c r="P1042" s="121"/>
      <c r="Q1042" s="121"/>
      <c r="R1042" s="121"/>
      <c r="S1042" s="133">
        <f>M1029</f>
        <v>0</v>
      </c>
      <c r="T1042" s="120"/>
      <c r="U1042" s="121" t="s">
        <v>232</v>
      </c>
      <c r="V1042" s="133">
        <f t="shared" si="468"/>
        <v>0</v>
      </c>
      <c r="W1042" s="133">
        <f>VLOOKUP(U1042,Sheet1!$B$6:$C$45,2,FALSE)*V1042</f>
        <v>0</v>
      </c>
      <c r="X1042" s="141"/>
      <c r="Y1042" s="122" t="s">
        <v>1345</v>
      </c>
      <c r="Z1042" s="146">
        <f>VLOOKUP(Takeoffs!Y1042,Sheet1!$B$6:$C$124,2,FALSE)</f>
        <v>109.25999999999999</v>
      </c>
      <c r="AA1042" s="146">
        <f t="shared" si="469"/>
        <v>0</v>
      </c>
      <c r="AB1042" s="143">
        <f t="shared" si="470"/>
        <v>0</v>
      </c>
      <c r="AC1042" s="133">
        <f t="shared" si="471"/>
        <v>0</v>
      </c>
      <c r="AD1042" s="142">
        <v>1</v>
      </c>
      <c r="AE1042" s="141"/>
      <c r="AF1042" s="121" t="s">
        <v>292</v>
      </c>
      <c r="AG1042" s="146">
        <f>VLOOKUP(Takeoffs!AF1042,Sheet1!$B$6:$C$124,2,FALSE)</f>
        <v>0</v>
      </c>
      <c r="AH1042" s="146">
        <f t="shared" si="472"/>
        <v>0</v>
      </c>
      <c r="AI1042" s="143">
        <f t="shared" si="473"/>
        <v>0</v>
      </c>
      <c r="AJ1042" s="133">
        <f t="shared" si="474"/>
        <v>0</v>
      </c>
      <c r="AK1042" s="142">
        <f t="shared" ref="AK1042:AK1047" si="477">T1042</f>
        <v>0</v>
      </c>
      <c r="AL1042" s="141"/>
      <c r="AO1042" s="286"/>
      <c r="AP1042" s="284">
        <f t="shared" si="443"/>
        <v>0</v>
      </c>
      <c r="AQ1042" s="281">
        <f t="shared" si="444"/>
        <v>0</v>
      </c>
      <c r="AR1042" s="284">
        <f t="shared" si="445"/>
        <v>0</v>
      </c>
      <c r="AS1042" s="281">
        <f t="shared" si="446"/>
        <v>0</v>
      </c>
      <c r="AT1042" s="284">
        <f t="shared" si="447"/>
        <v>0</v>
      </c>
    </row>
    <row r="1043" spans="1:97" s="114" customFormat="1" ht="30.9" x14ac:dyDescent="0.8">
      <c r="A1043" s="262">
        <f>ROW()</f>
        <v>1043</v>
      </c>
      <c r="C1043" s="208"/>
      <c r="D1043" s="208"/>
      <c r="E1043" s="208"/>
      <c r="F1043" s="208"/>
      <c r="G1043" s="208"/>
      <c r="H1043" s="208"/>
      <c r="J1043" s="114" t="str">
        <f t="shared" si="475"/>
        <v/>
      </c>
      <c r="K1043" s="114" t="str">
        <f>IF(COUNTBLANK(R1043)&gt;0,"",CONCATENATE(R1043," for ",N1029))</f>
        <v/>
      </c>
      <c r="N1043" s="123" t="s">
        <v>126</v>
      </c>
      <c r="O1043" s="66" t="s">
        <v>313</v>
      </c>
      <c r="P1043" s="121"/>
      <c r="Q1043" s="121"/>
      <c r="R1043" s="121"/>
      <c r="S1043" s="133">
        <f>M1029</f>
        <v>0</v>
      </c>
      <c r="T1043" s="120"/>
      <c r="U1043" s="121" t="s">
        <v>363</v>
      </c>
      <c r="V1043" s="133">
        <f t="shared" si="468"/>
        <v>0</v>
      </c>
      <c r="W1043" s="133">
        <f>VLOOKUP(U1043,Sheet1!$B$6:$C$45,2,FALSE)*V1043</f>
        <v>0</v>
      </c>
      <c r="X1043" s="141"/>
      <c r="Y1043" s="122" t="s">
        <v>321</v>
      </c>
      <c r="Z1043" s="146">
        <f>VLOOKUP(Takeoffs!Y1043,Sheet1!$B$6:$C$124,2,FALSE)</f>
        <v>60</v>
      </c>
      <c r="AA1043" s="146">
        <f t="shared" si="469"/>
        <v>0</v>
      </c>
      <c r="AB1043" s="143">
        <f t="shared" si="470"/>
        <v>0</v>
      </c>
      <c r="AC1043" s="133">
        <f t="shared" si="471"/>
        <v>0</v>
      </c>
      <c r="AD1043" s="142">
        <v>1</v>
      </c>
      <c r="AE1043" s="141"/>
      <c r="AF1043" s="121" t="s">
        <v>292</v>
      </c>
      <c r="AG1043" s="146">
        <f>VLOOKUP(Takeoffs!AF1043,Sheet1!$B$6:$C$124,2,FALSE)</f>
        <v>0</v>
      </c>
      <c r="AH1043" s="146">
        <f t="shared" si="472"/>
        <v>0</v>
      </c>
      <c r="AI1043" s="143">
        <f t="shared" si="473"/>
        <v>0</v>
      </c>
      <c r="AJ1043" s="133">
        <f t="shared" si="474"/>
        <v>0</v>
      </c>
      <c r="AK1043" s="142">
        <f t="shared" si="477"/>
        <v>0</v>
      </c>
      <c r="AL1043" s="141"/>
      <c r="AO1043" s="286"/>
      <c r="AP1043" s="284">
        <f t="shared" si="443"/>
        <v>0</v>
      </c>
      <c r="AQ1043" s="281">
        <f t="shared" si="444"/>
        <v>0</v>
      </c>
      <c r="AR1043" s="284">
        <f t="shared" si="445"/>
        <v>0</v>
      </c>
      <c r="AS1043" s="281">
        <f t="shared" si="446"/>
        <v>0</v>
      </c>
      <c r="AT1043" s="284">
        <f t="shared" si="447"/>
        <v>0</v>
      </c>
    </row>
    <row r="1044" spans="1:97" s="114" customFormat="1" ht="30.9" x14ac:dyDescent="0.8">
      <c r="A1044" s="262">
        <f>ROW()</f>
        <v>1044</v>
      </c>
      <c r="C1044" s="208"/>
      <c r="D1044" s="208"/>
      <c r="E1044" s="208"/>
      <c r="F1044" s="208"/>
      <c r="G1044" s="208"/>
      <c r="H1044" s="208"/>
      <c r="J1044" s="114" t="str">
        <f t="shared" si="475"/>
        <v/>
      </c>
      <c r="K1044" s="114" t="str">
        <f>IF(COUNTBLANK(R1044)&gt;0,"",CONCATENATE(R1044," for ",N1029))</f>
        <v>Run and fault lights for Chilled Water AHU with large VSD</v>
      </c>
      <c r="N1044" s="123" t="s">
        <v>127</v>
      </c>
      <c r="O1044" s="66" t="s">
        <v>314</v>
      </c>
      <c r="P1044" s="121"/>
      <c r="Q1044" s="121"/>
      <c r="R1044" s="121" t="s">
        <v>455</v>
      </c>
      <c r="S1044" s="133">
        <f>M1029</f>
        <v>0</v>
      </c>
      <c r="T1044" s="120"/>
      <c r="U1044" s="121" t="s">
        <v>292</v>
      </c>
      <c r="V1044" s="133">
        <f t="shared" si="468"/>
        <v>0</v>
      </c>
      <c r="W1044" s="133">
        <f>VLOOKUP(U1044,Sheet1!$B$6:$C$45,2,FALSE)*V1044</f>
        <v>0</v>
      </c>
      <c r="X1044" s="141"/>
      <c r="Y1044" s="122" t="s">
        <v>280</v>
      </c>
      <c r="Z1044" s="146">
        <f>VLOOKUP(Takeoffs!Y1044,Sheet1!$B$6:$C$124,2,FALSE)</f>
        <v>19.2</v>
      </c>
      <c r="AA1044" s="146">
        <f t="shared" si="469"/>
        <v>0</v>
      </c>
      <c r="AB1044" s="143">
        <f t="shared" si="470"/>
        <v>0</v>
      </c>
      <c r="AC1044" s="133">
        <f t="shared" si="471"/>
        <v>0</v>
      </c>
      <c r="AD1044" s="142">
        <v>1</v>
      </c>
      <c r="AE1044" s="141"/>
      <c r="AF1044" s="121" t="s">
        <v>292</v>
      </c>
      <c r="AG1044" s="146">
        <f>VLOOKUP(Takeoffs!AF1044,Sheet1!$B$6:$C$124,2,FALSE)</f>
        <v>0</v>
      </c>
      <c r="AH1044" s="146">
        <f t="shared" si="472"/>
        <v>0</v>
      </c>
      <c r="AI1044" s="143">
        <f t="shared" si="473"/>
        <v>0</v>
      </c>
      <c r="AJ1044" s="133">
        <f t="shared" si="474"/>
        <v>0</v>
      </c>
      <c r="AK1044" s="142">
        <f t="shared" si="477"/>
        <v>0</v>
      </c>
      <c r="AL1044" s="141"/>
      <c r="AO1044" s="286"/>
      <c r="AP1044" s="284">
        <f t="shared" ref="AP1044:AP1107" si="478">IF(AND(I1044&gt;0, ISNUMBER(I1044)),I1044*P1044,0)</f>
        <v>0</v>
      </c>
      <c r="AQ1044" s="281">
        <f t="shared" ref="AQ1044:AQ1107" si="479">IF(AND(I1044&gt;0, ISNUMBER(I1044)),I1044*W1044*80,0)</f>
        <v>0</v>
      </c>
      <c r="AR1044" s="284">
        <f t="shared" ref="AR1044:AR1107" si="480">IF(AND(I1044&gt;0, ISNUMBER(I1044)),I1044*AA1044,0)</f>
        <v>0</v>
      </c>
      <c r="AS1044" s="281">
        <f t="shared" ref="AS1044:AS1107" si="481">IF(AND(I1044&gt;0, ISNUMBER(I1044)),I1044*AH1044,0)</f>
        <v>0</v>
      </c>
      <c r="AT1044" s="284">
        <f t="shared" ref="AT1044:AT1107" si="482">IF(AND(I1044&gt;0, ISNUMBER(I1044)),I1044*(AP1044-(AQ1044+AR1044+AS1044)),0)</f>
        <v>0</v>
      </c>
    </row>
    <row r="1045" spans="1:97" s="114" customFormat="1" ht="30.9" x14ac:dyDescent="0.8">
      <c r="A1045" s="262">
        <f>ROW()</f>
        <v>1045</v>
      </c>
      <c r="C1045" s="208"/>
      <c r="D1045" s="208"/>
      <c r="E1045" s="208"/>
      <c r="F1045" s="208"/>
      <c r="G1045" s="208"/>
      <c r="H1045" s="208"/>
      <c r="J1045" s="114" t="str">
        <f t="shared" si="475"/>
        <v/>
      </c>
      <c r="K1045" s="114" t="str">
        <f>IF(COUNTBLANK(R1045)&gt;0,"",CONCATENATE(R1045," for ",N1029))</f>
        <v/>
      </c>
      <c r="N1045" s="123" t="s">
        <v>128</v>
      </c>
      <c r="O1045" s="66" t="s">
        <v>315</v>
      </c>
      <c r="P1045" s="121"/>
      <c r="Q1045" s="121"/>
      <c r="R1045" s="121"/>
      <c r="S1045" s="133">
        <f>M1029</f>
        <v>0</v>
      </c>
      <c r="T1045" s="120"/>
      <c r="U1045" s="121" t="s">
        <v>292</v>
      </c>
      <c r="V1045" s="133">
        <f t="shared" si="468"/>
        <v>0</v>
      </c>
      <c r="W1045" s="133">
        <f>VLOOKUP(U1045,Sheet1!$B$6:$C$45,2,FALSE)*V1045</f>
        <v>0</v>
      </c>
      <c r="X1045" s="141"/>
      <c r="Y1045" s="122" t="s">
        <v>280</v>
      </c>
      <c r="Z1045" s="146">
        <f>VLOOKUP(Takeoffs!Y1045,Sheet1!$B$6:$C$124,2,FALSE)</f>
        <v>19.2</v>
      </c>
      <c r="AA1045" s="146">
        <f t="shared" si="469"/>
        <v>0</v>
      </c>
      <c r="AB1045" s="143">
        <f t="shared" si="470"/>
        <v>0</v>
      </c>
      <c r="AC1045" s="133">
        <f t="shared" si="471"/>
        <v>0</v>
      </c>
      <c r="AD1045" s="142">
        <v>1</v>
      </c>
      <c r="AE1045" s="141"/>
      <c r="AF1045" s="121" t="s">
        <v>292</v>
      </c>
      <c r="AG1045" s="146">
        <f>VLOOKUP(Takeoffs!AF1045,Sheet1!$B$6:$C$124,2,FALSE)</f>
        <v>0</v>
      </c>
      <c r="AH1045" s="146">
        <f t="shared" si="472"/>
        <v>0</v>
      </c>
      <c r="AI1045" s="143">
        <f t="shared" si="473"/>
        <v>0</v>
      </c>
      <c r="AJ1045" s="133">
        <f t="shared" si="474"/>
        <v>0</v>
      </c>
      <c r="AK1045" s="142">
        <f t="shared" si="477"/>
        <v>0</v>
      </c>
      <c r="AL1045" s="141"/>
      <c r="AO1045" s="286"/>
      <c r="AP1045" s="284">
        <f t="shared" si="478"/>
        <v>0</v>
      </c>
      <c r="AQ1045" s="281">
        <f t="shared" si="479"/>
        <v>0</v>
      </c>
      <c r="AR1045" s="284">
        <f t="shared" si="480"/>
        <v>0</v>
      </c>
      <c r="AS1045" s="281">
        <f t="shared" si="481"/>
        <v>0</v>
      </c>
      <c r="AT1045" s="284">
        <f t="shared" si="482"/>
        <v>0</v>
      </c>
    </row>
    <row r="1046" spans="1:97" s="114" customFormat="1" ht="30.9" x14ac:dyDescent="0.8">
      <c r="A1046" s="262">
        <f>ROW()</f>
        <v>1046</v>
      </c>
      <c r="C1046" s="208"/>
      <c r="D1046" s="208"/>
      <c r="E1046" s="208"/>
      <c r="F1046" s="208"/>
      <c r="G1046" s="208"/>
      <c r="H1046" s="208"/>
      <c r="J1046" s="114" t="str">
        <f t="shared" si="475"/>
        <v/>
      </c>
      <c r="K1046" s="114" t="str">
        <f>IF(COUNTBLANK(R1046)&gt;0,"",CONCATENATE(R1046," for ",N1029))</f>
        <v>Auto/Off/On switch for Chilled Water AHU with large VSD</v>
      </c>
      <c r="N1046" s="123" t="s">
        <v>129</v>
      </c>
      <c r="O1046" s="66" t="s">
        <v>329</v>
      </c>
      <c r="P1046" s="121"/>
      <c r="Q1046" s="121"/>
      <c r="R1046" s="121" t="s">
        <v>304</v>
      </c>
      <c r="S1046" s="133">
        <f>M1029</f>
        <v>0</v>
      </c>
      <c r="T1046" s="120"/>
      <c r="U1046" s="121" t="s">
        <v>292</v>
      </c>
      <c r="V1046" s="133">
        <f t="shared" si="468"/>
        <v>0</v>
      </c>
      <c r="W1046" s="133">
        <f>VLOOKUP(U1046,Sheet1!$B$6:$C$45,2,FALSE)*V1046</f>
        <v>0</v>
      </c>
      <c r="X1046" s="141"/>
      <c r="Y1046" s="122" t="s">
        <v>277</v>
      </c>
      <c r="Z1046" s="146">
        <f>VLOOKUP(Takeoffs!Y1046,Sheet1!$B$6:$C$124,2,FALSE)</f>
        <v>69.540000000000006</v>
      </c>
      <c r="AA1046" s="146">
        <f t="shared" si="469"/>
        <v>0</v>
      </c>
      <c r="AB1046" s="143">
        <f t="shared" si="470"/>
        <v>0</v>
      </c>
      <c r="AC1046" s="133">
        <f t="shared" si="471"/>
        <v>0</v>
      </c>
      <c r="AD1046" s="142">
        <v>1</v>
      </c>
      <c r="AE1046" s="141"/>
      <c r="AF1046" s="121" t="s">
        <v>292</v>
      </c>
      <c r="AG1046" s="146">
        <f>VLOOKUP(Takeoffs!AF1046,Sheet1!$B$6:$C$124,2,FALSE)</f>
        <v>0</v>
      </c>
      <c r="AH1046" s="146">
        <f t="shared" si="472"/>
        <v>0</v>
      </c>
      <c r="AI1046" s="143">
        <f t="shared" si="473"/>
        <v>0</v>
      </c>
      <c r="AJ1046" s="133">
        <f t="shared" si="474"/>
        <v>0</v>
      </c>
      <c r="AK1046" s="142">
        <f t="shared" si="477"/>
        <v>0</v>
      </c>
      <c r="AL1046" s="141"/>
      <c r="AO1046" s="286"/>
      <c r="AP1046" s="284">
        <f t="shared" si="478"/>
        <v>0</v>
      </c>
      <c r="AQ1046" s="281">
        <f t="shared" si="479"/>
        <v>0</v>
      </c>
      <c r="AR1046" s="284">
        <f t="shared" si="480"/>
        <v>0</v>
      </c>
      <c r="AS1046" s="281">
        <f t="shared" si="481"/>
        <v>0</v>
      </c>
      <c r="AT1046" s="284">
        <f t="shared" si="482"/>
        <v>0</v>
      </c>
    </row>
    <row r="1047" spans="1:97" s="114" customFormat="1" ht="30.9" x14ac:dyDescent="0.8">
      <c r="A1047" s="262">
        <f>ROW()</f>
        <v>1047</v>
      </c>
      <c r="C1047" s="208"/>
      <c r="D1047" s="208"/>
      <c r="E1047" s="208"/>
      <c r="F1047" s="208"/>
      <c r="G1047" s="208"/>
      <c r="H1047" s="208"/>
      <c r="J1047" s="114" t="str">
        <f t="shared" si="475"/>
        <v/>
      </c>
      <c r="K1047" s="114" t="str">
        <f>IF(COUNTBLANK(R1047)&gt;0,"",CONCATENATE(R1047," for ",N1029))</f>
        <v/>
      </c>
      <c r="N1047" s="123" t="s">
        <v>130</v>
      </c>
      <c r="O1047" s="66"/>
      <c r="P1047" s="121"/>
      <c r="Q1047" s="121"/>
      <c r="R1047" s="121"/>
      <c r="S1047" s="133">
        <f>M1029</f>
        <v>0</v>
      </c>
      <c r="T1047" s="120"/>
      <c r="U1047" s="121" t="s">
        <v>292</v>
      </c>
      <c r="V1047" s="133">
        <f t="shared" si="468"/>
        <v>0</v>
      </c>
      <c r="W1047" s="133">
        <f>VLOOKUP(U1047,Sheet1!$B$6:$C$45,2,FALSE)*V1047</f>
        <v>0</v>
      </c>
      <c r="X1047" s="141"/>
      <c r="Y1047" s="121" t="s">
        <v>292</v>
      </c>
      <c r="Z1047" s="146">
        <f>VLOOKUP(Takeoffs!Y1047,Sheet1!$B$6:$C$124,2,FALSE)</f>
        <v>0</v>
      </c>
      <c r="AA1047" s="146">
        <f t="shared" si="469"/>
        <v>0</v>
      </c>
      <c r="AB1047" s="143">
        <f t="shared" si="470"/>
        <v>0</v>
      </c>
      <c r="AC1047" s="133">
        <f t="shared" si="471"/>
        <v>0</v>
      </c>
      <c r="AD1047" s="142">
        <v>1</v>
      </c>
      <c r="AE1047" s="141"/>
      <c r="AF1047" s="121" t="s">
        <v>292</v>
      </c>
      <c r="AG1047" s="146">
        <f>VLOOKUP(Takeoffs!AF1047,Sheet1!$B$6:$C$124,2,FALSE)</f>
        <v>0</v>
      </c>
      <c r="AH1047" s="146">
        <f t="shared" si="472"/>
        <v>0</v>
      </c>
      <c r="AI1047" s="143">
        <f t="shared" si="473"/>
        <v>0</v>
      </c>
      <c r="AJ1047" s="133">
        <f t="shared" si="474"/>
        <v>0</v>
      </c>
      <c r="AK1047" s="142">
        <f t="shared" si="477"/>
        <v>0</v>
      </c>
      <c r="AL1047" s="141"/>
      <c r="AO1047" s="286"/>
      <c r="AP1047" s="284">
        <f t="shared" si="478"/>
        <v>0</v>
      </c>
      <c r="AQ1047" s="281">
        <f t="shared" si="479"/>
        <v>0</v>
      </c>
      <c r="AR1047" s="284">
        <f t="shared" si="480"/>
        <v>0</v>
      </c>
      <c r="AS1047" s="281">
        <f t="shared" si="481"/>
        <v>0</v>
      </c>
      <c r="AT1047" s="284">
        <f t="shared" si="482"/>
        <v>0</v>
      </c>
    </row>
    <row r="1048" spans="1:97" s="114" customFormat="1" ht="30.9" x14ac:dyDescent="0.8">
      <c r="A1048" s="262">
        <f>ROW()</f>
        <v>1048</v>
      </c>
      <c r="C1048" s="208"/>
      <c r="D1048" s="208"/>
      <c r="E1048" s="208"/>
      <c r="F1048" s="208"/>
      <c r="G1048" s="208"/>
      <c r="H1048" s="208"/>
      <c r="J1048" s="114" t="str">
        <f t="shared" si="475"/>
        <v>Coordination Note: - Fire trade: Please refer to our exclusions relating to fire cabling from FIP.</v>
      </c>
      <c r="K1048" s="114" t="str">
        <f>IF(COUNTBLANK(R1048)&gt;0,"",CONCATENATE(R1048," for ",N1029))</f>
        <v/>
      </c>
      <c r="N1048" s="123" t="s">
        <v>131</v>
      </c>
      <c r="O1048" s="66" t="s">
        <v>412</v>
      </c>
      <c r="P1048" s="121" t="s">
        <v>380</v>
      </c>
      <c r="Q1048" s="121" t="s">
        <v>384</v>
      </c>
      <c r="R1048" s="121"/>
      <c r="S1048" s="133">
        <f>M1029</f>
        <v>0</v>
      </c>
      <c r="T1048" s="120"/>
      <c r="U1048" s="121" t="s">
        <v>292</v>
      </c>
      <c r="V1048" s="133">
        <f t="shared" si="468"/>
        <v>0</v>
      </c>
      <c r="W1048" s="133">
        <f>VLOOKUP(U1048,Sheet1!$B$6:$C$45,2,FALSE)*V1048</f>
        <v>0</v>
      </c>
      <c r="X1048" s="141"/>
      <c r="Y1048" s="122" t="s">
        <v>322</v>
      </c>
      <c r="Z1048" s="146">
        <f>VLOOKUP(Takeoffs!Y1048,Sheet1!$B$6:$C$124,2,FALSE)</f>
        <v>48</v>
      </c>
      <c r="AA1048" s="146">
        <f t="shared" si="469"/>
        <v>0</v>
      </c>
      <c r="AB1048" s="143">
        <f t="shared" si="470"/>
        <v>0</v>
      </c>
      <c r="AC1048" s="133">
        <f t="shared" si="471"/>
        <v>0</v>
      </c>
      <c r="AD1048" s="142">
        <v>1</v>
      </c>
      <c r="AE1048" s="141"/>
      <c r="AF1048" s="121" t="s">
        <v>292</v>
      </c>
      <c r="AG1048" s="146">
        <f>VLOOKUP(Takeoffs!AF1048,Sheet1!$B$6:$C$124,2,FALSE)</f>
        <v>0</v>
      </c>
      <c r="AH1048" s="146">
        <f t="shared" si="472"/>
        <v>0</v>
      </c>
      <c r="AI1048" s="143">
        <f t="shared" si="473"/>
        <v>0</v>
      </c>
      <c r="AJ1048" s="133">
        <f t="shared" si="474"/>
        <v>0</v>
      </c>
      <c r="AK1048" s="142">
        <f>T1048</f>
        <v>0</v>
      </c>
      <c r="AL1048" s="141"/>
      <c r="AO1048" s="286"/>
      <c r="AP1048" s="284">
        <f t="shared" si="478"/>
        <v>0</v>
      </c>
      <c r="AQ1048" s="281">
        <f t="shared" si="479"/>
        <v>0</v>
      </c>
      <c r="AR1048" s="284">
        <f t="shared" si="480"/>
        <v>0</v>
      </c>
      <c r="AS1048" s="281">
        <f t="shared" si="481"/>
        <v>0</v>
      </c>
      <c r="AT1048" s="284">
        <f t="shared" si="482"/>
        <v>0</v>
      </c>
    </row>
    <row r="1049" spans="1:97" s="114" customFormat="1" ht="30.9" x14ac:dyDescent="0.8">
      <c r="A1049" s="262">
        <f>ROW()</f>
        <v>1049</v>
      </c>
      <c r="C1049" s="208"/>
      <c r="D1049" s="208"/>
      <c r="E1049" s="208"/>
      <c r="F1049" s="208"/>
      <c r="G1049" s="208"/>
      <c r="H1049" s="208"/>
      <c r="J1049" s="114" t="str">
        <f t="shared" si="475"/>
        <v/>
      </c>
      <c r="K1049" s="114" t="str">
        <f>IF(COUNTBLANK(R1049)&gt;0,"",CONCATENATE(R1049," for ",N1029))</f>
        <v/>
      </c>
      <c r="N1049" s="123" t="s">
        <v>132</v>
      </c>
      <c r="O1049" s="66" t="s">
        <v>408</v>
      </c>
      <c r="P1049" s="121"/>
      <c r="Q1049" s="121"/>
      <c r="R1049" s="121"/>
      <c r="S1049" s="133">
        <f>M1029</f>
        <v>0</v>
      </c>
      <c r="T1049" s="120"/>
      <c r="U1049" s="121" t="s">
        <v>364</v>
      </c>
      <c r="V1049" s="133">
        <f t="shared" si="468"/>
        <v>0</v>
      </c>
      <c r="W1049" s="133">
        <f>VLOOKUP(U1049,Sheet1!$B$6:$C$45,2,FALSE)*V1049</f>
        <v>0</v>
      </c>
      <c r="X1049" s="141"/>
      <c r="Y1049" s="121" t="s">
        <v>292</v>
      </c>
      <c r="Z1049" s="146">
        <f>VLOOKUP(Takeoffs!Y1049,Sheet1!$B$6:$C$124,2,FALSE)</f>
        <v>0</v>
      </c>
      <c r="AA1049" s="146">
        <f t="shared" si="469"/>
        <v>0</v>
      </c>
      <c r="AB1049" s="143">
        <f t="shared" si="470"/>
        <v>0</v>
      </c>
      <c r="AC1049" s="133">
        <f t="shared" si="471"/>
        <v>0</v>
      </c>
      <c r="AD1049" s="142">
        <v>1</v>
      </c>
      <c r="AE1049" s="141"/>
      <c r="AF1049" s="121" t="s">
        <v>292</v>
      </c>
      <c r="AG1049" s="146">
        <f>VLOOKUP(Takeoffs!AF1049,Sheet1!$B$6:$C$124,2,FALSE)</f>
        <v>0</v>
      </c>
      <c r="AH1049" s="146">
        <f t="shared" si="472"/>
        <v>0</v>
      </c>
      <c r="AI1049" s="143">
        <f t="shared" si="473"/>
        <v>0</v>
      </c>
      <c r="AJ1049" s="133">
        <f t="shared" si="474"/>
        <v>0</v>
      </c>
      <c r="AK1049" s="142">
        <f>T1049</f>
        <v>0</v>
      </c>
      <c r="AL1049" s="141"/>
      <c r="AO1049" s="286"/>
      <c r="AP1049" s="284">
        <f t="shared" si="478"/>
        <v>0</v>
      </c>
      <c r="AQ1049" s="281">
        <f t="shared" si="479"/>
        <v>0</v>
      </c>
      <c r="AR1049" s="284">
        <f t="shared" si="480"/>
        <v>0</v>
      </c>
      <c r="AS1049" s="281">
        <f t="shared" si="481"/>
        <v>0</v>
      </c>
      <c r="AT1049" s="284">
        <f t="shared" si="482"/>
        <v>0</v>
      </c>
    </row>
    <row r="1050" spans="1:97" s="128" customFormat="1" ht="31.5" customHeight="1" x14ac:dyDescent="0.8">
      <c r="A1050" s="262">
        <f>ROW()</f>
        <v>1050</v>
      </c>
      <c r="C1050" s="212"/>
      <c r="D1050" s="212"/>
      <c r="E1050" s="212"/>
      <c r="F1050" s="212"/>
      <c r="G1050" s="212"/>
      <c r="H1050" s="212"/>
      <c r="J1050" s="128" t="s">
        <v>377</v>
      </c>
      <c r="L1050" s="128" t="s">
        <v>378</v>
      </c>
      <c r="N1050" s="129"/>
      <c r="O1050" s="130" t="s">
        <v>357</v>
      </c>
      <c r="P1050" s="131">
        <f>V1050+AA1050+AH1050</f>
        <v>0</v>
      </c>
      <c r="Q1050" s="131"/>
      <c r="R1050" s="131"/>
      <c r="S1050" s="130"/>
      <c r="T1050" s="127"/>
      <c r="U1050" s="126" t="s">
        <v>351</v>
      </c>
      <c r="V1050" s="127">
        <f>W1050*80</f>
        <v>0</v>
      </c>
      <c r="W1050" s="147">
        <f>SUM(W1029:W1049)</f>
        <v>0</v>
      </c>
      <c r="X1050" s="148"/>
      <c r="Y1050" s="127" t="s">
        <v>352</v>
      </c>
      <c r="Z1050" s="116"/>
      <c r="AA1050" s="116">
        <f>SUM(AA1029:AA1049)</f>
        <v>0</v>
      </c>
      <c r="AB1050" s="149"/>
      <c r="AC1050" s="149"/>
      <c r="AD1050" s="149"/>
      <c r="AE1050" s="149"/>
      <c r="AF1050" s="127" t="s">
        <v>356</v>
      </c>
      <c r="AG1050" s="116"/>
      <c r="AH1050" s="116">
        <f>SUM(AH1029:AH1049)</f>
        <v>0</v>
      </c>
      <c r="AI1050" s="149"/>
      <c r="AJ1050" s="149"/>
      <c r="AK1050" s="149"/>
      <c r="AL1050" s="149"/>
      <c r="AM1050" s="150">
        <f>P1050</f>
        <v>0</v>
      </c>
      <c r="AO1050" s="286"/>
      <c r="AP1050" s="284">
        <f t="shared" si="478"/>
        <v>0</v>
      </c>
      <c r="AQ1050" s="281">
        <f t="shared" si="479"/>
        <v>0</v>
      </c>
      <c r="AR1050" s="284">
        <f t="shared" si="480"/>
        <v>0</v>
      </c>
      <c r="AS1050" s="281">
        <f t="shared" si="481"/>
        <v>0</v>
      </c>
      <c r="AT1050" s="284">
        <f t="shared" si="482"/>
        <v>0</v>
      </c>
    </row>
    <row r="1051" spans="1:97" s="234" customFormat="1" ht="154.30000000000001" x14ac:dyDescent="0.8">
      <c r="A1051" s="262">
        <f>ROW()</f>
        <v>1051</v>
      </c>
      <c r="B1051" s="234" t="s">
        <v>491</v>
      </c>
      <c r="C1051" s="217" t="str">
        <f>N1029</f>
        <v>Chilled Water AHU with large VSD</v>
      </c>
      <c r="D1051" s="260" t="s">
        <v>678</v>
      </c>
      <c r="E1051" s="238"/>
      <c r="F1051" s="217"/>
      <c r="G1051" s="217"/>
      <c r="H1051" s="245">
        <v>7</v>
      </c>
      <c r="I1051" s="270"/>
      <c r="J1051" s="241" t="str">
        <f>CONCATENATE(O1029," ",L1029, " (",M1029,") ",N1029,".", IF(M1029&gt;1," Each "," This "),"includes supply and install of ",O1030,O1031,O1032,O1033,O1034,O1035,O1036,O1037,O1038,O1039,O1040,O1041,O1042,O1043,O1044,O1045,O1046,O1047,O1048,O1049,J1030,J1031,J1032,J1033,J1034,J1035,J1036,J1037,J1038,J1039,J1040,J1041,J1042,J1043,J1044,J1045,J1046,J1047,J1048,J1049)</f>
        <v>Electrical power supply and controls to Zero (0) Chilled Water AHU with large VSD. This includes supply and install of power and controls. Power for systems includes: CB, cabling to VSD, Danfoss VSD, shielded cabling, local isolator,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51" s="246">
        <f>P1050</f>
        <v>0</v>
      </c>
      <c r="L1051" s="234" t="str">
        <f>CONCATENATE(Q1030,Q1031,Q1032,Q1033,Q1034,Q1035,Q1036,Q1037,Q1038,Q1039,Q1040,Q1041,Q1042,Q1043,Q1044,Q1045,Q1046,Q1047,Q1048,Q1049,)</f>
        <v>fire cabling from FIP.</v>
      </c>
      <c r="M1051" s="166" t="s">
        <v>367</v>
      </c>
      <c r="N1051" s="160" t="str">
        <f>N1029</f>
        <v>Chilled Water AHU with large VSD</v>
      </c>
      <c r="O1051" s="160" t="s">
        <v>365</v>
      </c>
      <c r="P1051" s="64" t="e">
        <f>P1050/M1029</f>
        <v>#DIV/0!</v>
      </c>
      <c r="Q1051" s="161"/>
      <c r="R1051" s="161"/>
      <c r="S1051" s="160"/>
      <c r="T1051" s="161"/>
      <c r="U1051" s="503" t="s">
        <v>366</v>
      </c>
      <c r="V1051" s="503"/>
      <c r="W1051" s="162" t="e">
        <f>W1050/M1029</f>
        <v>#DIV/0!</v>
      </c>
      <c r="X1051" s="163"/>
      <c r="Y1051" s="501" t="s">
        <v>365</v>
      </c>
      <c r="Z1051" s="501"/>
      <c r="AA1051" s="164" t="e">
        <f>AA1050/M1029</f>
        <v>#DIV/0!</v>
      </c>
      <c r="AB1051" s="161"/>
      <c r="AC1051" s="161"/>
      <c r="AD1051" s="161"/>
      <c r="AE1051" s="161"/>
      <c r="AF1051" s="501" t="s">
        <v>365</v>
      </c>
      <c r="AG1051" s="501"/>
      <c r="AH1051" s="164" t="e">
        <f>AH1050/M1029</f>
        <v>#DIV/0!</v>
      </c>
      <c r="AI1051" s="161"/>
      <c r="AJ1051" s="161"/>
      <c r="AK1051" s="161"/>
      <c r="AL1051" s="247"/>
      <c r="AM1051" s="257"/>
      <c r="AN1051" s="236">
        <f>K1051*1.25</f>
        <v>0</v>
      </c>
      <c r="AO1051" s="286"/>
      <c r="AP1051" s="284">
        <f t="shared" si="478"/>
        <v>0</v>
      </c>
      <c r="AQ1051" s="281">
        <f t="shared" si="479"/>
        <v>0</v>
      </c>
      <c r="AR1051" s="284">
        <f t="shared" si="480"/>
        <v>0</v>
      </c>
      <c r="AS1051" s="281">
        <f t="shared" si="481"/>
        <v>0</v>
      </c>
      <c r="AT1051" s="284">
        <f t="shared" si="482"/>
        <v>0</v>
      </c>
      <c r="AU1051" s="117"/>
      <c r="AV1051" s="117"/>
      <c r="AW1051" s="117"/>
      <c r="AX1051" s="117"/>
      <c r="AY1051" s="117"/>
      <c r="AZ1051" s="117"/>
      <c r="BA1051" s="117"/>
      <c r="BB1051" s="117"/>
      <c r="BC1051" s="117"/>
      <c r="BD1051" s="117"/>
      <c r="BE1051" s="117"/>
      <c r="BF1051" s="117"/>
      <c r="BG1051" s="117"/>
      <c r="BH1051" s="117"/>
      <c r="BI1051" s="117"/>
      <c r="BJ1051" s="117"/>
      <c r="BK1051" s="117"/>
      <c r="BL1051" s="117"/>
      <c r="BM1051" s="117"/>
      <c r="BN1051" s="117"/>
      <c r="BO1051" s="117"/>
      <c r="BP1051" s="117"/>
      <c r="BQ1051" s="117"/>
      <c r="BR1051" s="117"/>
      <c r="BS1051" s="117"/>
      <c r="BT1051" s="117"/>
      <c r="BU1051" s="117"/>
      <c r="BV1051" s="117"/>
      <c r="BW1051" s="117"/>
      <c r="BX1051" s="117"/>
      <c r="BY1051" s="117"/>
      <c r="BZ1051" s="117"/>
      <c r="CA1051" s="117"/>
      <c r="CB1051" s="117"/>
      <c r="CC1051" s="117"/>
      <c r="CD1051" s="117"/>
      <c r="CE1051" s="117"/>
      <c r="CF1051" s="117"/>
      <c r="CG1051" s="117"/>
      <c r="CH1051" s="117"/>
      <c r="CI1051" s="117"/>
      <c r="CJ1051" s="117"/>
      <c r="CK1051" s="117"/>
      <c r="CL1051" s="117"/>
      <c r="CM1051" s="117"/>
      <c r="CN1051" s="117"/>
      <c r="CO1051" s="117"/>
      <c r="CP1051" s="117"/>
      <c r="CQ1051" s="117"/>
      <c r="CR1051" s="117"/>
      <c r="CS1051" s="117"/>
    </row>
    <row r="1052" spans="1:97" s="116" customFormat="1" ht="192.75" customHeight="1" x14ac:dyDescent="0.8">
      <c r="A1052" s="262">
        <f>ROW()</f>
        <v>1052</v>
      </c>
      <c r="C1052" s="211"/>
      <c r="D1052" s="211"/>
      <c r="E1052" s="211"/>
      <c r="F1052" s="211"/>
      <c r="G1052" s="211"/>
      <c r="H1052" s="211"/>
      <c r="K1052" s="116" t="s">
        <v>452</v>
      </c>
      <c r="M1052" s="116" t="s">
        <v>107</v>
      </c>
      <c r="N1052" s="116" t="s">
        <v>108</v>
      </c>
      <c r="O1052" s="170" t="s">
        <v>386</v>
      </c>
      <c r="P1052" s="504" t="s">
        <v>375</v>
      </c>
      <c r="Q1052" s="504"/>
      <c r="R1052" s="101" t="s">
        <v>452</v>
      </c>
      <c r="S1052" s="116" t="s">
        <v>0</v>
      </c>
      <c r="T1052" s="118"/>
      <c r="U1052" s="116" t="s">
        <v>287</v>
      </c>
      <c r="V1052" s="116" t="s">
        <v>288</v>
      </c>
      <c r="W1052" s="116" t="s">
        <v>291</v>
      </c>
      <c r="X1052" s="140"/>
      <c r="Y1052" s="116" t="s">
        <v>289</v>
      </c>
      <c r="Z1052" s="116" t="s">
        <v>354</v>
      </c>
      <c r="AA1052" s="116" t="s">
        <v>355</v>
      </c>
      <c r="AB1052" s="116" t="s">
        <v>317</v>
      </c>
      <c r="AC1052" s="116" t="s">
        <v>318</v>
      </c>
      <c r="AD1052" s="116" t="s">
        <v>316</v>
      </c>
      <c r="AE1052" s="140"/>
      <c r="AF1052" s="116" t="s">
        <v>293</v>
      </c>
      <c r="AG1052" s="116" t="s">
        <v>354</v>
      </c>
      <c r="AH1052" s="116" t="s">
        <v>355</v>
      </c>
      <c r="AI1052" s="116" t="s">
        <v>296</v>
      </c>
      <c r="AJ1052" s="116" t="s">
        <v>294</v>
      </c>
      <c r="AK1052" s="116" t="s">
        <v>295</v>
      </c>
      <c r="AL1052" s="140"/>
      <c r="AO1052" s="288"/>
      <c r="AP1052" s="284">
        <f t="shared" si="478"/>
        <v>0</v>
      </c>
      <c r="AQ1052" s="281">
        <f t="shared" si="479"/>
        <v>0</v>
      </c>
      <c r="AR1052" s="284">
        <f t="shared" si="480"/>
        <v>0</v>
      </c>
      <c r="AS1052" s="281">
        <f t="shared" si="481"/>
        <v>0</v>
      </c>
      <c r="AT1052" s="284">
        <f t="shared" si="482"/>
        <v>0</v>
      </c>
    </row>
    <row r="1053" spans="1:97" s="114" customFormat="1" ht="31.5" customHeight="1" x14ac:dyDescent="0.8">
      <c r="A1053" s="262">
        <f>ROW()</f>
        <v>1053</v>
      </c>
      <c r="C1053" s="208"/>
      <c r="D1053" s="208"/>
      <c r="E1053" s="208"/>
      <c r="F1053" s="208"/>
      <c r="G1053" s="208"/>
      <c r="H1053" s="208"/>
      <c r="L1053" s="124" t="str">
        <f>VLOOKUP(M1053,Sheet2!$D$2:$E$1024,2,FALSE)</f>
        <v>Zero</v>
      </c>
      <c r="M1053" s="121">
        <f>I1075</f>
        <v>0</v>
      </c>
      <c r="N1053" s="132" t="s">
        <v>549</v>
      </c>
      <c r="O1053" s="121" t="s">
        <v>347</v>
      </c>
      <c r="P1053" s="169" t="s">
        <v>379</v>
      </c>
      <c r="Q1053" s="169" t="s">
        <v>375</v>
      </c>
      <c r="R1053" s="169"/>
      <c r="S1053" s="133">
        <f>M1053</f>
        <v>0</v>
      </c>
      <c r="T1053" s="119"/>
      <c r="U1053" s="153" t="s">
        <v>292</v>
      </c>
      <c r="V1053" s="133">
        <f>S1053</f>
        <v>0</v>
      </c>
      <c r="W1053" s="133">
        <f>VLOOKUP(U1053,Sheet1!$B$6:$C$45,2,FALSE)*V1053</f>
        <v>0</v>
      </c>
      <c r="X1053" s="141"/>
      <c r="Y1053" s="121" t="s">
        <v>292</v>
      </c>
      <c r="Z1053" s="146">
        <f>VLOOKUP(Takeoffs!Y1053,Sheet1!$B$6:$C$124,2,FALSE)</f>
        <v>0</v>
      </c>
      <c r="AA1053" s="146">
        <f>Z1053*AB1053</f>
        <v>0</v>
      </c>
      <c r="AB1053" s="143">
        <f>AD1053*AC1053</f>
        <v>0</v>
      </c>
      <c r="AC1053" s="133">
        <f>S1053</f>
        <v>0</v>
      </c>
      <c r="AD1053" s="142">
        <v>1</v>
      </c>
      <c r="AE1053" s="141"/>
      <c r="AF1053" s="121" t="s">
        <v>292</v>
      </c>
      <c r="AG1053" s="146">
        <f>VLOOKUP(Takeoffs!AF1053,Sheet1!$B$6:$C$124,2,FALSE)</f>
        <v>0</v>
      </c>
      <c r="AH1053" s="146">
        <f>AG1053*AI1053</f>
        <v>0</v>
      </c>
      <c r="AI1053" s="143">
        <f>AK1053*AJ1053</f>
        <v>0</v>
      </c>
      <c r="AJ1053" s="133">
        <f>S1053</f>
        <v>0</v>
      </c>
      <c r="AK1053" s="142">
        <f>T1053</f>
        <v>0</v>
      </c>
      <c r="AL1053" s="141"/>
      <c r="AO1053" s="286"/>
      <c r="AP1053" s="284">
        <f t="shared" si="478"/>
        <v>0</v>
      </c>
      <c r="AQ1053" s="281">
        <f t="shared" si="479"/>
        <v>0</v>
      </c>
      <c r="AR1053" s="284">
        <f t="shared" si="480"/>
        <v>0</v>
      </c>
      <c r="AS1053" s="281">
        <f t="shared" si="481"/>
        <v>0</v>
      </c>
      <c r="AT1053" s="284">
        <f t="shared" si="482"/>
        <v>0</v>
      </c>
    </row>
    <row r="1054" spans="1:97" s="114" customFormat="1" ht="30.9" x14ac:dyDescent="0.8">
      <c r="A1054" s="262">
        <f>ROW()</f>
        <v>1054</v>
      </c>
      <c r="C1054" s="208"/>
      <c r="D1054" s="208"/>
      <c r="E1054" s="208"/>
      <c r="F1054" s="208"/>
      <c r="G1054" s="208"/>
      <c r="H1054" s="208"/>
      <c r="J1054" s="114" t="str">
        <f>IF(COUNTBLANK(Q1054)&gt;0,"",CONCATENATE("Coordination Note: - ",P1054,": Please refer to our exclusions relating to ",Q1054))</f>
        <v/>
      </c>
      <c r="K1054" s="114" t="str">
        <f>IF(COUNTBLANK(R1054)&gt;0,"",CONCATENATE(R1054," for ",N1053))</f>
        <v/>
      </c>
      <c r="M1054" s="117"/>
      <c r="N1054" s="123" t="s">
        <v>113</v>
      </c>
      <c r="O1054" s="66" t="s">
        <v>411</v>
      </c>
      <c r="P1054" s="121"/>
      <c r="Q1054" s="121"/>
      <c r="R1054" s="121"/>
      <c r="S1054" s="133">
        <f>M1053</f>
        <v>0</v>
      </c>
      <c r="T1054" s="120"/>
      <c r="U1054" s="121" t="s">
        <v>235</v>
      </c>
      <c r="V1054" s="133">
        <f t="shared" ref="V1054:V1073" si="483">S1054</f>
        <v>0</v>
      </c>
      <c r="W1054" s="133">
        <f>VLOOKUP(U1054,Sheet1!$B$6:$C$45,2,FALSE)*V1054</f>
        <v>0</v>
      </c>
      <c r="X1054" s="141"/>
      <c r="Y1054" s="121" t="s">
        <v>292</v>
      </c>
      <c r="Z1054" s="146">
        <f>VLOOKUP(Takeoffs!Y1054,Sheet1!$B$6:$C$124,2,FALSE)</f>
        <v>0</v>
      </c>
      <c r="AA1054" s="146">
        <f t="shared" ref="AA1054:AA1073" si="484">Z1054*AB1054</f>
        <v>0</v>
      </c>
      <c r="AB1054" s="143">
        <f t="shared" ref="AB1054:AB1073" si="485">AD1054*AC1054</f>
        <v>0</v>
      </c>
      <c r="AC1054" s="133">
        <f t="shared" ref="AC1054:AC1073" si="486">S1054</f>
        <v>0</v>
      </c>
      <c r="AD1054" s="142">
        <v>1</v>
      </c>
      <c r="AE1054" s="141"/>
      <c r="AF1054" s="121" t="s">
        <v>292</v>
      </c>
      <c r="AG1054" s="146">
        <f>VLOOKUP(Takeoffs!AF1054,Sheet1!$B$6:$C$124,2,FALSE)</f>
        <v>0</v>
      </c>
      <c r="AH1054" s="146">
        <f t="shared" ref="AH1054:AH1073" si="487">AG1054*AI1054</f>
        <v>0</v>
      </c>
      <c r="AI1054" s="143">
        <f t="shared" ref="AI1054:AI1073" si="488">AK1054*AJ1054</f>
        <v>0</v>
      </c>
      <c r="AJ1054" s="133">
        <f t="shared" ref="AJ1054:AJ1073" si="489">S1054</f>
        <v>0</v>
      </c>
      <c r="AK1054" s="142"/>
      <c r="AL1054" s="141"/>
      <c r="AO1054" s="286"/>
      <c r="AP1054" s="284">
        <f t="shared" si="478"/>
        <v>0</v>
      </c>
      <c r="AQ1054" s="281">
        <f t="shared" si="479"/>
        <v>0</v>
      </c>
      <c r="AR1054" s="284">
        <f t="shared" si="480"/>
        <v>0</v>
      </c>
      <c r="AS1054" s="281">
        <f t="shared" si="481"/>
        <v>0</v>
      </c>
      <c r="AT1054" s="284">
        <f t="shared" si="482"/>
        <v>0</v>
      </c>
    </row>
    <row r="1055" spans="1:97" s="114" customFormat="1" ht="30.9" x14ac:dyDescent="0.8">
      <c r="A1055" s="262">
        <f>ROW()</f>
        <v>1055</v>
      </c>
      <c r="C1055" s="208"/>
      <c r="D1055" s="208"/>
      <c r="E1055" s="208"/>
      <c r="F1055" s="208"/>
      <c r="G1055" s="208"/>
      <c r="H1055" s="208"/>
      <c r="J1055" s="114" t="str">
        <f t="shared" ref="J1055:J1073" si="490">IF(COUNTBLANK(Q1055)&gt;0,"",CONCATENATE("Coordination Note: - ",P1055,": Please refer to our exclusions relating to ",Q1055))</f>
        <v/>
      </c>
      <c r="K1055" s="114" t="str">
        <f>IF(COUNTBLANK(R1055)&gt;0,"",CONCATENATE(R1055," for ",N1053))</f>
        <v/>
      </c>
      <c r="M1055" s="117"/>
      <c r="N1055" s="123" t="s">
        <v>114</v>
      </c>
      <c r="O1055" s="66" t="s">
        <v>308</v>
      </c>
      <c r="P1055" s="121"/>
      <c r="Q1055" s="121"/>
      <c r="R1055" s="121"/>
      <c r="S1055" s="133">
        <f>M1053</f>
        <v>0</v>
      </c>
      <c r="T1055" s="120"/>
      <c r="U1055" s="121" t="s">
        <v>292</v>
      </c>
      <c r="V1055" s="133">
        <f t="shared" si="483"/>
        <v>0</v>
      </c>
      <c r="W1055" s="133">
        <f>VLOOKUP(U1055,Sheet1!$B$6:$C$45,2,FALSE)*V1055</f>
        <v>0</v>
      </c>
      <c r="X1055" s="141"/>
      <c r="Y1055" s="122" t="s">
        <v>252</v>
      </c>
      <c r="Z1055" s="146">
        <f>VLOOKUP(Takeoffs!Y1055,Sheet1!$B$6:$C$124,2,FALSE)</f>
        <v>43.440000000000005</v>
      </c>
      <c r="AA1055" s="146">
        <f t="shared" si="484"/>
        <v>0</v>
      </c>
      <c r="AB1055" s="143">
        <f t="shared" si="485"/>
        <v>0</v>
      </c>
      <c r="AC1055" s="133">
        <f t="shared" si="486"/>
        <v>0</v>
      </c>
      <c r="AD1055" s="142">
        <v>1</v>
      </c>
      <c r="AE1055" s="141"/>
      <c r="AF1055" s="121" t="s">
        <v>292</v>
      </c>
      <c r="AG1055" s="146">
        <f>VLOOKUP(Takeoffs!AF1055,Sheet1!$B$6:$C$124,2,FALSE)</f>
        <v>0</v>
      </c>
      <c r="AH1055" s="146">
        <f t="shared" si="487"/>
        <v>0</v>
      </c>
      <c r="AI1055" s="143">
        <f t="shared" si="488"/>
        <v>0</v>
      </c>
      <c r="AJ1055" s="133">
        <f t="shared" si="489"/>
        <v>0</v>
      </c>
      <c r="AK1055" s="142">
        <f>T1055</f>
        <v>0</v>
      </c>
      <c r="AL1055" s="141"/>
      <c r="AO1055" s="286"/>
      <c r="AP1055" s="284">
        <f t="shared" si="478"/>
        <v>0</v>
      </c>
      <c r="AQ1055" s="281">
        <f t="shared" si="479"/>
        <v>0</v>
      </c>
      <c r="AR1055" s="284">
        <f t="shared" si="480"/>
        <v>0</v>
      </c>
      <c r="AS1055" s="281">
        <f t="shared" si="481"/>
        <v>0</v>
      </c>
      <c r="AT1055" s="284">
        <f t="shared" si="482"/>
        <v>0</v>
      </c>
    </row>
    <row r="1056" spans="1:97" s="114" customFormat="1" ht="30.9" x14ac:dyDescent="0.8">
      <c r="A1056" s="262">
        <f>ROW()</f>
        <v>1056</v>
      </c>
      <c r="C1056" s="208"/>
      <c r="D1056" s="208"/>
      <c r="E1056" s="208"/>
      <c r="F1056" s="208"/>
      <c r="G1056" s="208"/>
      <c r="H1056" s="208"/>
      <c r="J1056" s="114" t="str">
        <f t="shared" si="490"/>
        <v/>
      </c>
      <c r="K1056" s="114" t="str">
        <f>IF(COUNTBLANK(R1056)&gt;0,"",CONCATENATE(R1056," for ",N1053))</f>
        <v/>
      </c>
      <c r="M1056" s="117"/>
      <c r="N1056" s="123" t="s">
        <v>115</v>
      </c>
      <c r="O1056" s="66" t="s">
        <v>305</v>
      </c>
      <c r="P1056" s="121"/>
      <c r="Q1056" s="121"/>
      <c r="R1056" s="121"/>
      <c r="S1056" s="133">
        <f>M1053</f>
        <v>0</v>
      </c>
      <c r="T1056" s="120"/>
      <c r="U1056" s="117" t="s">
        <v>478</v>
      </c>
      <c r="V1056" s="133">
        <f t="shared" si="483"/>
        <v>0</v>
      </c>
      <c r="W1056" s="133">
        <f>VLOOKUP(U1056,Sheet1!$B$6:$C$45,2,FALSE)*V1056</f>
        <v>0</v>
      </c>
      <c r="X1056" s="141"/>
      <c r="Y1056" s="121" t="s">
        <v>292</v>
      </c>
      <c r="Z1056" s="146">
        <f>VLOOKUP(Takeoffs!Y1056,Sheet1!$B$6:$C$124,2,FALSE)</f>
        <v>0</v>
      </c>
      <c r="AA1056" s="146">
        <f t="shared" si="484"/>
        <v>0</v>
      </c>
      <c r="AB1056" s="143">
        <f t="shared" si="485"/>
        <v>0</v>
      </c>
      <c r="AC1056" s="133">
        <f t="shared" si="486"/>
        <v>0</v>
      </c>
      <c r="AD1056" s="142">
        <v>1</v>
      </c>
      <c r="AE1056" s="141"/>
      <c r="AF1056" s="122" t="s">
        <v>267</v>
      </c>
      <c r="AG1056" s="146">
        <f>VLOOKUP(Takeoffs!AF1056,Sheet1!$B$6:$C$124,2,FALSE)</f>
        <v>3.48</v>
      </c>
      <c r="AH1056" s="146">
        <f t="shared" si="487"/>
        <v>0</v>
      </c>
      <c r="AI1056" s="143">
        <f t="shared" si="488"/>
        <v>0</v>
      </c>
      <c r="AJ1056" s="133">
        <f t="shared" si="489"/>
        <v>0</v>
      </c>
      <c r="AK1056" s="142">
        <v>20</v>
      </c>
      <c r="AL1056" s="141"/>
      <c r="AO1056" s="286"/>
      <c r="AP1056" s="284">
        <f t="shared" si="478"/>
        <v>0</v>
      </c>
      <c r="AQ1056" s="281">
        <f t="shared" si="479"/>
        <v>0</v>
      </c>
      <c r="AR1056" s="284">
        <f t="shared" si="480"/>
        <v>0</v>
      </c>
      <c r="AS1056" s="281">
        <f t="shared" si="481"/>
        <v>0</v>
      </c>
      <c r="AT1056" s="284">
        <f t="shared" si="482"/>
        <v>0</v>
      </c>
    </row>
    <row r="1057" spans="1:46" s="114" customFormat="1" ht="30.9" x14ac:dyDescent="0.8">
      <c r="A1057" s="262">
        <f>ROW()</f>
        <v>1057</v>
      </c>
      <c r="C1057" s="208"/>
      <c r="D1057" s="208"/>
      <c r="E1057" s="208"/>
      <c r="F1057" s="208"/>
      <c r="G1057" s="208"/>
      <c r="H1057" s="208"/>
      <c r="J1057" s="114" t="str">
        <f t="shared" si="490"/>
        <v/>
      </c>
      <c r="K1057" s="114" t="str">
        <f>IF(COUNTBLANK(R1057)&gt;0,"",CONCATENATE(R1057," for ",N1053))</f>
        <v/>
      </c>
      <c r="M1057" s="117"/>
      <c r="N1057" s="123" t="s">
        <v>116</v>
      </c>
      <c r="O1057" s="66" t="s">
        <v>323</v>
      </c>
      <c r="P1057" s="121"/>
      <c r="Q1057" s="121"/>
      <c r="R1057" s="121"/>
      <c r="S1057" s="133">
        <f>M1053</f>
        <v>0</v>
      </c>
      <c r="T1057" s="120"/>
      <c r="U1057" s="121" t="s">
        <v>292</v>
      </c>
      <c r="V1057" s="133">
        <f t="shared" si="483"/>
        <v>0</v>
      </c>
      <c r="W1057" s="133">
        <f>VLOOKUP(U1057,Sheet1!$B$6:$C$45,2,FALSE)*V1057</f>
        <v>0</v>
      </c>
      <c r="X1057" s="141"/>
      <c r="Y1057" s="135" t="s">
        <v>543</v>
      </c>
      <c r="Z1057" s="146">
        <f>VLOOKUP(Takeoffs!Y1057,Sheet1!$B$6:$C$124,2,FALSE)</f>
        <v>649.44000000000005</v>
      </c>
      <c r="AA1057" s="146">
        <f t="shared" si="484"/>
        <v>0</v>
      </c>
      <c r="AB1057" s="143">
        <f t="shared" si="485"/>
        <v>0</v>
      </c>
      <c r="AC1057" s="133">
        <f t="shared" si="486"/>
        <v>0</v>
      </c>
      <c r="AD1057" s="142">
        <v>1</v>
      </c>
      <c r="AE1057" s="141"/>
      <c r="AF1057" s="121" t="s">
        <v>292</v>
      </c>
      <c r="AG1057" s="146">
        <f>VLOOKUP(Takeoffs!AF1057,Sheet1!$B$6:$C$124,2,FALSE)</f>
        <v>0</v>
      </c>
      <c r="AH1057" s="146">
        <f t="shared" si="487"/>
        <v>0</v>
      </c>
      <c r="AI1057" s="143">
        <f t="shared" si="488"/>
        <v>0</v>
      </c>
      <c r="AJ1057" s="133">
        <f t="shared" si="489"/>
        <v>0</v>
      </c>
      <c r="AK1057" s="142">
        <f>T1057</f>
        <v>0</v>
      </c>
      <c r="AL1057" s="141"/>
      <c r="AO1057" s="286"/>
      <c r="AP1057" s="284">
        <f t="shared" si="478"/>
        <v>0</v>
      </c>
      <c r="AQ1057" s="281">
        <f t="shared" si="479"/>
        <v>0</v>
      </c>
      <c r="AR1057" s="284">
        <f t="shared" si="480"/>
        <v>0</v>
      </c>
      <c r="AS1057" s="281">
        <f t="shared" si="481"/>
        <v>0</v>
      </c>
      <c r="AT1057" s="284">
        <f t="shared" si="482"/>
        <v>0</v>
      </c>
    </row>
    <row r="1058" spans="1:46" s="114" customFormat="1" ht="30.9" x14ac:dyDescent="0.8">
      <c r="A1058" s="262">
        <f>ROW()</f>
        <v>1058</v>
      </c>
      <c r="C1058" s="208"/>
      <c r="D1058" s="208"/>
      <c r="E1058" s="208"/>
      <c r="F1058" s="208"/>
      <c r="G1058" s="208"/>
      <c r="H1058" s="208"/>
      <c r="J1058" s="114" t="str">
        <f t="shared" si="490"/>
        <v/>
      </c>
      <c r="K1058" s="114" t="str">
        <f>IF(COUNTBLANK(R1058)&gt;0,"",CONCATENATE(R1058," for ",N1053))</f>
        <v/>
      </c>
      <c r="M1058" s="117"/>
      <c r="N1058" s="123" t="s">
        <v>117</v>
      </c>
      <c r="O1058" s="66" t="s">
        <v>390</v>
      </c>
      <c r="P1058" s="121"/>
      <c r="Q1058" s="121"/>
      <c r="R1058" s="121"/>
      <c r="S1058" s="133">
        <f>M1053</f>
        <v>0</v>
      </c>
      <c r="T1058" s="120"/>
      <c r="U1058" s="121" t="s">
        <v>292</v>
      </c>
      <c r="V1058" s="133">
        <f t="shared" si="483"/>
        <v>0</v>
      </c>
      <c r="W1058" s="133">
        <f>VLOOKUP(U1058,Sheet1!$B$6:$C$45,2,FALSE)*V1058</f>
        <v>0</v>
      </c>
      <c r="X1058" s="141"/>
      <c r="Y1058" s="121" t="s">
        <v>292</v>
      </c>
      <c r="Z1058" s="146">
        <f>VLOOKUP(Takeoffs!Y1058,Sheet1!$B$6:$C$124,2,FALSE)</f>
        <v>0</v>
      </c>
      <c r="AA1058" s="146">
        <f t="shared" si="484"/>
        <v>0</v>
      </c>
      <c r="AB1058" s="143">
        <f t="shared" si="485"/>
        <v>0</v>
      </c>
      <c r="AC1058" s="133">
        <f t="shared" si="486"/>
        <v>0</v>
      </c>
      <c r="AD1058" s="142">
        <v>1</v>
      </c>
      <c r="AE1058" s="141"/>
      <c r="AF1058" s="122" t="s">
        <v>267</v>
      </c>
      <c r="AG1058" s="146">
        <f>VLOOKUP(Takeoffs!AF1058,Sheet1!$B$6:$C$124,2,FALSE)</f>
        <v>3.48</v>
      </c>
      <c r="AH1058" s="146">
        <f t="shared" si="487"/>
        <v>0</v>
      </c>
      <c r="AI1058" s="143">
        <f t="shared" si="488"/>
        <v>0</v>
      </c>
      <c r="AJ1058" s="133">
        <f t="shared" si="489"/>
        <v>0</v>
      </c>
      <c r="AK1058" s="142">
        <v>3</v>
      </c>
      <c r="AL1058" s="141"/>
      <c r="AO1058" s="286"/>
      <c r="AP1058" s="284">
        <f t="shared" si="478"/>
        <v>0</v>
      </c>
      <c r="AQ1058" s="281">
        <f t="shared" si="479"/>
        <v>0</v>
      </c>
      <c r="AR1058" s="284">
        <f t="shared" si="480"/>
        <v>0</v>
      </c>
      <c r="AS1058" s="281">
        <f t="shared" si="481"/>
        <v>0</v>
      </c>
      <c r="AT1058" s="284">
        <f t="shared" si="482"/>
        <v>0</v>
      </c>
    </row>
    <row r="1059" spans="1:46" s="114" customFormat="1" ht="30.9" x14ac:dyDescent="0.8">
      <c r="A1059" s="262">
        <f>ROW()</f>
        <v>1059</v>
      </c>
      <c r="C1059" s="208"/>
      <c r="D1059" s="208"/>
      <c r="E1059" s="208"/>
      <c r="F1059" s="208"/>
      <c r="G1059" s="208"/>
      <c r="H1059" s="208"/>
      <c r="J1059" s="114" t="str">
        <f t="shared" si="490"/>
        <v/>
      </c>
      <c r="K1059" s="114" t="str">
        <f>IF(COUNTBLANK(R1059)&gt;0,"",CONCATENATE(R1059," for ",N1053))</f>
        <v/>
      </c>
      <c r="M1059" s="117"/>
      <c r="N1059" s="123" t="s">
        <v>118</v>
      </c>
      <c r="O1059" s="66" t="s">
        <v>309</v>
      </c>
      <c r="P1059" s="121"/>
      <c r="Q1059" s="121"/>
      <c r="R1059" s="121"/>
      <c r="S1059" s="133">
        <f>M1053</f>
        <v>0</v>
      </c>
      <c r="T1059" s="120"/>
      <c r="U1059" s="121" t="s">
        <v>292</v>
      </c>
      <c r="V1059" s="133">
        <f t="shared" si="483"/>
        <v>0</v>
      </c>
      <c r="W1059" s="133">
        <f>VLOOKUP(U1059,Sheet1!$B$6:$C$45,2,FALSE)*V1059</f>
        <v>0</v>
      </c>
      <c r="X1059" s="141"/>
      <c r="Y1059" s="122" t="s">
        <v>245</v>
      </c>
      <c r="Z1059" s="146">
        <f>VLOOKUP(Takeoffs!Y1059,Sheet1!$B$6:$C$124,2,FALSE)</f>
        <v>46.463999999999999</v>
      </c>
      <c r="AA1059" s="146">
        <f t="shared" si="484"/>
        <v>0</v>
      </c>
      <c r="AB1059" s="143">
        <f t="shared" si="485"/>
        <v>0</v>
      </c>
      <c r="AC1059" s="133">
        <f t="shared" si="486"/>
        <v>0</v>
      </c>
      <c r="AD1059" s="142">
        <v>1</v>
      </c>
      <c r="AE1059" s="141"/>
      <c r="AF1059" s="121" t="s">
        <v>292</v>
      </c>
      <c r="AG1059" s="146">
        <f>VLOOKUP(Takeoffs!AF1059,Sheet1!$B$6:$C$124,2,FALSE)</f>
        <v>0</v>
      </c>
      <c r="AH1059" s="146">
        <f t="shared" si="487"/>
        <v>0</v>
      </c>
      <c r="AI1059" s="143">
        <f t="shared" si="488"/>
        <v>0</v>
      </c>
      <c r="AJ1059" s="133">
        <f t="shared" si="489"/>
        <v>0</v>
      </c>
      <c r="AK1059" s="142">
        <f t="shared" ref="AK1059:AK1064" si="491">T1059</f>
        <v>0</v>
      </c>
      <c r="AL1059" s="141"/>
      <c r="AO1059" s="286"/>
      <c r="AP1059" s="284">
        <f t="shared" si="478"/>
        <v>0</v>
      </c>
      <c r="AQ1059" s="281">
        <f t="shared" si="479"/>
        <v>0</v>
      </c>
      <c r="AR1059" s="284">
        <f t="shared" si="480"/>
        <v>0</v>
      </c>
      <c r="AS1059" s="281">
        <f t="shared" si="481"/>
        <v>0</v>
      </c>
      <c r="AT1059" s="284">
        <f t="shared" si="482"/>
        <v>0</v>
      </c>
    </row>
    <row r="1060" spans="1:46" s="114" customFormat="1" ht="30.9" x14ac:dyDescent="0.8">
      <c r="A1060" s="262">
        <f>ROW()</f>
        <v>1060</v>
      </c>
      <c r="C1060" s="208"/>
      <c r="D1060" s="208"/>
      <c r="E1060" s="208"/>
      <c r="F1060" s="208"/>
      <c r="G1060" s="208"/>
      <c r="H1060" s="208"/>
      <c r="J1060" s="114" t="str">
        <f t="shared" si="490"/>
        <v/>
      </c>
      <c r="K1060" s="114" t="str">
        <f>IF(COUNTBLANK(R1060)&gt;0,"",CONCATENATE(R1060," for ",N1053))</f>
        <v/>
      </c>
      <c r="N1060" s="123" t="s">
        <v>119</v>
      </c>
      <c r="O1060" s="66" t="s">
        <v>310</v>
      </c>
      <c r="P1060" s="121"/>
      <c r="Q1060" s="121"/>
      <c r="R1060" s="121"/>
      <c r="S1060" s="133">
        <f>M1053</f>
        <v>0</v>
      </c>
      <c r="T1060" s="120"/>
      <c r="U1060" s="121" t="s">
        <v>292</v>
      </c>
      <c r="V1060" s="133">
        <f t="shared" si="483"/>
        <v>0</v>
      </c>
      <c r="W1060" s="133">
        <f>VLOOKUP(U1060,Sheet1!$B$6:$C$45,2,FALSE)*V1060</f>
        <v>0</v>
      </c>
      <c r="X1060" s="141"/>
      <c r="Y1060" s="122" t="s">
        <v>278</v>
      </c>
      <c r="Z1060" s="146">
        <f>VLOOKUP(Takeoffs!Y1060,Sheet1!$B$6:$C$124,2,FALSE)</f>
        <v>36</v>
      </c>
      <c r="AA1060" s="146">
        <f t="shared" si="484"/>
        <v>0</v>
      </c>
      <c r="AB1060" s="143">
        <f t="shared" si="485"/>
        <v>0</v>
      </c>
      <c r="AC1060" s="133">
        <f t="shared" si="486"/>
        <v>0</v>
      </c>
      <c r="AD1060" s="142">
        <v>1</v>
      </c>
      <c r="AE1060" s="141"/>
      <c r="AF1060" s="121" t="s">
        <v>292</v>
      </c>
      <c r="AG1060" s="146">
        <f>VLOOKUP(Takeoffs!AF1060,Sheet1!$B$6:$C$124,2,FALSE)</f>
        <v>0</v>
      </c>
      <c r="AH1060" s="146">
        <f t="shared" si="487"/>
        <v>0</v>
      </c>
      <c r="AI1060" s="143">
        <f t="shared" si="488"/>
        <v>0</v>
      </c>
      <c r="AJ1060" s="133">
        <f t="shared" si="489"/>
        <v>0</v>
      </c>
      <c r="AK1060" s="142">
        <f t="shared" si="491"/>
        <v>0</v>
      </c>
      <c r="AL1060" s="141"/>
      <c r="AO1060" s="286"/>
      <c r="AP1060" s="284">
        <f t="shared" si="478"/>
        <v>0</v>
      </c>
      <c r="AQ1060" s="281">
        <f t="shared" si="479"/>
        <v>0</v>
      </c>
      <c r="AR1060" s="284">
        <f t="shared" si="480"/>
        <v>0</v>
      </c>
      <c r="AS1060" s="281">
        <f t="shared" si="481"/>
        <v>0</v>
      </c>
      <c r="AT1060" s="284">
        <f t="shared" si="482"/>
        <v>0</v>
      </c>
    </row>
    <row r="1061" spans="1:46" s="114" customFormat="1" ht="30.9" x14ac:dyDescent="0.8">
      <c r="A1061" s="262">
        <f>ROW()</f>
        <v>1061</v>
      </c>
      <c r="C1061" s="208"/>
      <c r="D1061" s="208"/>
      <c r="E1061" s="208"/>
      <c r="F1061" s="208"/>
      <c r="G1061" s="208"/>
      <c r="H1061" s="208"/>
      <c r="J1061" s="114" t="str">
        <f t="shared" si="490"/>
        <v/>
      </c>
      <c r="K1061" s="114" t="str">
        <f>IF(COUNTBLANK(R1061)&gt;0,"",CONCATENATE(R1061," for ",N1053))</f>
        <v/>
      </c>
      <c r="N1061" s="123" t="s">
        <v>120</v>
      </c>
      <c r="O1061" s="66" t="s">
        <v>306</v>
      </c>
      <c r="P1061" s="121"/>
      <c r="Q1061" s="121"/>
      <c r="R1061" s="121"/>
      <c r="S1061" s="133">
        <f>M1053</f>
        <v>0</v>
      </c>
      <c r="T1061" s="120"/>
      <c r="U1061" s="121" t="s">
        <v>292</v>
      </c>
      <c r="V1061" s="133">
        <f t="shared" si="483"/>
        <v>0</v>
      </c>
      <c r="W1061" s="133">
        <f>VLOOKUP(U1061,Sheet1!$B$6:$C$45,2,FALSE)*V1061</f>
        <v>0</v>
      </c>
      <c r="X1061" s="141"/>
      <c r="Y1061" s="122" t="s">
        <v>274</v>
      </c>
      <c r="Z1061" s="146">
        <f>VLOOKUP(Takeoffs!Y1061,Sheet1!$B$6:$C$124,2,FALSE)</f>
        <v>360</v>
      </c>
      <c r="AA1061" s="146">
        <f t="shared" si="484"/>
        <v>0</v>
      </c>
      <c r="AB1061" s="143">
        <f t="shared" si="485"/>
        <v>0</v>
      </c>
      <c r="AC1061" s="133">
        <f t="shared" si="486"/>
        <v>0</v>
      </c>
      <c r="AD1061" s="142">
        <v>1</v>
      </c>
      <c r="AE1061" s="141"/>
      <c r="AF1061" s="121" t="s">
        <v>292</v>
      </c>
      <c r="AG1061" s="146">
        <f>VLOOKUP(Takeoffs!AF1061,Sheet1!$B$6:$C$124,2,FALSE)</f>
        <v>0</v>
      </c>
      <c r="AH1061" s="146">
        <f t="shared" si="487"/>
        <v>0</v>
      </c>
      <c r="AI1061" s="143">
        <f t="shared" si="488"/>
        <v>0</v>
      </c>
      <c r="AJ1061" s="133">
        <f t="shared" si="489"/>
        <v>0</v>
      </c>
      <c r="AK1061" s="142">
        <f t="shared" si="491"/>
        <v>0</v>
      </c>
      <c r="AL1061" s="141"/>
      <c r="AO1061" s="286"/>
      <c r="AP1061" s="284">
        <f t="shared" si="478"/>
        <v>0</v>
      </c>
      <c r="AQ1061" s="281">
        <f t="shared" si="479"/>
        <v>0</v>
      </c>
      <c r="AR1061" s="284">
        <f t="shared" si="480"/>
        <v>0</v>
      </c>
      <c r="AS1061" s="281">
        <f t="shared" si="481"/>
        <v>0</v>
      </c>
      <c r="AT1061" s="284">
        <f t="shared" si="482"/>
        <v>0</v>
      </c>
    </row>
    <row r="1062" spans="1:46" s="114" customFormat="1" ht="30.9" x14ac:dyDescent="0.8">
      <c r="A1062" s="262">
        <f>ROW()</f>
        <v>1062</v>
      </c>
      <c r="C1062" s="208"/>
      <c r="D1062" s="208"/>
      <c r="E1062" s="208"/>
      <c r="F1062" s="208"/>
      <c r="G1062" s="208"/>
      <c r="H1062" s="208"/>
      <c r="J1062" s="114" t="str">
        <f t="shared" si="490"/>
        <v/>
      </c>
      <c r="K1062" s="114" t="str">
        <f>IF(COUNTBLANK(R1062)&gt;0,"",CONCATENATE(R1062," for ",N1053))</f>
        <v/>
      </c>
      <c r="N1062" s="123" t="s">
        <v>121</v>
      </c>
      <c r="O1062" s="66" t="s">
        <v>307</v>
      </c>
      <c r="P1062" s="121"/>
      <c r="Q1062" s="121"/>
      <c r="R1062" s="121"/>
      <c r="S1062" s="133">
        <f>M1053</f>
        <v>0</v>
      </c>
      <c r="T1062" s="120"/>
      <c r="U1062" s="121" t="s">
        <v>364</v>
      </c>
      <c r="V1062" s="133">
        <f t="shared" si="483"/>
        <v>0</v>
      </c>
      <c r="W1062" s="133">
        <f>VLOOKUP(U1062,Sheet1!$B$6:$C$45,2,FALSE)*V1062</f>
        <v>0</v>
      </c>
      <c r="X1062" s="141"/>
      <c r="Y1062" s="121" t="s">
        <v>292</v>
      </c>
      <c r="Z1062" s="146">
        <f>VLOOKUP(Takeoffs!Y1062,Sheet1!$B$6:$C$124,2,FALSE)</f>
        <v>0</v>
      </c>
      <c r="AA1062" s="146">
        <f t="shared" si="484"/>
        <v>0</v>
      </c>
      <c r="AB1062" s="143">
        <f t="shared" si="485"/>
        <v>0</v>
      </c>
      <c r="AC1062" s="133">
        <f t="shared" si="486"/>
        <v>0</v>
      </c>
      <c r="AD1062" s="142">
        <v>1</v>
      </c>
      <c r="AE1062" s="141"/>
      <c r="AF1062" s="121" t="s">
        <v>292</v>
      </c>
      <c r="AG1062" s="146">
        <f>VLOOKUP(Takeoffs!AF1062,Sheet1!$B$6:$C$124,2,FALSE)</f>
        <v>0</v>
      </c>
      <c r="AH1062" s="146">
        <f t="shared" si="487"/>
        <v>0</v>
      </c>
      <c r="AI1062" s="143">
        <f t="shared" si="488"/>
        <v>0</v>
      </c>
      <c r="AJ1062" s="133">
        <f t="shared" si="489"/>
        <v>0</v>
      </c>
      <c r="AK1062" s="142">
        <f t="shared" si="491"/>
        <v>0</v>
      </c>
      <c r="AL1062" s="141"/>
      <c r="AO1062" s="286"/>
      <c r="AP1062" s="284">
        <f t="shared" si="478"/>
        <v>0</v>
      </c>
      <c r="AQ1062" s="281">
        <f t="shared" si="479"/>
        <v>0</v>
      </c>
      <c r="AR1062" s="284">
        <f t="shared" si="480"/>
        <v>0</v>
      </c>
      <c r="AS1062" s="281">
        <f t="shared" si="481"/>
        <v>0</v>
      </c>
      <c r="AT1062" s="284">
        <f t="shared" si="482"/>
        <v>0</v>
      </c>
    </row>
    <row r="1063" spans="1:46" s="114" customFormat="1" ht="30.9" x14ac:dyDescent="0.8">
      <c r="A1063" s="262">
        <f>ROW()</f>
        <v>1063</v>
      </c>
      <c r="C1063" s="208"/>
      <c r="D1063" s="208"/>
      <c r="E1063" s="208"/>
      <c r="F1063" s="208"/>
      <c r="G1063" s="208"/>
      <c r="H1063" s="208"/>
      <c r="J1063" s="114" t="str">
        <f t="shared" si="490"/>
        <v/>
      </c>
      <c r="K1063" s="114" t="str">
        <f>IF(COUNTBLANK(R1063)&gt;0,"",CONCATENATE(R1063," for ",N1053))</f>
        <v/>
      </c>
      <c r="N1063" s="123" t="s">
        <v>122</v>
      </c>
      <c r="O1063" s="66"/>
      <c r="P1063" s="121"/>
      <c r="Q1063" s="121"/>
      <c r="R1063" s="121"/>
      <c r="S1063" s="133">
        <f>M1053</f>
        <v>0</v>
      </c>
      <c r="T1063" s="120"/>
      <c r="U1063" s="121" t="s">
        <v>292</v>
      </c>
      <c r="V1063" s="133">
        <f t="shared" si="483"/>
        <v>0</v>
      </c>
      <c r="W1063" s="133">
        <f>VLOOKUP(U1063,Sheet1!$B$6:$C$45,2,FALSE)*V1063</f>
        <v>0</v>
      </c>
      <c r="X1063" s="141"/>
      <c r="Y1063" s="121" t="s">
        <v>292</v>
      </c>
      <c r="Z1063" s="146">
        <f>VLOOKUP(Takeoffs!Y1063,Sheet1!$B$6:$C$124,2,FALSE)</f>
        <v>0</v>
      </c>
      <c r="AA1063" s="146">
        <f t="shared" si="484"/>
        <v>0</v>
      </c>
      <c r="AB1063" s="143">
        <f t="shared" si="485"/>
        <v>0</v>
      </c>
      <c r="AC1063" s="133">
        <f t="shared" si="486"/>
        <v>0</v>
      </c>
      <c r="AD1063" s="142">
        <v>1</v>
      </c>
      <c r="AE1063" s="141"/>
      <c r="AF1063" s="121" t="s">
        <v>292</v>
      </c>
      <c r="AG1063" s="146">
        <f>VLOOKUP(Takeoffs!AF1063,Sheet1!$B$6:$C$124,2,FALSE)</f>
        <v>0</v>
      </c>
      <c r="AH1063" s="146">
        <f t="shared" si="487"/>
        <v>0</v>
      </c>
      <c r="AI1063" s="143">
        <f t="shared" si="488"/>
        <v>0</v>
      </c>
      <c r="AJ1063" s="133">
        <f t="shared" si="489"/>
        <v>0</v>
      </c>
      <c r="AK1063" s="142">
        <f t="shared" si="491"/>
        <v>0</v>
      </c>
      <c r="AL1063" s="141"/>
      <c r="AO1063" s="286"/>
      <c r="AP1063" s="284">
        <f t="shared" si="478"/>
        <v>0</v>
      </c>
      <c r="AQ1063" s="281">
        <f t="shared" si="479"/>
        <v>0</v>
      </c>
      <c r="AR1063" s="284">
        <f t="shared" si="480"/>
        <v>0</v>
      </c>
      <c r="AS1063" s="281">
        <f t="shared" si="481"/>
        <v>0</v>
      </c>
      <c r="AT1063" s="284">
        <f t="shared" si="482"/>
        <v>0</v>
      </c>
    </row>
    <row r="1064" spans="1:46" s="114" customFormat="1" ht="30.9" x14ac:dyDescent="0.8">
      <c r="A1064" s="262">
        <f>ROW()</f>
        <v>1064</v>
      </c>
      <c r="C1064" s="208"/>
      <c r="D1064" s="208"/>
      <c r="E1064" s="208"/>
      <c r="F1064" s="208"/>
      <c r="G1064" s="208"/>
      <c r="H1064" s="208"/>
      <c r="J1064" s="114" t="str">
        <f t="shared" si="490"/>
        <v/>
      </c>
      <c r="K1064" s="114" t="str">
        <f>IF(COUNTBLANK(R1064)&gt;0,"",CONCATENATE(R1064," for ",N1053))</f>
        <v/>
      </c>
      <c r="N1064" s="123" t="s">
        <v>123</v>
      </c>
      <c r="O1064" s="66"/>
      <c r="P1064" s="121"/>
      <c r="Q1064" s="121"/>
      <c r="R1064" s="121"/>
      <c r="S1064" s="133">
        <f>M1053</f>
        <v>0</v>
      </c>
      <c r="T1064" s="120"/>
      <c r="U1064" s="121" t="s">
        <v>292</v>
      </c>
      <c r="V1064" s="133">
        <f t="shared" si="483"/>
        <v>0</v>
      </c>
      <c r="W1064" s="133">
        <f>VLOOKUP(U1064,Sheet1!$B$6:$C$45,2,FALSE)*V1064</f>
        <v>0</v>
      </c>
      <c r="X1064" s="141"/>
      <c r="Y1064" s="121" t="s">
        <v>292</v>
      </c>
      <c r="Z1064" s="146">
        <f>VLOOKUP(Takeoffs!Y1064,Sheet1!$B$6:$C$124,2,FALSE)</f>
        <v>0</v>
      </c>
      <c r="AA1064" s="146">
        <f t="shared" si="484"/>
        <v>0</v>
      </c>
      <c r="AB1064" s="143">
        <f t="shared" si="485"/>
        <v>0</v>
      </c>
      <c r="AC1064" s="133">
        <f t="shared" si="486"/>
        <v>0</v>
      </c>
      <c r="AD1064" s="142">
        <v>1</v>
      </c>
      <c r="AE1064" s="141"/>
      <c r="AF1064" s="121" t="s">
        <v>292</v>
      </c>
      <c r="AG1064" s="146">
        <f>VLOOKUP(Takeoffs!AF1064,Sheet1!$B$6:$C$124,2,FALSE)</f>
        <v>0</v>
      </c>
      <c r="AH1064" s="146">
        <f t="shared" si="487"/>
        <v>0</v>
      </c>
      <c r="AI1064" s="143">
        <f t="shared" si="488"/>
        <v>0</v>
      </c>
      <c r="AJ1064" s="133">
        <f t="shared" si="489"/>
        <v>0</v>
      </c>
      <c r="AK1064" s="142">
        <f t="shared" si="491"/>
        <v>0</v>
      </c>
      <c r="AL1064" s="141"/>
      <c r="AO1064" s="286"/>
      <c r="AP1064" s="284">
        <f t="shared" si="478"/>
        <v>0</v>
      </c>
      <c r="AQ1064" s="281">
        <f t="shared" si="479"/>
        <v>0</v>
      </c>
      <c r="AR1064" s="284">
        <f t="shared" si="480"/>
        <v>0</v>
      </c>
      <c r="AS1064" s="281">
        <f t="shared" si="481"/>
        <v>0</v>
      </c>
      <c r="AT1064" s="284">
        <f t="shared" si="482"/>
        <v>0</v>
      </c>
    </row>
    <row r="1065" spans="1:46" s="114" customFormat="1" ht="30.9" x14ac:dyDescent="0.8">
      <c r="A1065" s="262">
        <f>ROW()</f>
        <v>1065</v>
      </c>
      <c r="C1065" s="208"/>
      <c r="D1065" s="208"/>
      <c r="E1065" s="208"/>
      <c r="F1065" s="208"/>
      <c r="G1065" s="208"/>
      <c r="H1065" s="208"/>
      <c r="J1065" s="114" t="str">
        <f t="shared" si="490"/>
        <v/>
      </c>
      <c r="K1065" s="114" t="str">
        <f>IF(COUNTBLANK(R1065)&gt;0,"",CONCATENATE(R1065," for ",N1053))</f>
        <v/>
      </c>
      <c r="N1065" s="123" t="s">
        <v>124</v>
      </c>
      <c r="O1065" s="66" t="s">
        <v>140</v>
      </c>
      <c r="P1065" s="121"/>
      <c r="Q1065" s="121"/>
      <c r="R1065" s="121"/>
      <c r="S1065" s="133">
        <f>M1053</f>
        <v>0</v>
      </c>
      <c r="T1065" s="120"/>
      <c r="U1065" s="121" t="s">
        <v>363</v>
      </c>
      <c r="V1065" s="133">
        <f t="shared" si="483"/>
        <v>0</v>
      </c>
      <c r="W1065" s="133">
        <f>VLOOKUP(U1065,Sheet1!$B$6:$C$45,2,FALSE)*V1065</f>
        <v>0</v>
      </c>
      <c r="X1065" s="141"/>
      <c r="Y1065" s="121" t="s">
        <v>292</v>
      </c>
      <c r="Z1065" s="146">
        <f>VLOOKUP(Takeoffs!Y1065,Sheet1!$B$6:$C$124,2,FALSE)</f>
        <v>0</v>
      </c>
      <c r="AA1065" s="146">
        <f t="shared" si="484"/>
        <v>0</v>
      </c>
      <c r="AB1065" s="143">
        <f t="shared" si="485"/>
        <v>0</v>
      </c>
      <c r="AC1065" s="133">
        <f t="shared" si="486"/>
        <v>0</v>
      </c>
      <c r="AD1065" s="142">
        <v>1</v>
      </c>
      <c r="AE1065" s="141"/>
      <c r="AF1065" s="144" t="s">
        <v>269</v>
      </c>
      <c r="AG1065" s="146">
        <f>VLOOKUP(Takeoffs!AF1065,Sheet1!$B$6:$C$124,2,FALSE)</f>
        <v>1.056</v>
      </c>
      <c r="AH1065" s="146">
        <f t="shared" si="487"/>
        <v>0</v>
      </c>
      <c r="AI1065" s="143">
        <f t="shared" si="488"/>
        <v>0</v>
      </c>
      <c r="AJ1065" s="133">
        <f t="shared" si="489"/>
        <v>0</v>
      </c>
      <c r="AK1065" s="142">
        <v>30</v>
      </c>
      <c r="AL1065" s="141"/>
      <c r="AO1065" s="286"/>
      <c r="AP1065" s="284">
        <f t="shared" si="478"/>
        <v>0</v>
      </c>
      <c r="AQ1065" s="281">
        <f t="shared" si="479"/>
        <v>0</v>
      </c>
      <c r="AR1065" s="284">
        <f t="shared" si="480"/>
        <v>0</v>
      </c>
      <c r="AS1065" s="281">
        <f t="shared" si="481"/>
        <v>0</v>
      </c>
      <c r="AT1065" s="284">
        <f t="shared" si="482"/>
        <v>0</v>
      </c>
    </row>
    <row r="1066" spans="1:46" s="114" customFormat="1" ht="30.9" x14ac:dyDescent="0.8">
      <c r="A1066" s="262">
        <f>ROW()</f>
        <v>1066</v>
      </c>
      <c r="C1066" s="208"/>
      <c r="D1066" s="208"/>
      <c r="E1066" s="208"/>
      <c r="F1066" s="208"/>
      <c r="G1066" s="208"/>
      <c r="H1066" s="208"/>
      <c r="J1066" s="114" t="str">
        <f t="shared" si="490"/>
        <v/>
      </c>
      <c r="K1066" s="114" t="str">
        <f>IF(COUNTBLANK(R1066)&gt;0,"",CONCATENATE(R1066," for ",N1053))</f>
        <v/>
      </c>
      <c r="N1066" s="123" t="s">
        <v>125</v>
      </c>
      <c r="O1066" s="66" t="s">
        <v>312</v>
      </c>
      <c r="P1066" s="121"/>
      <c r="Q1066" s="121"/>
      <c r="R1066" s="121"/>
      <c r="S1066" s="133">
        <f>M1053</f>
        <v>0</v>
      </c>
      <c r="T1066" s="120"/>
      <c r="U1066" s="121" t="s">
        <v>232</v>
      </c>
      <c r="V1066" s="133">
        <f t="shared" si="483"/>
        <v>0</v>
      </c>
      <c r="W1066" s="133">
        <f>VLOOKUP(U1066,Sheet1!$B$6:$C$45,2,FALSE)*V1066</f>
        <v>0</v>
      </c>
      <c r="X1066" s="141"/>
      <c r="Y1066" s="122" t="s">
        <v>1345</v>
      </c>
      <c r="Z1066" s="146">
        <f>VLOOKUP(Takeoffs!Y1066,Sheet1!$B$6:$C$124,2,FALSE)</f>
        <v>109.25999999999999</v>
      </c>
      <c r="AA1066" s="146">
        <f t="shared" si="484"/>
        <v>0</v>
      </c>
      <c r="AB1066" s="143">
        <f t="shared" si="485"/>
        <v>0</v>
      </c>
      <c r="AC1066" s="133">
        <f t="shared" si="486"/>
        <v>0</v>
      </c>
      <c r="AD1066" s="142">
        <v>1</v>
      </c>
      <c r="AE1066" s="141"/>
      <c r="AF1066" s="121" t="s">
        <v>292</v>
      </c>
      <c r="AG1066" s="146">
        <f>VLOOKUP(Takeoffs!AF1066,Sheet1!$B$6:$C$124,2,FALSE)</f>
        <v>0</v>
      </c>
      <c r="AH1066" s="146">
        <f t="shared" si="487"/>
        <v>0</v>
      </c>
      <c r="AI1066" s="143">
        <f t="shared" si="488"/>
        <v>0</v>
      </c>
      <c r="AJ1066" s="133">
        <f t="shared" si="489"/>
        <v>0</v>
      </c>
      <c r="AK1066" s="142">
        <f t="shared" ref="AK1066:AK1071" si="492">T1066</f>
        <v>0</v>
      </c>
      <c r="AL1066" s="141"/>
      <c r="AO1066" s="286"/>
      <c r="AP1066" s="284">
        <f t="shared" si="478"/>
        <v>0</v>
      </c>
      <c r="AQ1066" s="281">
        <f t="shared" si="479"/>
        <v>0</v>
      </c>
      <c r="AR1066" s="284">
        <f t="shared" si="480"/>
        <v>0</v>
      </c>
      <c r="AS1066" s="281">
        <f t="shared" si="481"/>
        <v>0</v>
      </c>
      <c r="AT1066" s="284">
        <f t="shared" si="482"/>
        <v>0</v>
      </c>
    </row>
    <row r="1067" spans="1:46" s="114" customFormat="1" ht="30.9" x14ac:dyDescent="0.8">
      <c r="A1067" s="262">
        <f>ROW()</f>
        <v>1067</v>
      </c>
      <c r="C1067" s="208"/>
      <c r="D1067" s="208"/>
      <c r="E1067" s="208"/>
      <c r="F1067" s="208"/>
      <c r="G1067" s="208"/>
      <c r="H1067" s="208"/>
      <c r="J1067" s="114" t="str">
        <f t="shared" si="490"/>
        <v/>
      </c>
      <c r="K1067" s="114" t="str">
        <f>IF(COUNTBLANK(R1067)&gt;0,"",CONCATENATE(R1067," for ",N1053))</f>
        <v/>
      </c>
      <c r="N1067" s="123" t="s">
        <v>126</v>
      </c>
      <c r="O1067" s="66" t="s">
        <v>313</v>
      </c>
      <c r="P1067" s="121"/>
      <c r="Q1067" s="121"/>
      <c r="R1067" s="121"/>
      <c r="S1067" s="133">
        <f>M1053</f>
        <v>0</v>
      </c>
      <c r="T1067" s="120"/>
      <c r="U1067" s="121" t="s">
        <v>363</v>
      </c>
      <c r="V1067" s="133">
        <f t="shared" si="483"/>
        <v>0</v>
      </c>
      <c r="W1067" s="133">
        <f>VLOOKUP(U1067,Sheet1!$B$6:$C$45,2,FALSE)*V1067</f>
        <v>0</v>
      </c>
      <c r="X1067" s="141"/>
      <c r="Y1067" s="122" t="s">
        <v>321</v>
      </c>
      <c r="Z1067" s="146">
        <f>VLOOKUP(Takeoffs!Y1067,Sheet1!$B$6:$C$124,2,FALSE)</f>
        <v>60</v>
      </c>
      <c r="AA1067" s="146">
        <f t="shared" si="484"/>
        <v>0</v>
      </c>
      <c r="AB1067" s="143">
        <f t="shared" si="485"/>
        <v>0</v>
      </c>
      <c r="AC1067" s="133">
        <f t="shared" si="486"/>
        <v>0</v>
      </c>
      <c r="AD1067" s="142">
        <v>1</v>
      </c>
      <c r="AE1067" s="141"/>
      <c r="AF1067" s="121" t="s">
        <v>292</v>
      </c>
      <c r="AG1067" s="146">
        <f>VLOOKUP(Takeoffs!AF1067,Sheet1!$B$6:$C$124,2,FALSE)</f>
        <v>0</v>
      </c>
      <c r="AH1067" s="146">
        <f t="shared" si="487"/>
        <v>0</v>
      </c>
      <c r="AI1067" s="143">
        <f t="shared" si="488"/>
        <v>0</v>
      </c>
      <c r="AJ1067" s="133">
        <f t="shared" si="489"/>
        <v>0</v>
      </c>
      <c r="AK1067" s="142">
        <f t="shared" si="492"/>
        <v>0</v>
      </c>
      <c r="AL1067" s="141"/>
      <c r="AO1067" s="286"/>
      <c r="AP1067" s="284">
        <f t="shared" si="478"/>
        <v>0</v>
      </c>
      <c r="AQ1067" s="281">
        <f t="shared" si="479"/>
        <v>0</v>
      </c>
      <c r="AR1067" s="284">
        <f t="shared" si="480"/>
        <v>0</v>
      </c>
      <c r="AS1067" s="281">
        <f t="shared" si="481"/>
        <v>0</v>
      </c>
      <c r="AT1067" s="284">
        <f t="shared" si="482"/>
        <v>0</v>
      </c>
    </row>
    <row r="1068" spans="1:46" s="114" customFormat="1" ht="30.9" x14ac:dyDescent="0.8">
      <c r="A1068" s="262">
        <f>ROW()</f>
        <v>1068</v>
      </c>
      <c r="C1068" s="208"/>
      <c r="D1068" s="208"/>
      <c r="E1068" s="208"/>
      <c r="F1068" s="208"/>
      <c r="G1068" s="208"/>
      <c r="H1068" s="208"/>
      <c r="J1068" s="114" t="str">
        <f t="shared" si="490"/>
        <v/>
      </c>
      <c r="K1068" s="114" t="str">
        <f>IF(COUNTBLANK(R1068)&gt;0,"",CONCATENATE(R1068," for ",N1053))</f>
        <v>Run and fault lights for Chilled Water AHU with small VSD</v>
      </c>
      <c r="N1068" s="123" t="s">
        <v>127</v>
      </c>
      <c r="O1068" s="66" t="s">
        <v>314</v>
      </c>
      <c r="P1068" s="121"/>
      <c r="Q1068" s="121"/>
      <c r="R1068" s="121" t="s">
        <v>455</v>
      </c>
      <c r="S1068" s="133">
        <f>M1053</f>
        <v>0</v>
      </c>
      <c r="T1068" s="120"/>
      <c r="U1068" s="121" t="s">
        <v>292</v>
      </c>
      <c r="V1068" s="133">
        <f t="shared" si="483"/>
        <v>0</v>
      </c>
      <c r="W1068" s="133">
        <f>VLOOKUP(U1068,Sheet1!$B$6:$C$45,2,FALSE)*V1068</f>
        <v>0</v>
      </c>
      <c r="X1068" s="141"/>
      <c r="Y1068" s="122" t="s">
        <v>280</v>
      </c>
      <c r="Z1068" s="146">
        <f>VLOOKUP(Takeoffs!Y1068,Sheet1!$B$6:$C$124,2,FALSE)</f>
        <v>19.2</v>
      </c>
      <c r="AA1068" s="146">
        <f t="shared" si="484"/>
        <v>0</v>
      </c>
      <c r="AB1068" s="143">
        <f t="shared" si="485"/>
        <v>0</v>
      </c>
      <c r="AC1068" s="133">
        <f t="shared" si="486"/>
        <v>0</v>
      </c>
      <c r="AD1068" s="142">
        <v>1</v>
      </c>
      <c r="AE1068" s="141"/>
      <c r="AF1068" s="121" t="s">
        <v>292</v>
      </c>
      <c r="AG1068" s="146">
        <f>VLOOKUP(Takeoffs!AF1068,Sheet1!$B$6:$C$124,2,FALSE)</f>
        <v>0</v>
      </c>
      <c r="AH1068" s="146">
        <f t="shared" si="487"/>
        <v>0</v>
      </c>
      <c r="AI1068" s="143">
        <f t="shared" si="488"/>
        <v>0</v>
      </c>
      <c r="AJ1068" s="133">
        <f t="shared" si="489"/>
        <v>0</v>
      </c>
      <c r="AK1068" s="142">
        <f t="shared" si="492"/>
        <v>0</v>
      </c>
      <c r="AL1068" s="141"/>
      <c r="AO1068" s="286"/>
      <c r="AP1068" s="284">
        <f t="shared" si="478"/>
        <v>0</v>
      </c>
      <c r="AQ1068" s="281">
        <f t="shared" si="479"/>
        <v>0</v>
      </c>
      <c r="AR1068" s="284">
        <f t="shared" si="480"/>
        <v>0</v>
      </c>
      <c r="AS1068" s="281">
        <f t="shared" si="481"/>
        <v>0</v>
      </c>
      <c r="AT1068" s="284">
        <f t="shared" si="482"/>
        <v>0</v>
      </c>
    </row>
    <row r="1069" spans="1:46" s="114" customFormat="1" ht="30.9" x14ac:dyDescent="0.8">
      <c r="A1069" s="262">
        <f>ROW()</f>
        <v>1069</v>
      </c>
      <c r="C1069" s="208"/>
      <c r="D1069" s="208"/>
      <c r="E1069" s="208"/>
      <c r="F1069" s="208"/>
      <c r="G1069" s="208"/>
      <c r="H1069" s="208"/>
      <c r="J1069" s="114" t="str">
        <f t="shared" si="490"/>
        <v/>
      </c>
      <c r="K1069" s="114" t="str">
        <f>IF(COUNTBLANK(R1069)&gt;0,"",CONCATENATE(R1069," for ",N1053))</f>
        <v/>
      </c>
      <c r="N1069" s="123" t="s">
        <v>128</v>
      </c>
      <c r="O1069" s="66" t="s">
        <v>315</v>
      </c>
      <c r="P1069" s="121"/>
      <c r="Q1069" s="121"/>
      <c r="R1069" s="121"/>
      <c r="S1069" s="133">
        <f>M1053</f>
        <v>0</v>
      </c>
      <c r="T1069" s="120"/>
      <c r="U1069" s="121" t="s">
        <v>292</v>
      </c>
      <c r="V1069" s="133">
        <f t="shared" si="483"/>
        <v>0</v>
      </c>
      <c r="W1069" s="133">
        <f>VLOOKUP(U1069,Sheet1!$B$6:$C$45,2,FALSE)*V1069</f>
        <v>0</v>
      </c>
      <c r="X1069" s="141"/>
      <c r="Y1069" s="122" t="s">
        <v>280</v>
      </c>
      <c r="Z1069" s="146">
        <f>VLOOKUP(Takeoffs!Y1069,Sheet1!$B$6:$C$124,2,FALSE)</f>
        <v>19.2</v>
      </c>
      <c r="AA1069" s="146">
        <f t="shared" si="484"/>
        <v>0</v>
      </c>
      <c r="AB1069" s="143">
        <f t="shared" si="485"/>
        <v>0</v>
      </c>
      <c r="AC1069" s="133">
        <f t="shared" si="486"/>
        <v>0</v>
      </c>
      <c r="AD1069" s="142">
        <v>1</v>
      </c>
      <c r="AE1069" s="141"/>
      <c r="AF1069" s="121" t="s">
        <v>292</v>
      </c>
      <c r="AG1069" s="146">
        <f>VLOOKUP(Takeoffs!AF1069,Sheet1!$B$6:$C$124,2,FALSE)</f>
        <v>0</v>
      </c>
      <c r="AH1069" s="146">
        <f t="shared" si="487"/>
        <v>0</v>
      </c>
      <c r="AI1069" s="143">
        <f t="shared" si="488"/>
        <v>0</v>
      </c>
      <c r="AJ1069" s="133">
        <f t="shared" si="489"/>
        <v>0</v>
      </c>
      <c r="AK1069" s="142">
        <f t="shared" si="492"/>
        <v>0</v>
      </c>
      <c r="AL1069" s="141"/>
      <c r="AO1069" s="286"/>
      <c r="AP1069" s="284">
        <f t="shared" si="478"/>
        <v>0</v>
      </c>
      <c r="AQ1069" s="281">
        <f t="shared" si="479"/>
        <v>0</v>
      </c>
      <c r="AR1069" s="284">
        <f t="shared" si="480"/>
        <v>0</v>
      </c>
      <c r="AS1069" s="281">
        <f t="shared" si="481"/>
        <v>0</v>
      </c>
      <c r="AT1069" s="284">
        <f t="shared" si="482"/>
        <v>0</v>
      </c>
    </row>
    <row r="1070" spans="1:46" s="114" customFormat="1" ht="30.9" x14ac:dyDescent="0.8">
      <c r="A1070" s="262">
        <f>ROW()</f>
        <v>1070</v>
      </c>
      <c r="C1070" s="208"/>
      <c r="D1070" s="208"/>
      <c r="E1070" s="208"/>
      <c r="F1070" s="208"/>
      <c r="G1070" s="208"/>
      <c r="H1070" s="208"/>
      <c r="J1070" s="114" t="str">
        <f t="shared" si="490"/>
        <v/>
      </c>
      <c r="K1070" s="114" t="str">
        <f>IF(COUNTBLANK(R1070)&gt;0,"",CONCATENATE(R1070," for ",N1053))</f>
        <v>Auto/Off/On switch for Chilled Water AHU with small VSD</v>
      </c>
      <c r="N1070" s="123" t="s">
        <v>129</v>
      </c>
      <c r="O1070" s="66" t="s">
        <v>329</v>
      </c>
      <c r="P1070" s="121"/>
      <c r="Q1070" s="121"/>
      <c r="R1070" s="121" t="s">
        <v>304</v>
      </c>
      <c r="S1070" s="133">
        <f>M1053</f>
        <v>0</v>
      </c>
      <c r="T1070" s="120"/>
      <c r="U1070" s="121" t="s">
        <v>292</v>
      </c>
      <c r="V1070" s="133">
        <f t="shared" si="483"/>
        <v>0</v>
      </c>
      <c r="W1070" s="133">
        <f>VLOOKUP(U1070,Sheet1!$B$6:$C$45,2,FALSE)*V1070</f>
        <v>0</v>
      </c>
      <c r="X1070" s="141"/>
      <c r="Y1070" s="122" t="s">
        <v>277</v>
      </c>
      <c r="Z1070" s="146">
        <f>VLOOKUP(Takeoffs!Y1070,Sheet1!$B$6:$C$124,2,FALSE)</f>
        <v>69.540000000000006</v>
      </c>
      <c r="AA1070" s="146">
        <f t="shared" si="484"/>
        <v>0</v>
      </c>
      <c r="AB1070" s="143">
        <f t="shared" si="485"/>
        <v>0</v>
      </c>
      <c r="AC1070" s="133">
        <f t="shared" si="486"/>
        <v>0</v>
      </c>
      <c r="AD1070" s="142">
        <v>1</v>
      </c>
      <c r="AE1070" s="141"/>
      <c r="AF1070" s="121" t="s">
        <v>292</v>
      </c>
      <c r="AG1070" s="146">
        <f>VLOOKUP(Takeoffs!AF1070,Sheet1!$B$6:$C$124,2,FALSE)</f>
        <v>0</v>
      </c>
      <c r="AH1070" s="146">
        <f t="shared" si="487"/>
        <v>0</v>
      </c>
      <c r="AI1070" s="143">
        <f t="shared" si="488"/>
        <v>0</v>
      </c>
      <c r="AJ1070" s="133">
        <f t="shared" si="489"/>
        <v>0</v>
      </c>
      <c r="AK1070" s="142">
        <f t="shared" si="492"/>
        <v>0</v>
      </c>
      <c r="AL1070" s="141"/>
      <c r="AO1070" s="286"/>
      <c r="AP1070" s="284">
        <f t="shared" si="478"/>
        <v>0</v>
      </c>
      <c r="AQ1070" s="281">
        <f t="shared" si="479"/>
        <v>0</v>
      </c>
      <c r="AR1070" s="284">
        <f t="shared" si="480"/>
        <v>0</v>
      </c>
      <c r="AS1070" s="281">
        <f t="shared" si="481"/>
        <v>0</v>
      </c>
      <c r="AT1070" s="284">
        <f t="shared" si="482"/>
        <v>0</v>
      </c>
    </row>
    <row r="1071" spans="1:46" s="114" customFormat="1" ht="30.9" x14ac:dyDescent="0.8">
      <c r="A1071" s="262">
        <f>ROW()</f>
        <v>1071</v>
      </c>
      <c r="C1071" s="208"/>
      <c r="D1071" s="208"/>
      <c r="E1071" s="208"/>
      <c r="F1071" s="208"/>
      <c r="G1071" s="208"/>
      <c r="H1071" s="208"/>
      <c r="J1071" s="114" t="str">
        <f t="shared" si="490"/>
        <v/>
      </c>
      <c r="K1071" s="114" t="str">
        <f>IF(COUNTBLANK(R1071)&gt;0,"",CONCATENATE(R1071," for ",N1053))</f>
        <v/>
      </c>
      <c r="N1071" s="123" t="s">
        <v>130</v>
      </c>
      <c r="O1071" s="66"/>
      <c r="P1071" s="121"/>
      <c r="Q1071" s="121"/>
      <c r="R1071" s="121"/>
      <c r="S1071" s="133">
        <f>M1053</f>
        <v>0</v>
      </c>
      <c r="T1071" s="120"/>
      <c r="U1071" s="121" t="s">
        <v>292</v>
      </c>
      <c r="V1071" s="133">
        <f t="shared" si="483"/>
        <v>0</v>
      </c>
      <c r="W1071" s="133">
        <f>VLOOKUP(U1071,Sheet1!$B$6:$C$45,2,FALSE)*V1071</f>
        <v>0</v>
      </c>
      <c r="X1071" s="141"/>
      <c r="Y1071" s="121" t="s">
        <v>292</v>
      </c>
      <c r="Z1071" s="146">
        <f>VLOOKUP(Takeoffs!Y1071,Sheet1!$B$6:$C$124,2,FALSE)</f>
        <v>0</v>
      </c>
      <c r="AA1071" s="146">
        <f t="shared" si="484"/>
        <v>0</v>
      </c>
      <c r="AB1071" s="143">
        <f t="shared" si="485"/>
        <v>0</v>
      </c>
      <c r="AC1071" s="133">
        <f t="shared" si="486"/>
        <v>0</v>
      </c>
      <c r="AD1071" s="142">
        <v>1</v>
      </c>
      <c r="AE1071" s="141"/>
      <c r="AF1071" s="121" t="s">
        <v>292</v>
      </c>
      <c r="AG1071" s="146">
        <f>VLOOKUP(Takeoffs!AF1071,Sheet1!$B$6:$C$124,2,FALSE)</f>
        <v>0</v>
      </c>
      <c r="AH1071" s="146">
        <f t="shared" si="487"/>
        <v>0</v>
      </c>
      <c r="AI1071" s="143">
        <f t="shared" si="488"/>
        <v>0</v>
      </c>
      <c r="AJ1071" s="133">
        <f t="shared" si="489"/>
        <v>0</v>
      </c>
      <c r="AK1071" s="142">
        <f t="shared" si="492"/>
        <v>0</v>
      </c>
      <c r="AL1071" s="141"/>
      <c r="AO1071" s="286"/>
      <c r="AP1071" s="284">
        <f t="shared" si="478"/>
        <v>0</v>
      </c>
      <c r="AQ1071" s="281">
        <f t="shared" si="479"/>
        <v>0</v>
      </c>
      <c r="AR1071" s="284">
        <f t="shared" si="480"/>
        <v>0</v>
      </c>
      <c r="AS1071" s="281">
        <f t="shared" si="481"/>
        <v>0</v>
      </c>
      <c r="AT1071" s="284">
        <f t="shared" si="482"/>
        <v>0</v>
      </c>
    </row>
    <row r="1072" spans="1:46" s="114" customFormat="1" ht="30.9" x14ac:dyDescent="0.8">
      <c r="A1072" s="262">
        <f>ROW()</f>
        <v>1072</v>
      </c>
      <c r="C1072" s="208"/>
      <c r="D1072" s="208"/>
      <c r="E1072" s="208"/>
      <c r="F1072" s="208"/>
      <c r="G1072" s="208"/>
      <c r="H1072" s="208"/>
      <c r="J1072" s="114" t="str">
        <f t="shared" si="490"/>
        <v>Coordination Note: - Fire trade: Please refer to our exclusions relating to fire cabling from FIP.</v>
      </c>
      <c r="K1072" s="114" t="str">
        <f>IF(COUNTBLANK(R1072)&gt;0,"",CONCATENATE(R1072," for ",N1053))</f>
        <v/>
      </c>
      <c r="N1072" s="123" t="s">
        <v>131</v>
      </c>
      <c r="O1072" s="66" t="s">
        <v>412</v>
      </c>
      <c r="P1072" s="121" t="s">
        <v>380</v>
      </c>
      <c r="Q1072" s="121" t="s">
        <v>384</v>
      </c>
      <c r="R1072" s="121"/>
      <c r="S1072" s="133">
        <f>M1053</f>
        <v>0</v>
      </c>
      <c r="T1072" s="120"/>
      <c r="U1072" s="121" t="s">
        <v>292</v>
      </c>
      <c r="V1072" s="133">
        <f t="shared" si="483"/>
        <v>0</v>
      </c>
      <c r="W1072" s="133">
        <f>VLOOKUP(U1072,Sheet1!$B$6:$C$45,2,FALSE)*V1072</f>
        <v>0</v>
      </c>
      <c r="X1072" s="141"/>
      <c r="Y1072" s="122" t="s">
        <v>322</v>
      </c>
      <c r="Z1072" s="146">
        <f>VLOOKUP(Takeoffs!Y1072,Sheet1!$B$6:$C$124,2,FALSE)</f>
        <v>48</v>
      </c>
      <c r="AA1072" s="146">
        <f t="shared" si="484"/>
        <v>0</v>
      </c>
      <c r="AB1072" s="143">
        <f t="shared" si="485"/>
        <v>0</v>
      </c>
      <c r="AC1072" s="133">
        <f t="shared" si="486"/>
        <v>0</v>
      </c>
      <c r="AD1072" s="142">
        <v>1</v>
      </c>
      <c r="AE1072" s="141"/>
      <c r="AF1072" s="121" t="s">
        <v>292</v>
      </c>
      <c r="AG1072" s="146">
        <f>VLOOKUP(Takeoffs!AF1072,Sheet1!$B$6:$C$124,2,FALSE)</f>
        <v>0</v>
      </c>
      <c r="AH1072" s="146">
        <f t="shared" si="487"/>
        <v>0</v>
      </c>
      <c r="AI1072" s="143">
        <f t="shared" si="488"/>
        <v>0</v>
      </c>
      <c r="AJ1072" s="133">
        <f t="shared" si="489"/>
        <v>0</v>
      </c>
      <c r="AK1072" s="142">
        <f>T1072</f>
        <v>0</v>
      </c>
      <c r="AL1072" s="141"/>
      <c r="AO1072" s="286"/>
      <c r="AP1072" s="284">
        <f t="shared" si="478"/>
        <v>0</v>
      </c>
      <c r="AQ1072" s="281">
        <f t="shared" si="479"/>
        <v>0</v>
      </c>
      <c r="AR1072" s="284">
        <f t="shared" si="480"/>
        <v>0</v>
      </c>
      <c r="AS1072" s="281">
        <f t="shared" si="481"/>
        <v>0</v>
      </c>
      <c r="AT1072" s="284">
        <f t="shared" si="482"/>
        <v>0</v>
      </c>
    </row>
    <row r="1073" spans="1:97" s="114" customFormat="1" ht="30.9" x14ac:dyDescent="0.8">
      <c r="A1073" s="262">
        <f>ROW()</f>
        <v>1073</v>
      </c>
      <c r="C1073" s="208"/>
      <c r="D1073" s="208"/>
      <c r="E1073" s="208"/>
      <c r="F1073" s="208"/>
      <c r="G1073" s="208"/>
      <c r="H1073" s="208"/>
      <c r="J1073" s="114" t="str">
        <f t="shared" si="490"/>
        <v/>
      </c>
      <c r="K1073" s="114" t="str">
        <f>IF(COUNTBLANK(R1073)&gt;0,"",CONCATENATE(R1073," for ",N1053))</f>
        <v/>
      </c>
      <c r="N1073" s="123" t="s">
        <v>132</v>
      </c>
      <c r="O1073" s="66" t="s">
        <v>408</v>
      </c>
      <c r="P1073" s="121"/>
      <c r="Q1073" s="121"/>
      <c r="R1073" s="121"/>
      <c r="S1073" s="133">
        <f>M1053</f>
        <v>0</v>
      </c>
      <c r="T1073" s="120"/>
      <c r="U1073" s="121" t="s">
        <v>364</v>
      </c>
      <c r="V1073" s="133">
        <f t="shared" si="483"/>
        <v>0</v>
      </c>
      <c r="W1073" s="133">
        <f>VLOOKUP(U1073,Sheet1!$B$6:$C$45,2,FALSE)*V1073</f>
        <v>0</v>
      </c>
      <c r="X1073" s="141"/>
      <c r="Y1073" s="121" t="s">
        <v>292</v>
      </c>
      <c r="Z1073" s="146">
        <f>VLOOKUP(Takeoffs!Y1073,Sheet1!$B$6:$C$124,2,FALSE)</f>
        <v>0</v>
      </c>
      <c r="AA1073" s="146">
        <f t="shared" si="484"/>
        <v>0</v>
      </c>
      <c r="AB1073" s="143">
        <f t="shared" si="485"/>
        <v>0</v>
      </c>
      <c r="AC1073" s="133">
        <f t="shared" si="486"/>
        <v>0</v>
      </c>
      <c r="AD1073" s="142">
        <v>1</v>
      </c>
      <c r="AE1073" s="141"/>
      <c r="AF1073" s="121" t="s">
        <v>292</v>
      </c>
      <c r="AG1073" s="146">
        <f>VLOOKUP(Takeoffs!AF1073,Sheet1!$B$6:$C$124,2,FALSE)</f>
        <v>0</v>
      </c>
      <c r="AH1073" s="146">
        <f t="shared" si="487"/>
        <v>0</v>
      </c>
      <c r="AI1073" s="143">
        <f t="shared" si="488"/>
        <v>0</v>
      </c>
      <c r="AJ1073" s="133">
        <f t="shared" si="489"/>
        <v>0</v>
      </c>
      <c r="AK1073" s="142">
        <f>T1073</f>
        <v>0</v>
      </c>
      <c r="AL1073" s="141"/>
      <c r="AO1073" s="286"/>
      <c r="AP1073" s="284">
        <f t="shared" si="478"/>
        <v>0</v>
      </c>
      <c r="AQ1073" s="281">
        <f t="shared" si="479"/>
        <v>0</v>
      </c>
      <c r="AR1073" s="284">
        <f t="shared" si="480"/>
        <v>0</v>
      </c>
      <c r="AS1073" s="281">
        <f t="shared" si="481"/>
        <v>0</v>
      </c>
      <c r="AT1073" s="284">
        <f t="shared" si="482"/>
        <v>0</v>
      </c>
    </row>
    <row r="1074" spans="1:97" s="128" customFormat="1" ht="31.5" customHeight="1" x14ac:dyDescent="0.8">
      <c r="A1074" s="262">
        <f>ROW()</f>
        <v>1074</v>
      </c>
      <c r="C1074" s="212"/>
      <c r="D1074" s="212"/>
      <c r="E1074" s="212"/>
      <c r="F1074" s="212"/>
      <c r="G1074" s="212"/>
      <c r="H1074" s="212"/>
      <c r="J1074" s="128" t="s">
        <v>377</v>
      </c>
      <c r="L1074" s="128" t="s">
        <v>378</v>
      </c>
      <c r="N1074" s="129"/>
      <c r="O1074" s="130" t="s">
        <v>357</v>
      </c>
      <c r="P1074" s="131">
        <f>V1074+AA1074+AH1074</f>
        <v>0</v>
      </c>
      <c r="Q1074" s="131"/>
      <c r="R1074" s="131"/>
      <c r="S1074" s="130"/>
      <c r="T1074" s="127"/>
      <c r="U1074" s="126" t="s">
        <v>351</v>
      </c>
      <c r="V1074" s="127">
        <f>W1074*80</f>
        <v>0</v>
      </c>
      <c r="W1074" s="147">
        <f>SUM(W1053:W1073)</f>
        <v>0</v>
      </c>
      <c r="X1074" s="148"/>
      <c r="Y1074" s="127" t="s">
        <v>352</v>
      </c>
      <c r="Z1074" s="116"/>
      <c r="AA1074" s="116">
        <f>SUM(AA1053:AA1073)</f>
        <v>0</v>
      </c>
      <c r="AB1074" s="149"/>
      <c r="AC1074" s="149"/>
      <c r="AD1074" s="149"/>
      <c r="AE1074" s="149"/>
      <c r="AF1074" s="127" t="s">
        <v>356</v>
      </c>
      <c r="AG1074" s="116"/>
      <c r="AH1074" s="116">
        <f>SUM(AH1053:AH1073)</f>
        <v>0</v>
      </c>
      <c r="AI1074" s="149"/>
      <c r="AJ1074" s="149"/>
      <c r="AK1074" s="149"/>
      <c r="AL1074" s="149"/>
      <c r="AM1074" s="150">
        <f>P1074</f>
        <v>0</v>
      </c>
      <c r="AO1074" s="286"/>
      <c r="AP1074" s="284">
        <f t="shared" si="478"/>
        <v>0</v>
      </c>
      <c r="AQ1074" s="281">
        <f t="shared" si="479"/>
        <v>0</v>
      </c>
      <c r="AR1074" s="284">
        <f t="shared" si="480"/>
        <v>0</v>
      </c>
      <c r="AS1074" s="281">
        <f t="shared" si="481"/>
        <v>0</v>
      </c>
      <c r="AT1074" s="284">
        <f t="shared" si="482"/>
        <v>0</v>
      </c>
    </row>
    <row r="1075" spans="1:97" s="234" customFormat="1" ht="154.30000000000001" x14ac:dyDescent="0.8">
      <c r="A1075" s="262">
        <f>ROW()</f>
        <v>1075</v>
      </c>
      <c r="B1075" s="234" t="s">
        <v>491</v>
      </c>
      <c r="C1075" s="217" t="str">
        <f>N1053</f>
        <v>Chilled Water AHU with small VSD</v>
      </c>
      <c r="D1075" s="260" t="s">
        <v>678</v>
      </c>
      <c r="E1075" s="238"/>
      <c r="F1075" s="217"/>
      <c r="G1075" s="217"/>
      <c r="H1075" s="245"/>
      <c r="I1075" s="270"/>
      <c r="J1075" s="241" t="str">
        <f>CONCATENATE(O1053," ",L1053, " (",M1053,") ",N1053,".", IF(M1053&gt;1," Each "," This "),"includes supply and install of ",O1054,O1055,O1056,O1057,O1058,O1059,O1060,O1061,O1062,O1063,O1064,O1065,O1066,O1067,O1068,O1069,O1070,O1071,O1072,O1073,J1054,J1055,J1056,J1057,J1058,J1059,J1060,J1061,J1062,J1063,J1064,J1065,J1066,J1067,J1068,J1069,J1070,J1071,J1072,J1073)</f>
        <v>Electrical power supply and controls to Zero (0) Chilled Water AHU with small VSD. This includes supply and install of power and controls. Power for systems includes: CB, cabling to VSD, Danfoss VSD,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075" s="246">
        <f>P1074</f>
        <v>0</v>
      </c>
      <c r="L1075" s="234" t="str">
        <f>CONCATENATE(Q1054,Q1055,Q1056,Q1057,Q1058,Q1059,Q1060,Q1061,Q1062,Q1063,Q1064,Q1065,Q1066,Q1067,Q1068,Q1069,Q1070,Q1071,Q1072,Q1073,)</f>
        <v>fire cabling from FIP.</v>
      </c>
      <c r="M1075" s="166" t="s">
        <v>367</v>
      </c>
      <c r="N1075" s="160" t="str">
        <f>N1053</f>
        <v>Chilled Water AHU with small VSD</v>
      </c>
      <c r="O1075" s="160" t="s">
        <v>365</v>
      </c>
      <c r="P1075" s="64" t="e">
        <f>P1074/M1053</f>
        <v>#DIV/0!</v>
      </c>
      <c r="Q1075" s="161"/>
      <c r="R1075" s="161"/>
      <c r="S1075" s="160"/>
      <c r="T1075" s="161"/>
      <c r="U1075" s="503" t="s">
        <v>366</v>
      </c>
      <c r="V1075" s="503"/>
      <c r="W1075" s="162" t="e">
        <f>W1074/M1053</f>
        <v>#DIV/0!</v>
      </c>
      <c r="X1075" s="163"/>
      <c r="Y1075" s="501" t="s">
        <v>365</v>
      </c>
      <c r="Z1075" s="501"/>
      <c r="AA1075" s="164" t="e">
        <f>AA1074/M1053</f>
        <v>#DIV/0!</v>
      </c>
      <c r="AB1075" s="161"/>
      <c r="AC1075" s="161"/>
      <c r="AD1075" s="161"/>
      <c r="AE1075" s="161"/>
      <c r="AF1075" s="501" t="s">
        <v>365</v>
      </c>
      <c r="AG1075" s="501"/>
      <c r="AH1075" s="164" t="e">
        <f>AH1074/M1053</f>
        <v>#DIV/0!</v>
      </c>
      <c r="AI1075" s="161"/>
      <c r="AJ1075" s="161"/>
      <c r="AK1075" s="161"/>
      <c r="AL1075" s="247"/>
      <c r="AM1075" s="257"/>
      <c r="AN1075" s="236">
        <f>K1075*1.25</f>
        <v>0</v>
      </c>
      <c r="AO1075" s="286"/>
      <c r="AP1075" s="284">
        <f t="shared" si="478"/>
        <v>0</v>
      </c>
      <c r="AQ1075" s="281">
        <f t="shared" si="479"/>
        <v>0</v>
      </c>
      <c r="AR1075" s="284">
        <f t="shared" si="480"/>
        <v>0</v>
      </c>
      <c r="AS1075" s="281">
        <f t="shared" si="481"/>
        <v>0</v>
      </c>
      <c r="AT1075" s="284">
        <f t="shared" si="482"/>
        <v>0</v>
      </c>
      <c r="AU1075" s="117"/>
      <c r="AV1075" s="117"/>
      <c r="AW1075" s="117"/>
      <c r="AX1075" s="117"/>
      <c r="AY1075" s="117"/>
      <c r="AZ1075" s="117"/>
      <c r="BA1075" s="117"/>
      <c r="BB1075" s="117"/>
      <c r="BC1075" s="117"/>
      <c r="BD1075" s="117"/>
      <c r="BE1075" s="117"/>
      <c r="BF1075" s="117"/>
      <c r="BG1075" s="117"/>
      <c r="BH1075" s="117"/>
      <c r="BI1075" s="117"/>
      <c r="BJ1075" s="117"/>
      <c r="BK1075" s="117"/>
      <c r="BL1075" s="117"/>
      <c r="BM1075" s="117"/>
      <c r="BN1075" s="117"/>
      <c r="BO1075" s="117"/>
      <c r="BP1075" s="117"/>
      <c r="BQ1075" s="117"/>
      <c r="BR1075" s="117"/>
      <c r="BS1075" s="117"/>
      <c r="BT1075" s="117"/>
      <c r="BU1075" s="117"/>
      <c r="BV1075" s="117"/>
      <c r="BW1075" s="117"/>
      <c r="BX1075" s="117"/>
      <c r="BY1075" s="117"/>
      <c r="BZ1075" s="117"/>
      <c r="CA1075" s="117"/>
      <c r="CB1075" s="117"/>
      <c r="CC1075" s="117"/>
      <c r="CD1075" s="117"/>
      <c r="CE1075" s="117"/>
      <c r="CF1075" s="117"/>
      <c r="CG1075" s="117"/>
      <c r="CH1075" s="117"/>
      <c r="CI1075" s="117"/>
      <c r="CJ1075" s="117"/>
      <c r="CK1075" s="117"/>
      <c r="CL1075" s="117"/>
      <c r="CM1075" s="117"/>
      <c r="CN1075" s="117"/>
      <c r="CO1075" s="117"/>
      <c r="CP1075" s="117"/>
      <c r="CQ1075" s="117"/>
      <c r="CR1075" s="117"/>
      <c r="CS1075" s="117"/>
    </row>
    <row r="1076" spans="1:97" s="116" customFormat="1" ht="192.75" customHeight="1" x14ac:dyDescent="0.8">
      <c r="A1076" s="262">
        <f>ROW()</f>
        <v>1076</v>
      </c>
      <c r="C1076" s="211"/>
      <c r="D1076" s="211"/>
      <c r="E1076" s="211"/>
      <c r="F1076" s="211"/>
      <c r="G1076" s="211"/>
      <c r="H1076" s="211"/>
      <c r="K1076" s="116" t="s">
        <v>452</v>
      </c>
      <c r="M1076" s="116" t="s">
        <v>107</v>
      </c>
      <c r="N1076" s="116" t="s">
        <v>108</v>
      </c>
      <c r="O1076" s="170" t="s">
        <v>386</v>
      </c>
      <c r="P1076" s="504" t="s">
        <v>375</v>
      </c>
      <c r="Q1076" s="504"/>
      <c r="R1076" s="101" t="s">
        <v>452</v>
      </c>
      <c r="S1076" s="116" t="s">
        <v>0</v>
      </c>
      <c r="T1076" s="118"/>
      <c r="U1076" s="116" t="s">
        <v>287</v>
      </c>
      <c r="V1076" s="116" t="s">
        <v>288</v>
      </c>
      <c r="W1076" s="116" t="s">
        <v>291</v>
      </c>
      <c r="X1076" s="140"/>
      <c r="Y1076" s="116" t="s">
        <v>289</v>
      </c>
      <c r="Z1076" s="116" t="s">
        <v>354</v>
      </c>
      <c r="AA1076" s="116" t="s">
        <v>355</v>
      </c>
      <c r="AB1076" s="116" t="s">
        <v>317</v>
      </c>
      <c r="AC1076" s="116" t="s">
        <v>318</v>
      </c>
      <c r="AD1076" s="116" t="s">
        <v>316</v>
      </c>
      <c r="AE1076" s="140"/>
      <c r="AF1076" s="116" t="s">
        <v>293</v>
      </c>
      <c r="AG1076" s="116" t="s">
        <v>354</v>
      </c>
      <c r="AH1076" s="116" t="s">
        <v>355</v>
      </c>
      <c r="AI1076" s="116" t="s">
        <v>296</v>
      </c>
      <c r="AJ1076" s="116" t="s">
        <v>294</v>
      </c>
      <c r="AK1076" s="116" t="s">
        <v>295</v>
      </c>
      <c r="AL1076" s="140"/>
      <c r="AO1076" s="288"/>
      <c r="AP1076" s="284">
        <f t="shared" si="478"/>
        <v>0</v>
      </c>
      <c r="AQ1076" s="281">
        <f t="shared" si="479"/>
        <v>0</v>
      </c>
      <c r="AR1076" s="284">
        <f t="shared" si="480"/>
        <v>0</v>
      </c>
      <c r="AS1076" s="281">
        <f t="shared" si="481"/>
        <v>0</v>
      </c>
      <c r="AT1076" s="284">
        <f t="shared" si="482"/>
        <v>0</v>
      </c>
    </row>
    <row r="1077" spans="1:97" s="114" customFormat="1" ht="40.5" customHeight="1" x14ac:dyDescent="0.8">
      <c r="A1077" s="262">
        <f>ROW()</f>
        <v>1077</v>
      </c>
      <c r="C1077" s="208"/>
      <c r="D1077" s="208"/>
      <c r="E1077" s="208"/>
      <c r="F1077" s="208"/>
      <c r="G1077" s="208"/>
      <c r="H1077" s="208"/>
      <c r="L1077" s="124" t="str">
        <f>VLOOKUP(M1077,Sheet2!$D$2:$E$1024,2,FALSE)</f>
        <v>Zero</v>
      </c>
      <c r="M1077" s="121">
        <f>I1099</f>
        <v>0</v>
      </c>
      <c r="N1077" s="132" t="s">
        <v>481</v>
      </c>
      <c r="O1077" s="121" t="s">
        <v>347</v>
      </c>
      <c r="P1077" s="169" t="s">
        <v>379</v>
      </c>
      <c r="Q1077" s="169" t="s">
        <v>375</v>
      </c>
      <c r="R1077" s="169"/>
      <c r="S1077" s="133">
        <f>M1077</f>
        <v>0</v>
      </c>
      <c r="T1077" s="119"/>
      <c r="U1077" s="153" t="s">
        <v>292</v>
      </c>
      <c r="V1077" s="133">
        <f>S1077</f>
        <v>0</v>
      </c>
      <c r="W1077" s="133">
        <f>VLOOKUP(U1077,Sheet1!$B$6:$C$45,2,FALSE)*V1077</f>
        <v>0</v>
      </c>
      <c r="X1077" s="141"/>
      <c r="Y1077" s="121" t="s">
        <v>292</v>
      </c>
      <c r="Z1077" s="146">
        <f>VLOOKUP(Takeoffs!Y1077,Sheet1!$B$6:$C$124,2,FALSE)</f>
        <v>0</v>
      </c>
      <c r="AA1077" s="146">
        <f>Z1077*AB1077</f>
        <v>0</v>
      </c>
      <c r="AB1077" s="143">
        <f>AD1077*AC1077</f>
        <v>0</v>
      </c>
      <c r="AC1077" s="133">
        <f>S1077</f>
        <v>0</v>
      </c>
      <c r="AD1077" s="142">
        <v>1</v>
      </c>
      <c r="AE1077" s="141"/>
      <c r="AF1077" s="121" t="s">
        <v>292</v>
      </c>
      <c r="AG1077" s="146">
        <f>VLOOKUP(Takeoffs!AF1077,Sheet1!$B$6:$C$124,2,FALSE)</f>
        <v>0</v>
      </c>
      <c r="AH1077" s="146">
        <f>AG1077*AI1077</f>
        <v>0</v>
      </c>
      <c r="AI1077" s="143">
        <f>AK1077*AJ1077</f>
        <v>0</v>
      </c>
      <c r="AJ1077" s="133">
        <f>S1077</f>
        <v>0</v>
      </c>
      <c r="AK1077" s="142">
        <f>T1077</f>
        <v>0</v>
      </c>
      <c r="AL1077" s="141"/>
      <c r="AO1077" s="286"/>
      <c r="AP1077" s="284">
        <f t="shared" si="478"/>
        <v>0</v>
      </c>
      <c r="AQ1077" s="281">
        <f t="shared" si="479"/>
        <v>0</v>
      </c>
      <c r="AR1077" s="284">
        <f t="shared" si="480"/>
        <v>0</v>
      </c>
      <c r="AS1077" s="281">
        <f t="shared" si="481"/>
        <v>0</v>
      </c>
      <c r="AT1077" s="284">
        <f t="shared" si="482"/>
        <v>0</v>
      </c>
    </row>
    <row r="1078" spans="1:97" s="114" customFormat="1" ht="30.9" x14ac:dyDescent="0.8">
      <c r="A1078" s="262">
        <f>ROW()</f>
        <v>1078</v>
      </c>
      <c r="C1078" s="208"/>
      <c r="D1078" s="208"/>
      <c r="E1078" s="208"/>
      <c r="F1078" s="208"/>
      <c r="G1078" s="208"/>
      <c r="H1078" s="208"/>
      <c r="J1078" s="114" t="str">
        <f>IF(COUNTBLANK(Q1078)&gt;0,"",CONCATENATE("Coordination Note: - ",P1078,": Please refer to our exclusions relating to ",Q1078))</f>
        <v/>
      </c>
      <c r="K1078" s="114" t="str">
        <f>IF(COUNTBLANK(R1078)&gt;0,"",CONCATENATE(R1078," for ",N1077))</f>
        <v/>
      </c>
      <c r="M1078" s="117"/>
      <c r="N1078" s="123" t="s">
        <v>113</v>
      </c>
      <c r="O1078" s="66" t="s">
        <v>411</v>
      </c>
      <c r="P1078" s="121"/>
      <c r="Q1078" s="121"/>
      <c r="R1078" s="121"/>
      <c r="S1078" s="133">
        <f>M1077</f>
        <v>0</v>
      </c>
      <c r="T1078" s="120"/>
      <c r="U1078" s="121" t="s">
        <v>235</v>
      </c>
      <c r="V1078" s="133">
        <f t="shared" ref="V1078:V1097" si="493">S1078</f>
        <v>0</v>
      </c>
      <c r="W1078" s="133">
        <f>VLOOKUP(U1078,Sheet1!$B$6:$C$45,2,FALSE)*V1078</f>
        <v>0</v>
      </c>
      <c r="X1078" s="141"/>
      <c r="Y1078" s="121" t="s">
        <v>292</v>
      </c>
      <c r="Z1078" s="146">
        <f>VLOOKUP(Takeoffs!Y1078,Sheet1!$B$6:$C$124,2,FALSE)</f>
        <v>0</v>
      </c>
      <c r="AA1078" s="146">
        <f t="shared" ref="AA1078:AA1097" si="494">Z1078*AB1078</f>
        <v>0</v>
      </c>
      <c r="AB1078" s="143">
        <f t="shared" ref="AB1078:AB1097" si="495">AD1078*AC1078</f>
        <v>0</v>
      </c>
      <c r="AC1078" s="133">
        <f>S1078</f>
        <v>0</v>
      </c>
      <c r="AD1078" s="142">
        <v>1</v>
      </c>
      <c r="AE1078" s="141"/>
      <c r="AF1078" s="121" t="s">
        <v>292</v>
      </c>
      <c r="AG1078" s="146">
        <f>VLOOKUP(Takeoffs!AF1078,Sheet1!$B$6:$C$124,2,FALSE)</f>
        <v>0</v>
      </c>
      <c r="AH1078" s="146">
        <f t="shared" ref="AH1078:AH1097" si="496">AG1078*AI1078</f>
        <v>0</v>
      </c>
      <c r="AI1078" s="143">
        <f t="shared" ref="AI1078:AI1097" si="497">AK1078*AJ1078</f>
        <v>0</v>
      </c>
      <c r="AJ1078" s="133">
        <f t="shared" ref="AJ1078:AJ1097" si="498">S1078</f>
        <v>0</v>
      </c>
      <c r="AK1078" s="142"/>
      <c r="AL1078" s="141"/>
      <c r="AO1078" s="286"/>
      <c r="AP1078" s="284">
        <f t="shared" si="478"/>
        <v>0</v>
      </c>
      <c r="AQ1078" s="281">
        <f t="shared" si="479"/>
        <v>0</v>
      </c>
      <c r="AR1078" s="284">
        <f t="shared" si="480"/>
        <v>0</v>
      </c>
      <c r="AS1078" s="281">
        <f t="shared" si="481"/>
        <v>0</v>
      </c>
      <c r="AT1078" s="284">
        <f t="shared" si="482"/>
        <v>0</v>
      </c>
    </row>
    <row r="1079" spans="1:97" s="114" customFormat="1" ht="30.9" x14ac:dyDescent="0.8">
      <c r="A1079" s="262">
        <f>ROW()</f>
        <v>1079</v>
      </c>
      <c r="C1079" s="208"/>
      <c r="D1079" s="208"/>
      <c r="E1079" s="208"/>
      <c r="F1079" s="208"/>
      <c r="G1079" s="208"/>
      <c r="H1079" s="208"/>
      <c r="J1079" s="114" t="str">
        <f t="shared" ref="J1079:J1097" si="499">IF(COUNTBLANK(Q1079)&gt;0,"",CONCATENATE("Coordination Note: - ",P1079,": Please refer to our exclusions relating to ",Q1079))</f>
        <v/>
      </c>
      <c r="K1079" s="114" t="str">
        <f>IF(COUNTBLANK(R1079)&gt;0,"",CONCATENATE(R1079," for ",N1077))</f>
        <v/>
      </c>
      <c r="M1079" s="117"/>
      <c r="N1079" s="123" t="s">
        <v>114</v>
      </c>
      <c r="O1079" s="66" t="s">
        <v>308</v>
      </c>
      <c r="P1079" s="121"/>
      <c r="Q1079" s="121"/>
      <c r="R1079" s="121"/>
      <c r="S1079" s="133">
        <f>M1077</f>
        <v>0</v>
      </c>
      <c r="T1079" s="120"/>
      <c r="U1079" s="121" t="s">
        <v>292</v>
      </c>
      <c r="V1079" s="133">
        <f t="shared" si="493"/>
        <v>0</v>
      </c>
      <c r="W1079" s="133">
        <f>VLOOKUP(U1079,Sheet1!$B$6:$C$45,2,FALSE)*V1079</f>
        <v>0</v>
      </c>
      <c r="X1079" s="141"/>
      <c r="Y1079" s="122" t="s">
        <v>252</v>
      </c>
      <c r="Z1079" s="146">
        <f>VLOOKUP(Takeoffs!Y1079,Sheet1!$B$6:$C$124,2,FALSE)</f>
        <v>43.440000000000005</v>
      </c>
      <c r="AA1079" s="146">
        <f t="shared" si="494"/>
        <v>0</v>
      </c>
      <c r="AB1079" s="143">
        <f t="shared" si="495"/>
        <v>0</v>
      </c>
      <c r="AC1079" s="133">
        <f>S1079</f>
        <v>0</v>
      </c>
      <c r="AD1079" s="142">
        <v>1</v>
      </c>
      <c r="AE1079" s="141"/>
      <c r="AF1079" s="121" t="s">
        <v>292</v>
      </c>
      <c r="AG1079" s="146">
        <f>VLOOKUP(Takeoffs!AF1079,Sheet1!$B$6:$C$124,2,FALSE)</f>
        <v>0</v>
      </c>
      <c r="AH1079" s="146">
        <f t="shared" si="496"/>
        <v>0</v>
      </c>
      <c r="AI1079" s="143">
        <f t="shared" si="497"/>
        <v>0</v>
      </c>
      <c r="AJ1079" s="133">
        <f t="shared" si="498"/>
        <v>0</v>
      </c>
      <c r="AK1079" s="142">
        <f>T1079</f>
        <v>0</v>
      </c>
      <c r="AL1079" s="141"/>
      <c r="AO1079" s="286"/>
      <c r="AP1079" s="284">
        <f t="shared" si="478"/>
        <v>0</v>
      </c>
      <c r="AQ1079" s="281">
        <f t="shared" si="479"/>
        <v>0</v>
      </c>
      <c r="AR1079" s="284">
        <f t="shared" si="480"/>
        <v>0</v>
      </c>
      <c r="AS1079" s="281">
        <f t="shared" si="481"/>
        <v>0</v>
      </c>
      <c r="AT1079" s="284">
        <f t="shared" si="482"/>
        <v>0</v>
      </c>
    </row>
    <row r="1080" spans="1:97" s="114" customFormat="1" ht="30.9" x14ac:dyDescent="0.8">
      <c r="A1080" s="262">
        <f>ROW()</f>
        <v>1080</v>
      </c>
      <c r="C1080" s="208"/>
      <c r="D1080" s="208"/>
      <c r="E1080" s="208"/>
      <c r="F1080" s="208"/>
      <c r="G1080" s="208"/>
      <c r="H1080" s="208"/>
      <c r="J1080" s="114" t="str">
        <f t="shared" si="499"/>
        <v/>
      </c>
      <c r="K1080" s="114" t="str">
        <f>IF(COUNTBLANK(R1080)&gt;0,"",CONCATENATE(R1080," for ",N1077))</f>
        <v/>
      </c>
      <c r="M1080" s="117"/>
      <c r="N1080" s="123" t="s">
        <v>115</v>
      </c>
      <c r="O1080" s="66" t="s">
        <v>305</v>
      </c>
      <c r="P1080" s="121"/>
      <c r="Q1080" s="121"/>
      <c r="R1080" s="121"/>
      <c r="S1080" s="133">
        <f>M1077</f>
        <v>0</v>
      </c>
      <c r="T1080" s="120"/>
      <c r="U1080" s="117" t="s">
        <v>478</v>
      </c>
      <c r="V1080" s="133">
        <f t="shared" si="493"/>
        <v>0</v>
      </c>
      <c r="W1080" s="133">
        <f>VLOOKUP(U1080,Sheet1!$B$6:$C$45,2,FALSE)*V1080</f>
        <v>0</v>
      </c>
      <c r="X1080" s="141"/>
      <c r="Y1080" s="121" t="s">
        <v>292</v>
      </c>
      <c r="Z1080" s="146">
        <f>VLOOKUP(Takeoffs!Y1080,Sheet1!$B$6:$C$124,2,FALSE)</f>
        <v>0</v>
      </c>
      <c r="AA1080" s="146">
        <f t="shared" si="494"/>
        <v>0</v>
      </c>
      <c r="AB1080" s="143">
        <f t="shared" si="495"/>
        <v>0</v>
      </c>
      <c r="AC1080" s="133">
        <f t="shared" ref="AC1080:AC1097" si="500">S1080</f>
        <v>0</v>
      </c>
      <c r="AD1080" s="142">
        <v>1</v>
      </c>
      <c r="AE1080" s="141"/>
      <c r="AF1080" s="122" t="s">
        <v>267</v>
      </c>
      <c r="AG1080" s="146">
        <f>VLOOKUP(Takeoffs!AF1080,Sheet1!$B$6:$C$124,2,FALSE)</f>
        <v>3.48</v>
      </c>
      <c r="AH1080" s="146">
        <f t="shared" si="496"/>
        <v>0</v>
      </c>
      <c r="AI1080" s="143">
        <f t="shared" si="497"/>
        <v>0</v>
      </c>
      <c r="AJ1080" s="133">
        <f t="shared" si="498"/>
        <v>0</v>
      </c>
      <c r="AK1080" s="142">
        <v>20</v>
      </c>
      <c r="AL1080" s="141"/>
      <c r="AO1080" s="286"/>
      <c r="AP1080" s="284">
        <f t="shared" si="478"/>
        <v>0</v>
      </c>
      <c r="AQ1080" s="281">
        <f t="shared" si="479"/>
        <v>0</v>
      </c>
      <c r="AR1080" s="284">
        <f t="shared" si="480"/>
        <v>0</v>
      </c>
      <c r="AS1080" s="281">
        <f t="shared" si="481"/>
        <v>0</v>
      </c>
      <c r="AT1080" s="284">
        <f t="shared" si="482"/>
        <v>0</v>
      </c>
    </row>
    <row r="1081" spans="1:97" s="114" customFormat="1" ht="30.9" x14ac:dyDescent="0.8">
      <c r="A1081" s="262">
        <f>ROW()</f>
        <v>1081</v>
      </c>
      <c r="C1081" s="208"/>
      <c r="D1081" s="208"/>
      <c r="E1081" s="208"/>
      <c r="F1081" s="208"/>
      <c r="G1081" s="208"/>
      <c r="H1081" s="208"/>
      <c r="J1081" s="114" t="str">
        <f t="shared" si="499"/>
        <v/>
      </c>
      <c r="K1081" s="114" t="str">
        <f>IF(COUNTBLANK(R1081)&gt;0,"",CONCATENATE(R1081," for ",N1077))</f>
        <v/>
      </c>
      <c r="M1081" s="117"/>
      <c r="N1081" s="123" t="s">
        <v>116</v>
      </c>
      <c r="O1081" s="66" t="s">
        <v>323</v>
      </c>
      <c r="P1081" s="121"/>
      <c r="Q1081" s="121"/>
      <c r="R1081" s="121"/>
      <c r="S1081" s="133">
        <f>M1077</f>
        <v>0</v>
      </c>
      <c r="T1081" s="120"/>
      <c r="U1081" s="121" t="s">
        <v>292</v>
      </c>
      <c r="V1081" s="133">
        <f t="shared" si="493"/>
        <v>0</v>
      </c>
      <c r="W1081" s="133">
        <f>VLOOKUP(U1081,Sheet1!$B$6:$C$45,2,FALSE)*V1081</f>
        <v>0</v>
      </c>
      <c r="X1081" s="141"/>
      <c r="Y1081" s="152" t="s">
        <v>264</v>
      </c>
      <c r="Z1081" s="146">
        <f>VLOOKUP(Takeoffs!Y1081,Sheet1!$B$6:$C$124,2,FALSE)</f>
        <v>751.07999999999993</v>
      </c>
      <c r="AA1081" s="146">
        <f t="shared" si="494"/>
        <v>0</v>
      </c>
      <c r="AB1081" s="143">
        <f t="shared" si="495"/>
        <v>0</v>
      </c>
      <c r="AC1081" s="133">
        <f t="shared" si="500"/>
        <v>0</v>
      </c>
      <c r="AD1081" s="142">
        <v>1</v>
      </c>
      <c r="AE1081" s="141"/>
      <c r="AF1081" s="121" t="s">
        <v>292</v>
      </c>
      <c r="AG1081" s="146">
        <f>VLOOKUP(Takeoffs!AF1081,Sheet1!$B$6:$C$124,2,FALSE)</f>
        <v>0</v>
      </c>
      <c r="AH1081" s="146">
        <f t="shared" si="496"/>
        <v>0</v>
      </c>
      <c r="AI1081" s="143">
        <f t="shared" si="497"/>
        <v>0</v>
      </c>
      <c r="AJ1081" s="133">
        <f t="shared" si="498"/>
        <v>0</v>
      </c>
      <c r="AK1081" s="142">
        <f>T1081</f>
        <v>0</v>
      </c>
      <c r="AL1081" s="141"/>
      <c r="AO1081" s="286"/>
      <c r="AP1081" s="284">
        <f t="shared" si="478"/>
        <v>0</v>
      </c>
      <c r="AQ1081" s="281">
        <f t="shared" si="479"/>
        <v>0</v>
      </c>
      <c r="AR1081" s="284">
        <f t="shared" si="480"/>
        <v>0</v>
      </c>
      <c r="AS1081" s="281">
        <f t="shared" si="481"/>
        <v>0</v>
      </c>
      <c r="AT1081" s="284">
        <f t="shared" si="482"/>
        <v>0</v>
      </c>
    </row>
    <row r="1082" spans="1:97" s="114" customFormat="1" ht="30.9" x14ac:dyDescent="0.8">
      <c r="A1082" s="262">
        <f>ROW()</f>
        <v>1082</v>
      </c>
      <c r="C1082" s="208"/>
      <c r="D1082" s="208"/>
      <c r="E1082" s="208"/>
      <c r="F1082" s="208"/>
      <c r="G1082" s="208"/>
      <c r="H1082" s="208"/>
      <c r="J1082" s="114" t="str">
        <f t="shared" si="499"/>
        <v/>
      </c>
      <c r="K1082" s="114" t="str">
        <f>IF(COUNTBLANK(R1082)&gt;0,"",CONCATENATE(R1082," for ",N1077))</f>
        <v/>
      </c>
      <c r="M1082" s="117"/>
      <c r="N1082" s="123" t="s">
        <v>117</v>
      </c>
      <c r="O1082" s="66" t="s">
        <v>390</v>
      </c>
      <c r="P1082" s="121"/>
      <c r="Q1082" s="121"/>
      <c r="R1082" s="121"/>
      <c r="S1082" s="133">
        <f>M1077</f>
        <v>0</v>
      </c>
      <c r="T1082" s="120"/>
      <c r="U1082" s="121" t="s">
        <v>292</v>
      </c>
      <c r="V1082" s="133">
        <f t="shared" si="493"/>
        <v>0</v>
      </c>
      <c r="W1082" s="133">
        <f>VLOOKUP(U1082,Sheet1!$B$6:$C$45,2,FALSE)*V1082</f>
        <v>0</v>
      </c>
      <c r="X1082" s="141"/>
      <c r="Y1082" s="121" t="s">
        <v>292</v>
      </c>
      <c r="Z1082" s="146">
        <f>VLOOKUP(Takeoffs!Y1082,Sheet1!$B$6:$C$124,2,FALSE)</f>
        <v>0</v>
      </c>
      <c r="AA1082" s="146">
        <f t="shared" si="494"/>
        <v>0</v>
      </c>
      <c r="AB1082" s="143">
        <f t="shared" si="495"/>
        <v>0</v>
      </c>
      <c r="AC1082" s="133">
        <f t="shared" si="500"/>
        <v>0</v>
      </c>
      <c r="AD1082" s="142">
        <v>1</v>
      </c>
      <c r="AE1082" s="141"/>
      <c r="AF1082" s="122" t="s">
        <v>267</v>
      </c>
      <c r="AG1082" s="146">
        <f>VLOOKUP(Takeoffs!AF1082,Sheet1!$B$6:$C$124,2,FALSE)</f>
        <v>3.48</v>
      </c>
      <c r="AH1082" s="146">
        <f t="shared" si="496"/>
        <v>0</v>
      </c>
      <c r="AI1082" s="143">
        <f t="shared" si="497"/>
        <v>0</v>
      </c>
      <c r="AJ1082" s="133">
        <f t="shared" si="498"/>
        <v>0</v>
      </c>
      <c r="AK1082" s="142">
        <v>3</v>
      </c>
      <c r="AL1082" s="141"/>
      <c r="AO1082" s="286"/>
      <c r="AP1082" s="284">
        <f t="shared" si="478"/>
        <v>0</v>
      </c>
      <c r="AQ1082" s="281">
        <f t="shared" si="479"/>
        <v>0</v>
      </c>
      <c r="AR1082" s="284">
        <f t="shared" si="480"/>
        <v>0</v>
      </c>
      <c r="AS1082" s="281">
        <f t="shared" si="481"/>
        <v>0</v>
      </c>
      <c r="AT1082" s="284">
        <f t="shared" si="482"/>
        <v>0</v>
      </c>
    </row>
    <row r="1083" spans="1:97" s="114" customFormat="1" ht="30.9" x14ac:dyDescent="0.8">
      <c r="A1083" s="262">
        <f>ROW()</f>
        <v>1083</v>
      </c>
      <c r="C1083" s="208"/>
      <c r="D1083" s="208"/>
      <c r="E1083" s="208"/>
      <c r="F1083" s="208"/>
      <c r="G1083" s="208"/>
      <c r="H1083" s="208"/>
      <c r="J1083" s="114" t="str">
        <f t="shared" si="499"/>
        <v/>
      </c>
      <c r="K1083" s="114" t="str">
        <f>IF(COUNTBLANK(R1083)&gt;0,"",CONCATENATE(R1083," for ",N1077))</f>
        <v/>
      </c>
      <c r="M1083" s="117"/>
      <c r="N1083" s="123" t="s">
        <v>118</v>
      </c>
      <c r="O1083" s="66" t="s">
        <v>309</v>
      </c>
      <c r="P1083" s="121"/>
      <c r="Q1083" s="121"/>
      <c r="R1083" s="121"/>
      <c r="S1083" s="133">
        <f>M1077</f>
        <v>0</v>
      </c>
      <c r="T1083" s="120"/>
      <c r="U1083" s="121" t="s">
        <v>292</v>
      </c>
      <c r="V1083" s="133">
        <f t="shared" si="493"/>
        <v>0</v>
      </c>
      <c r="W1083" s="133">
        <f>VLOOKUP(U1083,Sheet1!$B$6:$C$45,2,FALSE)*V1083</f>
        <v>0</v>
      </c>
      <c r="X1083" s="141"/>
      <c r="Y1083" s="122" t="s">
        <v>245</v>
      </c>
      <c r="Z1083" s="146">
        <f>VLOOKUP(Takeoffs!Y1083,Sheet1!$B$6:$C$124,2,FALSE)</f>
        <v>46.463999999999999</v>
      </c>
      <c r="AA1083" s="146">
        <f t="shared" si="494"/>
        <v>0</v>
      </c>
      <c r="AB1083" s="143">
        <f t="shared" si="495"/>
        <v>0</v>
      </c>
      <c r="AC1083" s="133">
        <f t="shared" si="500"/>
        <v>0</v>
      </c>
      <c r="AD1083" s="142">
        <v>1</v>
      </c>
      <c r="AE1083" s="141"/>
      <c r="AF1083" s="121" t="s">
        <v>292</v>
      </c>
      <c r="AG1083" s="146">
        <f>VLOOKUP(Takeoffs!AF1083,Sheet1!$B$6:$C$124,2,FALSE)</f>
        <v>0</v>
      </c>
      <c r="AH1083" s="146">
        <f t="shared" si="496"/>
        <v>0</v>
      </c>
      <c r="AI1083" s="143">
        <f t="shared" si="497"/>
        <v>0</v>
      </c>
      <c r="AJ1083" s="133">
        <f t="shared" si="498"/>
        <v>0</v>
      </c>
      <c r="AK1083" s="142">
        <f>T1083</f>
        <v>0</v>
      </c>
      <c r="AL1083" s="141"/>
      <c r="AO1083" s="286"/>
      <c r="AP1083" s="284">
        <f t="shared" si="478"/>
        <v>0</v>
      </c>
      <c r="AQ1083" s="281">
        <f t="shared" si="479"/>
        <v>0</v>
      </c>
      <c r="AR1083" s="284">
        <f t="shared" si="480"/>
        <v>0</v>
      </c>
      <c r="AS1083" s="281">
        <f t="shared" si="481"/>
        <v>0</v>
      </c>
      <c r="AT1083" s="284">
        <f t="shared" si="482"/>
        <v>0</v>
      </c>
    </row>
    <row r="1084" spans="1:97" s="114" customFormat="1" ht="30.9" x14ac:dyDescent="0.8">
      <c r="A1084" s="262">
        <f>ROW()</f>
        <v>1084</v>
      </c>
      <c r="C1084" s="208"/>
      <c r="D1084" s="208"/>
      <c r="E1084" s="208"/>
      <c r="F1084" s="208"/>
      <c r="G1084" s="208"/>
      <c r="H1084" s="208"/>
      <c r="J1084" s="114" t="str">
        <f t="shared" si="499"/>
        <v/>
      </c>
      <c r="K1084" s="114" t="str">
        <f>IF(COUNTBLANK(R1084)&gt;0,"",CONCATENATE(R1084," for ",N1077))</f>
        <v/>
      </c>
      <c r="N1084" s="123" t="s">
        <v>119</v>
      </c>
      <c r="O1084" s="66" t="s">
        <v>310</v>
      </c>
      <c r="P1084" s="121"/>
      <c r="Q1084" s="121"/>
      <c r="R1084" s="121"/>
      <c r="S1084" s="133">
        <f>M1077</f>
        <v>0</v>
      </c>
      <c r="T1084" s="120"/>
      <c r="U1084" s="121" t="s">
        <v>292</v>
      </c>
      <c r="V1084" s="133">
        <f t="shared" si="493"/>
        <v>0</v>
      </c>
      <c r="W1084" s="133">
        <f>VLOOKUP(U1084,Sheet1!$B$6:$C$45,2,FALSE)*V1084</f>
        <v>0</v>
      </c>
      <c r="X1084" s="141"/>
      <c r="Y1084" s="122" t="s">
        <v>278</v>
      </c>
      <c r="Z1084" s="146">
        <f>VLOOKUP(Takeoffs!Y1084,Sheet1!$B$6:$C$124,2,FALSE)</f>
        <v>36</v>
      </c>
      <c r="AA1084" s="146">
        <f t="shared" si="494"/>
        <v>0</v>
      </c>
      <c r="AB1084" s="143">
        <f t="shared" si="495"/>
        <v>0</v>
      </c>
      <c r="AC1084" s="133">
        <f t="shared" si="500"/>
        <v>0</v>
      </c>
      <c r="AD1084" s="142">
        <v>1</v>
      </c>
      <c r="AE1084" s="141"/>
      <c r="AF1084" s="121" t="s">
        <v>292</v>
      </c>
      <c r="AG1084" s="146">
        <f>VLOOKUP(Takeoffs!AF1084,Sheet1!$B$6:$C$124,2,FALSE)</f>
        <v>0</v>
      </c>
      <c r="AH1084" s="146">
        <f t="shared" si="496"/>
        <v>0</v>
      </c>
      <c r="AI1084" s="143">
        <f t="shared" si="497"/>
        <v>0</v>
      </c>
      <c r="AJ1084" s="133">
        <f t="shared" si="498"/>
        <v>0</v>
      </c>
      <c r="AK1084" s="142">
        <f>T1084</f>
        <v>0</v>
      </c>
      <c r="AL1084" s="141"/>
      <c r="AO1084" s="286"/>
      <c r="AP1084" s="284">
        <f t="shared" si="478"/>
        <v>0</v>
      </c>
      <c r="AQ1084" s="281">
        <f t="shared" si="479"/>
        <v>0</v>
      </c>
      <c r="AR1084" s="284">
        <f t="shared" si="480"/>
        <v>0</v>
      </c>
      <c r="AS1084" s="281">
        <f t="shared" si="481"/>
        <v>0</v>
      </c>
      <c r="AT1084" s="284">
        <f t="shared" si="482"/>
        <v>0</v>
      </c>
    </row>
    <row r="1085" spans="1:97" s="114" customFormat="1" ht="30.9" x14ac:dyDescent="0.8">
      <c r="A1085" s="262">
        <f>ROW()</f>
        <v>1085</v>
      </c>
      <c r="C1085" s="208"/>
      <c r="D1085" s="208"/>
      <c r="E1085" s="208"/>
      <c r="F1085" s="208"/>
      <c r="G1085" s="208"/>
      <c r="H1085" s="208"/>
      <c r="J1085" s="114" t="str">
        <f t="shared" si="499"/>
        <v/>
      </c>
      <c r="K1085" s="114" t="str">
        <f>IF(COUNTBLANK(R1085)&gt;0,"",CONCATENATE(R1085," for ",N1077))</f>
        <v/>
      </c>
      <c r="N1085" s="123" t="s">
        <v>120</v>
      </c>
      <c r="O1085" s="66" t="s">
        <v>306</v>
      </c>
      <c r="P1085" s="121"/>
      <c r="Q1085" s="121"/>
      <c r="R1085" s="121"/>
      <c r="S1085" s="133">
        <f>M1077</f>
        <v>0</v>
      </c>
      <c r="T1085" s="120"/>
      <c r="U1085" s="121" t="s">
        <v>292</v>
      </c>
      <c r="V1085" s="133">
        <f t="shared" si="493"/>
        <v>0</v>
      </c>
      <c r="W1085" s="133">
        <f>VLOOKUP(U1085,Sheet1!$B$6:$C$45,2,FALSE)*V1085</f>
        <v>0</v>
      </c>
      <c r="X1085" s="141"/>
      <c r="Y1085" s="122" t="s">
        <v>274</v>
      </c>
      <c r="Z1085" s="146">
        <f>VLOOKUP(Takeoffs!Y1085,Sheet1!$B$6:$C$124,2,FALSE)</f>
        <v>360</v>
      </c>
      <c r="AA1085" s="146">
        <f t="shared" si="494"/>
        <v>0</v>
      </c>
      <c r="AB1085" s="143">
        <f t="shared" si="495"/>
        <v>0</v>
      </c>
      <c r="AC1085" s="133">
        <f t="shared" si="500"/>
        <v>0</v>
      </c>
      <c r="AD1085" s="142">
        <v>1</v>
      </c>
      <c r="AE1085" s="141"/>
      <c r="AF1085" s="121" t="s">
        <v>292</v>
      </c>
      <c r="AG1085" s="146">
        <f>VLOOKUP(Takeoffs!AF1085,Sheet1!$B$6:$C$124,2,FALSE)</f>
        <v>0</v>
      </c>
      <c r="AH1085" s="146">
        <f t="shared" si="496"/>
        <v>0</v>
      </c>
      <c r="AI1085" s="143">
        <f t="shared" si="497"/>
        <v>0</v>
      </c>
      <c r="AJ1085" s="133">
        <f t="shared" si="498"/>
        <v>0</v>
      </c>
      <c r="AK1085" s="142">
        <f>T1085</f>
        <v>0</v>
      </c>
      <c r="AL1085" s="141"/>
      <c r="AO1085" s="286"/>
      <c r="AP1085" s="284">
        <f t="shared" si="478"/>
        <v>0</v>
      </c>
      <c r="AQ1085" s="281">
        <f t="shared" si="479"/>
        <v>0</v>
      </c>
      <c r="AR1085" s="284">
        <f t="shared" si="480"/>
        <v>0</v>
      </c>
      <c r="AS1085" s="281">
        <f t="shared" si="481"/>
        <v>0</v>
      </c>
      <c r="AT1085" s="284">
        <f t="shared" si="482"/>
        <v>0</v>
      </c>
    </row>
    <row r="1086" spans="1:97" s="114" customFormat="1" ht="30.9" x14ac:dyDescent="0.8">
      <c r="A1086" s="262">
        <f>ROW()</f>
        <v>1086</v>
      </c>
      <c r="C1086" s="208"/>
      <c r="D1086" s="208"/>
      <c r="E1086" s="208"/>
      <c r="F1086" s="208"/>
      <c r="G1086" s="208"/>
      <c r="H1086" s="208"/>
      <c r="J1086" s="114" t="str">
        <f t="shared" si="499"/>
        <v/>
      </c>
      <c r="K1086" s="114" t="str">
        <f>IF(COUNTBLANK(R1086)&gt;0,"",CONCATENATE(R1086," for ",N1077))</f>
        <v/>
      </c>
      <c r="N1086" s="123" t="s">
        <v>121</v>
      </c>
      <c r="O1086" s="66" t="s">
        <v>307</v>
      </c>
      <c r="P1086" s="121"/>
      <c r="Q1086" s="121"/>
      <c r="R1086" s="121"/>
      <c r="S1086" s="133">
        <f>M1077</f>
        <v>0</v>
      </c>
      <c r="T1086" s="120"/>
      <c r="U1086" s="121" t="s">
        <v>364</v>
      </c>
      <c r="V1086" s="133">
        <f t="shared" si="493"/>
        <v>0</v>
      </c>
      <c r="W1086" s="133">
        <f>VLOOKUP(U1086,Sheet1!$B$6:$C$45,2,FALSE)*V1086</f>
        <v>0</v>
      </c>
      <c r="X1086" s="141"/>
      <c r="Y1086" s="121" t="s">
        <v>292</v>
      </c>
      <c r="Z1086" s="146">
        <f>VLOOKUP(Takeoffs!Y1086,Sheet1!$B$6:$C$124,2,FALSE)</f>
        <v>0</v>
      </c>
      <c r="AA1086" s="146">
        <f t="shared" si="494"/>
        <v>0</v>
      </c>
      <c r="AB1086" s="143">
        <f t="shared" si="495"/>
        <v>0</v>
      </c>
      <c r="AC1086" s="133">
        <f t="shared" si="500"/>
        <v>0</v>
      </c>
      <c r="AD1086" s="142">
        <v>1</v>
      </c>
      <c r="AE1086" s="141"/>
      <c r="AF1086" s="121" t="s">
        <v>292</v>
      </c>
      <c r="AG1086" s="146">
        <f>VLOOKUP(Takeoffs!AF1086,Sheet1!$B$6:$C$124,2,FALSE)</f>
        <v>0</v>
      </c>
      <c r="AH1086" s="146">
        <f t="shared" si="496"/>
        <v>0</v>
      </c>
      <c r="AI1086" s="143">
        <f t="shared" si="497"/>
        <v>0</v>
      </c>
      <c r="AJ1086" s="133">
        <f t="shared" si="498"/>
        <v>0</v>
      </c>
      <c r="AK1086" s="142">
        <f t="shared" ref="AK1086:AK1095" si="501">T1086</f>
        <v>0</v>
      </c>
      <c r="AL1086" s="141"/>
      <c r="AO1086" s="286"/>
      <c r="AP1086" s="284">
        <f t="shared" si="478"/>
        <v>0</v>
      </c>
      <c r="AQ1086" s="281">
        <f t="shared" si="479"/>
        <v>0</v>
      </c>
      <c r="AR1086" s="284">
        <f t="shared" si="480"/>
        <v>0</v>
      </c>
      <c r="AS1086" s="281">
        <f t="shared" si="481"/>
        <v>0</v>
      </c>
      <c r="AT1086" s="284">
        <f t="shared" si="482"/>
        <v>0</v>
      </c>
    </row>
    <row r="1087" spans="1:97" s="114" customFormat="1" ht="30.9" x14ac:dyDescent="0.8">
      <c r="A1087" s="262">
        <f>ROW()</f>
        <v>1087</v>
      </c>
      <c r="C1087" s="208"/>
      <c r="D1087" s="208"/>
      <c r="E1087" s="208"/>
      <c r="F1087" s="208"/>
      <c r="G1087" s="208"/>
      <c r="H1087" s="208"/>
      <c r="J1087" s="114" t="str">
        <f t="shared" si="499"/>
        <v/>
      </c>
      <c r="K1087" s="114" t="str">
        <f>IF(COUNTBLANK(R1087)&gt;0,"",CONCATENATE(R1087," for ",N1077))</f>
        <v/>
      </c>
      <c r="N1087" s="123" t="s">
        <v>122</v>
      </c>
      <c r="O1087" s="66" t="s">
        <v>504</v>
      </c>
      <c r="P1087" s="121"/>
      <c r="Q1087" s="121"/>
      <c r="R1087" s="121"/>
      <c r="S1087" s="133">
        <f>M1077</f>
        <v>0</v>
      </c>
      <c r="T1087" s="120"/>
      <c r="U1087" s="121" t="s">
        <v>363</v>
      </c>
      <c r="V1087" s="133">
        <f t="shared" si="493"/>
        <v>0</v>
      </c>
      <c r="W1087" s="133">
        <f>VLOOKUP(U1087,Sheet1!$B$6:$C$45,2,FALSE)*V1087</f>
        <v>0</v>
      </c>
      <c r="X1087" s="141"/>
      <c r="Y1087" s="122" t="s">
        <v>325</v>
      </c>
      <c r="Z1087" s="146">
        <f>VLOOKUP(Takeoffs!Y1087,Sheet1!$B$6:$C$124,2,FALSE)</f>
        <v>240</v>
      </c>
      <c r="AA1087" s="146">
        <f t="shared" si="494"/>
        <v>0</v>
      </c>
      <c r="AB1087" s="143">
        <f t="shared" si="495"/>
        <v>0</v>
      </c>
      <c r="AC1087" s="133">
        <f t="shared" si="500"/>
        <v>0</v>
      </c>
      <c r="AD1087" s="142">
        <v>2</v>
      </c>
      <c r="AE1087" s="141"/>
      <c r="AF1087" s="121" t="s">
        <v>292</v>
      </c>
      <c r="AG1087" s="146">
        <f>VLOOKUP(Takeoffs!AF1087,Sheet1!$B$6:$C$124,2,FALSE)</f>
        <v>0</v>
      </c>
      <c r="AH1087" s="146">
        <f t="shared" si="496"/>
        <v>0</v>
      </c>
      <c r="AI1087" s="143">
        <f t="shared" si="497"/>
        <v>0</v>
      </c>
      <c r="AJ1087" s="133">
        <f t="shared" si="498"/>
        <v>0</v>
      </c>
      <c r="AK1087" s="142">
        <f t="shared" si="501"/>
        <v>0</v>
      </c>
      <c r="AL1087" s="141"/>
      <c r="AO1087" s="286"/>
      <c r="AP1087" s="284">
        <f t="shared" si="478"/>
        <v>0</v>
      </c>
      <c r="AQ1087" s="281">
        <f t="shared" si="479"/>
        <v>0</v>
      </c>
      <c r="AR1087" s="284">
        <f t="shared" si="480"/>
        <v>0</v>
      </c>
      <c r="AS1087" s="281">
        <f t="shared" si="481"/>
        <v>0</v>
      </c>
      <c r="AT1087" s="284">
        <f t="shared" si="482"/>
        <v>0</v>
      </c>
    </row>
    <row r="1088" spans="1:97" s="114" customFormat="1" ht="30.9" x14ac:dyDescent="0.8">
      <c r="A1088" s="262">
        <f>ROW()</f>
        <v>1088</v>
      </c>
      <c r="C1088" s="208"/>
      <c r="D1088" s="208"/>
      <c r="E1088" s="208"/>
      <c r="F1088" s="208"/>
      <c r="G1088" s="208"/>
      <c r="H1088" s="208"/>
      <c r="J1088" s="114" t="str">
        <f t="shared" si="499"/>
        <v/>
      </c>
      <c r="K1088" s="114" t="str">
        <f>IF(COUNTBLANK(R1088)&gt;0,"",CONCATENATE(R1088," for ",N1077))</f>
        <v/>
      </c>
      <c r="N1088" s="123" t="s">
        <v>123</v>
      </c>
      <c r="O1088" s="66"/>
      <c r="P1088" s="121"/>
      <c r="Q1088" s="121"/>
      <c r="R1088" s="121"/>
      <c r="S1088" s="133">
        <f>M1077</f>
        <v>0</v>
      </c>
      <c r="T1088" s="120"/>
      <c r="U1088" s="121" t="s">
        <v>292</v>
      </c>
      <c r="V1088" s="133">
        <f t="shared" si="493"/>
        <v>0</v>
      </c>
      <c r="W1088" s="133">
        <f>VLOOKUP(U1088,Sheet1!$B$6:$C$45,2,FALSE)*V1088</f>
        <v>0</v>
      </c>
      <c r="X1088" s="141"/>
      <c r="Y1088" s="121" t="s">
        <v>292</v>
      </c>
      <c r="Z1088" s="146">
        <f>VLOOKUP(Takeoffs!Y1088,Sheet1!$B$6:$C$124,2,FALSE)</f>
        <v>0</v>
      </c>
      <c r="AA1088" s="146">
        <f t="shared" si="494"/>
        <v>0</v>
      </c>
      <c r="AB1088" s="143">
        <f t="shared" si="495"/>
        <v>0</v>
      </c>
      <c r="AC1088" s="133">
        <f t="shared" si="500"/>
        <v>0</v>
      </c>
      <c r="AD1088" s="142">
        <v>1</v>
      </c>
      <c r="AE1088" s="141"/>
      <c r="AF1088" s="121" t="s">
        <v>292</v>
      </c>
      <c r="AG1088" s="146">
        <f>VLOOKUP(Takeoffs!AF1088,Sheet1!$B$6:$C$124,2,FALSE)</f>
        <v>0</v>
      </c>
      <c r="AH1088" s="146">
        <f t="shared" si="496"/>
        <v>0</v>
      </c>
      <c r="AI1088" s="143">
        <f t="shared" si="497"/>
        <v>0</v>
      </c>
      <c r="AJ1088" s="133">
        <f t="shared" si="498"/>
        <v>0</v>
      </c>
      <c r="AK1088" s="142">
        <f t="shared" si="501"/>
        <v>0</v>
      </c>
      <c r="AL1088" s="141"/>
      <c r="AO1088" s="286"/>
      <c r="AP1088" s="284">
        <f t="shared" si="478"/>
        <v>0</v>
      </c>
      <c r="AQ1088" s="281">
        <f t="shared" si="479"/>
        <v>0</v>
      </c>
      <c r="AR1088" s="284">
        <f t="shared" si="480"/>
        <v>0</v>
      </c>
      <c r="AS1088" s="281">
        <f t="shared" si="481"/>
        <v>0</v>
      </c>
      <c r="AT1088" s="284">
        <f t="shared" si="482"/>
        <v>0</v>
      </c>
    </row>
    <row r="1089" spans="1:97" s="114" customFormat="1" ht="30.9" x14ac:dyDescent="0.8">
      <c r="A1089" s="262">
        <f>ROW()</f>
        <v>1089</v>
      </c>
      <c r="C1089" s="208"/>
      <c r="D1089" s="208"/>
      <c r="E1089" s="208"/>
      <c r="F1089" s="208"/>
      <c r="G1089" s="208"/>
      <c r="H1089" s="208"/>
      <c r="J1089" s="114" t="str">
        <f t="shared" si="499"/>
        <v/>
      </c>
      <c r="K1089" s="114" t="str">
        <f>IF(COUNTBLANK(R1089)&gt;0,"",CONCATENATE(R1089," for ",N1077))</f>
        <v/>
      </c>
      <c r="N1089" s="123" t="s">
        <v>124</v>
      </c>
      <c r="O1089" s="66" t="s">
        <v>140</v>
      </c>
      <c r="P1089" s="121"/>
      <c r="Q1089" s="121"/>
      <c r="R1089" s="121"/>
      <c r="S1089" s="133">
        <f>M1077</f>
        <v>0</v>
      </c>
      <c r="T1089" s="120"/>
      <c r="U1089" s="121" t="s">
        <v>363</v>
      </c>
      <c r="V1089" s="133">
        <f t="shared" si="493"/>
        <v>0</v>
      </c>
      <c r="W1089" s="133">
        <f>VLOOKUP(U1089,Sheet1!$B$6:$C$45,2,FALSE)*V1089</f>
        <v>0</v>
      </c>
      <c r="X1089" s="141"/>
      <c r="Y1089" s="121" t="s">
        <v>292</v>
      </c>
      <c r="Z1089" s="146">
        <f>VLOOKUP(Takeoffs!Y1089,Sheet1!$B$6:$C$124,2,FALSE)</f>
        <v>0</v>
      </c>
      <c r="AA1089" s="146">
        <f t="shared" si="494"/>
        <v>0</v>
      </c>
      <c r="AB1089" s="143">
        <f t="shared" si="495"/>
        <v>0</v>
      </c>
      <c r="AC1089" s="133">
        <f t="shared" si="500"/>
        <v>0</v>
      </c>
      <c r="AD1089" s="142">
        <v>1</v>
      </c>
      <c r="AE1089" s="141"/>
      <c r="AF1089" s="144" t="s">
        <v>269</v>
      </c>
      <c r="AG1089" s="146">
        <f>VLOOKUP(Takeoffs!AF1089,Sheet1!$B$6:$C$124,2,FALSE)</f>
        <v>1.056</v>
      </c>
      <c r="AH1089" s="146">
        <f t="shared" si="496"/>
        <v>0</v>
      </c>
      <c r="AI1089" s="143">
        <f t="shared" si="497"/>
        <v>0</v>
      </c>
      <c r="AJ1089" s="133">
        <f t="shared" si="498"/>
        <v>0</v>
      </c>
      <c r="AK1089" s="142">
        <v>30</v>
      </c>
      <c r="AL1089" s="141"/>
      <c r="AO1089" s="286"/>
      <c r="AP1089" s="284">
        <f t="shared" si="478"/>
        <v>0</v>
      </c>
      <c r="AQ1089" s="281">
        <f t="shared" si="479"/>
        <v>0</v>
      </c>
      <c r="AR1089" s="284">
        <f t="shared" si="480"/>
        <v>0</v>
      </c>
      <c r="AS1089" s="281">
        <f t="shared" si="481"/>
        <v>0</v>
      </c>
      <c r="AT1089" s="284">
        <f t="shared" si="482"/>
        <v>0</v>
      </c>
    </row>
    <row r="1090" spans="1:97" s="114" customFormat="1" ht="30.9" x14ac:dyDescent="0.8">
      <c r="A1090" s="262">
        <f>ROW()</f>
        <v>1090</v>
      </c>
      <c r="C1090" s="208"/>
      <c r="D1090" s="208"/>
      <c r="E1090" s="208"/>
      <c r="F1090" s="208"/>
      <c r="G1090" s="208"/>
      <c r="H1090" s="208"/>
      <c r="J1090" s="114" t="str">
        <f t="shared" si="499"/>
        <v/>
      </c>
      <c r="K1090" s="114" t="str">
        <f>IF(COUNTBLANK(R1090)&gt;0,"",CONCATENATE(R1090," for ",N1077))</f>
        <v/>
      </c>
      <c r="N1090" s="123" t="s">
        <v>125</v>
      </c>
      <c r="O1090" s="66" t="s">
        <v>312</v>
      </c>
      <c r="P1090" s="121"/>
      <c r="Q1090" s="121"/>
      <c r="R1090" s="121"/>
      <c r="S1090" s="133">
        <f>M1077</f>
        <v>0</v>
      </c>
      <c r="T1090" s="120"/>
      <c r="U1090" s="121" t="s">
        <v>232</v>
      </c>
      <c r="V1090" s="133">
        <f t="shared" si="493"/>
        <v>0</v>
      </c>
      <c r="W1090" s="133">
        <f>VLOOKUP(U1090,Sheet1!$B$6:$C$45,2,FALSE)*V1090</f>
        <v>0</v>
      </c>
      <c r="X1090" s="141"/>
      <c r="Y1090" s="122" t="s">
        <v>1345</v>
      </c>
      <c r="Z1090" s="146">
        <f>VLOOKUP(Takeoffs!Y1090,Sheet1!$B$6:$C$124,2,FALSE)</f>
        <v>109.25999999999999</v>
      </c>
      <c r="AA1090" s="146">
        <f t="shared" si="494"/>
        <v>0</v>
      </c>
      <c r="AB1090" s="143">
        <f t="shared" si="495"/>
        <v>0</v>
      </c>
      <c r="AC1090" s="133">
        <f t="shared" si="500"/>
        <v>0</v>
      </c>
      <c r="AD1090" s="142">
        <v>1</v>
      </c>
      <c r="AE1090" s="141"/>
      <c r="AF1090" s="121" t="s">
        <v>292</v>
      </c>
      <c r="AG1090" s="146">
        <f>VLOOKUP(Takeoffs!AF1090,Sheet1!$B$6:$C$124,2,FALSE)</f>
        <v>0</v>
      </c>
      <c r="AH1090" s="146">
        <f t="shared" si="496"/>
        <v>0</v>
      </c>
      <c r="AI1090" s="143">
        <f t="shared" si="497"/>
        <v>0</v>
      </c>
      <c r="AJ1090" s="133">
        <f t="shared" si="498"/>
        <v>0</v>
      </c>
      <c r="AK1090" s="142">
        <f t="shared" si="501"/>
        <v>0</v>
      </c>
      <c r="AL1090" s="141"/>
      <c r="AO1090" s="286"/>
      <c r="AP1090" s="284">
        <f t="shared" si="478"/>
        <v>0</v>
      </c>
      <c r="AQ1090" s="281">
        <f t="shared" si="479"/>
        <v>0</v>
      </c>
      <c r="AR1090" s="284">
        <f t="shared" si="480"/>
        <v>0</v>
      </c>
      <c r="AS1090" s="281">
        <f t="shared" si="481"/>
        <v>0</v>
      </c>
      <c r="AT1090" s="284">
        <f t="shared" si="482"/>
        <v>0</v>
      </c>
    </row>
    <row r="1091" spans="1:97" s="114" customFormat="1" ht="30.9" x14ac:dyDescent="0.8">
      <c r="A1091" s="262">
        <f>ROW()</f>
        <v>1091</v>
      </c>
      <c r="C1091" s="208"/>
      <c r="D1091" s="208"/>
      <c r="E1091" s="208"/>
      <c r="F1091" s="208"/>
      <c r="G1091" s="208"/>
      <c r="H1091" s="208"/>
      <c r="J1091" s="114" t="str">
        <f t="shared" si="499"/>
        <v/>
      </c>
      <c r="K1091" s="114" t="str">
        <f>IF(COUNTBLANK(R1091)&gt;0,"",CONCATENATE(R1091," for ",N1077))</f>
        <v/>
      </c>
      <c r="N1091" s="123" t="s">
        <v>126</v>
      </c>
      <c r="O1091" s="66" t="s">
        <v>313</v>
      </c>
      <c r="P1091" s="121"/>
      <c r="Q1091" s="121"/>
      <c r="R1091" s="121"/>
      <c r="S1091" s="133">
        <f>M1077</f>
        <v>0</v>
      </c>
      <c r="T1091" s="120"/>
      <c r="U1091" s="121" t="s">
        <v>363</v>
      </c>
      <c r="V1091" s="133">
        <f t="shared" si="493"/>
        <v>0</v>
      </c>
      <c r="W1091" s="133">
        <f>VLOOKUP(U1091,Sheet1!$B$6:$C$45,2,FALSE)*V1091</f>
        <v>0</v>
      </c>
      <c r="X1091" s="141"/>
      <c r="Y1091" s="122" t="s">
        <v>321</v>
      </c>
      <c r="Z1091" s="146">
        <f>VLOOKUP(Takeoffs!Y1091,Sheet1!$B$6:$C$124,2,FALSE)</f>
        <v>60</v>
      </c>
      <c r="AA1091" s="146">
        <f t="shared" si="494"/>
        <v>0</v>
      </c>
      <c r="AB1091" s="143">
        <f t="shared" si="495"/>
        <v>0</v>
      </c>
      <c r="AC1091" s="133">
        <f t="shared" si="500"/>
        <v>0</v>
      </c>
      <c r="AD1091" s="142">
        <v>1</v>
      </c>
      <c r="AE1091" s="141"/>
      <c r="AF1091" s="121" t="s">
        <v>292</v>
      </c>
      <c r="AG1091" s="146">
        <f>VLOOKUP(Takeoffs!AF1091,Sheet1!$B$6:$C$124,2,FALSE)</f>
        <v>0</v>
      </c>
      <c r="AH1091" s="146">
        <f t="shared" si="496"/>
        <v>0</v>
      </c>
      <c r="AI1091" s="143">
        <f t="shared" si="497"/>
        <v>0</v>
      </c>
      <c r="AJ1091" s="133">
        <f t="shared" si="498"/>
        <v>0</v>
      </c>
      <c r="AK1091" s="142">
        <f t="shared" si="501"/>
        <v>0</v>
      </c>
      <c r="AL1091" s="141"/>
      <c r="AO1091" s="286"/>
      <c r="AP1091" s="284">
        <f t="shared" si="478"/>
        <v>0</v>
      </c>
      <c r="AQ1091" s="281">
        <f t="shared" si="479"/>
        <v>0</v>
      </c>
      <c r="AR1091" s="284">
        <f t="shared" si="480"/>
        <v>0</v>
      </c>
      <c r="AS1091" s="281">
        <f t="shared" si="481"/>
        <v>0</v>
      </c>
      <c r="AT1091" s="284">
        <f t="shared" si="482"/>
        <v>0</v>
      </c>
    </row>
    <row r="1092" spans="1:97" s="114" customFormat="1" ht="30.9" x14ac:dyDescent="0.8">
      <c r="A1092" s="262">
        <f>ROW()</f>
        <v>1092</v>
      </c>
      <c r="C1092" s="208"/>
      <c r="D1092" s="208"/>
      <c r="E1092" s="208"/>
      <c r="F1092" s="208"/>
      <c r="G1092" s="208"/>
      <c r="H1092" s="208"/>
      <c r="J1092" s="114" t="str">
        <f t="shared" si="499"/>
        <v/>
      </c>
      <c r="K1092" s="114" t="str">
        <f>IF(COUNTBLANK(R1092)&gt;0,"",CONCATENATE(R1092," for ",N1077))</f>
        <v>Run and fault lights for Fire essential Chilled Water AHU with VSD</v>
      </c>
      <c r="N1092" s="123" t="s">
        <v>127</v>
      </c>
      <c r="O1092" s="66" t="s">
        <v>314</v>
      </c>
      <c r="P1092" s="121"/>
      <c r="Q1092" s="121"/>
      <c r="R1092" s="121" t="s">
        <v>455</v>
      </c>
      <c r="S1092" s="133">
        <f>M1077</f>
        <v>0</v>
      </c>
      <c r="T1092" s="120"/>
      <c r="U1092" s="121" t="s">
        <v>292</v>
      </c>
      <c r="V1092" s="133">
        <f t="shared" si="493"/>
        <v>0</v>
      </c>
      <c r="W1092" s="133">
        <f>VLOOKUP(U1092,Sheet1!$B$6:$C$45,2,FALSE)*V1092</f>
        <v>0</v>
      </c>
      <c r="X1092" s="141"/>
      <c r="Y1092" s="122" t="s">
        <v>280</v>
      </c>
      <c r="Z1092" s="146">
        <f>VLOOKUP(Takeoffs!Y1092,Sheet1!$B$6:$C$124,2,FALSE)</f>
        <v>19.2</v>
      </c>
      <c r="AA1092" s="146">
        <f t="shared" si="494"/>
        <v>0</v>
      </c>
      <c r="AB1092" s="143">
        <f t="shared" si="495"/>
        <v>0</v>
      </c>
      <c r="AC1092" s="133">
        <f t="shared" si="500"/>
        <v>0</v>
      </c>
      <c r="AD1092" s="142">
        <v>1</v>
      </c>
      <c r="AE1092" s="141"/>
      <c r="AF1092" s="121" t="s">
        <v>292</v>
      </c>
      <c r="AG1092" s="146">
        <f>VLOOKUP(Takeoffs!AF1092,Sheet1!$B$6:$C$124,2,FALSE)</f>
        <v>0</v>
      </c>
      <c r="AH1092" s="146">
        <f t="shared" si="496"/>
        <v>0</v>
      </c>
      <c r="AI1092" s="143">
        <f t="shared" si="497"/>
        <v>0</v>
      </c>
      <c r="AJ1092" s="133">
        <f t="shared" si="498"/>
        <v>0</v>
      </c>
      <c r="AK1092" s="142">
        <f t="shared" si="501"/>
        <v>0</v>
      </c>
      <c r="AL1092" s="141"/>
      <c r="AO1092" s="286"/>
      <c r="AP1092" s="284">
        <f t="shared" si="478"/>
        <v>0</v>
      </c>
      <c r="AQ1092" s="281">
        <f t="shared" si="479"/>
        <v>0</v>
      </c>
      <c r="AR1092" s="284">
        <f t="shared" si="480"/>
        <v>0</v>
      </c>
      <c r="AS1092" s="281">
        <f t="shared" si="481"/>
        <v>0</v>
      </c>
      <c r="AT1092" s="284">
        <f t="shared" si="482"/>
        <v>0</v>
      </c>
    </row>
    <row r="1093" spans="1:97" s="114" customFormat="1" ht="30.9" x14ac:dyDescent="0.8">
      <c r="A1093" s="262">
        <f>ROW()</f>
        <v>1093</v>
      </c>
      <c r="C1093" s="208"/>
      <c r="D1093" s="208"/>
      <c r="E1093" s="208"/>
      <c r="F1093" s="208"/>
      <c r="G1093" s="208"/>
      <c r="H1093" s="208"/>
      <c r="J1093" s="114" t="str">
        <f t="shared" si="499"/>
        <v/>
      </c>
      <c r="K1093" s="114" t="str">
        <f>IF(COUNTBLANK(R1093)&gt;0,"",CONCATENATE(R1093," for ",N1077))</f>
        <v/>
      </c>
      <c r="N1093" s="123" t="s">
        <v>128</v>
      </c>
      <c r="O1093" s="66" t="s">
        <v>315</v>
      </c>
      <c r="P1093" s="121"/>
      <c r="Q1093" s="121"/>
      <c r="R1093" s="121"/>
      <c r="S1093" s="133">
        <f>M1077</f>
        <v>0</v>
      </c>
      <c r="T1093" s="120"/>
      <c r="U1093" s="121" t="s">
        <v>292</v>
      </c>
      <c r="V1093" s="133">
        <f t="shared" si="493"/>
        <v>0</v>
      </c>
      <c r="W1093" s="133">
        <f>VLOOKUP(U1093,Sheet1!$B$6:$C$45,2,FALSE)*V1093</f>
        <v>0</v>
      </c>
      <c r="X1093" s="141"/>
      <c r="Y1093" s="122" t="s">
        <v>280</v>
      </c>
      <c r="Z1093" s="146">
        <f>VLOOKUP(Takeoffs!Y1093,Sheet1!$B$6:$C$124,2,FALSE)</f>
        <v>19.2</v>
      </c>
      <c r="AA1093" s="146">
        <f t="shared" si="494"/>
        <v>0</v>
      </c>
      <c r="AB1093" s="143">
        <f t="shared" si="495"/>
        <v>0</v>
      </c>
      <c r="AC1093" s="133">
        <f t="shared" si="500"/>
        <v>0</v>
      </c>
      <c r="AD1093" s="142">
        <v>1</v>
      </c>
      <c r="AE1093" s="141"/>
      <c r="AF1093" s="121" t="s">
        <v>292</v>
      </c>
      <c r="AG1093" s="146">
        <f>VLOOKUP(Takeoffs!AF1093,Sheet1!$B$6:$C$124,2,FALSE)</f>
        <v>0</v>
      </c>
      <c r="AH1093" s="146">
        <f t="shared" si="496"/>
        <v>0</v>
      </c>
      <c r="AI1093" s="143">
        <f t="shared" si="497"/>
        <v>0</v>
      </c>
      <c r="AJ1093" s="133">
        <f t="shared" si="498"/>
        <v>0</v>
      </c>
      <c r="AK1093" s="142">
        <f t="shared" si="501"/>
        <v>0</v>
      </c>
      <c r="AL1093" s="141"/>
      <c r="AO1093" s="286"/>
      <c r="AP1093" s="284">
        <f t="shared" si="478"/>
        <v>0</v>
      </c>
      <c r="AQ1093" s="281">
        <f t="shared" si="479"/>
        <v>0</v>
      </c>
      <c r="AR1093" s="284">
        <f t="shared" si="480"/>
        <v>0</v>
      </c>
      <c r="AS1093" s="281">
        <f t="shared" si="481"/>
        <v>0</v>
      </c>
      <c r="AT1093" s="284">
        <f t="shared" si="482"/>
        <v>0</v>
      </c>
    </row>
    <row r="1094" spans="1:97" s="114" customFormat="1" ht="30.9" x14ac:dyDescent="0.8">
      <c r="A1094" s="262">
        <f>ROW()</f>
        <v>1094</v>
      </c>
      <c r="C1094" s="208"/>
      <c r="D1094" s="208"/>
      <c r="E1094" s="208"/>
      <c r="F1094" s="208"/>
      <c r="G1094" s="208"/>
      <c r="H1094" s="208"/>
      <c r="J1094" s="114" t="str">
        <f t="shared" si="499"/>
        <v/>
      </c>
      <c r="K1094" s="114" t="str">
        <f>IF(COUNTBLANK(R1094)&gt;0,"",CONCATENATE(R1094," for ",N1077))</f>
        <v>Auto/Off/On switch for Fire essential Chilled Water AHU with VSD</v>
      </c>
      <c r="N1094" s="123" t="s">
        <v>129</v>
      </c>
      <c r="O1094" s="66" t="s">
        <v>329</v>
      </c>
      <c r="P1094" s="121"/>
      <c r="Q1094" s="121"/>
      <c r="R1094" s="121" t="s">
        <v>304</v>
      </c>
      <c r="S1094" s="133">
        <f>M1077</f>
        <v>0</v>
      </c>
      <c r="T1094" s="120"/>
      <c r="U1094" s="121" t="s">
        <v>292</v>
      </c>
      <c r="V1094" s="133">
        <f t="shared" si="493"/>
        <v>0</v>
      </c>
      <c r="W1094" s="133">
        <f>VLOOKUP(U1094,Sheet1!$B$6:$C$45,2,FALSE)*V1094</f>
        <v>0</v>
      </c>
      <c r="X1094" s="141"/>
      <c r="Y1094" s="122" t="s">
        <v>277</v>
      </c>
      <c r="Z1094" s="146">
        <f>VLOOKUP(Takeoffs!Y1094,Sheet1!$B$6:$C$124,2,FALSE)</f>
        <v>69.540000000000006</v>
      </c>
      <c r="AA1094" s="146">
        <f t="shared" si="494"/>
        <v>0</v>
      </c>
      <c r="AB1094" s="143">
        <f t="shared" si="495"/>
        <v>0</v>
      </c>
      <c r="AC1094" s="133">
        <f t="shared" si="500"/>
        <v>0</v>
      </c>
      <c r="AD1094" s="142">
        <v>1</v>
      </c>
      <c r="AE1094" s="141"/>
      <c r="AF1094" s="121" t="s">
        <v>292</v>
      </c>
      <c r="AG1094" s="146">
        <f>VLOOKUP(Takeoffs!AF1094,Sheet1!$B$6:$C$124,2,FALSE)</f>
        <v>0</v>
      </c>
      <c r="AH1094" s="146">
        <f t="shared" si="496"/>
        <v>0</v>
      </c>
      <c r="AI1094" s="143">
        <f t="shared" si="497"/>
        <v>0</v>
      </c>
      <c r="AJ1094" s="133">
        <f t="shared" si="498"/>
        <v>0</v>
      </c>
      <c r="AK1094" s="142">
        <f t="shared" si="501"/>
        <v>0</v>
      </c>
      <c r="AL1094" s="141"/>
      <c r="AO1094" s="286"/>
      <c r="AP1094" s="284">
        <f t="shared" si="478"/>
        <v>0</v>
      </c>
      <c r="AQ1094" s="281">
        <f t="shared" si="479"/>
        <v>0</v>
      </c>
      <c r="AR1094" s="284">
        <f t="shared" si="480"/>
        <v>0</v>
      </c>
      <c r="AS1094" s="281">
        <f t="shared" si="481"/>
        <v>0</v>
      </c>
      <c r="AT1094" s="284">
        <f t="shared" si="482"/>
        <v>0</v>
      </c>
    </row>
    <row r="1095" spans="1:97" s="114" customFormat="1" ht="30.9" x14ac:dyDescent="0.8">
      <c r="A1095" s="262">
        <f>ROW()</f>
        <v>1095</v>
      </c>
      <c r="C1095" s="208"/>
      <c r="D1095" s="208"/>
      <c r="E1095" s="208"/>
      <c r="F1095" s="208"/>
      <c r="G1095" s="208"/>
      <c r="H1095" s="208"/>
      <c r="J1095" s="114" t="str">
        <f t="shared" si="499"/>
        <v/>
      </c>
      <c r="K1095" s="114" t="str">
        <f>IF(COUNTBLANK(R1095)&gt;0,"",CONCATENATE(R1095," for ",N1077))</f>
        <v/>
      </c>
      <c r="N1095" s="123" t="s">
        <v>130</v>
      </c>
      <c r="O1095" s="66"/>
      <c r="P1095" s="121"/>
      <c r="Q1095" s="121"/>
      <c r="R1095" s="121"/>
      <c r="S1095" s="133">
        <f>M1077</f>
        <v>0</v>
      </c>
      <c r="T1095" s="120"/>
      <c r="U1095" s="121" t="s">
        <v>292</v>
      </c>
      <c r="V1095" s="133">
        <f t="shared" si="493"/>
        <v>0</v>
      </c>
      <c r="W1095" s="133">
        <f>VLOOKUP(U1095,Sheet1!$B$6:$C$45,2,FALSE)*V1095</f>
        <v>0</v>
      </c>
      <c r="X1095" s="141"/>
      <c r="Y1095" s="121" t="s">
        <v>292</v>
      </c>
      <c r="Z1095" s="146">
        <f>VLOOKUP(Takeoffs!Y1095,Sheet1!$B$6:$C$124,2,FALSE)</f>
        <v>0</v>
      </c>
      <c r="AA1095" s="146">
        <f t="shared" si="494"/>
        <v>0</v>
      </c>
      <c r="AB1095" s="143">
        <f t="shared" si="495"/>
        <v>0</v>
      </c>
      <c r="AC1095" s="133">
        <f t="shared" si="500"/>
        <v>0</v>
      </c>
      <c r="AD1095" s="142">
        <v>1</v>
      </c>
      <c r="AE1095" s="141"/>
      <c r="AF1095" s="121" t="s">
        <v>292</v>
      </c>
      <c r="AG1095" s="146">
        <f>VLOOKUP(Takeoffs!AF1095,Sheet1!$B$6:$C$124,2,FALSE)</f>
        <v>0</v>
      </c>
      <c r="AH1095" s="146">
        <f t="shared" si="496"/>
        <v>0</v>
      </c>
      <c r="AI1095" s="143">
        <f t="shared" si="497"/>
        <v>0</v>
      </c>
      <c r="AJ1095" s="133">
        <f t="shared" si="498"/>
        <v>0</v>
      </c>
      <c r="AK1095" s="142">
        <f t="shared" si="501"/>
        <v>0</v>
      </c>
      <c r="AL1095" s="141"/>
      <c r="AO1095" s="286"/>
      <c r="AP1095" s="284">
        <f t="shared" si="478"/>
        <v>0</v>
      </c>
      <c r="AQ1095" s="281">
        <f t="shared" si="479"/>
        <v>0</v>
      </c>
      <c r="AR1095" s="284">
        <f t="shared" si="480"/>
        <v>0</v>
      </c>
      <c r="AS1095" s="281">
        <f t="shared" si="481"/>
        <v>0</v>
      </c>
      <c r="AT1095" s="284">
        <f t="shared" si="482"/>
        <v>0</v>
      </c>
    </row>
    <row r="1096" spans="1:97" s="114" customFormat="1" ht="30.9" x14ac:dyDescent="0.8">
      <c r="A1096" s="262">
        <f>ROW()</f>
        <v>1096</v>
      </c>
      <c r="C1096" s="208"/>
      <c r="D1096" s="208"/>
      <c r="E1096" s="208"/>
      <c r="F1096" s="208"/>
      <c r="G1096" s="208"/>
      <c r="H1096" s="208"/>
      <c r="J1096" s="114" t="str">
        <f t="shared" si="499"/>
        <v>Coordination Note: - Fire trade: Please refer to our exclusions relating to fire cabling from FIP.</v>
      </c>
      <c r="K1096" s="114" t="str">
        <f>IF(COUNTBLANK(R1096)&gt;0,"",CONCATENATE(R1096," for ",N1077))</f>
        <v/>
      </c>
      <c r="N1096" s="123" t="s">
        <v>131</v>
      </c>
      <c r="O1096" s="66" t="s">
        <v>412</v>
      </c>
      <c r="P1096" s="121" t="s">
        <v>380</v>
      </c>
      <c r="Q1096" s="121" t="s">
        <v>384</v>
      </c>
      <c r="R1096" s="121"/>
      <c r="S1096" s="133">
        <f>M1077</f>
        <v>0</v>
      </c>
      <c r="T1096" s="120"/>
      <c r="U1096" s="121" t="s">
        <v>292</v>
      </c>
      <c r="V1096" s="133">
        <f t="shared" si="493"/>
        <v>0</v>
      </c>
      <c r="W1096" s="133">
        <f>VLOOKUP(U1096,Sheet1!$B$6:$C$45,2,FALSE)*V1096</f>
        <v>0</v>
      </c>
      <c r="X1096" s="141"/>
      <c r="Y1096" s="122" t="s">
        <v>322</v>
      </c>
      <c r="Z1096" s="146">
        <f>VLOOKUP(Takeoffs!Y1096,Sheet1!$B$6:$C$124,2,FALSE)</f>
        <v>48</v>
      </c>
      <c r="AA1096" s="146">
        <f t="shared" si="494"/>
        <v>0</v>
      </c>
      <c r="AB1096" s="143">
        <f t="shared" si="495"/>
        <v>0</v>
      </c>
      <c r="AC1096" s="133">
        <f t="shared" si="500"/>
        <v>0</v>
      </c>
      <c r="AD1096" s="142">
        <v>1</v>
      </c>
      <c r="AE1096" s="141"/>
      <c r="AF1096" s="121" t="s">
        <v>292</v>
      </c>
      <c r="AG1096" s="146">
        <f>VLOOKUP(Takeoffs!AF1096,Sheet1!$B$6:$C$124,2,FALSE)</f>
        <v>0</v>
      </c>
      <c r="AH1096" s="146">
        <f t="shared" si="496"/>
        <v>0</v>
      </c>
      <c r="AI1096" s="143">
        <f t="shared" si="497"/>
        <v>0</v>
      </c>
      <c r="AJ1096" s="133">
        <f t="shared" si="498"/>
        <v>0</v>
      </c>
      <c r="AK1096" s="142">
        <f>T1096</f>
        <v>0</v>
      </c>
      <c r="AL1096" s="141"/>
      <c r="AO1096" s="286"/>
      <c r="AP1096" s="284">
        <f t="shared" si="478"/>
        <v>0</v>
      </c>
      <c r="AQ1096" s="281">
        <f t="shared" si="479"/>
        <v>0</v>
      </c>
      <c r="AR1096" s="284">
        <f t="shared" si="480"/>
        <v>0</v>
      </c>
      <c r="AS1096" s="281">
        <f t="shared" si="481"/>
        <v>0</v>
      </c>
      <c r="AT1096" s="284">
        <f t="shared" si="482"/>
        <v>0</v>
      </c>
    </row>
    <row r="1097" spans="1:97" s="114" customFormat="1" ht="30.9" x14ac:dyDescent="0.8">
      <c r="A1097" s="262">
        <f>ROW()</f>
        <v>1097</v>
      </c>
      <c r="C1097" s="208"/>
      <c r="D1097" s="208"/>
      <c r="E1097" s="208"/>
      <c r="F1097" s="208"/>
      <c r="G1097" s="208"/>
      <c r="H1097" s="208"/>
      <c r="J1097" s="114" t="str">
        <f t="shared" si="499"/>
        <v/>
      </c>
      <c r="K1097" s="114" t="str">
        <f>IF(COUNTBLANK(R1097)&gt;0,"",CONCATENATE(R1097," for ",N1077))</f>
        <v/>
      </c>
      <c r="N1097" s="123" t="s">
        <v>132</v>
      </c>
      <c r="O1097" s="66" t="s">
        <v>408</v>
      </c>
      <c r="P1097" s="121"/>
      <c r="Q1097" s="121"/>
      <c r="R1097" s="121"/>
      <c r="S1097" s="133">
        <f>M1077</f>
        <v>0</v>
      </c>
      <c r="T1097" s="120"/>
      <c r="U1097" s="121" t="s">
        <v>364</v>
      </c>
      <c r="V1097" s="133">
        <f t="shared" si="493"/>
        <v>0</v>
      </c>
      <c r="W1097" s="133">
        <f>VLOOKUP(U1097,Sheet1!$B$6:$C$45,2,FALSE)*V1097</f>
        <v>0</v>
      </c>
      <c r="X1097" s="141"/>
      <c r="Y1097" s="121" t="s">
        <v>292</v>
      </c>
      <c r="Z1097" s="146">
        <f>VLOOKUP(Takeoffs!Y1097,Sheet1!$B$6:$C$124,2,FALSE)</f>
        <v>0</v>
      </c>
      <c r="AA1097" s="146">
        <f t="shared" si="494"/>
        <v>0</v>
      </c>
      <c r="AB1097" s="143">
        <f t="shared" si="495"/>
        <v>0</v>
      </c>
      <c r="AC1097" s="133">
        <f t="shared" si="500"/>
        <v>0</v>
      </c>
      <c r="AD1097" s="142">
        <v>1</v>
      </c>
      <c r="AE1097" s="141"/>
      <c r="AF1097" s="121" t="s">
        <v>292</v>
      </c>
      <c r="AG1097" s="146">
        <f>VLOOKUP(Takeoffs!AF1097,Sheet1!$B$6:$C$124,2,FALSE)</f>
        <v>0</v>
      </c>
      <c r="AH1097" s="146">
        <f t="shared" si="496"/>
        <v>0</v>
      </c>
      <c r="AI1097" s="143">
        <f t="shared" si="497"/>
        <v>0</v>
      </c>
      <c r="AJ1097" s="133">
        <f t="shared" si="498"/>
        <v>0</v>
      </c>
      <c r="AK1097" s="142">
        <f>T1097</f>
        <v>0</v>
      </c>
      <c r="AL1097" s="141"/>
      <c r="AO1097" s="286"/>
      <c r="AP1097" s="284">
        <f t="shared" si="478"/>
        <v>0</v>
      </c>
      <c r="AQ1097" s="281">
        <f t="shared" si="479"/>
        <v>0</v>
      </c>
      <c r="AR1097" s="284">
        <f t="shared" si="480"/>
        <v>0</v>
      </c>
      <c r="AS1097" s="281">
        <f t="shared" si="481"/>
        <v>0</v>
      </c>
      <c r="AT1097" s="284">
        <f t="shared" si="482"/>
        <v>0</v>
      </c>
    </row>
    <row r="1098" spans="1:97" s="128" customFormat="1" ht="31.5" customHeight="1" x14ac:dyDescent="0.8">
      <c r="A1098" s="262">
        <f>ROW()</f>
        <v>1098</v>
      </c>
      <c r="C1098" s="212"/>
      <c r="D1098" s="212"/>
      <c r="E1098" s="212"/>
      <c r="F1098" s="212"/>
      <c r="G1098" s="212"/>
      <c r="H1098" s="212"/>
      <c r="J1098" s="128" t="s">
        <v>377</v>
      </c>
      <c r="L1098" s="128" t="s">
        <v>378</v>
      </c>
      <c r="N1098" s="129"/>
      <c r="O1098" s="130" t="s">
        <v>357</v>
      </c>
      <c r="P1098" s="131">
        <f>V1098+AA1098+AH1098</f>
        <v>0</v>
      </c>
      <c r="Q1098" s="131"/>
      <c r="R1098" s="131"/>
      <c r="S1098" s="130"/>
      <c r="T1098" s="127"/>
      <c r="U1098" s="126" t="s">
        <v>351</v>
      </c>
      <c r="V1098" s="127">
        <f>W1098*80</f>
        <v>0</v>
      </c>
      <c r="W1098" s="147">
        <f>SUM(W1077:W1097)</f>
        <v>0</v>
      </c>
      <c r="X1098" s="148"/>
      <c r="Y1098" s="127" t="s">
        <v>352</v>
      </c>
      <c r="Z1098" s="116"/>
      <c r="AA1098" s="116">
        <f>SUM(AA1077:AA1097)</f>
        <v>0</v>
      </c>
      <c r="AB1098" s="149"/>
      <c r="AC1098" s="149"/>
      <c r="AD1098" s="149"/>
      <c r="AE1098" s="149"/>
      <c r="AF1098" s="127" t="s">
        <v>356</v>
      </c>
      <c r="AG1098" s="116"/>
      <c r="AH1098" s="116">
        <f>SUM(AH1077:AH1097)</f>
        <v>0</v>
      </c>
      <c r="AI1098" s="149"/>
      <c r="AJ1098" s="149"/>
      <c r="AK1098" s="149"/>
      <c r="AL1098" s="149"/>
      <c r="AM1098" s="150">
        <f>P1098</f>
        <v>0</v>
      </c>
      <c r="AO1098" s="286"/>
      <c r="AP1098" s="284">
        <f t="shared" si="478"/>
        <v>0</v>
      </c>
      <c r="AQ1098" s="281">
        <f t="shared" si="479"/>
        <v>0</v>
      </c>
      <c r="AR1098" s="284">
        <f t="shared" si="480"/>
        <v>0</v>
      </c>
      <c r="AS1098" s="281">
        <f t="shared" si="481"/>
        <v>0</v>
      </c>
      <c r="AT1098" s="284">
        <f t="shared" si="482"/>
        <v>0</v>
      </c>
    </row>
    <row r="1099" spans="1:97" s="234" customFormat="1" ht="185.15" x14ac:dyDescent="0.8">
      <c r="A1099" s="262">
        <f>ROW()</f>
        <v>1099</v>
      </c>
      <c r="B1099" s="234" t="s">
        <v>491</v>
      </c>
      <c r="C1099" s="217" t="str">
        <f>N1077</f>
        <v>Fire essential Chilled Water AHU with VSD</v>
      </c>
      <c r="D1099" s="260" t="s">
        <v>678</v>
      </c>
      <c r="E1099" s="238"/>
      <c r="F1099" s="217"/>
      <c r="G1099" s="217"/>
      <c r="H1099" s="245"/>
      <c r="I1099" s="270"/>
      <c r="J1099" s="241" t="str">
        <f>CONCATENATE(O1077," ",L1077, " (",M1077,") ",N1077,".", IF(M1077&gt;1," Each "," This "),"includes supply and install of ",O1078,O1079,O1080,O1081,O1082,O1083,O1084,O1085,O1086,O1087,O1088,O1089,O1090,O1091,O1092,O1093,O1094,O1095,O1096,O1097,J1078,J1079,J1080,J1081,J1082,J1083,J1084,J1085,J1086,J1087,J1088,J1089,J1090,J1091,J1092,J1093,J1094,J1095,J1096,J1097)</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099" s="246">
        <f>P1098</f>
        <v>0</v>
      </c>
      <c r="L1099" s="234" t="str">
        <f>CONCATENATE(Q1078,Q1079,Q1080,Q1081,Q1082,Q1083,Q1084,Q1085,Q1086,Q1087,Q1088,Q1089,Q1090,Q1091,Q1092,Q1093,Q1094,Q1095,Q1096,Q1097,)</f>
        <v>fire cabling from FIP.</v>
      </c>
      <c r="M1099" s="166" t="s">
        <v>367</v>
      </c>
      <c r="N1099" s="160" t="str">
        <f>N1077</f>
        <v>Fire essential Chilled Water AHU with VSD</v>
      </c>
      <c r="O1099" s="160" t="s">
        <v>365</v>
      </c>
      <c r="P1099" s="64" t="e">
        <f>P1098/M1077</f>
        <v>#DIV/0!</v>
      </c>
      <c r="Q1099" s="161"/>
      <c r="R1099" s="161"/>
      <c r="S1099" s="160"/>
      <c r="T1099" s="161"/>
      <c r="U1099" s="503" t="s">
        <v>366</v>
      </c>
      <c r="V1099" s="503"/>
      <c r="W1099" s="162" t="e">
        <f>W1098/M1077</f>
        <v>#DIV/0!</v>
      </c>
      <c r="X1099" s="163"/>
      <c r="Y1099" s="501" t="s">
        <v>365</v>
      </c>
      <c r="Z1099" s="501"/>
      <c r="AA1099" s="164" t="e">
        <f>AA1098/M1077</f>
        <v>#DIV/0!</v>
      </c>
      <c r="AB1099" s="161"/>
      <c r="AC1099" s="161"/>
      <c r="AD1099" s="161"/>
      <c r="AE1099" s="161"/>
      <c r="AF1099" s="501" t="s">
        <v>365</v>
      </c>
      <c r="AG1099" s="501"/>
      <c r="AH1099" s="164" t="e">
        <f>AH1098/M1077</f>
        <v>#DIV/0!</v>
      </c>
      <c r="AI1099" s="161"/>
      <c r="AJ1099" s="161"/>
      <c r="AK1099" s="161"/>
      <c r="AL1099" s="247"/>
      <c r="AM1099" s="257"/>
      <c r="AN1099" s="236">
        <f>K1099*1.25</f>
        <v>0</v>
      </c>
      <c r="AO1099" s="286"/>
      <c r="AP1099" s="284">
        <f t="shared" si="478"/>
        <v>0</v>
      </c>
      <c r="AQ1099" s="281">
        <f t="shared" si="479"/>
        <v>0</v>
      </c>
      <c r="AR1099" s="284">
        <f t="shared" si="480"/>
        <v>0</v>
      </c>
      <c r="AS1099" s="281">
        <f t="shared" si="481"/>
        <v>0</v>
      </c>
      <c r="AT1099" s="284">
        <f t="shared" si="482"/>
        <v>0</v>
      </c>
      <c r="AU1099" s="117"/>
      <c r="AV1099" s="117"/>
      <c r="AW1099" s="117"/>
      <c r="AX1099" s="117"/>
      <c r="AY1099" s="117"/>
      <c r="AZ1099" s="117"/>
      <c r="BA1099" s="117"/>
      <c r="BB1099" s="117"/>
      <c r="BC1099" s="117"/>
      <c r="BD1099" s="117"/>
      <c r="BE1099" s="117"/>
      <c r="BF1099" s="117"/>
      <c r="BG1099" s="117"/>
      <c r="BH1099" s="117"/>
      <c r="BI1099" s="117"/>
      <c r="BJ1099" s="117"/>
      <c r="BK1099" s="117"/>
      <c r="BL1099" s="117"/>
      <c r="BM1099" s="117"/>
      <c r="BN1099" s="117"/>
      <c r="BO1099" s="117"/>
      <c r="BP1099" s="117"/>
      <c r="BQ1099" s="117"/>
      <c r="BR1099" s="117"/>
      <c r="BS1099" s="117"/>
      <c r="BT1099" s="117"/>
      <c r="BU1099" s="117"/>
      <c r="BV1099" s="117"/>
      <c r="BW1099" s="117"/>
      <c r="BX1099" s="117"/>
      <c r="BY1099" s="117"/>
      <c r="BZ1099" s="117"/>
      <c r="CA1099" s="117"/>
      <c r="CB1099" s="117"/>
      <c r="CC1099" s="117"/>
      <c r="CD1099" s="117"/>
      <c r="CE1099" s="117"/>
      <c r="CF1099" s="117"/>
      <c r="CG1099" s="117"/>
      <c r="CH1099" s="117"/>
      <c r="CI1099" s="117"/>
      <c r="CJ1099" s="117"/>
      <c r="CK1099" s="117"/>
      <c r="CL1099" s="117"/>
      <c r="CM1099" s="117"/>
      <c r="CN1099" s="117"/>
      <c r="CO1099" s="117"/>
      <c r="CP1099" s="117"/>
      <c r="CQ1099" s="117"/>
      <c r="CR1099" s="117"/>
      <c r="CS1099" s="117"/>
    </row>
    <row r="1100" spans="1:97" s="116" customFormat="1" ht="192.75" customHeight="1" x14ac:dyDescent="0.8">
      <c r="A1100" s="262">
        <f>ROW()</f>
        <v>1100</v>
      </c>
      <c r="C1100" s="211"/>
      <c r="D1100" s="211"/>
      <c r="E1100" s="211"/>
      <c r="F1100" s="211"/>
      <c r="G1100" s="211"/>
      <c r="H1100" s="211"/>
      <c r="K1100" s="116" t="s">
        <v>452</v>
      </c>
      <c r="M1100" s="116" t="s">
        <v>107</v>
      </c>
      <c r="N1100" s="116" t="s">
        <v>108</v>
      </c>
      <c r="O1100" s="170" t="s">
        <v>386</v>
      </c>
      <c r="P1100" s="502" t="s">
        <v>375</v>
      </c>
      <c r="Q1100" s="502"/>
      <c r="R1100" s="101" t="s">
        <v>452</v>
      </c>
      <c r="S1100" s="116" t="s">
        <v>0</v>
      </c>
      <c r="T1100" s="118"/>
      <c r="U1100" s="116" t="s">
        <v>287</v>
      </c>
      <c r="V1100" s="116" t="s">
        <v>288</v>
      </c>
      <c r="W1100" s="116" t="s">
        <v>291</v>
      </c>
      <c r="X1100" s="140"/>
      <c r="Y1100" s="116" t="s">
        <v>289</v>
      </c>
      <c r="Z1100" s="116" t="s">
        <v>354</v>
      </c>
      <c r="AA1100" s="116" t="s">
        <v>355</v>
      </c>
      <c r="AB1100" s="116" t="s">
        <v>317</v>
      </c>
      <c r="AC1100" s="116" t="s">
        <v>318</v>
      </c>
      <c r="AD1100" s="116" t="s">
        <v>316</v>
      </c>
      <c r="AE1100" s="140"/>
      <c r="AF1100" s="116" t="s">
        <v>293</v>
      </c>
      <c r="AG1100" s="116" t="s">
        <v>354</v>
      </c>
      <c r="AH1100" s="116" t="s">
        <v>355</v>
      </c>
      <c r="AI1100" s="116" t="s">
        <v>296</v>
      </c>
      <c r="AJ1100" s="116" t="s">
        <v>294</v>
      </c>
      <c r="AK1100" s="116" t="s">
        <v>295</v>
      </c>
      <c r="AL1100" s="140"/>
      <c r="AO1100" s="288"/>
      <c r="AP1100" s="284">
        <f t="shared" si="478"/>
        <v>0</v>
      </c>
      <c r="AQ1100" s="281">
        <f t="shared" si="479"/>
        <v>0</v>
      </c>
      <c r="AR1100" s="284">
        <f t="shared" si="480"/>
        <v>0</v>
      </c>
      <c r="AS1100" s="281">
        <f t="shared" si="481"/>
        <v>0</v>
      </c>
      <c r="AT1100" s="284">
        <f t="shared" si="482"/>
        <v>0</v>
      </c>
    </row>
    <row r="1101" spans="1:97" s="114" customFormat="1" ht="40.5" customHeight="1" x14ac:dyDescent="0.8">
      <c r="A1101" s="262">
        <f>ROW()</f>
        <v>1101</v>
      </c>
      <c r="C1101" s="208"/>
      <c r="D1101" s="208"/>
      <c r="E1101" s="208"/>
      <c r="F1101" s="208"/>
      <c r="G1101" s="208"/>
      <c r="H1101" s="208"/>
      <c r="L1101" s="124" t="str">
        <f>VLOOKUP(M1101,Sheet2!$D$2:$E$1024,2,FALSE)</f>
        <v>Zero</v>
      </c>
      <c r="M1101" s="121">
        <f>I1123</f>
        <v>0</v>
      </c>
      <c r="N1101" s="132" t="s">
        <v>481</v>
      </c>
      <c r="O1101" s="121" t="s">
        <v>347</v>
      </c>
      <c r="P1101" s="169" t="s">
        <v>379</v>
      </c>
      <c r="Q1101" s="169" t="s">
        <v>375</v>
      </c>
      <c r="R1101" s="169"/>
      <c r="S1101" s="133">
        <f>M1101</f>
        <v>0</v>
      </c>
      <c r="T1101" s="119"/>
      <c r="U1101" s="153" t="s">
        <v>292</v>
      </c>
      <c r="V1101" s="133">
        <f>S1101</f>
        <v>0</v>
      </c>
      <c r="W1101" s="133">
        <f>VLOOKUP(U1101,Sheet1!$B$6:$C$45,2,FALSE)*V1101</f>
        <v>0</v>
      </c>
      <c r="X1101" s="141"/>
      <c r="Y1101" s="121" t="s">
        <v>292</v>
      </c>
      <c r="Z1101" s="146">
        <f>VLOOKUP(Takeoffs!Y1101,Sheet1!$B$6:$C$124,2,FALSE)</f>
        <v>0</v>
      </c>
      <c r="AA1101" s="146">
        <f>Z1101*AB1101</f>
        <v>0</v>
      </c>
      <c r="AB1101" s="143">
        <f>AD1101*AC1101</f>
        <v>0</v>
      </c>
      <c r="AC1101" s="133">
        <f>S1101</f>
        <v>0</v>
      </c>
      <c r="AD1101" s="142">
        <v>1</v>
      </c>
      <c r="AE1101" s="141"/>
      <c r="AF1101" s="121" t="s">
        <v>292</v>
      </c>
      <c r="AG1101" s="146">
        <f>VLOOKUP(Takeoffs!AF1101,Sheet1!$B$6:$C$124,2,FALSE)</f>
        <v>0</v>
      </c>
      <c r="AH1101" s="146">
        <f>AG1101*AI1101</f>
        <v>0</v>
      </c>
      <c r="AI1101" s="143">
        <f>AK1101*AJ1101</f>
        <v>0</v>
      </c>
      <c r="AJ1101" s="133">
        <f>S1101</f>
        <v>0</v>
      </c>
      <c r="AK1101" s="142">
        <f>T1101</f>
        <v>0</v>
      </c>
      <c r="AL1101" s="141"/>
      <c r="AO1101" s="286"/>
      <c r="AP1101" s="284">
        <f t="shared" si="478"/>
        <v>0</v>
      </c>
      <c r="AQ1101" s="281">
        <f t="shared" si="479"/>
        <v>0</v>
      </c>
      <c r="AR1101" s="284">
        <f t="shared" si="480"/>
        <v>0</v>
      </c>
      <c r="AS1101" s="281">
        <f t="shared" si="481"/>
        <v>0</v>
      </c>
      <c r="AT1101" s="284">
        <f t="shared" si="482"/>
        <v>0</v>
      </c>
    </row>
    <row r="1102" spans="1:97" s="114" customFormat="1" ht="30.9" x14ac:dyDescent="0.8">
      <c r="A1102" s="262">
        <f>ROW()</f>
        <v>1102</v>
      </c>
      <c r="C1102" s="208"/>
      <c r="D1102" s="208"/>
      <c r="E1102" s="208"/>
      <c r="F1102" s="208"/>
      <c r="G1102" s="208"/>
      <c r="H1102" s="208"/>
      <c r="J1102" s="114" t="str">
        <f>IF(COUNTBLANK(Q1102)&gt;0,"",CONCATENATE("Coordination Note: - ",P1102,": Please refer to our exclusions relating to ",Q1102))</f>
        <v/>
      </c>
      <c r="K1102" s="114" t="str">
        <f>IF(COUNTBLANK(R1102)&gt;0,"",CONCATENATE(R1102," for ",N1101))</f>
        <v/>
      </c>
      <c r="M1102" s="117"/>
      <c r="N1102" s="123" t="s">
        <v>113</v>
      </c>
      <c r="O1102" s="66" t="s">
        <v>411</v>
      </c>
      <c r="P1102" s="121"/>
      <c r="Q1102" s="121"/>
      <c r="R1102" s="121"/>
      <c r="S1102" s="133">
        <f>M1101</f>
        <v>0</v>
      </c>
      <c r="T1102" s="120"/>
      <c r="U1102" s="121" t="s">
        <v>235</v>
      </c>
      <c r="V1102" s="133">
        <f t="shared" ref="V1102:V1121" si="502">S1102</f>
        <v>0</v>
      </c>
      <c r="W1102" s="133">
        <f>VLOOKUP(U1102,Sheet1!$B$6:$C$45,2,FALSE)*V1102</f>
        <v>0</v>
      </c>
      <c r="X1102" s="141"/>
      <c r="Y1102" s="121" t="s">
        <v>292</v>
      </c>
      <c r="Z1102" s="146">
        <f>VLOOKUP(Takeoffs!Y1102,Sheet1!$B$6:$C$124,2,FALSE)</f>
        <v>0</v>
      </c>
      <c r="AA1102" s="146">
        <f t="shared" ref="AA1102:AA1121" si="503">Z1102*AB1102</f>
        <v>0</v>
      </c>
      <c r="AB1102" s="143">
        <f t="shared" ref="AB1102:AB1121" si="504">AD1102*AC1102</f>
        <v>0</v>
      </c>
      <c r="AC1102" s="133">
        <f>S1102</f>
        <v>0</v>
      </c>
      <c r="AD1102" s="142">
        <v>1</v>
      </c>
      <c r="AE1102" s="141"/>
      <c r="AF1102" s="121" t="s">
        <v>292</v>
      </c>
      <c r="AG1102" s="146">
        <f>VLOOKUP(Takeoffs!AF1102,Sheet1!$B$6:$C$124,2,FALSE)</f>
        <v>0</v>
      </c>
      <c r="AH1102" s="146">
        <f t="shared" ref="AH1102:AH1121" si="505">AG1102*AI1102</f>
        <v>0</v>
      </c>
      <c r="AI1102" s="143">
        <f t="shared" ref="AI1102:AI1121" si="506">AK1102*AJ1102</f>
        <v>0</v>
      </c>
      <c r="AJ1102" s="133">
        <f t="shared" ref="AJ1102:AJ1121" si="507">S1102</f>
        <v>0</v>
      </c>
      <c r="AK1102" s="142"/>
      <c r="AL1102" s="141"/>
      <c r="AO1102" s="286"/>
      <c r="AP1102" s="284">
        <f t="shared" si="478"/>
        <v>0</v>
      </c>
      <c r="AQ1102" s="281">
        <f t="shared" si="479"/>
        <v>0</v>
      </c>
      <c r="AR1102" s="284">
        <f t="shared" si="480"/>
        <v>0</v>
      </c>
      <c r="AS1102" s="281">
        <f t="shared" si="481"/>
        <v>0</v>
      </c>
      <c r="AT1102" s="284">
        <f t="shared" si="482"/>
        <v>0</v>
      </c>
    </row>
    <row r="1103" spans="1:97" s="114" customFormat="1" ht="30.9" x14ac:dyDescent="0.8">
      <c r="A1103" s="262">
        <f>ROW()</f>
        <v>1103</v>
      </c>
      <c r="C1103" s="208"/>
      <c r="D1103" s="208"/>
      <c r="E1103" s="208"/>
      <c r="F1103" s="208"/>
      <c r="G1103" s="208"/>
      <c r="H1103" s="208"/>
      <c r="J1103" s="114" t="str">
        <f t="shared" ref="J1103:J1121" si="508">IF(COUNTBLANK(Q1103)&gt;0,"",CONCATENATE("Coordination Note: - ",P1103,": Please refer to our exclusions relating to ",Q1103))</f>
        <v/>
      </c>
      <c r="K1103" s="114" t="str">
        <f>IF(COUNTBLANK(R1103)&gt;0,"",CONCATENATE(R1103," for ",N1101))</f>
        <v/>
      </c>
      <c r="M1103" s="117"/>
      <c r="N1103" s="123" t="s">
        <v>114</v>
      </c>
      <c r="O1103" s="66" t="s">
        <v>308</v>
      </c>
      <c r="P1103" s="121"/>
      <c r="Q1103" s="121"/>
      <c r="R1103" s="121"/>
      <c r="S1103" s="133">
        <f>M1101</f>
        <v>0</v>
      </c>
      <c r="T1103" s="120"/>
      <c r="U1103" s="121" t="s">
        <v>292</v>
      </c>
      <c r="V1103" s="133">
        <f t="shared" si="502"/>
        <v>0</v>
      </c>
      <c r="W1103" s="133">
        <f>VLOOKUP(U1103,Sheet1!$B$6:$C$45,2,FALSE)*V1103</f>
        <v>0</v>
      </c>
      <c r="X1103" s="141"/>
      <c r="Y1103" s="122" t="s">
        <v>252</v>
      </c>
      <c r="Z1103" s="146">
        <f>VLOOKUP(Takeoffs!Y1103,Sheet1!$B$6:$C$124,2,FALSE)</f>
        <v>43.440000000000005</v>
      </c>
      <c r="AA1103" s="146">
        <f t="shared" si="503"/>
        <v>0</v>
      </c>
      <c r="AB1103" s="143">
        <f t="shared" si="504"/>
        <v>0</v>
      </c>
      <c r="AC1103" s="133">
        <f>S1103</f>
        <v>0</v>
      </c>
      <c r="AD1103" s="142">
        <v>1</v>
      </c>
      <c r="AE1103" s="141"/>
      <c r="AF1103" s="121" t="s">
        <v>292</v>
      </c>
      <c r="AG1103" s="146">
        <f>VLOOKUP(Takeoffs!AF1103,Sheet1!$B$6:$C$124,2,FALSE)</f>
        <v>0</v>
      </c>
      <c r="AH1103" s="146">
        <f t="shared" si="505"/>
        <v>0</v>
      </c>
      <c r="AI1103" s="143">
        <f t="shared" si="506"/>
        <v>0</v>
      </c>
      <c r="AJ1103" s="133">
        <f t="shared" si="507"/>
        <v>0</v>
      </c>
      <c r="AK1103" s="142">
        <f>T1103</f>
        <v>0</v>
      </c>
      <c r="AL1103" s="141"/>
      <c r="AO1103" s="286"/>
      <c r="AP1103" s="284">
        <f t="shared" si="478"/>
        <v>0</v>
      </c>
      <c r="AQ1103" s="281">
        <f t="shared" si="479"/>
        <v>0</v>
      </c>
      <c r="AR1103" s="284">
        <f t="shared" si="480"/>
        <v>0</v>
      </c>
      <c r="AS1103" s="281">
        <f t="shared" si="481"/>
        <v>0</v>
      </c>
      <c r="AT1103" s="284">
        <f t="shared" si="482"/>
        <v>0</v>
      </c>
    </row>
    <row r="1104" spans="1:97" s="114" customFormat="1" ht="30.9" x14ac:dyDescent="0.8">
      <c r="A1104" s="262">
        <f>ROW()</f>
        <v>1104</v>
      </c>
      <c r="C1104" s="208"/>
      <c r="D1104" s="208"/>
      <c r="E1104" s="208"/>
      <c r="F1104" s="208"/>
      <c r="G1104" s="208"/>
      <c r="H1104" s="208"/>
      <c r="J1104" s="114" t="str">
        <f t="shared" si="508"/>
        <v/>
      </c>
      <c r="K1104" s="114" t="str">
        <f>IF(COUNTBLANK(R1104)&gt;0,"",CONCATENATE(R1104," for ",N1101))</f>
        <v/>
      </c>
      <c r="M1104" s="117"/>
      <c r="N1104" s="123" t="s">
        <v>115</v>
      </c>
      <c r="O1104" s="66" t="s">
        <v>305</v>
      </c>
      <c r="P1104" s="121"/>
      <c r="Q1104" s="121"/>
      <c r="R1104" s="121"/>
      <c r="S1104" s="133">
        <f>M1101</f>
        <v>0</v>
      </c>
      <c r="T1104" s="120"/>
      <c r="U1104" s="117" t="s">
        <v>478</v>
      </c>
      <c r="V1104" s="133">
        <f t="shared" si="502"/>
        <v>0</v>
      </c>
      <c r="W1104" s="133">
        <f>VLOOKUP(U1104,Sheet1!$B$6:$C$45,2,FALSE)*V1104</f>
        <v>0</v>
      </c>
      <c r="X1104" s="141"/>
      <c r="Y1104" s="121" t="s">
        <v>292</v>
      </c>
      <c r="Z1104" s="146">
        <f>VLOOKUP(Takeoffs!Y1104,Sheet1!$B$6:$C$124,2,FALSE)</f>
        <v>0</v>
      </c>
      <c r="AA1104" s="146">
        <f t="shared" si="503"/>
        <v>0</v>
      </c>
      <c r="AB1104" s="143">
        <f t="shared" si="504"/>
        <v>0</v>
      </c>
      <c r="AC1104" s="133">
        <f t="shared" ref="AC1104:AC1121" si="509">S1104</f>
        <v>0</v>
      </c>
      <c r="AD1104" s="142">
        <v>1</v>
      </c>
      <c r="AE1104" s="141"/>
      <c r="AF1104" s="144" t="s">
        <v>270</v>
      </c>
      <c r="AG1104" s="146">
        <f>VLOOKUP(Takeoffs!AF1104,Sheet1!$B$6:$C$124,2,FALSE)</f>
        <v>5.7960000000000003</v>
      </c>
      <c r="AH1104" s="146">
        <f t="shared" si="505"/>
        <v>0</v>
      </c>
      <c r="AI1104" s="143">
        <f t="shared" si="506"/>
        <v>0</v>
      </c>
      <c r="AJ1104" s="133">
        <f t="shared" si="507"/>
        <v>0</v>
      </c>
      <c r="AK1104" s="142">
        <v>20</v>
      </c>
      <c r="AL1104" s="141"/>
      <c r="AO1104" s="286"/>
      <c r="AP1104" s="284">
        <f t="shared" si="478"/>
        <v>0</v>
      </c>
      <c r="AQ1104" s="281">
        <f t="shared" si="479"/>
        <v>0</v>
      </c>
      <c r="AR1104" s="284">
        <f t="shared" si="480"/>
        <v>0</v>
      </c>
      <c r="AS1104" s="281">
        <f t="shared" si="481"/>
        <v>0</v>
      </c>
      <c r="AT1104" s="284">
        <f t="shared" si="482"/>
        <v>0</v>
      </c>
    </row>
    <row r="1105" spans="1:46" s="114" customFormat="1" ht="30.9" x14ac:dyDescent="0.8">
      <c r="A1105" s="262">
        <f>ROW()</f>
        <v>1105</v>
      </c>
      <c r="C1105" s="208"/>
      <c r="D1105" s="208"/>
      <c r="E1105" s="208"/>
      <c r="F1105" s="208"/>
      <c r="G1105" s="208"/>
      <c r="H1105" s="208"/>
      <c r="J1105" s="114" t="str">
        <f t="shared" si="508"/>
        <v/>
      </c>
      <c r="K1105" s="114" t="str">
        <f>IF(COUNTBLANK(R1105)&gt;0,"",CONCATENATE(R1105," for ",N1101))</f>
        <v/>
      </c>
      <c r="M1105" s="117"/>
      <c r="N1105" s="123" t="s">
        <v>116</v>
      </c>
      <c r="O1105" s="66" t="s">
        <v>323</v>
      </c>
      <c r="P1105" s="121"/>
      <c r="Q1105" s="121"/>
      <c r="R1105" s="121"/>
      <c r="S1105" s="133">
        <f>M1101</f>
        <v>0</v>
      </c>
      <c r="T1105" s="120"/>
      <c r="U1105" s="121" t="s">
        <v>292</v>
      </c>
      <c r="V1105" s="133">
        <f t="shared" si="502"/>
        <v>0</v>
      </c>
      <c r="W1105" s="133">
        <f>VLOOKUP(U1105,Sheet1!$B$6:$C$45,2,FALSE)*V1105</f>
        <v>0</v>
      </c>
      <c r="X1105" s="141"/>
      <c r="Y1105" s="152" t="s">
        <v>264</v>
      </c>
      <c r="Z1105" s="146">
        <f>VLOOKUP(Takeoffs!Y1105,Sheet1!$B$6:$C$124,2,FALSE)</f>
        <v>751.07999999999993</v>
      </c>
      <c r="AA1105" s="146">
        <f t="shared" si="503"/>
        <v>0</v>
      </c>
      <c r="AB1105" s="143">
        <f t="shared" si="504"/>
        <v>0</v>
      </c>
      <c r="AC1105" s="133">
        <f t="shared" si="509"/>
        <v>0</v>
      </c>
      <c r="AD1105" s="142">
        <v>1</v>
      </c>
      <c r="AE1105" s="141"/>
      <c r="AF1105" s="121" t="s">
        <v>292</v>
      </c>
      <c r="AG1105" s="146">
        <f>VLOOKUP(Takeoffs!AF1105,Sheet1!$B$6:$C$124,2,FALSE)</f>
        <v>0</v>
      </c>
      <c r="AH1105" s="146">
        <f t="shared" si="505"/>
        <v>0</v>
      </c>
      <c r="AI1105" s="143">
        <f t="shared" si="506"/>
        <v>0</v>
      </c>
      <c r="AJ1105" s="133">
        <f t="shared" si="507"/>
        <v>0</v>
      </c>
      <c r="AK1105" s="142">
        <f>T1105</f>
        <v>0</v>
      </c>
      <c r="AL1105" s="141"/>
      <c r="AO1105" s="286"/>
      <c r="AP1105" s="284">
        <f t="shared" si="478"/>
        <v>0</v>
      </c>
      <c r="AQ1105" s="281">
        <f t="shared" si="479"/>
        <v>0</v>
      </c>
      <c r="AR1105" s="284">
        <f t="shared" si="480"/>
        <v>0</v>
      </c>
      <c r="AS1105" s="281">
        <f t="shared" si="481"/>
        <v>0</v>
      </c>
      <c r="AT1105" s="284">
        <f t="shared" si="482"/>
        <v>0</v>
      </c>
    </row>
    <row r="1106" spans="1:46" s="114" customFormat="1" ht="30.9" x14ac:dyDescent="0.8">
      <c r="A1106" s="262">
        <f>ROW()</f>
        <v>1106</v>
      </c>
      <c r="C1106" s="208"/>
      <c r="D1106" s="208"/>
      <c r="E1106" s="208"/>
      <c r="F1106" s="208"/>
      <c r="G1106" s="208"/>
      <c r="H1106" s="208"/>
      <c r="J1106" s="114" t="str">
        <f t="shared" si="508"/>
        <v/>
      </c>
      <c r="K1106" s="114" t="str">
        <f>IF(COUNTBLANK(R1106)&gt;0,"",CONCATENATE(R1106," for ",N1101))</f>
        <v/>
      </c>
      <c r="M1106" s="117"/>
      <c r="N1106" s="123" t="s">
        <v>117</v>
      </c>
      <c r="O1106" s="66" t="s">
        <v>390</v>
      </c>
      <c r="P1106" s="121"/>
      <c r="Q1106" s="121"/>
      <c r="R1106" s="121"/>
      <c r="S1106" s="133">
        <f>M1101</f>
        <v>0</v>
      </c>
      <c r="T1106" s="120"/>
      <c r="U1106" s="121" t="s">
        <v>292</v>
      </c>
      <c r="V1106" s="133">
        <f t="shared" si="502"/>
        <v>0</v>
      </c>
      <c r="W1106" s="133">
        <f>VLOOKUP(U1106,Sheet1!$B$6:$C$45,2,FALSE)*V1106</f>
        <v>0</v>
      </c>
      <c r="X1106" s="141"/>
      <c r="Y1106" s="121" t="s">
        <v>292</v>
      </c>
      <c r="Z1106" s="146">
        <f>VLOOKUP(Takeoffs!Y1106,Sheet1!$B$6:$C$124,2,FALSE)</f>
        <v>0</v>
      </c>
      <c r="AA1106" s="146">
        <f t="shared" si="503"/>
        <v>0</v>
      </c>
      <c r="AB1106" s="143">
        <f t="shared" si="504"/>
        <v>0</v>
      </c>
      <c r="AC1106" s="133">
        <f t="shared" si="509"/>
        <v>0</v>
      </c>
      <c r="AD1106" s="142">
        <v>1</v>
      </c>
      <c r="AE1106" s="141"/>
      <c r="AF1106" s="122" t="s">
        <v>267</v>
      </c>
      <c r="AG1106" s="146">
        <f>VLOOKUP(Takeoffs!AF1106,Sheet1!$B$6:$C$124,2,FALSE)</f>
        <v>3.48</v>
      </c>
      <c r="AH1106" s="146">
        <f t="shared" si="505"/>
        <v>0</v>
      </c>
      <c r="AI1106" s="143">
        <f t="shared" si="506"/>
        <v>0</v>
      </c>
      <c r="AJ1106" s="133">
        <f t="shared" si="507"/>
        <v>0</v>
      </c>
      <c r="AK1106" s="142">
        <v>3</v>
      </c>
      <c r="AL1106" s="141"/>
      <c r="AO1106" s="286"/>
      <c r="AP1106" s="284">
        <f t="shared" si="478"/>
        <v>0</v>
      </c>
      <c r="AQ1106" s="281">
        <f t="shared" si="479"/>
        <v>0</v>
      </c>
      <c r="AR1106" s="284">
        <f t="shared" si="480"/>
        <v>0</v>
      </c>
      <c r="AS1106" s="281">
        <f t="shared" si="481"/>
        <v>0</v>
      </c>
      <c r="AT1106" s="284">
        <f t="shared" si="482"/>
        <v>0</v>
      </c>
    </row>
    <row r="1107" spans="1:46" s="114" customFormat="1" ht="30.9" x14ac:dyDescent="0.8">
      <c r="A1107" s="262">
        <f>ROW()</f>
        <v>1107</v>
      </c>
      <c r="C1107" s="208"/>
      <c r="D1107" s="208"/>
      <c r="E1107" s="208"/>
      <c r="F1107" s="208"/>
      <c r="G1107" s="208"/>
      <c r="H1107" s="208"/>
      <c r="J1107" s="114" t="str">
        <f t="shared" si="508"/>
        <v/>
      </c>
      <c r="K1107" s="114" t="str">
        <f>IF(COUNTBLANK(R1107)&gt;0,"",CONCATENATE(R1107," for ",N1101))</f>
        <v/>
      </c>
      <c r="M1107" s="117"/>
      <c r="N1107" s="123" t="s">
        <v>118</v>
      </c>
      <c r="O1107" s="66" t="s">
        <v>309</v>
      </c>
      <c r="P1107" s="121"/>
      <c r="Q1107" s="121"/>
      <c r="R1107" s="121"/>
      <c r="S1107" s="133">
        <f>M1101</f>
        <v>0</v>
      </c>
      <c r="T1107" s="120"/>
      <c r="U1107" s="121" t="s">
        <v>292</v>
      </c>
      <c r="V1107" s="133">
        <f t="shared" si="502"/>
        <v>0</v>
      </c>
      <c r="W1107" s="133">
        <f>VLOOKUP(U1107,Sheet1!$B$6:$C$45,2,FALSE)*V1107</f>
        <v>0</v>
      </c>
      <c r="X1107" s="141"/>
      <c r="Y1107" s="122" t="s">
        <v>245</v>
      </c>
      <c r="Z1107" s="146">
        <f>VLOOKUP(Takeoffs!Y1107,Sheet1!$B$6:$C$124,2,FALSE)</f>
        <v>46.463999999999999</v>
      </c>
      <c r="AA1107" s="146">
        <f t="shared" si="503"/>
        <v>0</v>
      </c>
      <c r="AB1107" s="143">
        <f t="shared" si="504"/>
        <v>0</v>
      </c>
      <c r="AC1107" s="133">
        <f t="shared" si="509"/>
        <v>0</v>
      </c>
      <c r="AD1107" s="142">
        <v>1</v>
      </c>
      <c r="AE1107" s="141"/>
      <c r="AF1107" s="121" t="s">
        <v>292</v>
      </c>
      <c r="AG1107" s="146">
        <f>VLOOKUP(Takeoffs!AF1107,Sheet1!$B$6:$C$124,2,FALSE)</f>
        <v>0</v>
      </c>
      <c r="AH1107" s="146">
        <f t="shared" si="505"/>
        <v>0</v>
      </c>
      <c r="AI1107" s="143">
        <f t="shared" si="506"/>
        <v>0</v>
      </c>
      <c r="AJ1107" s="133">
        <f t="shared" si="507"/>
        <v>0</v>
      </c>
      <c r="AK1107" s="142">
        <f t="shared" ref="AK1107:AK1112" si="510">T1107</f>
        <v>0</v>
      </c>
      <c r="AL1107" s="141"/>
      <c r="AO1107" s="286"/>
      <c r="AP1107" s="284">
        <f t="shared" si="478"/>
        <v>0</v>
      </c>
      <c r="AQ1107" s="281">
        <f t="shared" si="479"/>
        <v>0</v>
      </c>
      <c r="AR1107" s="284">
        <f t="shared" si="480"/>
        <v>0</v>
      </c>
      <c r="AS1107" s="281">
        <f t="shared" si="481"/>
        <v>0</v>
      </c>
      <c r="AT1107" s="284">
        <f t="shared" si="482"/>
        <v>0</v>
      </c>
    </row>
    <row r="1108" spans="1:46" s="114" customFormat="1" ht="30.9" x14ac:dyDescent="0.8">
      <c r="A1108" s="262">
        <f>ROW()</f>
        <v>1108</v>
      </c>
      <c r="C1108" s="208"/>
      <c r="D1108" s="208"/>
      <c r="E1108" s="208"/>
      <c r="F1108" s="208"/>
      <c r="G1108" s="208"/>
      <c r="H1108" s="208"/>
      <c r="J1108" s="114" t="str">
        <f t="shared" si="508"/>
        <v/>
      </c>
      <c r="K1108" s="114" t="str">
        <f>IF(COUNTBLANK(R1108)&gt;0,"",CONCATENATE(R1108," for ",N1101))</f>
        <v/>
      </c>
      <c r="N1108" s="123" t="s">
        <v>119</v>
      </c>
      <c r="O1108" s="66" t="s">
        <v>310</v>
      </c>
      <c r="P1108" s="121"/>
      <c r="Q1108" s="121"/>
      <c r="R1108" s="121"/>
      <c r="S1108" s="133">
        <f>M1101</f>
        <v>0</v>
      </c>
      <c r="T1108" s="120"/>
      <c r="U1108" s="121" t="s">
        <v>292</v>
      </c>
      <c r="V1108" s="133">
        <f t="shared" si="502"/>
        <v>0</v>
      </c>
      <c r="W1108" s="133">
        <f>VLOOKUP(U1108,Sheet1!$B$6:$C$45,2,FALSE)*V1108</f>
        <v>0</v>
      </c>
      <c r="X1108" s="141"/>
      <c r="Y1108" s="122" t="s">
        <v>278</v>
      </c>
      <c r="Z1108" s="146">
        <f>VLOOKUP(Takeoffs!Y1108,Sheet1!$B$6:$C$124,2,FALSE)</f>
        <v>36</v>
      </c>
      <c r="AA1108" s="146">
        <f t="shared" si="503"/>
        <v>0</v>
      </c>
      <c r="AB1108" s="143">
        <f t="shared" si="504"/>
        <v>0</v>
      </c>
      <c r="AC1108" s="133">
        <f t="shared" si="509"/>
        <v>0</v>
      </c>
      <c r="AD1108" s="142">
        <v>1</v>
      </c>
      <c r="AE1108" s="141"/>
      <c r="AF1108" s="121" t="s">
        <v>292</v>
      </c>
      <c r="AG1108" s="146">
        <f>VLOOKUP(Takeoffs!AF1108,Sheet1!$B$6:$C$124,2,FALSE)</f>
        <v>0</v>
      </c>
      <c r="AH1108" s="146">
        <f t="shared" si="505"/>
        <v>0</v>
      </c>
      <c r="AI1108" s="143">
        <f t="shared" si="506"/>
        <v>0</v>
      </c>
      <c r="AJ1108" s="133">
        <f t="shared" si="507"/>
        <v>0</v>
      </c>
      <c r="AK1108" s="142">
        <f t="shared" si="510"/>
        <v>0</v>
      </c>
      <c r="AL1108" s="141"/>
      <c r="AO1108" s="286"/>
      <c r="AP1108" s="284">
        <f t="shared" ref="AP1108:AP1171" si="511">IF(AND(I1108&gt;0, ISNUMBER(I1108)),I1108*P1108,0)</f>
        <v>0</v>
      </c>
      <c r="AQ1108" s="281">
        <f t="shared" ref="AQ1108:AQ1171" si="512">IF(AND(I1108&gt;0, ISNUMBER(I1108)),I1108*W1108*80,0)</f>
        <v>0</v>
      </c>
      <c r="AR1108" s="284">
        <f t="shared" ref="AR1108:AR1171" si="513">IF(AND(I1108&gt;0, ISNUMBER(I1108)),I1108*AA1108,0)</f>
        <v>0</v>
      </c>
      <c r="AS1108" s="281">
        <f t="shared" ref="AS1108:AS1171" si="514">IF(AND(I1108&gt;0, ISNUMBER(I1108)),I1108*AH1108,0)</f>
        <v>0</v>
      </c>
      <c r="AT1108" s="284">
        <f t="shared" ref="AT1108:AT1171" si="515">IF(AND(I1108&gt;0, ISNUMBER(I1108)),I1108*(AP1108-(AQ1108+AR1108+AS1108)),0)</f>
        <v>0</v>
      </c>
    </row>
    <row r="1109" spans="1:46" s="114" customFormat="1" ht="30.9" x14ac:dyDescent="0.8">
      <c r="A1109" s="262">
        <f>ROW()</f>
        <v>1109</v>
      </c>
      <c r="C1109" s="208"/>
      <c r="D1109" s="208"/>
      <c r="E1109" s="208"/>
      <c r="F1109" s="208"/>
      <c r="G1109" s="208"/>
      <c r="H1109" s="208"/>
      <c r="J1109" s="114" t="str">
        <f t="shared" si="508"/>
        <v/>
      </c>
      <c r="K1109" s="114" t="str">
        <f>IF(COUNTBLANK(R1109)&gt;0,"",CONCATENATE(R1109," for ",N1101))</f>
        <v/>
      </c>
      <c r="N1109" s="123" t="s">
        <v>120</v>
      </c>
      <c r="O1109" s="66" t="s">
        <v>306</v>
      </c>
      <c r="P1109" s="121"/>
      <c r="Q1109" s="121"/>
      <c r="R1109" s="121"/>
      <c r="S1109" s="133">
        <f>M1101</f>
        <v>0</v>
      </c>
      <c r="T1109" s="120"/>
      <c r="U1109" s="121" t="s">
        <v>292</v>
      </c>
      <c r="V1109" s="133">
        <f t="shared" si="502"/>
        <v>0</v>
      </c>
      <c r="W1109" s="133">
        <f>VLOOKUP(U1109,Sheet1!$B$6:$C$45,2,FALSE)*V1109</f>
        <v>0</v>
      </c>
      <c r="X1109" s="141"/>
      <c r="Y1109" s="122" t="s">
        <v>274</v>
      </c>
      <c r="Z1109" s="146">
        <f>VLOOKUP(Takeoffs!Y1109,Sheet1!$B$6:$C$124,2,FALSE)</f>
        <v>360</v>
      </c>
      <c r="AA1109" s="146">
        <f t="shared" si="503"/>
        <v>0</v>
      </c>
      <c r="AB1109" s="143">
        <f t="shared" si="504"/>
        <v>0</v>
      </c>
      <c r="AC1109" s="133">
        <f t="shared" si="509"/>
        <v>0</v>
      </c>
      <c r="AD1109" s="142">
        <v>1</v>
      </c>
      <c r="AE1109" s="141"/>
      <c r="AF1109" s="121" t="s">
        <v>292</v>
      </c>
      <c r="AG1109" s="146">
        <f>VLOOKUP(Takeoffs!AF1109,Sheet1!$B$6:$C$124,2,FALSE)</f>
        <v>0</v>
      </c>
      <c r="AH1109" s="146">
        <f t="shared" si="505"/>
        <v>0</v>
      </c>
      <c r="AI1109" s="143">
        <f t="shared" si="506"/>
        <v>0</v>
      </c>
      <c r="AJ1109" s="133">
        <f t="shared" si="507"/>
        <v>0</v>
      </c>
      <c r="AK1109" s="142">
        <f t="shared" si="510"/>
        <v>0</v>
      </c>
      <c r="AL1109" s="141"/>
      <c r="AO1109" s="286"/>
      <c r="AP1109" s="284">
        <f t="shared" si="511"/>
        <v>0</v>
      </c>
      <c r="AQ1109" s="281">
        <f t="shared" si="512"/>
        <v>0</v>
      </c>
      <c r="AR1109" s="284">
        <f t="shared" si="513"/>
        <v>0</v>
      </c>
      <c r="AS1109" s="281">
        <f t="shared" si="514"/>
        <v>0</v>
      </c>
      <c r="AT1109" s="284">
        <f t="shared" si="515"/>
        <v>0</v>
      </c>
    </row>
    <row r="1110" spans="1:46" s="114" customFormat="1" ht="30.9" x14ac:dyDescent="0.8">
      <c r="A1110" s="262">
        <f>ROW()</f>
        <v>1110</v>
      </c>
      <c r="C1110" s="208"/>
      <c r="D1110" s="208"/>
      <c r="E1110" s="208"/>
      <c r="F1110" s="208"/>
      <c r="G1110" s="208"/>
      <c r="H1110" s="208"/>
      <c r="J1110" s="114" t="str">
        <f t="shared" si="508"/>
        <v/>
      </c>
      <c r="K1110" s="114" t="str">
        <f>IF(COUNTBLANK(R1110)&gt;0,"",CONCATENATE(R1110," for ",N1101))</f>
        <v/>
      </c>
      <c r="N1110" s="123" t="s">
        <v>121</v>
      </c>
      <c r="O1110" s="66" t="s">
        <v>307</v>
      </c>
      <c r="P1110" s="121"/>
      <c r="Q1110" s="121"/>
      <c r="R1110" s="121"/>
      <c r="S1110" s="133">
        <f>M1101</f>
        <v>0</v>
      </c>
      <c r="T1110" s="120"/>
      <c r="U1110" s="121" t="s">
        <v>364</v>
      </c>
      <c r="V1110" s="133">
        <f t="shared" si="502"/>
        <v>0</v>
      </c>
      <c r="W1110" s="133">
        <f>VLOOKUP(U1110,Sheet1!$B$6:$C$45,2,FALSE)*V1110</f>
        <v>0</v>
      </c>
      <c r="X1110" s="141"/>
      <c r="Y1110" s="121" t="s">
        <v>292</v>
      </c>
      <c r="Z1110" s="146">
        <f>VLOOKUP(Takeoffs!Y1110,Sheet1!$B$6:$C$124,2,FALSE)</f>
        <v>0</v>
      </c>
      <c r="AA1110" s="146">
        <f t="shared" si="503"/>
        <v>0</v>
      </c>
      <c r="AB1110" s="143">
        <f t="shared" si="504"/>
        <v>0</v>
      </c>
      <c r="AC1110" s="133">
        <f t="shared" si="509"/>
        <v>0</v>
      </c>
      <c r="AD1110" s="142">
        <v>1</v>
      </c>
      <c r="AE1110" s="141"/>
      <c r="AF1110" s="121" t="s">
        <v>292</v>
      </c>
      <c r="AG1110" s="146">
        <f>VLOOKUP(Takeoffs!AF1110,Sheet1!$B$6:$C$124,2,FALSE)</f>
        <v>0</v>
      </c>
      <c r="AH1110" s="146">
        <f t="shared" si="505"/>
        <v>0</v>
      </c>
      <c r="AI1110" s="143">
        <f t="shared" si="506"/>
        <v>0</v>
      </c>
      <c r="AJ1110" s="133">
        <f t="shared" si="507"/>
        <v>0</v>
      </c>
      <c r="AK1110" s="142">
        <f t="shared" si="510"/>
        <v>0</v>
      </c>
      <c r="AL1110" s="141"/>
      <c r="AO1110" s="286"/>
      <c r="AP1110" s="284">
        <f t="shared" si="511"/>
        <v>0</v>
      </c>
      <c r="AQ1110" s="281">
        <f t="shared" si="512"/>
        <v>0</v>
      </c>
      <c r="AR1110" s="284">
        <f t="shared" si="513"/>
        <v>0</v>
      </c>
      <c r="AS1110" s="281">
        <f t="shared" si="514"/>
        <v>0</v>
      </c>
      <c r="AT1110" s="284">
        <f t="shared" si="515"/>
        <v>0</v>
      </c>
    </row>
    <row r="1111" spans="1:46" s="114" customFormat="1" ht="30.9" x14ac:dyDescent="0.8">
      <c r="A1111" s="262">
        <f>ROW()</f>
        <v>1111</v>
      </c>
      <c r="C1111" s="208"/>
      <c r="D1111" s="208"/>
      <c r="E1111" s="208"/>
      <c r="F1111" s="208"/>
      <c r="G1111" s="208"/>
      <c r="H1111" s="208"/>
      <c r="J1111" s="114" t="str">
        <f t="shared" si="508"/>
        <v/>
      </c>
      <c r="K1111" s="114" t="str">
        <f>IF(COUNTBLANK(R1111)&gt;0,"",CONCATENATE(R1111," for ",N1101))</f>
        <v/>
      </c>
      <c r="N1111" s="123" t="s">
        <v>122</v>
      </c>
      <c r="O1111" s="66" t="s">
        <v>504</v>
      </c>
      <c r="P1111" s="121"/>
      <c r="Q1111" s="121"/>
      <c r="R1111" s="121"/>
      <c r="S1111" s="133">
        <f>M1101</f>
        <v>0</v>
      </c>
      <c r="T1111" s="120"/>
      <c r="U1111" s="121" t="s">
        <v>363</v>
      </c>
      <c r="V1111" s="133">
        <f t="shared" si="502"/>
        <v>0</v>
      </c>
      <c r="W1111" s="133">
        <f>VLOOKUP(U1111,Sheet1!$B$6:$C$45,2,FALSE)*V1111</f>
        <v>0</v>
      </c>
      <c r="X1111" s="141"/>
      <c r="Y1111" s="122" t="s">
        <v>325</v>
      </c>
      <c r="Z1111" s="146">
        <f>VLOOKUP(Takeoffs!Y1111,Sheet1!$B$6:$C$124,2,FALSE)</f>
        <v>240</v>
      </c>
      <c r="AA1111" s="146">
        <f t="shared" si="503"/>
        <v>0</v>
      </c>
      <c r="AB1111" s="143">
        <f t="shared" si="504"/>
        <v>0</v>
      </c>
      <c r="AC1111" s="133">
        <f t="shared" si="509"/>
        <v>0</v>
      </c>
      <c r="AD1111" s="142">
        <v>2</v>
      </c>
      <c r="AE1111" s="141"/>
      <c r="AF1111" s="121" t="s">
        <v>292</v>
      </c>
      <c r="AG1111" s="146">
        <f>VLOOKUP(Takeoffs!AF1111,Sheet1!$B$6:$C$124,2,FALSE)</f>
        <v>0</v>
      </c>
      <c r="AH1111" s="146">
        <f t="shared" si="505"/>
        <v>0</v>
      </c>
      <c r="AI1111" s="143">
        <f t="shared" si="506"/>
        <v>0</v>
      </c>
      <c r="AJ1111" s="133">
        <f t="shared" si="507"/>
        <v>0</v>
      </c>
      <c r="AK1111" s="142">
        <f t="shared" si="510"/>
        <v>0</v>
      </c>
      <c r="AL1111" s="141"/>
      <c r="AO1111" s="286"/>
      <c r="AP1111" s="284">
        <f t="shared" si="511"/>
        <v>0</v>
      </c>
      <c r="AQ1111" s="281">
        <f t="shared" si="512"/>
        <v>0</v>
      </c>
      <c r="AR1111" s="284">
        <f t="shared" si="513"/>
        <v>0</v>
      </c>
      <c r="AS1111" s="281">
        <f t="shared" si="514"/>
        <v>0</v>
      </c>
      <c r="AT1111" s="284">
        <f t="shared" si="515"/>
        <v>0</v>
      </c>
    </row>
    <row r="1112" spans="1:46" s="114" customFormat="1" ht="30.9" x14ac:dyDescent="0.8">
      <c r="A1112" s="262">
        <f>ROW()</f>
        <v>1112</v>
      </c>
      <c r="C1112" s="208"/>
      <c r="D1112" s="208"/>
      <c r="E1112" s="208"/>
      <c r="F1112" s="208"/>
      <c r="G1112" s="208"/>
      <c r="H1112" s="208"/>
      <c r="J1112" s="114" t="str">
        <f t="shared" si="508"/>
        <v/>
      </c>
      <c r="K1112" s="114" t="str">
        <f>IF(COUNTBLANK(R1112)&gt;0,"",CONCATENATE(R1112," for ",N1101))</f>
        <v/>
      </c>
      <c r="N1112" s="123" t="s">
        <v>123</v>
      </c>
      <c r="O1112" s="66"/>
      <c r="P1112" s="121"/>
      <c r="Q1112" s="121"/>
      <c r="R1112" s="121"/>
      <c r="S1112" s="133">
        <f>M1101</f>
        <v>0</v>
      </c>
      <c r="T1112" s="120"/>
      <c r="U1112" s="121" t="s">
        <v>292</v>
      </c>
      <c r="V1112" s="133">
        <f t="shared" si="502"/>
        <v>0</v>
      </c>
      <c r="W1112" s="133">
        <f>VLOOKUP(U1112,Sheet1!$B$6:$C$45,2,FALSE)*V1112</f>
        <v>0</v>
      </c>
      <c r="X1112" s="141"/>
      <c r="Y1112" s="121" t="s">
        <v>292</v>
      </c>
      <c r="Z1112" s="146">
        <f>VLOOKUP(Takeoffs!Y1112,Sheet1!$B$6:$C$124,2,FALSE)</f>
        <v>0</v>
      </c>
      <c r="AA1112" s="146">
        <f t="shared" si="503"/>
        <v>0</v>
      </c>
      <c r="AB1112" s="143">
        <f t="shared" si="504"/>
        <v>0</v>
      </c>
      <c r="AC1112" s="133">
        <f t="shared" si="509"/>
        <v>0</v>
      </c>
      <c r="AD1112" s="142">
        <v>1</v>
      </c>
      <c r="AE1112" s="141"/>
      <c r="AF1112" s="121" t="s">
        <v>292</v>
      </c>
      <c r="AG1112" s="146">
        <f>VLOOKUP(Takeoffs!AF1112,Sheet1!$B$6:$C$124,2,FALSE)</f>
        <v>0</v>
      </c>
      <c r="AH1112" s="146">
        <f t="shared" si="505"/>
        <v>0</v>
      </c>
      <c r="AI1112" s="143">
        <f t="shared" si="506"/>
        <v>0</v>
      </c>
      <c r="AJ1112" s="133">
        <f t="shared" si="507"/>
        <v>0</v>
      </c>
      <c r="AK1112" s="142">
        <f t="shared" si="510"/>
        <v>0</v>
      </c>
      <c r="AL1112" s="141"/>
      <c r="AO1112" s="286"/>
      <c r="AP1112" s="284">
        <f t="shared" si="511"/>
        <v>0</v>
      </c>
      <c r="AQ1112" s="281">
        <f t="shared" si="512"/>
        <v>0</v>
      </c>
      <c r="AR1112" s="284">
        <f t="shared" si="513"/>
        <v>0</v>
      </c>
      <c r="AS1112" s="281">
        <f t="shared" si="514"/>
        <v>0</v>
      </c>
      <c r="AT1112" s="284">
        <f t="shared" si="515"/>
        <v>0</v>
      </c>
    </row>
    <row r="1113" spans="1:46" s="114" customFormat="1" ht="30.9" x14ac:dyDescent="0.8">
      <c r="A1113" s="262">
        <f>ROW()</f>
        <v>1113</v>
      </c>
      <c r="C1113" s="208"/>
      <c r="D1113" s="208"/>
      <c r="E1113" s="208"/>
      <c r="F1113" s="208"/>
      <c r="G1113" s="208"/>
      <c r="H1113" s="208"/>
      <c r="J1113" s="114" t="str">
        <f t="shared" si="508"/>
        <v/>
      </c>
      <c r="K1113" s="114" t="str">
        <f>IF(COUNTBLANK(R1113)&gt;0,"",CONCATENATE(R1113," for ",N1101))</f>
        <v/>
      </c>
      <c r="N1113" s="123" t="s">
        <v>124</v>
      </c>
      <c r="O1113" s="66" t="s">
        <v>140</v>
      </c>
      <c r="P1113" s="121"/>
      <c r="Q1113" s="121"/>
      <c r="R1113" s="121"/>
      <c r="S1113" s="133">
        <f>M1101</f>
        <v>0</v>
      </c>
      <c r="T1113" s="120"/>
      <c r="U1113" s="121" t="s">
        <v>363</v>
      </c>
      <c r="V1113" s="133">
        <f t="shared" si="502"/>
        <v>0</v>
      </c>
      <c r="W1113" s="133">
        <f>VLOOKUP(U1113,Sheet1!$B$6:$C$45,2,FALSE)*V1113</f>
        <v>0</v>
      </c>
      <c r="X1113" s="141"/>
      <c r="Y1113" s="121" t="s">
        <v>292</v>
      </c>
      <c r="Z1113" s="146">
        <f>VLOOKUP(Takeoffs!Y1113,Sheet1!$B$6:$C$124,2,FALSE)</f>
        <v>0</v>
      </c>
      <c r="AA1113" s="146">
        <f t="shared" si="503"/>
        <v>0</v>
      </c>
      <c r="AB1113" s="143">
        <f t="shared" si="504"/>
        <v>0</v>
      </c>
      <c r="AC1113" s="133">
        <f t="shared" si="509"/>
        <v>0</v>
      </c>
      <c r="AD1113" s="142">
        <v>1</v>
      </c>
      <c r="AE1113" s="141"/>
      <c r="AF1113" s="144" t="s">
        <v>269</v>
      </c>
      <c r="AG1113" s="146">
        <f>VLOOKUP(Takeoffs!AF1113,Sheet1!$B$6:$C$124,2,FALSE)</f>
        <v>1.056</v>
      </c>
      <c r="AH1113" s="146">
        <f t="shared" si="505"/>
        <v>0</v>
      </c>
      <c r="AI1113" s="143">
        <f t="shared" si="506"/>
        <v>0</v>
      </c>
      <c r="AJ1113" s="133">
        <f t="shared" si="507"/>
        <v>0</v>
      </c>
      <c r="AK1113" s="142">
        <v>30</v>
      </c>
      <c r="AL1113" s="141"/>
      <c r="AO1113" s="286"/>
      <c r="AP1113" s="284">
        <f t="shared" si="511"/>
        <v>0</v>
      </c>
      <c r="AQ1113" s="281">
        <f t="shared" si="512"/>
        <v>0</v>
      </c>
      <c r="AR1113" s="284">
        <f t="shared" si="513"/>
        <v>0</v>
      </c>
      <c r="AS1113" s="281">
        <f t="shared" si="514"/>
        <v>0</v>
      </c>
      <c r="AT1113" s="284">
        <f t="shared" si="515"/>
        <v>0</v>
      </c>
    </row>
    <row r="1114" spans="1:46" s="114" customFormat="1" ht="30.9" x14ac:dyDescent="0.8">
      <c r="A1114" s="262">
        <f>ROW()</f>
        <v>1114</v>
      </c>
      <c r="C1114" s="208"/>
      <c r="D1114" s="208"/>
      <c r="E1114" s="208"/>
      <c r="F1114" s="208"/>
      <c r="G1114" s="208"/>
      <c r="H1114" s="208"/>
      <c r="J1114" s="114" t="str">
        <f t="shared" si="508"/>
        <v/>
      </c>
      <c r="K1114" s="114" t="str">
        <f>IF(COUNTBLANK(R1114)&gt;0,"",CONCATENATE(R1114," for ",N1101))</f>
        <v/>
      </c>
      <c r="N1114" s="123" t="s">
        <v>125</v>
      </c>
      <c r="O1114" s="66" t="s">
        <v>312</v>
      </c>
      <c r="P1114" s="121"/>
      <c r="Q1114" s="121"/>
      <c r="R1114" s="121"/>
      <c r="S1114" s="133">
        <f>M1101</f>
        <v>0</v>
      </c>
      <c r="T1114" s="120"/>
      <c r="U1114" s="121" t="s">
        <v>232</v>
      </c>
      <c r="V1114" s="133">
        <f t="shared" si="502"/>
        <v>0</v>
      </c>
      <c r="W1114" s="133">
        <f>VLOOKUP(U1114,Sheet1!$B$6:$C$45,2,FALSE)*V1114</f>
        <v>0</v>
      </c>
      <c r="X1114" s="141"/>
      <c r="Y1114" s="122" t="s">
        <v>1345</v>
      </c>
      <c r="Z1114" s="146">
        <f>VLOOKUP(Takeoffs!Y1114,Sheet1!$B$6:$C$124,2,FALSE)</f>
        <v>109.25999999999999</v>
      </c>
      <c r="AA1114" s="146">
        <f t="shared" si="503"/>
        <v>0</v>
      </c>
      <c r="AB1114" s="143">
        <f t="shared" si="504"/>
        <v>0</v>
      </c>
      <c r="AC1114" s="133">
        <f t="shared" si="509"/>
        <v>0</v>
      </c>
      <c r="AD1114" s="142">
        <v>1</v>
      </c>
      <c r="AE1114" s="141"/>
      <c r="AF1114" s="121" t="s">
        <v>292</v>
      </c>
      <c r="AG1114" s="146">
        <f>VLOOKUP(Takeoffs!AF1114,Sheet1!$B$6:$C$124,2,FALSE)</f>
        <v>0</v>
      </c>
      <c r="AH1114" s="146">
        <f t="shared" si="505"/>
        <v>0</v>
      </c>
      <c r="AI1114" s="143">
        <f t="shared" si="506"/>
        <v>0</v>
      </c>
      <c r="AJ1114" s="133">
        <f t="shared" si="507"/>
        <v>0</v>
      </c>
      <c r="AK1114" s="142">
        <f t="shared" ref="AK1114:AK1119" si="516">T1114</f>
        <v>0</v>
      </c>
      <c r="AL1114" s="141"/>
      <c r="AO1114" s="286"/>
      <c r="AP1114" s="284">
        <f t="shared" si="511"/>
        <v>0</v>
      </c>
      <c r="AQ1114" s="281">
        <f t="shared" si="512"/>
        <v>0</v>
      </c>
      <c r="AR1114" s="284">
        <f t="shared" si="513"/>
        <v>0</v>
      </c>
      <c r="AS1114" s="281">
        <f t="shared" si="514"/>
        <v>0</v>
      </c>
      <c r="AT1114" s="284">
        <f t="shared" si="515"/>
        <v>0</v>
      </c>
    </row>
    <row r="1115" spans="1:46" s="114" customFormat="1" ht="30.9" x14ac:dyDescent="0.8">
      <c r="A1115" s="262">
        <f>ROW()</f>
        <v>1115</v>
      </c>
      <c r="C1115" s="208"/>
      <c r="D1115" s="208"/>
      <c r="E1115" s="208"/>
      <c r="F1115" s="208"/>
      <c r="G1115" s="208"/>
      <c r="H1115" s="208"/>
      <c r="J1115" s="114" t="str">
        <f t="shared" si="508"/>
        <v/>
      </c>
      <c r="K1115" s="114" t="str">
        <f>IF(COUNTBLANK(R1115)&gt;0,"",CONCATENATE(R1115," for ",N1101))</f>
        <v/>
      </c>
      <c r="N1115" s="123" t="s">
        <v>126</v>
      </c>
      <c r="O1115" s="66" t="s">
        <v>313</v>
      </c>
      <c r="P1115" s="121"/>
      <c r="Q1115" s="121"/>
      <c r="R1115" s="121"/>
      <c r="S1115" s="133">
        <f>M1101</f>
        <v>0</v>
      </c>
      <c r="T1115" s="120"/>
      <c r="U1115" s="121" t="s">
        <v>363</v>
      </c>
      <c r="V1115" s="133">
        <f t="shared" si="502"/>
        <v>0</v>
      </c>
      <c r="W1115" s="133">
        <f>VLOOKUP(U1115,Sheet1!$B$6:$C$45,2,FALSE)*V1115</f>
        <v>0</v>
      </c>
      <c r="X1115" s="141"/>
      <c r="Y1115" s="122" t="s">
        <v>321</v>
      </c>
      <c r="Z1115" s="146">
        <f>VLOOKUP(Takeoffs!Y1115,Sheet1!$B$6:$C$124,2,FALSE)</f>
        <v>60</v>
      </c>
      <c r="AA1115" s="146">
        <f t="shared" si="503"/>
        <v>0</v>
      </c>
      <c r="AB1115" s="143">
        <f t="shared" si="504"/>
        <v>0</v>
      </c>
      <c r="AC1115" s="133">
        <f t="shared" si="509"/>
        <v>0</v>
      </c>
      <c r="AD1115" s="142">
        <v>1</v>
      </c>
      <c r="AE1115" s="141"/>
      <c r="AF1115" s="121" t="s">
        <v>292</v>
      </c>
      <c r="AG1115" s="146">
        <f>VLOOKUP(Takeoffs!AF1115,Sheet1!$B$6:$C$124,2,FALSE)</f>
        <v>0</v>
      </c>
      <c r="AH1115" s="146">
        <f t="shared" si="505"/>
        <v>0</v>
      </c>
      <c r="AI1115" s="143">
        <f t="shared" si="506"/>
        <v>0</v>
      </c>
      <c r="AJ1115" s="133">
        <f t="shared" si="507"/>
        <v>0</v>
      </c>
      <c r="AK1115" s="142">
        <f t="shared" si="516"/>
        <v>0</v>
      </c>
      <c r="AL1115" s="141"/>
      <c r="AO1115" s="286"/>
      <c r="AP1115" s="284">
        <f t="shared" si="511"/>
        <v>0</v>
      </c>
      <c r="AQ1115" s="281">
        <f t="shared" si="512"/>
        <v>0</v>
      </c>
      <c r="AR1115" s="284">
        <f t="shared" si="513"/>
        <v>0</v>
      </c>
      <c r="AS1115" s="281">
        <f t="shared" si="514"/>
        <v>0</v>
      </c>
      <c r="AT1115" s="284">
        <f t="shared" si="515"/>
        <v>0</v>
      </c>
    </row>
    <row r="1116" spans="1:46" s="114" customFormat="1" ht="30.9" x14ac:dyDescent="0.8">
      <c r="A1116" s="262">
        <f>ROW()</f>
        <v>1116</v>
      </c>
      <c r="C1116" s="208"/>
      <c r="D1116" s="208"/>
      <c r="E1116" s="208"/>
      <c r="F1116" s="208"/>
      <c r="G1116" s="208"/>
      <c r="H1116" s="208"/>
      <c r="J1116" s="114" t="str">
        <f t="shared" si="508"/>
        <v/>
      </c>
      <c r="K1116" s="114" t="str">
        <f>IF(COUNTBLANK(R1116)&gt;0,"",CONCATENATE(R1116," for ",N1101))</f>
        <v>Run and fault lights for Fire essential Chilled Water AHU with VSD</v>
      </c>
      <c r="N1116" s="123" t="s">
        <v>127</v>
      </c>
      <c r="O1116" s="66" t="s">
        <v>314</v>
      </c>
      <c r="P1116" s="121"/>
      <c r="Q1116" s="121"/>
      <c r="R1116" s="121" t="s">
        <v>455</v>
      </c>
      <c r="S1116" s="133">
        <f>M1101</f>
        <v>0</v>
      </c>
      <c r="T1116" s="120"/>
      <c r="U1116" s="121" t="s">
        <v>292</v>
      </c>
      <c r="V1116" s="133">
        <f t="shared" si="502"/>
        <v>0</v>
      </c>
      <c r="W1116" s="133">
        <f>VLOOKUP(U1116,Sheet1!$B$6:$C$45,2,FALSE)*V1116</f>
        <v>0</v>
      </c>
      <c r="X1116" s="141"/>
      <c r="Y1116" s="122" t="s">
        <v>280</v>
      </c>
      <c r="Z1116" s="146">
        <f>VLOOKUP(Takeoffs!Y1116,Sheet1!$B$6:$C$124,2,FALSE)</f>
        <v>19.2</v>
      </c>
      <c r="AA1116" s="146">
        <f t="shared" si="503"/>
        <v>0</v>
      </c>
      <c r="AB1116" s="143">
        <f t="shared" si="504"/>
        <v>0</v>
      </c>
      <c r="AC1116" s="133">
        <f t="shared" si="509"/>
        <v>0</v>
      </c>
      <c r="AD1116" s="142">
        <v>1</v>
      </c>
      <c r="AE1116" s="141"/>
      <c r="AF1116" s="121" t="s">
        <v>292</v>
      </c>
      <c r="AG1116" s="146">
        <f>VLOOKUP(Takeoffs!AF1116,Sheet1!$B$6:$C$124,2,FALSE)</f>
        <v>0</v>
      </c>
      <c r="AH1116" s="146">
        <f t="shared" si="505"/>
        <v>0</v>
      </c>
      <c r="AI1116" s="143">
        <f t="shared" si="506"/>
        <v>0</v>
      </c>
      <c r="AJ1116" s="133">
        <f t="shared" si="507"/>
        <v>0</v>
      </c>
      <c r="AK1116" s="142">
        <f t="shared" si="516"/>
        <v>0</v>
      </c>
      <c r="AL1116" s="141"/>
      <c r="AO1116" s="286"/>
      <c r="AP1116" s="284">
        <f t="shared" si="511"/>
        <v>0</v>
      </c>
      <c r="AQ1116" s="281">
        <f t="shared" si="512"/>
        <v>0</v>
      </c>
      <c r="AR1116" s="284">
        <f t="shared" si="513"/>
        <v>0</v>
      </c>
      <c r="AS1116" s="281">
        <f t="shared" si="514"/>
        <v>0</v>
      </c>
      <c r="AT1116" s="284">
        <f t="shared" si="515"/>
        <v>0</v>
      </c>
    </row>
    <row r="1117" spans="1:46" s="114" customFormat="1" ht="30.9" x14ac:dyDescent="0.8">
      <c r="A1117" s="262">
        <f>ROW()</f>
        <v>1117</v>
      </c>
      <c r="C1117" s="208"/>
      <c r="D1117" s="208"/>
      <c r="E1117" s="208"/>
      <c r="F1117" s="208"/>
      <c r="G1117" s="208"/>
      <c r="H1117" s="208"/>
      <c r="J1117" s="114" t="str">
        <f t="shared" si="508"/>
        <v/>
      </c>
      <c r="K1117" s="114" t="str">
        <f>IF(COUNTBLANK(R1117)&gt;0,"",CONCATENATE(R1117," for ",N1101))</f>
        <v/>
      </c>
      <c r="N1117" s="123" t="s">
        <v>128</v>
      </c>
      <c r="O1117" s="66" t="s">
        <v>315</v>
      </c>
      <c r="P1117" s="121"/>
      <c r="Q1117" s="121"/>
      <c r="R1117" s="121"/>
      <c r="S1117" s="133">
        <f>M1101</f>
        <v>0</v>
      </c>
      <c r="T1117" s="120"/>
      <c r="U1117" s="121" t="s">
        <v>292</v>
      </c>
      <c r="V1117" s="133">
        <f t="shared" si="502"/>
        <v>0</v>
      </c>
      <c r="W1117" s="133">
        <f>VLOOKUP(U1117,Sheet1!$B$6:$C$45,2,FALSE)*V1117</f>
        <v>0</v>
      </c>
      <c r="X1117" s="141"/>
      <c r="Y1117" s="122" t="s">
        <v>280</v>
      </c>
      <c r="Z1117" s="146">
        <f>VLOOKUP(Takeoffs!Y1117,Sheet1!$B$6:$C$124,2,FALSE)</f>
        <v>19.2</v>
      </c>
      <c r="AA1117" s="146">
        <f t="shared" si="503"/>
        <v>0</v>
      </c>
      <c r="AB1117" s="143">
        <f t="shared" si="504"/>
        <v>0</v>
      </c>
      <c r="AC1117" s="133">
        <f t="shared" si="509"/>
        <v>0</v>
      </c>
      <c r="AD1117" s="142">
        <v>1</v>
      </c>
      <c r="AE1117" s="141"/>
      <c r="AF1117" s="121" t="s">
        <v>292</v>
      </c>
      <c r="AG1117" s="146">
        <f>VLOOKUP(Takeoffs!AF1117,Sheet1!$B$6:$C$124,2,FALSE)</f>
        <v>0</v>
      </c>
      <c r="AH1117" s="146">
        <f t="shared" si="505"/>
        <v>0</v>
      </c>
      <c r="AI1117" s="143">
        <f t="shared" si="506"/>
        <v>0</v>
      </c>
      <c r="AJ1117" s="133">
        <f t="shared" si="507"/>
        <v>0</v>
      </c>
      <c r="AK1117" s="142">
        <f t="shared" si="516"/>
        <v>0</v>
      </c>
      <c r="AL1117" s="141"/>
      <c r="AO1117" s="286"/>
      <c r="AP1117" s="284">
        <f t="shared" si="511"/>
        <v>0</v>
      </c>
      <c r="AQ1117" s="281">
        <f t="shared" si="512"/>
        <v>0</v>
      </c>
      <c r="AR1117" s="284">
        <f t="shared" si="513"/>
        <v>0</v>
      </c>
      <c r="AS1117" s="281">
        <f t="shared" si="514"/>
        <v>0</v>
      </c>
      <c r="AT1117" s="284">
        <f t="shared" si="515"/>
        <v>0</v>
      </c>
    </row>
    <row r="1118" spans="1:46" s="114" customFormat="1" ht="30.9" x14ac:dyDescent="0.8">
      <c r="A1118" s="262">
        <f>ROW()</f>
        <v>1118</v>
      </c>
      <c r="C1118" s="208"/>
      <c r="D1118" s="208"/>
      <c r="E1118" s="208"/>
      <c r="F1118" s="208"/>
      <c r="G1118" s="208"/>
      <c r="H1118" s="208"/>
      <c r="J1118" s="114" t="str">
        <f t="shared" si="508"/>
        <v/>
      </c>
      <c r="K1118" s="114" t="str">
        <f>IF(COUNTBLANK(R1118)&gt;0,"",CONCATENATE(R1118," for ",N1101))</f>
        <v>Auto/Off/On switch for Fire essential Chilled Water AHU with VSD</v>
      </c>
      <c r="N1118" s="123" t="s">
        <v>129</v>
      </c>
      <c r="O1118" s="66" t="s">
        <v>329</v>
      </c>
      <c r="P1118" s="121"/>
      <c r="Q1118" s="121"/>
      <c r="R1118" s="121" t="s">
        <v>304</v>
      </c>
      <c r="S1118" s="133">
        <f>M1101</f>
        <v>0</v>
      </c>
      <c r="T1118" s="120"/>
      <c r="U1118" s="121" t="s">
        <v>292</v>
      </c>
      <c r="V1118" s="133">
        <f t="shared" si="502"/>
        <v>0</v>
      </c>
      <c r="W1118" s="133">
        <f>VLOOKUP(U1118,Sheet1!$B$6:$C$45,2,FALSE)*V1118</f>
        <v>0</v>
      </c>
      <c r="X1118" s="141"/>
      <c r="Y1118" s="122" t="s">
        <v>277</v>
      </c>
      <c r="Z1118" s="146">
        <f>VLOOKUP(Takeoffs!Y1118,Sheet1!$B$6:$C$124,2,FALSE)</f>
        <v>69.540000000000006</v>
      </c>
      <c r="AA1118" s="146">
        <f t="shared" si="503"/>
        <v>0</v>
      </c>
      <c r="AB1118" s="143">
        <f t="shared" si="504"/>
        <v>0</v>
      </c>
      <c r="AC1118" s="133">
        <f t="shared" si="509"/>
        <v>0</v>
      </c>
      <c r="AD1118" s="142">
        <v>1</v>
      </c>
      <c r="AE1118" s="141"/>
      <c r="AF1118" s="121" t="s">
        <v>292</v>
      </c>
      <c r="AG1118" s="146">
        <f>VLOOKUP(Takeoffs!AF1118,Sheet1!$B$6:$C$124,2,FALSE)</f>
        <v>0</v>
      </c>
      <c r="AH1118" s="146">
        <f t="shared" si="505"/>
        <v>0</v>
      </c>
      <c r="AI1118" s="143">
        <f t="shared" si="506"/>
        <v>0</v>
      </c>
      <c r="AJ1118" s="133">
        <f t="shared" si="507"/>
        <v>0</v>
      </c>
      <c r="AK1118" s="142">
        <f t="shared" si="516"/>
        <v>0</v>
      </c>
      <c r="AL1118" s="141"/>
      <c r="AO1118" s="286"/>
      <c r="AP1118" s="284">
        <f t="shared" si="511"/>
        <v>0</v>
      </c>
      <c r="AQ1118" s="281">
        <f t="shared" si="512"/>
        <v>0</v>
      </c>
      <c r="AR1118" s="284">
        <f t="shared" si="513"/>
        <v>0</v>
      </c>
      <c r="AS1118" s="281">
        <f t="shared" si="514"/>
        <v>0</v>
      </c>
      <c r="AT1118" s="284">
        <f t="shared" si="515"/>
        <v>0</v>
      </c>
    </row>
    <row r="1119" spans="1:46" s="114" customFormat="1" ht="30.9" x14ac:dyDescent="0.8">
      <c r="A1119" s="262">
        <f>ROW()</f>
        <v>1119</v>
      </c>
      <c r="C1119" s="208"/>
      <c r="D1119" s="208"/>
      <c r="E1119" s="208"/>
      <c r="F1119" s="208"/>
      <c r="G1119" s="208"/>
      <c r="H1119" s="208"/>
      <c r="J1119" s="114" t="str">
        <f t="shared" si="508"/>
        <v/>
      </c>
      <c r="K1119" s="114" t="str">
        <f>IF(COUNTBLANK(R1119)&gt;0,"",CONCATENATE(R1119," for ",N1101))</f>
        <v/>
      </c>
      <c r="N1119" s="123" t="s">
        <v>130</v>
      </c>
      <c r="O1119" s="66"/>
      <c r="P1119" s="121"/>
      <c r="Q1119" s="121"/>
      <c r="R1119" s="121"/>
      <c r="S1119" s="133">
        <f>M1101</f>
        <v>0</v>
      </c>
      <c r="T1119" s="120"/>
      <c r="U1119" s="121" t="s">
        <v>292</v>
      </c>
      <c r="V1119" s="133">
        <f t="shared" si="502"/>
        <v>0</v>
      </c>
      <c r="W1119" s="133">
        <f>VLOOKUP(U1119,Sheet1!$B$6:$C$45,2,FALSE)*V1119</f>
        <v>0</v>
      </c>
      <c r="X1119" s="141"/>
      <c r="Y1119" s="121" t="s">
        <v>292</v>
      </c>
      <c r="Z1119" s="146">
        <f>VLOOKUP(Takeoffs!Y1119,Sheet1!$B$6:$C$124,2,FALSE)</f>
        <v>0</v>
      </c>
      <c r="AA1119" s="146">
        <f t="shared" si="503"/>
        <v>0</v>
      </c>
      <c r="AB1119" s="143">
        <f t="shared" si="504"/>
        <v>0</v>
      </c>
      <c r="AC1119" s="133">
        <f t="shared" si="509"/>
        <v>0</v>
      </c>
      <c r="AD1119" s="142">
        <v>1</v>
      </c>
      <c r="AE1119" s="141"/>
      <c r="AF1119" s="121" t="s">
        <v>292</v>
      </c>
      <c r="AG1119" s="146">
        <f>VLOOKUP(Takeoffs!AF1119,Sheet1!$B$6:$C$124,2,FALSE)</f>
        <v>0</v>
      </c>
      <c r="AH1119" s="146">
        <f t="shared" si="505"/>
        <v>0</v>
      </c>
      <c r="AI1119" s="143">
        <f t="shared" si="506"/>
        <v>0</v>
      </c>
      <c r="AJ1119" s="133">
        <f t="shared" si="507"/>
        <v>0</v>
      </c>
      <c r="AK1119" s="142">
        <f t="shared" si="516"/>
        <v>0</v>
      </c>
      <c r="AL1119" s="141"/>
      <c r="AO1119" s="286"/>
      <c r="AP1119" s="284">
        <f t="shared" si="511"/>
        <v>0</v>
      </c>
      <c r="AQ1119" s="281">
        <f t="shared" si="512"/>
        <v>0</v>
      </c>
      <c r="AR1119" s="284">
        <f t="shared" si="513"/>
        <v>0</v>
      </c>
      <c r="AS1119" s="281">
        <f t="shared" si="514"/>
        <v>0</v>
      </c>
      <c r="AT1119" s="284">
        <f t="shared" si="515"/>
        <v>0</v>
      </c>
    </row>
    <row r="1120" spans="1:46" s="114" customFormat="1" ht="30.9" x14ac:dyDescent="0.8">
      <c r="A1120" s="262">
        <f>ROW()</f>
        <v>1120</v>
      </c>
      <c r="C1120" s="208"/>
      <c r="D1120" s="208"/>
      <c r="E1120" s="208"/>
      <c r="F1120" s="208"/>
      <c r="G1120" s="208"/>
      <c r="H1120" s="208"/>
      <c r="J1120" s="114" t="str">
        <f t="shared" si="508"/>
        <v>Coordination Note: - Fire trade: Please refer to our exclusions relating to fire cabling from FIP.</v>
      </c>
      <c r="K1120" s="114" t="str">
        <f>IF(COUNTBLANK(R1120)&gt;0,"",CONCATENATE(R1120," for ",N1101))</f>
        <v/>
      </c>
      <c r="N1120" s="123" t="s">
        <v>131</v>
      </c>
      <c r="O1120" s="66" t="s">
        <v>412</v>
      </c>
      <c r="P1120" s="121" t="s">
        <v>380</v>
      </c>
      <c r="Q1120" s="121" t="s">
        <v>384</v>
      </c>
      <c r="R1120" s="121"/>
      <c r="S1120" s="133">
        <f>M1101</f>
        <v>0</v>
      </c>
      <c r="T1120" s="120"/>
      <c r="U1120" s="121" t="s">
        <v>292</v>
      </c>
      <c r="V1120" s="133">
        <f t="shared" si="502"/>
        <v>0</v>
      </c>
      <c r="W1120" s="133">
        <f>VLOOKUP(U1120,Sheet1!$B$6:$C$45,2,FALSE)*V1120</f>
        <v>0</v>
      </c>
      <c r="X1120" s="141"/>
      <c r="Y1120" s="122" t="s">
        <v>322</v>
      </c>
      <c r="Z1120" s="146">
        <f>VLOOKUP(Takeoffs!Y1120,Sheet1!$B$6:$C$124,2,FALSE)</f>
        <v>48</v>
      </c>
      <c r="AA1120" s="146">
        <f t="shared" si="503"/>
        <v>0</v>
      </c>
      <c r="AB1120" s="143">
        <f t="shared" si="504"/>
        <v>0</v>
      </c>
      <c r="AC1120" s="133">
        <f t="shared" si="509"/>
        <v>0</v>
      </c>
      <c r="AD1120" s="142">
        <v>1</v>
      </c>
      <c r="AE1120" s="141"/>
      <c r="AF1120" s="121" t="s">
        <v>292</v>
      </c>
      <c r="AG1120" s="146">
        <f>VLOOKUP(Takeoffs!AF1120,Sheet1!$B$6:$C$124,2,FALSE)</f>
        <v>0</v>
      </c>
      <c r="AH1120" s="146">
        <f t="shared" si="505"/>
        <v>0</v>
      </c>
      <c r="AI1120" s="143">
        <f t="shared" si="506"/>
        <v>0</v>
      </c>
      <c r="AJ1120" s="133">
        <f t="shared" si="507"/>
        <v>0</v>
      </c>
      <c r="AK1120" s="142">
        <f>T1120</f>
        <v>0</v>
      </c>
      <c r="AL1120" s="141"/>
      <c r="AO1120" s="286"/>
      <c r="AP1120" s="284">
        <f t="shared" si="511"/>
        <v>0</v>
      </c>
      <c r="AQ1120" s="281">
        <f t="shared" si="512"/>
        <v>0</v>
      </c>
      <c r="AR1120" s="284">
        <f t="shared" si="513"/>
        <v>0</v>
      </c>
      <c r="AS1120" s="281">
        <f t="shared" si="514"/>
        <v>0</v>
      </c>
      <c r="AT1120" s="284">
        <f t="shared" si="515"/>
        <v>0</v>
      </c>
    </row>
    <row r="1121" spans="1:97" s="114" customFormat="1" ht="30.9" x14ac:dyDescent="0.8">
      <c r="A1121" s="262">
        <f>ROW()</f>
        <v>1121</v>
      </c>
      <c r="C1121" s="208"/>
      <c r="D1121" s="208"/>
      <c r="E1121" s="208"/>
      <c r="F1121" s="208"/>
      <c r="G1121" s="208"/>
      <c r="H1121" s="208"/>
      <c r="J1121" s="114" t="str">
        <f t="shared" si="508"/>
        <v/>
      </c>
      <c r="K1121" s="114" t="str">
        <f>IF(COUNTBLANK(R1121)&gt;0,"",CONCATENATE(R1121," for ",N1101))</f>
        <v/>
      </c>
      <c r="N1121" s="123" t="s">
        <v>132</v>
      </c>
      <c r="O1121" s="66" t="s">
        <v>408</v>
      </c>
      <c r="P1121" s="121"/>
      <c r="Q1121" s="121"/>
      <c r="R1121" s="121"/>
      <c r="S1121" s="133">
        <f>M1101</f>
        <v>0</v>
      </c>
      <c r="T1121" s="120"/>
      <c r="U1121" s="121" t="s">
        <v>364</v>
      </c>
      <c r="V1121" s="133">
        <f t="shared" si="502"/>
        <v>0</v>
      </c>
      <c r="W1121" s="133">
        <f>VLOOKUP(U1121,Sheet1!$B$6:$C$45,2,FALSE)*V1121</f>
        <v>0</v>
      </c>
      <c r="X1121" s="141"/>
      <c r="Y1121" s="121" t="s">
        <v>292</v>
      </c>
      <c r="Z1121" s="146">
        <f>VLOOKUP(Takeoffs!Y1121,Sheet1!$B$6:$C$124,2,FALSE)</f>
        <v>0</v>
      </c>
      <c r="AA1121" s="146">
        <f t="shared" si="503"/>
        <v>0</v>
      </c>
      <c r="AB1121" s="143">
        <f t="shared" si="504"/>
        <v>0</v>
      </c>
      <c r="AC1121" s="133">
        <f t="shared" si="509"/>
        <v>0</v>
      </c>
      <c r="AD1121" s="142">
        <v>1</v>
      </c>
      <c r="AE1121" s="141"/>
      <c r="AF1121" s="121" t="s">
        <v>292</v>
      </c>
      <c r="AG1121" s="146">
        <f>VLOOKUP(Takeoffs!AF1121,Sheet1!$B$6:$C$124,2,FALSE)</f>
        <v>0</v>
      </c>
      <c r="AH1121" s="146">
        <f t="shared" si="505"/>
        <v>0</v>
      </c>
      <c r="AI1121" s="143">
        <f t="shared" si="506"/>
        <v>0</v>
      </c>
      <c r="AJ1121" s="133">
        <f t="shared" si="507"/>
        <v>0</v>
      </c>
      <c r="AK1121" s="142">
        <f>T1121</f>
        <v>0</v>
      </c>
      <c r="AL1121" s="141"/>
      <c r="AO1121" s="286"/>
      <c r="AP1121" s="284">
        <f t="shared" si="511"/>
        <v>0</v>
      </c>
      <c r="AQ1121" s="281">
        <f t="shared" si="512"/>
        <v>0</v>
      </c>
      <c r="AR1121" s="284">
        <f t="shared" si="513"/>
        <v>0</v>
      </c>
      <c r="AS1121" s="281">
        <f t="shared" si="514"/>
        <v>0</v>
      </c>
      <c r="AT1121" s="284">
        <f t="shared" si="515"/>
        <v>0</v>
      </c>
    </row>
    <row r="1122" spans="1:97" s="128" customFormat="1" ht="31.5" customHeight="1" x14ac:dyDescent="0.8">
      <c r="A1122" s="262">
        <f>ROW()</f>
        <v>1122</v>
      </c>
      <c r="C1122" s="212"/>
      <c r="D1122" s="212"/>
      <c r="E1122" s="212"/>
      <c r="F1122" s="212"/>
      <c r="G1122" s="212"/>
      <c r="H1122" s="212"/>
      <c r="J1122" s="128" t="s">
        <v>377</v>
      </c>
      <c r="L1122" s="128" t="s">
        <v>378</v>
      </c>
      <c r="N1122" s="129"/>
      <c r="O1122" s="130" t="s">
        <v>357</v>
      </c>
      <c r="P1122" s="131">
        <f>V1122+AA1122+AH1122</f>
        <v>0</v>
      </c>
      <c r="Q1122" s="131"/>
      <c r="R1122" s="131"/>
      <c r="S1122" s="130"/>
      <c r="T1122" s="127"/>
      <c r="U1122" s="126" t="s">
        <v>351</v>
      </c>
      <c r="V1122" s="127">
        <f>W1122*80</f>
        <v>0</v>
      </c>
      <c r="W1122" s="147">
        <f>SUM(W1101:W1121)</f>
        <v>0</v>
      </c>
      <c r="X1122" s="148"/>
      <c r="Y1122" s="127" t="s">
        <v>352</v>
      </c>
      <c r="Z1122" s="116"/>
      <c r="AA1122" s="116">
        <f>SUM(AA1101:AA1121)</f>
        <v>0</v>
      </c>
      <c r="AB1122" s="149"/>
      <c r="AC1122" s="149"/>
      <c r="AD1122" s="149"/>
      <c r="AE1122" s="149"/>
      <c r="AF1122" s="127" t="s">
        <v>356</v>
      </c>
      <c r="AG1122" s="116"/>
      <c r="AH1122" s="116">
        <f>SUM(AH1101:AH1121)</f>
        <v>0</v>
      </c>
      <c r="AI1122" s="149"/>
      <c r="AJ1122" s="149"/>
      <c r="AK1122" s="149"/>
      <c r="AL1122" s="149"/>
      <c r="AM1122" s="150">
        <f>P1122</f>
        <v>0</v>
      </c>
      <c r="AO1122" s="286"/>
      <c r="AP1122" s="284">
        <f t="shared" si="511"/>
        <v>0</v>
      </c>
      <c r="AQ1122" s="281">
        <f t="shared" si="512"/>
        <v>0</v>
      </c>
      <c r="AR1122" s="284">
        <f t="shared" si="513"/>
        <v>0</v>
      </c>
      <c r="AS1122" s="281">
        <f t="shared" si="514"/>
        <v>0</v>
      </c>
      <c r="AT1122" s="284">
        <f t="shared" si="515"/>
        <v>0</v>
      </c>
    </row>
    <row r="1123" spans="1:97" s="234" customFormat="1" ht="185.15" x14ac:dyDescent="0.8">
      <c r="A1123" s="262">
        <f>ROW()</f>
        <v>1123</v>
      </c>
      <c r="B1123" s="234" t="s">
        <v>491</v>
      </c>
      <c r="C1123" s="217" t="str">
        <f>N1101</f>
        <v>Fire essential Chilled Water AHU with VSD</v>
      </c>
      <c r="D1123" s="260" t="s">
        <v>678</v>
      </c>
      <c r="E1123" s="238"/>
      <c r="F1123" s="217"/>
      <c r="G1123" s="217"/>
      <c r="H1123" s="245"/>
      <c r="I1123" s="270"/>
      <c r="J1123" s="241" t="str">
        <f>CONCATENATE(O1101," ",L1101, " (",M1101,") ",N1101,".", IF(M1101&gt;1," Each "," This "),"includes supply and install of ",O1102,O1103,O1104,O1105,O1106,O1107,O1108,O1109,O1110,O1111,O1112,O1113,O1114,O1115,O1116,O1117,O1118,O1119,O1120,O1121,J1102,J1103,J1104,J1105,J1106,J1107,J1108,J1109,J1110,J1111,J1112,J1113,J1114,J1115,J1116,J1117,J1118,J1119,J1120,J1121)</f>
        <v>Electrical power supply and controls to Zero (0) Fire essential Chilled Water AHU with VSD. This includes supply and install of power and controls. Power for systems includes: CB, cabling to VSD, Danfoss VSD, shielded cabling, local isolator, 003 padlock, fan isolator and MSSB AS1668.1  trefolyte label. Controls for systems includes: Spring return damper actuator ( Nominal allowance of 2 per system for smoke control - TBC in detailed design), controls cabling, contactors/relays, air pressure  switch, run light, fault light, Auto/Off/On switch, interface at MSSB for fire trade connection and commissioning/testing. Coordination Note: - Fire trade: Please refer to our exclusions relating to fire cabling from FIP.</v>
      </c>
      <c r="K1123" s="246">
        <f>P1122</f>
        <v>0</v>
      </c>
      <c r="L1123" s="234" t="str">
        <f>CONCATENATE(Q1102,Q1103,Q1104,Q1105,Q1106,Q1107,Q1108,Q1109,Q1110,Q1111,Q1112,Q1113,Q1114,Q1115,Q1116,Q1117,Q1118,Q1119,Q1120,Q1121,)</f>
        <v>fire cabling from FIP.</v>
      </c>
      <c r="M1123" s="166" t="s">
        <v>367</v>
      </c>
      <c r="N1123" s="160" t="str">
        <f>N1101</f>
        <v>Fire essential Chilled Water AHU with VSD</v>
      </c>
      <c r="O1123" s="160" t="s">
        <v>365</v>
      </c>
      <c r="P1123" s="171" t="e">
        <f>P1122/M1101</f>
        <v>#DIV/0!</v>
      </c>
      <c r="Q1123" s="161"/>
      <c r="R1123" s="161"/>
      <c r="S1123" s="160"/>
      <c r="T1123" s="161"/>
      <c r="U1123" s="503" t="s">
        <v>366</v>
      </c>
      <c r="V1123" s="503"/>
      <c r="W1123" s="162" t="e">
        <f>W1122/M1101</f>
        <v>#DIV/0!</v>
      </c>
      <c r="X1123" s="163"/>
      <c r="Y1123" s="501" t="s">
        <v>365</v>
      </c>
      <c r="Z1123" s="501"/>
      <c r="AA1123" s="164" t="e">
        <f>AA1122/M1101</f>
        <v>#DIV/0!</v>
      </c>
      <c r="AB1123" s="161"/>
      <c r="AC1123" s="161"/>
      <c r="AD1123" s="161"/>
      <c r="AE1123" s="161"/>
      <c r="AF1123" s="501" t="s">
        <v>365</v>
      </c>
      <c r="AG1123" s="501"/>
      <c r="AH1123" s="164" t="e">
        <f>AH1122/M1101</f>
        <v>#DIV/0!</v>
      </c>
      <c r="AI1123" s="161"/>
      <c r="AJ1123" s="161"/>
      <c r="AK1123" s="161"/>
      <c r="AL1123" s="247"/>
      <c r="AM1123" s="257"/>
      <c r="AN1123" s="236">
        <f>K1123*1.25</f>
        <v>0</v>
      </c>
      <c r="AO1123" s="286"/>
      <c r="AP1123" s="284">
        <f t="shared" si="511"/>
        <v>0</v>
      </c>
      <c r="AQ1123" s="281">
        <f t="shared" si="512"/>
        <v>0</v>
      </c>
      <c r="AR1123" s="284">
        <f t="shared" si="513"/>
        <v>0</v>
      </c>
      <c r="AS1123" s="281">
        <f t="shared" si="514"/>
        <v>0</v>
      </c>
      <c r="AT1123" s="284">
        <f t="shared" si="515"/>
        <v>0</v>
      </c>
      <c r="AU1123" s="117"/>
      <c r="AV1123" s="117"/>
      <c r="AW1123" s="117"/>
      <c r="AX1123" s="117"/>
      <c r="AY1123" s="117"/>
      <c r="AZ1123" s="117"/>
      <c r="BA1123" s="117"/>
      <c r="BB1123" s="117"/>
      <c r="BC1123" s="117"/>
      <c r="BD1123" s="117"/>
      <c r="BE1123" s="117"/>
      <c r="BF1123" s="117"/>
      <c r="BG1123" s="117"/>
      <c r="BH1123" s="117"/>
      <c r="BI1123" s="117"/>
      <c r="BJ1123" s="117"/>
      <c r="BK1123" s="117"/>
      <c r="BL1123" s="117"/>
      <c r="BM1123" s="117"/>
      <c r="BN1123" s="117"/>
      <c r="BO1123" s="117"/>
      <c r="BP1123" s="117"/>
      <c r="BQ1123" s="117"/>
      <c r="BR1123" s="117"/>
      <c r="BS1123" s="117"/>
      <c r="BT1123" s="117"/>
      <c r="BU1123" s="117"/>
      <c r="BV1123" s="117"/>
      <c r="BW1123" s="117"/>
      <c r="BX1123" s="117"/>
      <c r="BY1123" s="117"/>
      <c r="BZ1123" s="117"/>
      <c r="CA1123" s="117"/>
      <c r="CB1123" s="117"/>
      <c r="CC1123" s="117"/>
      <c r="CD1123" s="117"/>
      <c r="CE1123" s="117"/>
      <c r="CF1123" s="117"/>
      <c r="CG1123" s="117"/>
      <c r="CH1123" s="117"/>
      <c r="CI1123" s="117"/>
      <c r="CJ1123" s="117"/>
      <c r="CK1123" s="117"/>
      <c r="CL1123" s="117"/>
      <c r="CM1123" s="117"/>
      <c r="CN1123" s="117"/>
      <c r="CO1123" s="117"/>
      <c r="CP1123" s="117"/>
      <c r="CQ1123" s="117"/>
      <c r="CR1123" s="117"/>
      <c r="CS1123" s="117"/>
    </row>
    <row r="1124" spans="1:97" s="116" customFormat="1" ht="193.5" customHeight="1" x14ac:dyDescent="0.8">
      <c r="A1124" s="262">
        <f>ROW()</f>
        <v>1124</v>
      </c>
      <c r="C1124" s="211"/>
      <c r="D1124" s="211"/>
      <c r="E1124" s="211"/>
      <c r="F1124" s="211"/>
      <c r="G1124" s="211"/>
      <c r="H1124" s="211"/>
      <c r="K1124" s="116" t="s">
        <v>452</v>
      </c>
      <c r="M1124" s="116" t="s">
        <v>107</v>
      </c>
      <c r="N1124" s="116" t="s">
        <v>108</v>
      </c>
      <c r="O1124" s="170" t="s">
        <v>386</v>
      </c>
      <c r="P1124" s="502" t="s">
        <v>375</v>
      </c>
      <c r="Q1124" s="502"/>
      <c r="R1124" s="101" t="s">
        <v>452</v>
      </c>
      <c r="S1124" s="116" t="s">
        <v>0</v>
      </c>
      <c r="T1124" s="118"/>
      <c r="U1124" s="116" t="s">
        <v>287</v>
      </c>
      <c r="V1124" s="116" t="s">
        <v>288</v>
      </c>
      <c r="W1124" s="116" t="s">
        <v>291</v>
      </c>
      <c r="X1124" s="140"/>
      <c r="Y1124" s="116" t="s">
        <v>289</v>
      </c>
      <c r="Z1124" s="116" t="s">
        <v>354</v>
      </c>
      <c r="AA1124" s="116" t="s">
        <v>355</v>
      </c>
      <c r="AB1124" s="116" t="s">
        <v>317</v>
      </c>
      <c r="AC1124" s="116" t="s">
        <v>318</v>
      </c>
      <c r="AD1124" s="116" t="s">
        <v>316</v>
      </c>
      <c r="AE1124" s="140"/>
      <c r="AF1124" s="116" t="s">
        <v>293</v>
      </c>
      <c r="AG1124" s="116" t="s">
        <v>354</v>
      </c>
      <c r="AH1124" s="116" t="s">
        <v>355</v>
      </c>
      <c r="AI1124" s="116" t="s">
        <v>296</v>
      </c>
      <c r="AJ1124" s="116" t="s">
        <v>294</v>
      </c>
      <c r="AK1124" s="116" t="s">
        <v>295</v>
      </c>
      <c r="AL1124" s="140"/>
      <c r="AO1124" s="288"/>
      <c r="AP1124" s="284">
        <f t="shared" si="511"/>
        <v>0</v>
      </c>
      <c r="AQ1124" s="281">
        <f t="shared" si="512"/>
        <v>0</v>
      </c>
      <c r="AR1124" s="284">
        <f t="shared" si="513"/>
        <v>0</v>
      </c>
      <c r="AS1124" s="281">
        <f t="shared" si="514"/>
        <v>0</v>
      </c>
      <c r="AT1124" s="284">
        <f t="shared" si="515"/>
        <v>0</v>
      </c>
    </row>
    <row r="1125" spans="1:97" s="114" customFormat="1" ht="32.25" customHeight="1" x14ac:dyDescent="0.8">
      <c r="A1125" s="262">
        <f>ROW()</f>
        <v>1125</v>
      </c>
      <c r="C1125" s="208"/>
      <c r="D1125" s="208"/>
      <c r="E1125" s="208"/>
      <c r="F1125" s="208"/>
      <c r="G1125" s="208"/>
      <c r="H1125" s="208"/>
      <c r="L1125" s="124" t="str">
        <f>VLOOKUP(M1125,Sheet2!$D$2:$E$1024,2,FALSE)</f>
        <v>Zero</v>
      </c>
      <c r="M1125" s="121">
        <f>I1147</f>
        <v>0</v>
      </c>
      <c r="N1125" s="132" t="s">
        <v>563</v>
      </c>
      <c r="O1125" s="121" t="s">
        <v>347</v>
      </c>
      <c r="P1125" s="169" t="s">
        <v>379</v>
      </c>
      <c r="Q1125" s="169" t="s">
        <v>375</v>
      </c>
      <c r="R1125" s="169"/>
      <c r="S1125" s="133">
        <f>M1125</f>
        <v>0</v>
      </c>
      <c r="T1125" s="119"/>
      <c r="U1125" s="153" t="s">
        <v>292</v>
      </c>
      <c r="V1125" s="133">
        <f>S1125</f>
        <v>0</v>
      </c>
      <c r="W1125" s="133">
        <f>VLOOKUP(U1125,Sheet1!$B$6:$C$45,2,FALSE)*V1125</f>
        <v>0</v>
      </c>
      <c r="X1125" s="141"/>
      <c r="Y1125" s="121" t="s">
        <v>292</v>
      </c>
      <c r="Z1125" s="146">
        <f>VLOOKUP(Takeoffs!Y1125,Sheet1!$B$6:$C$124,2,FALSE)</f>
        <v>0</v>
      </c>
      <c r="AA1125" s="146">
        <f>Z1125*AB1125</f>
        <v>0</v>
      </c>
      <c r="AB1125" s="143">
        <f>AD1125*AC1125</f>
        <v>0</v>
      </c>
      <c r="AC1125" s="133">
        <f>S1125</f>
        <v>0</v>
      </c>
      <c r="AD1125" s="142">
        <v>1</v>
      </c>
      <c r="AE1125" s="141"/>
      <c r="AF1125" s="121" t="s">
        <v>292</v>
      </c>
      <c r="AG1125" s="146">
        <f>VLOOKUP(Takeoffs!AF1125,Sheet1!$B$6:$C$124,2,FALSE)</f>
        <v>0</v>
      </c>
      <c r="AH1125" s="146">
        <f>AG1125*AI1125</f>
        <v>0</v>
      </c>
      <c r="AI1125" s="143">
        <f>AK1125*AJ1125</f>
        <v>0</v>
      </c>
      <c r="AJ1125" s="133">
        <f>S1125</f>
        <v>0</v>
      </c>
      <c r="AK1125" s="142">
        <f>T1125</f>
        <v>0</v>
      </c>
      <c r="AL1125" s="141"/>
      <c r="AO1125" s="286"/>
      <c r="AP1125" s="284">
        <f t="shared" si="511"/>
        <v>0</v>
      </c>
      <c r="AQ1125" s="281">
        <f t="shared" si="512"/>
        <v>0</v>
      </c>
      <c r="AR1125" s="284">
        <f t="shared" si="513"/>
        <v>0</v>
      </c>
      <c r="AS1125" s="281">
        <f t="shared" si="514"/>
        <v>0</v>
      </c>
      <c r="AT1125" s="284">
        <f t="shared" si="515"/>
        <v>0</v>
      </c>
    </row>
    <row r="1126" spans="1:97" s="114" customFormat="1" ht="30.9" x14ac:dyDescent="0.8">
      <c r="A1126" s="262">
        <f>ROW()</f>
        <v>1126</v>
      </c>
      <c r="C1126" s="208"/>
      <c r="D1126" s="208"/>
      <c r="E1126" s="208"/>
      <c r="F1126" s="208"/>
      <c r="G1126" s="208"/>
      <c r="H1126" s="208"/>
      <c r="J1126" s="114" t="str">
        <f>IF(COUNTBLANK(Q1126)&gt;0,"",CONCATENATE("Coordination Note: - ",P1126,": Please refer to our exclusions relating to ",Q1126))</f>
        <v/>
      </c>
      <c r="K1126" s="114" t="str">
        <f>IF(COUNTBLANK(R1126)&gt;0,"",CONCATENATE(R1126," for ",N1125))</f>
        <v/>
      </c>
      <c r="M1126" s="117"/>
      <c r="N1126" s="123" t="s">
        <v>113</v>
      </c>
      <c r="O1126" s="66" t="s">
        <v>411</v>
      </c>
      <c r="P1126" s="121"/>
      <c r="Q1126" s="121"/>
      <c r="R1126" s="121"/>
      <c r="S1126" s="133">
        <f>M1125</f>
        <v>0</v>
      </c>
      <c r="T1126" s="120"/>
      <c r="U1126" s="121" t="s">
        <v>233</v>
      </c>
      <c r="V1126" s="133">
        <f t="shared" ref="V1126:V1145" si="517">S1126</f>
        <v>0</v>
      </c>
      <c r="W1126" s="133">
        <f>VLOOKUP(U1126,Sheet1!$B$6:$C$45,2,FALSE)*V1126</f>
        <v>0</v>
      </c>
      <c r="X1126" s="141"/>
      <c r="Y1126" s="121" t="s">
        <v>292</v>
      </c>
      <c r="Z1126" s="146">
        <f>VLOOKUP(Takeoffs!Y1126,Sheet1!$B$6:$C$124,2,FALSE)</f>
        <v>0</v>
      </c>
      <c r="AA1126" s="146">
        <f t="shared" ref="AA1126:AA1145" si="518">Z1126*AB1126</f>
        <v>0</v>
      </c>
      <c r="AB1126" s="143">
        <f t="shared" ref="AB1126:AB1145" si="519">AD1126*AC1126</f>
        <v>0</v>
      </c>
      <c r="AC1126" s="133">
        <f t="shared" ref="AC1126:AC1145" si="520">S1126</f>
        <v>0</v>
      </c>
      <c r="AD1126" s="142">
        <v>1</v>
      </c>
      <c r="AE1126" s="141"/>
      <c r="AF1126" s="121" t="s">
        <v>292</v>
      </c>
      <c r="AG1126" s="146">
        <f>VLOOKUP(Takeoffs!AF1126,Sheet1!$B$6:$C$124,2,FALSE)</f>
        <v>0</v>
      </c>
      <c r="AH1126" s="146">
        <f t="shared" ref="AH1126:AH1145" si="521">AG1126*AI1126</f>
        <v>0</v>
      </c>
      <c r="AI1126" s="143">
        <f t="shared" ref="AI1126:AI1145" si="522">AK1126*AJ1126</f>
        <v>0</v>
      </c>
      <c r="AJ1126" s="133">
        <f t="shared" ref="AJ1126:AJ1145" si="523">S1126</f>
        <v>0</v>
      </c>
      <c r="AK1126" s="142"/>
      <c r="AL1126" s="141"/>
      <c r="AO1126" s="286"/>
      <c r="AP1126" s="284">
        <f t="shared" si="511"/>
        <v>0</v>
      </c>
      <c r="AQ1126" s="281">
        <f t="shared" si="512"/>
        <v>0</v>
      </c>
      <c r="AR1126" s="284">
        <f t="shared" si="513"/>
        <v>0</v>
      </c>
      <c r="AS1126" s="281">
        <f t="shared" si="514"/>
        <v>0</v>
      </c>
      <c r="AT1126" s="284">
        <f t="shared" si="515"/>
        <v>0</v>
      </c>
    </row>
    <row r="1127" spans="1:97" s="114" customFormat="1" ht="30.9" x14ac:dyDescent="0.8">
      <c r="A1127" s="262">
        <f>ROW()</f>
        <v>1127</v>
      </c>
      <c r="C1127" s="208"/>
      <c r="D1127" s="208"/>
      <c r="E1127" s="208"/>
      <c r="F1127" s="208"/>
      <c r="G1127" s="208"/>
      <c r="H1127" s="208"/>
      <c r="J1127" s="114" t="str">
        <f t="shared" ref="J1127:J1145" si="524">IF(COUNTBLANK(Q1127)&gt;0,"",CONCATENATE("Coordination Note: - ",P1127,": Please refer to our exclusions relating to ",Q1127))</f>
        <v/>
      </c>
      <c r="K1127" s="114" t="str">
        <f>IF(COUNTBLANK(R1127)&gt;0,"",CONCATENATE(R1127," for ",N1125))</f>
        <v/>
      </c>
      <c r="M1127" s="117"/>
      <c r="N1127" s="123" t="s">
        <v>114</v>
      </c>
      <c r="O1127" s="66" t="s">
        <v>308</v>
      </c>
      <c r="P1127" s="121"/>
      <c r="Q1127" s="121"/>
      <c r="R1127" s="121"/>
      <c r="S1127" s="133">
        <f>M1125</f>
        <v>0</v>
      </c>
      <c r="T1127" s="120"/>
      <c r="U1127" s="121" t="s">
        <v>292</v>
      </c>
      <c r="V1127" s="133">
        <f t="shared" si="517"/>
        <v>0</v>
      </c>
      <c r="W1127" s="133">
        <f>VLOOKUP(U1127,Sheet1!$B$6:$C$45,2,FALSE)*V1127</f>
        <v>0</v>
      </c>
      <c r="X1127" s="141"/>
      <c r="Y1127" s="122" t="s">
        <v>252</v>
      </c>
      <c r="Z1127" s="146">
        <f>VLOOKUP(Takeoffs!Y1127,Sheet1!$B$6:$C$124,2,FALSE)</f>
        <v>43.440000000000005</v>
      </c>
      <c r="AA1127" s="146">
        <f t="shared" si="518"/>
        <v>0</v>
      </c>
      <c r="AB1127" s="143">
        <f t="shared" si="519"/>
        <v>0</v>
      </c>
      <c r="AC1127" s="133">
        <f t="shared" si="520"/>
        <v>0</v>
      </c>
      <c r="AD1127" s="142">
        <v>1</v>
      </c>
      <c r="AE1127" s="141"/>
      <c r="AF1127" s="121" t="s">
        <v>292</v>
      </c>
      <c r="AG1127" s="146">
        <f>VLOOKUP(Takeoffs!AF1127,Sheet1!$B$6:$C$124,2,FALSE)</f>
        <v>0</v>
      </c>
      <c r="AH1127" s="146">
        <f t="shared" si="521"/>
        <v>0</v>
      </c>
      <c r="AI1127" s="143">
        <f t="shared" si="522"/>
        <v>0</v>
      </c>
      <c r="AJ1127" s="133">
        <f t="shared" si="523"/>
        <v>0</v>
      </c>
      <c r="AK1127" s="142">
        <f>T1127</f>
        <v>0</v>
      </c>
      <c r="AL1127" s="141"/>
      <c r="AO1127" s="286"/>
      <c r="AP1127" s="284">
        <f t="shared" si="511"/>
        <v>0</v>
      </c>
      <c r="AQ1127" s="281">
        <f t="shared" si="512"/>
        <v>0</v>
      </c>
      <c r="AR1127" s="284">
        <f t="shared" si="513"/>
        <v>0</v>
      </c>
      <c r="AS1127" s="281">
        <f t="shared" si="514"/>
        <v>0</v>
      </c>
      <c r="AT1127" s="284">
        <f t="shared" si="515"/>
        <v>0</v>
      </c>
    </row>
    <row r="1128" spans="1:97" s="114" customFormat="1" ht="30.9" x14ac:dyDescent="0.8">
      <c r="A1128" s="262">
        <f>ROW()</f>
        <v>1128</v>
      </c>
      <c r="C1128" s="208"/>
      <c r="D1128" s="208"/>
      <c r="E1128" s="208"/>
      <c r="F1128" s="208"/>
      <c r="G1128" s="208"/>
      <c r="H1128" s="208"/>
      <c r="J1128" s="114" t="str">
        <f t="shared" si="524"/>
        <v/>
      </c>
      <c r="K1128" s="114" t="str">
        <f>IF(COUNTBLANK(R1128)&gt;0,"",CONCATENATE(R1128," for ",N1125))</f>
        <v/>
      </c>
      <c r="M1128" s="117"/>
      <c r="N1128" s="123" t="s">
        <v>115</v>
      </c>
      <c r="O1128" s="66" t="s">
        <v>505</v>
      </c>
      <c r="P1128" s="121"/>
      <c r="Q1128" s="121"/>
      <c r="R1128" s="121"/>
      <c r="S1128" s="133">
        <f>M1125</f>
        <v>0</v>
      </c>
      <c r="T1128" s="120"/>
      <c r="U1128" s="117" t="s">
        <v>478</v>
      </c>
      <c r="V1128" s="133">
        <f t="shared" si="517"/>
        <v>0</v>
      </c>
      <c r="W1128" s="133">
        <f>VLOOKUP(U1128,Sheet1!$B$6:$C$45,2,FALSE)*V1128</f>
        <v>0</v>
      </c>
      <c r="X1128" s="141"/>
      <c r="Y1128" s="121" t="s">
        <v>292</v>
      </c>
      <c r="Z1128" s="146">
        <f>VLOOKUP(Takeoffs!Y1128,Sheet1!$B$6:$C$124,2,FALSE)</f>
        <v>0</v>
      </c>
      <c r="AA1128" s="146">
        <f t="shared" si="518"/>
        <v>0</v>
      </c>
      <c r="AB1128" s="143">
        <f t="shared" si="519"/>
        <v>0</v>
      </c>
      <c r="AC1128" s="133">
        <f t="shared" si="520"/>
        <v>0</v>
      </c>
      <c r="AD1128" s="142">
        <v>1</v>
      </c>
      <c r="AE1128" s="141"/>
      <c r="AF1128" s="122" t="s">
        <v>267</v>
      </c>
      <c r="AG1128" s="146">
        <f>VLOOKUP(Takeoffs!AF1128,Sheet1!$B$6:$C$124,2,FALSE)</f>
        <v>3.48</v>
      </c>
      <c r="AH1128" s="146">
        <f t="shared" si="521"/>
        <v>0</v>
      </c>
      <c r="AI1128" s="143">
        <f t="shared" si="522"/>
        <v>0</v>
      </c>
      <c r="AJ1128" s="133">
        <f t="shared" si="523"/>
        <v>0</v>
      </c>
      <c r="AK1128" s="142">
        <v>20</v>
      </c>
      <c r="AL1128" s="141"/>
      <c r="AO1128" s="286"/>
      <c r="AP1128" s="284">
        <f t="shared" si="511"/>
        <v>0</v>
      </c>
      <c r="AQ1128" s="281">
        <f t="shared" si="512"/>
        <v>0</v>
      </c>
      <c r="AR1128" s="284">
        <f t="shared" si="513"/>
        <v>0</v>
      </c>
      <c r="AS1128" s="281">
        <f t="shared" si="514"/>
        <v>0</v>
      </c>
      <c r="AT1128" s="284">
        <f t="shared" si="515"/>
        <v>0</v>
      </c>
    </row>
    <row r="1129" spans="1:97" s="114" customFormat="1" ht="30.9" x14ac:dyDescent="0.8">
      <c r="A1129" s="262">
        <f>ROW()</f>
        <v>1129</v>
      </c>
      <c r="C1129" s="208"/>
      <c r="D1129" s="208"/>
      <c r="E1129" s="208"/>
      <c r="F1129" s="208"/>
      <c r="G1129" s="208"/>
      <c r="H1129" s="208"/>
      <c r="J1129" s="114" t="str">
        <f t="shared" si="524"/>
        <v/>
      </c>
      <c r="K1129" s="114" t="str">
        <f>IF(COUNTBLANK(R1129)&gt;0,"",CONCATENATE(R1129," for ",N1125))</f>
        <v/>
      </c>
      <c r="M1129" s="117"/>
      <c r="N1129" s="123" t="s">
        <v>116</v>
      </c>
      <c r="O1129" s="66"/>
      <c r="P1129" s="121"/>
      <c r="Q1129" s="121"/>
      <c r="R1129" s="121"/>
      <c r="S1129" s="133">
        <f>M1125</f>
        <v>0</v>
      </c>
      <c r="T1129" s="120"/>
      <c r="U1129" s="121" t="s">
        <v>292</v>
      </c>
      <c r="V1129" s="133">
        <f t="shared" si="517"/>
        <v>0</v>
      </c>
      <c r="W1129" s="133">
        <f>VLOOKUP(U1129,Sheet1!$B$6:$C$45,2,FALSE)*V1129</f>
        <v>0</v>
      </c>
      <c r="X1129" s="141"/>
      <c r="Y1129" s="121" t="s">
        <v>292</v>
      </c>
      <c r="Z1129" s="146">
        <f>VLOOKUP(Takeoffs!Y1129,Sheet1!$B$6:$C$124,2,FALSE)</f>
        <v>0</v>
      </c>
      <c r="AA1129" s="146">
        <f t="shared" si="518"/>
        <v>0</v>
      </c>
      <c r="AB1129" s="143">
        <f t="shared" si="519"/>
        <v>0</v>
      </c>
      <c r="AC1129" s="133">
        <f t="shared" si="520"/>
        <v>0</v>
      </c>
      <c r="AD1129" s="142">
        <v>1</v>
      </c>
      <c r="AE1129" s="141"/>
      <c r="AF1129" s="121" t="s">
        <v>292</v>
      </c>
      <c r="AG1129" s="146">
        <f>VLOOKUP(Takeoffs!AF1129,Sheet1!$B$6:$C$124,2,FALSE)</f>
        <v>0</v>
      </c>
      <c r="AH1129" s="146">
        <f t="shared" si="521"/>
        <v>0</v>
      </c>
      <c r="AI1129" s="143">
        <f t="shared" si="522"/>
        <v>0</v>
      </c>
      <c r="AJ1129" s="133">
        <f t="shared" si="523"/>
        <v>0</v>
      </c>
      <c r="AK1129" s="142">
        <f>T1129</f>
        <v>0</v>
      </c>
      <c r="AL1129" s="141"/>
      <c r="AO1129" s="286"/>
      <c r="AP1129" s="284">
        <f t="shared" si="511"/>
        <v>0</v>
      </c>
      <c r="AQ1129" s="281">
        <f t="shared" si="512"/>
        <v>0</v>
      </c>
      <c r="AR1129" s="284">
        <f t="shared" si="513"/>
        <v>0</v>
      </c>
      <c r="AS1129" s="281">
        <f t="shared" si="514"/>
        <v>0</v>
      </c>
      <c r="AT1129" s="284">
        <f t="shared" si="515"/>
        <v>0</v>
      </c>
    </row>
    <row r="1130" spans="1:97" s="114" customFormat="1" ht="30.9" x14ac:dyDescent="0.8">
      <c r="A1130" s="262">
        <f>ROW()</f>
        <v>1130</v>
      </c>
      <c r="C1130" s="208"/>
      <c r="D1130" s="208"/>
      <c r="E1130" s="208"/>
      <c r="F1130" s="208"/>
      <c r="G1130" s="208"/>
      <c r="H1130" s="208"/>
      <c r="J1130" s="114" t="str">
        <f t="shared" si="524"/>
        <v/>
      </c>
      <c r="K1130" s="114" t="str">
        <f>IF(COUNTBLANK(R1130)&gt;0,"",CONCATENATE(R1130," for ",N1125))</f>
        <v/>
      </c>
      <c r="M1130" s="117"/>
      <c r="N1130" s="123" t="s">
        <v>117</v>
      </c>
      <c r="O1130" s="66"/>
      <c r="P1130" s="121"/>
      <c r="Q1130" s="121"/>
      <c r="R1130" s="121"/>
      <c r="S1130" s="133">
        <f>M1125</f>
        <v>0</v>
      </c>
      <c r="T1130" s="120"/>
      <c r="U1130" s="121" t="s">
        <v>292</v>
      </c>
      <c r="V1130" s="133">
        <f t="shared" si="517"/>
        <v>0</v>
      </c>
      <c r="W1130" s="133">
        <f>VLOOKUP(U1130,Sheet1!$B$6:$C$45,2,FALSE)*V1130</f>
        <v>0</v>
      </c>
      <c r="X1130" s="141"/>
      <c r="Y1130" s="121" t="s">
        <v>292</v>
      </c>
      <c r="Z1130" s="146">
        <f>VLOOKUP(Takeoffs!Y1130,Sheet1!$B$6:$C$124,2,FALSE)</f>
        <v>0</v>
      </c>
      <c r="AA1130" s="146">
        <f t="shared" si="518"/>
        <v>0</v>
      </c>
      <c r="AB1130" s="143">
        <f t="shared" si="519"/>
        <v>0</v>
      </c>
      <c r="AC1130" s="133">
        <f t="shared" si="520"/>
        <v>0</v>
      </c>
      <c r="AD1130" s="142">
        <v>1</v>
      </c>
      <c r="AE1130" s="141"/>
      <c r="AF1130" s="121" t="s">
        <v>292</v>
      </c>
      <c r="AG1130" s="146">
        <f>VLOOKUP(Takeoffs!AF1130,Sheet1!$B$6:$C$124,2,FALSE)</f>
        <v>0</v>
      </c>
      <c r="AH1130" s="146">
        <f t="shared" si="521"/>
        <v>0</v>
      </c>
      <c r="AI1130" s="143">
        <f t="shared" si="522"/>
        <v>0</v>
      </c>
      <c r="AJ1130" s="133">
        <f t="shared" si="523"/>
        <v>0</v>
      </c>
      <c r="AK1130" s="142">
        <v>0</v>
      </c>
      <c r="AL1130" s="141"/>
      <c r="AO1130" s="286"/>
      <c r="AP1130" s="284">
        <f t="shared" si="511"/>
        <v>0</v>
      </c>
      <c r="AQ1130" s="281">
        <f t="shared" si="512"/>
        <v>0</v>
      </c>
      <c r="AR1130" s="284">
        <f t="shared" si="513"/>
        <v>0</v>
      </c>
      <c r="AS1130" s="281">
        <f t="shared" si="514"/>
        <v>0</v>
      </c>
      <c r="AT1130" s="284">
        <f t="shared" si="515"/>
        <v>0</v>
      </c>
    </row>
    <row r="1131" spans="1:97" s="114" customFormat="1" ht="30.9" x14ac:dyDescent="0.8">
      <c r="A1131" s="262">
        <f>ROW()</f>
        <v>1131</v>
      </c>
      <c r="C1131" s="208"/>
      <c r="D1131" s="208"/>
      <c r="E1131" s="208"/>
      <c r="F1131" s="208"/>
      <c r="G1131" s="208"/>
      <c r="H1131" s="208"/>
      <c r="J1131" s="114" t="str">
        <f t="shared" si="524"/>
        <v/>
      </c>
      <c r="K1131" s="114" t="str">
        <f>IF(COUNTBLANK(R1131)&gt;0,"",CONCATENATE(R1131," for ",N1125))</f>
        <v/>
      </c>
      <c r="M1131" s="117"/>
      <c r="N1131" s="123" t="s">
        <v>118</v>
      </c>
      <c r="O1131" s="66" t="s">
        <v>309</v>
      </c>
      <c r="P1131" s="121"/>
      <c r="Q1131" s="121"/>
      <c r="R1131" s="121"/>
      <c r="S1131" s="133">
        <f>M1125</f>
        <v>0</v>
      </c>
      <c r="T1131" s="120"/>
      <c r="U1131" s="121" t="s">
        <v>292</v>
      </c>
      <c r="V1131" s="133">
        <f t="shared" si="517"/>
        <v>0</v>
      </c>
      <c r="W1131" s="133">
        <f>VLOOKUP(U1131,Sheet1!$B$6:$C$45,2,FALSE)*V1131</f>
        <v>0</v>
      </c>
      <c r="X1131" s="141"/>
      <c r="Y1131" s="122" t="s">
        <v>245</v>
      </c>
      <c r="Z1131" s="146">
        <f>VLOOKUP(Takeoffs!Y1131,Sheet1!$B$6:$C$124,2,FALSE)</f>
        <v>46.463999999999999</v>
      </c>
      <c r="AA1131" s="146">
        <f t="shared" si="518"/>
        <v>0</v>
      </c>
      <c r="AB1131" s="143">
        <f t="shared" si="519"/>
        <v>0</v>
      </c>
      <c r="AC1131" s="133">
        <f t="shared" si="520"/>
        <v>0</v>
      </c>
      <c r="AD1131" s="142">
        <v>1</v>
      </c>
      <c r="AE1131" s="141"/>
      <c r="AF1131" s="121" t="s">
        <v>292</v>
      </c>
      <c r="AG1131" s="146">
        <f>VLOOKUP(Takeoffs!AF1131,Sheet1!$B$6:$C$124,2,FALSE)</f>
        <v>0</v>
      </c>
      <c r="AH1131" s="146">
        <f t="shared" si="521"/>
        <v>0</v>
      </c>
      <c r="AI1131" s="143">
        <f t="shared" si="522"/>
        <v>0</v>
      </c>
      <c r="AJ1131" s="133">
        <f t="shared" si="523"/>
        <v>0</v>
      </c>
      <c r="AK1131" s="142">
        <f t="shared" ref="AK1131:AK1136" si="525">T1131</f>
        <v>0</v>
      </c>
      <c r="AL1131" s="141"/>
      <c r="AO1131" s="286"/>
      <c r="AP1131" s="284">
        <f t="shared" si="511"/>
        <v>0</v>
      </c>
      <c r="AQ1131" s="281">
        <f t="shared" si="512"/>
        <v>0</v>
      </c>
      <c r="AR1131" s="284">
        <f t="shared" si="513"/>
        <v>0</v>
      </c>
      <c r="AS1131" s="281">
        <f t="shared" si="514"/>
        <v>0</v>
      </c>
      <c r="AT1131" s="284">
        <f t="shared" si="515"/>
        <v>0</v>
      </c>
    </row>
    <row r="1132" spans="1:97" s="114" customFormat="1" ht="30.9" x14ac:dyDescent="0.8">
      <c r="A1132" s="262">
        <f>ROW()</f>
        <v>1132</v>
      </c>
      <c r="C1132" s="208"/>
      <c r="D1132" s="208"/>
      <c r="E1132" s="208"/>
      <c r="F1132" s="208"/>
      <c r="G1132" s="208"/>
      <c r="H1132" s="208"/>
      <c r="J1132" s="114" t="str">
        <f t="shared" si="524"/>
        <v/>
      </c>
      <c r="K1132" s="114" t="str">
        <f>IF(COUNTBLANK(R1132)&gt;0,"",CONCATENATE(R1132," for ",N1125))</f>
        <v/>
      </c>
      <c r="N1132" s="123" t="s">
        <v>119</v>
      </c>
      <c r="O1132" s="66"/>
      <c r="P1132" s="121"/>
      <c r="Q1132" s="121"/>
      <c r="R1132" s="121"/>
      <c r="S1132" s="133">
        <f>M1125</f>
        <v>0</v>
      </c>
      <c r="T1132" s="120"/>
      <c r="U1132" s="121" t="s">
        <v>292</v>
      </c>
      <c r="V1132" s="133">
        <f t="shared" si="517"/>
        <v>0</v>
      </c>
      <c r="W1132" s="133">
        <f>VLOOKUP(U1132,Sheet1!$B$6:$C$45,2,FALSE)*V1132</f>
        <v>0</v>
      </c>
      <c r="X1132" s="141"/>
      <c r="Y1132" s="121" t="s">
        <v>292</v>
      </c>
      <c r="Z1132" s="146">
        <f>VLOOKUP(Takeoffs!Y1132,Sheet1!$B$6:$C$124,2,FALSE)</f>
        <v>0</v>
      </c>
      <c r="AA1132" s="146">
        <f t="shared" si="518"/>
        <v>0</v>
      </c>
      <c r="AB1132" s="143">
        <f t="shared" si="519"/>
        <v>0</v>
      </c>
      <c r="AC1132" s="133">
        <f t="shared" si="520"/>
        <v>0</v>
      </c>
      <c r="AD1132" s="142">
        <v>1</v>
      </c>
      <c r="AE1132" s="141"/>
      <c r="AF1132" s="121" t="s">
        <v>292</v>
      </c>
      <c r="AG1132" s="146">
        <f>VLOOKUP(Takeoffs!AF1132,Sheet1!$B$6:$C$124,2,FALSE)</f>
        <v>0</v>
      </c>
      <c r="AH1132" s="146">
        <f t="shared" si="521"/>
        <v>0</v>
      </c>
      <c r="AI1132" s="143">
        <f t="shared" si="522"/>
        <v>0</v>
      </c>
      <c r="AJ1132" s="133">
        <f t="shared" si="523"/>
        <v>0</v>
      </c>
      <c r="AK1132" s="142">
        <f t="shared" si="525"/>
        <v>0</v>
      </c>
      <c r="AL1132" s="141"/>
      <c r="AO1132" s="286"/>
      <c r="AP1132" s="284">
        <f t="shared" si="511"/>
        <v>0</v>
      </c>
      <c r="AQ1132" s="281">
        <f t="shared" si="512"/>
        <v>0</v>
      </c>
      <c r="AR1132" s="284">
        <f t="shared" si="513"/>
        <v>0</v>
      </c>
      <c r="AS1132" s="281">
        <f t="shared" si="514"/>
        <v>0</v>
      </c>
      <c r="AT1132" s="284">
        <f t="shared" si="515"/>
        <v>0</v>
      </c>
    </row>
    <row r="1133" spans="1:97" s="114" customFormat="1" ht="30.9" x14ac:dyDescent="0.8">
      <c r="A1133" s="262">
        <f>ROW()</f>
        <v>1133</v>
      </c>
      <c r="C1133" s="208"/>
      <c r="D1133" s="208"/>
      <c r="E1133" s="208"/>
      <c r="F1133" s="208"/>
      <c r="G1133" s="208"/>
      <c r="H1133" s="208"/>
      <c r="J1133" s="114" t="str">
        <f t="shared" si="524"/>
        <v/>
      </c>
      <c r="K1133" s="114" t="str">
        <f>IF(COUNTBLANK(R1133)&gt;0,"",CONCATENATE(R1133," for ",N1125))</f>
        <v/>
      </c>
      <c r="N1133" s="123" t="s">
        <v>120</v>
      </c>
      <c r="O1133" s="66" t="s">
        <v>483</v>
      </c>
      <c r="P1133" s="121"/>
      <c r="Q1133" s="121"/>
      <c r="R1133" s="121"/>
      <c r="S1133" s="133">
        <f>M1125</f>
        <v>0</v>
      </c>
      <c r="T1133" s="120"/>
      <c r="U1133" s="121" t="s">
        <v>292</v>
      </c>
      <c r="V1133" s="133">
        <f t="shared" si="517"/>
        <v>0</v>
      </c>
      <c r="W1133" s="133">
        <f>VLOOKUP(U1133,Sheet1!$B$6:$C$45,2,FALSE)*V1133</f>
        <v>0</v>
      </c>
      <c r="X1133" s="141"/>
      <c r="Y1133" s="122" t="s">
        <v>274</v>
      </c>
      <c r="Z1133" s="146">
        <f>VLOOKUP(Takeoffs!Y1133,Sheet1!$B$6:$C$124,2,FALSE)</f>
        <v>360</v>
      </c>
      <c r="AA1133" s="146">
        <f t="shared" si="518"/>
        <v>0</v>
      </c>
      <c r="AB1133" s="143">
        <f t="shared" si="519"/>
        <v>0</v>
      </c>
      <c r="AC1133" s="133">
        <f t="shared" si="520"/>
        <v>0</v>
      </c>
      <c r="AD1133" s="142">
        <v>1</v>
      </c>
      <c r="AE1133" s="141"/>
      <c r="AF1133" s="121" t="s">
        <v>292</v>
      </c>
      <c r="AG1133" s="146">
        <f>VLOOKUP(Takeoffs!AF1133,Sheet1!$B$6:$C$124,2,FALSE)</f>
        <v>0</v>
      </c>
      <c r="AH1133" s="146">
        <f t="shared" si="521"/>
        <v>0</v>
      </c>
      <c r="AI1133" s="143">
        <f t="shared" si="522"/>
        <v>0</v>
      </c>
      <c r="AJ1133" s="133">
        <f t="shared" si="523"/>
        <v>0</v>
      </c>
      <c r="AK1133" s="142">
        <f t="shared" si="525"/>
        <v>0</v>
      </c>
      <c r="AL1133" s="141"/>
      <c r="AO1133" s="286"/>
      <c r="AP1133" s="284">
        <f t="shared" si="511"/>
        <v>0</v>
      </c>
      <c r="AQ1133" s="281">
        <f t="shared" si="512"/>
        <v>0</v>
      </c>
      <c r="AR1133" s="284">
        <f t="shared" si="513"/>
        <v>0</v>
      </c>
      <c r="AS1133" s="281">
        <f t="shared" si="514"/>
        <v>0</v>
      </c>
      <c r="AT1133" s="284">
        <f t="shared" si="515"/>
        <v>0</v>
      </c>
    </row>
    <row r="1134" spans="1:97" s="114" customFormat="1" ht="30.9" x14ac:dyDescent="0.8">
      <c r="A1134" s="262">
        <f>ROW()</f>
        <v>1134</v>
      </c>
      <c r="C1134" s="208"/>
      <c r="D1134" s="208"/>
      <c r="E1134" s="208"/>
      <c r="F1134" s="208"/>
      <c r="G1134" s="208"/>
      <c r="H1134" s="208"/>
      <c r="J1134" s="114" t="str">
        <f t="shared" si="524"/>
        <v/>
      </c>
      <c r="K1134" s="114" t="str">
        <f>IF(COUNTBLANK(R1134)&gt;0,"",CONCATENATE(R1134," for ",N1125))</f>
        <v/>
      </c>
      <c r="N1134" s="123" t="s">
        <v>121</v>
      </c>
      <c r="O1134" s="66" t="s">
        <v>307</v>
      </c>
      <c r="P1134" s="121"/>
      <c r="Q1134" s="121"/>
      <c r="R1134" s="121"/>
      <c r="S1134" s="133">
        <f>M1125</f>
        <v>0</v>
      </c>
      <c r="T1134" s="120"/>
      <c r="U1134" s="121" t="s">
        <v>364</v>
      </c>
      <c r="V1134" s="133">
        <f t="shared" si="517"/>
        <v>0</v>
      </c>
      <c r="W1134" s="133">
        <f>VLOOKUP(U1134,Sheet1!$B$6:$C$45,2,FALSE)*V1134</f>
        <v>0</v>
      </c>
      <c r="X1134" s="141"/>
      <c r="Y1134" s="121" t="s">
        <v>292</v>
      </c>
      <c r="Z1134" s="146">
        <f>VLOOKUP(Takeoffs!Y1134,Sheet1!$B$6:$C$124,2,FALSE)</f>
        <v>0</v>
      </c>
      <c r="AA1134" s="146">
        <f t="shared" si="518"/>
        <v>0</v>
      </c>
      <c r="AB1134" s="143">
        <f t="shared" si="519"/>
        <v>0</v>
      </c>
      <c r="AC1134" s="133">
        <f t="shared" si="520"/>
        <v>0</v>
      </c>
      <c r="AD1134" s="142">
        <v>1</v>
      </c>
      <c r="AE1134" s="141"/>
      <c r="AF1134" s="121" t="s">
        <v>292</v>
      </c>
      <c r="AG1134" s="146">
        <f>VLOOKUP(Takeoffs!AF1134,Sheet1!$B$6:$C$124,2,FALSE)</f>
        <v>0</v>
      </c>
      <c r="AH1134" s="146">
        <f t="shared" si="521"/>
        <v>0</v>
      </c>
      <c r="AI1134" s="143">
        <f t="shared" si="522"/>
        <v>0</v>
      </c>
      <c r="AJ1134" s="133">
        <f t="shared" si="523"/>
        <v>0</v>
      </c>
      <c r="AK1134" s="142">
        <f t="shared" si="525"/>
        <v>0</v>
      </c>
      <c r="AL1134" s="141"/>
      <c r="AO1134" s="286"/>
      <c r="AP1134" s="284">
        <f t="shared" si="511"/>
        <v>0</v>
      </c>
      <c r="AQ1134" s="281">
        <f t="shared" si="512"/>
        <v>0</v>
      </c>
      <c r="AR1134" s="284">
        <f t="shared" si="513"/>
        <v>0</v>
      </c>
      <c r="AS1134" s="281">
        <f t="shared" si="514"/>
        <v>0</v>
      </c>
      <c r="AT1134" s="284">
        <f t="shared" si="515"/>
        <v>0</v>
      </c>
    </row>
    <row r="1135" spans="1:97" s="114" customFormat="1" ht="30.9" x14ac:dyDescent="0.8">
      <c r="A1135" s="262">
        <f>ROW()</f>
        <v>1135</v>
      </c>
      <c r="C1135" s="208"/>
      <c r="D1135" s="208"/>
      <c r="E1135" s="208"/>
      <c r="F1135" s="208"/>
      <c r="G1135" s="208"/>
      <c r="H1135" s="208"/>
      <c r="J1135" s="114" t="str">
        <f t="shared" si="524"/>
        <v/>
      </c>
      <c r="K1135" s="114" t="str">
        <f>IF(COUNTBLANK(R1135)&gt;0,"",CONCATENATE(R1135," for ",N1125))</f>
        <v/>
      </c>
      <c r="N1135" s="123" t="s">
        <v>122</v>
      </c>
      <c r="O1135" s="66"/>
      <c r="P1135" s="121"/>
      <c r="Q1135" s="121"/>
      <c r="R1135" s="121"/>
      <c r="S1135" s="133">
        <f>M1125</f>
        <v>0</v>
      </c>
      <c r="T1135" s="120"/>
      <c r="U1135" s="121" t="s">
        <v>292</v>
      </c>
      <c r="V1135" s="133">
        <f t="shared" si="517"/>
        <v>0</v>
      </c>
      <c r="W1135" s="133">
        <f>VLOOKUP(U1135,Sheet1!$B$6:$C$45,2,FALSE)*V1135</f>
        <v>0</v>
      </c>
      <c r="X1135" s="141"/>
      <c r="Y1135" s="121" t="s">
        <v>292</v>
      </c>
      <c r="Z1135" s="146">
        <f>VLOOKUP(Takeoffs!Y1135,Sheet1!$B$6:$C$124,2,FALSE)</f>
        <v>0</v>
      </c>
      <c r="AA1135" s="146">
        <f t="shared" si="518"/>
        <v>0</v>
      </c>
      <c r="AB1135" s="143">
        <f t="shared" si="519"/>
        <v>0</v>
      </c>
      <c r="AC1135" s="133">
        <f t="shared" si="520"/>
        <v>0</v>
      </c>
      <c r="AD1135" s="142">
        <v>2</v>
      </c>
      <c r="AE1135" s="141"/>
      <c r="AF1135" s="121" t="s">
        <v>292</v>
      </c>
      <c r="AG1135" s="146">
        <f>VLOOKUP(Takeoffs!AF1135,Sheet1!$B$6:$C$124,2,FALSE)</f>
        <v>0</v>
      </c>
      <c r="AH1135" s="146">
        <f t="shared" si="521"/>
        <v>0</v>
      </c>
      <c r="AI1135" s="143">
        <f t="shared" si="522"/>
        <v>0</v>
      </c>
      <c r="AJ1135" s="133">
        <f t="shared" si="523"/>
        <v>0</v>
      </c>
      <c r="AK1135" s="142">
        <f t="shared" si="525"/>
        <v>0</v>
      </c>
      <c r="AL1135" s="141"/>
      <c r="AO1135" s="286"/>
      <c r="AP1135" s="284">
        <f t="shared" si="511"/>
        <v>0</v>
      </c>
      <c r="AQ1135" s="281">
        <f t="shared" si="512"/>
        <v>0</v>
      </c>
      <c r="AR1135" s="284">
        <f t="shared" si="513"/>
        <v>0</v>
      </c>
      <c r="AS1135" s="281">
        <f t="shared" si="514"/>
        <v>0</v>
      </c>
      <c r="AT1135" s="284">
        <f t="shared" si="515"/>
        <v>0</v>
      </c>
    </row>
    <row r="1136" spans="1:97" s="114" customFormat="1" ht="30.9" x14ac:dyDescent="0.8">
      <c r="A1136" s="262">
        <f>ROW()</f>
        <v>1136</v>
      </c>
      <c r="C1136" s="208"/>
      <c r="D1136" s="208"/>
      <c r="E1136" s="208"/>
      <c r="F1136" s="208"/>
      <c r="G1136" s="208"/>
      <c r="H1136" s="208"/>
      <c r="J1136" s="114" t="str">
        <f t="shared" si="524"/>
        <v/>
      </c>
      <c r="K1136" s="114" t="str">
        <f>IF(COUNTBLANK(R1136)&gt;0,"",CONCATENATE(R1136," for ",N1125))</f>
        <v/>
      </c>
      <c r="N1136" s="123" t="s">
        <v>123</v>
      </c>
      <c r="O1136" s="66" t="s">
        <v>506</v>
      </c>
      <c r="P1136" s="121"/>
      <c r="Q1136" s="121"/>
      <c r="R1136" s="121"/>
      <c r="S1136" s="133">
        <f>M1125</f>
        <v>0</v>
      </c>
      <c r="T1136" s="120"/>
      <c r="U1136" s="121" t="s">
        <v>292</v>
      </c>
      <c r="V1136" s="133">
        <f t="shared" si="517"/>
        <v>0</v>
      </c>
      <c r="W1136" s="133">
        <f>VLOOKUP(U1136,Sheet1!$B$6:$C$45,2,FALSE)*V1136</f>
        <v>0</v>
      </c>
      <c r="X1136" s="141"/>
      <c r="Y1136" s="121" t="s">
        <v>292</v>
      </c>
      <c r="Z1136" s="146">
        <f>VLOOKUP(Takeoffs!Y1136,Sheet1!$B$6:$C$124,2,FALSE)</f>
        <v>0</v>
      </c>
      <c r="AA1136" s="146">
        <f t="shared" si="518"/>
        <v>0</v>
      </c>
      <c r="AB1136" s="143">
        <f t="shared" si="519"/>
        <v>0</v>
      </c>
      <c r="AC1136" s="133">
        <f t="shared" si="520"/>
        <v>0</v>
      </c>
      <c r="AD1136" s="142">
        <v>1</v>
      </c>
      <c r="AE1136" s="141"/>
      <c r="AF1136" s="121" t="s">
        <v>292</v>
      </c>
      <c r="AG1136" s="146">
        <f>VLOOKUP(Takeoffs!AF1136,Sheet1!$B$6:$C$124,2,FALSE)</f>
        <v>0</v>
      </c>
      <c r="AH1136" s="146">
        <f t="shared" si="521"/>
        <v>0</v>
      </c>
      <c r="AI1136" s="143">
        <f t="shared" si="522"/>
        <v>0</v>
      </c>
      <c r="AJ1136" s="133">
        <f t="shared" si="523"/>
        <v>0</v>
      </c>
      <c r="AK1136" s="142">
        <f t="shared" si="525"/>
        <v>0</v>
      </c>
      <c r="AL1136" s="141"/>
      <c r="AO1136" s="286"/>
      <c r="AP1136" s="284">
        <f t="shared" si="511"/>
        <v>0</v>
      </c>
      <c r="AQ1136" s="281">
        <f t="shared" si="512"/>
        <v>0</v>
      </c>
      <c r="AR1136" s="284">
        <f t="shared" si="513"/>
        <v>0</v>
      </c>
      <c r="AS1136" s="281">
        <f t="shared" si="514"/>
        <v>0</v>
      </c>
      <c r="AT1136" s="284">
        <f t="shared" si="515"/>
        <v>0</v>
      </c>
    </row>
    <row r="1137" spans="1:97" s="114" customFormat="1" ht="30.9" x14ac:dyDescent="0.8">
      <c r="A1137" s="262">
        <f>ROW()</f>
        <v>1137</v>
      </c>
      <c r="C1137" s="208"/>
      <c r="D1137" s="208"/>
      <c r="E1137" s="208"/>
      <c r="F1137" s="208"/>
      <c r="G1137" s="208"/>
      <c r="H1137" s="208"/>
      <c r="J1137" s="114" t="str">
        <f t="shared" si="524"/>
        <v/>
      </c>
      <c r="K1137" s="114" t="str">
        <f>IF(COUNTBLANK(R1137)&gt;0,"",CONCATENATE(R1137," for ",N1125))</f>
        <v/>
      </c>
      <c r="N1137" s="123" t="s">
        <v>124</v>
      </c>
      <c r="O1137" s="66" t="s">
        <v>140</v>
      </c>
      <c r="P1137" s="121"/>
      <c r="Q1137" s="121"/>
      <c r="R1137" s="121"/>
      <c r="S1137" s="133">
        <f>M1125</f>
        <v>0</v>
      </c>
      <c r="T1137" s="120"/>
      <c r="U1137" s="121" t="s">
        <v>363</v>
      </c>
      <c r="V1137" s="133">
        <f t="shared" si="517"/>
        <v>0</v>
      </c>
      <c r="W1137" s="133">
        <f>VLOOKUP(U1137,Sheet1!$B$6:$C$45,2,FALSE)*V1137</f>
        <v>0</v>
      </c>
      <c r="X1137" s="141"/>
      <c r="Y1137" s="121" t="s">
        <v>292</v>
      </c>
      <c r="Z1137" s="146">
        <f>VLOOKUP(Takeoffs!Y1137,Sheet1!$B$6:$C$124,2,FALSE)</f>
        <v>0</v>
      </c>
      <c r="AA1137" s="146">
        <f t="shared" si="518"/>
        <v>0</v>
      </c>
      <c r="AB1137" s="143">
        <f t="shared" si="519"/>
        <v>0</v>
      </c>
      <c r="AC1137" s="133">
        <f t="shared" si="520"/>
        <v>0</v>
      </c>
      <c r="AD1137" s="142">
        <v>1</v>
      </c>
      <c r="AE1137" s="141"/>
      <c r="AF1137" s="144" t="s">
        <v>269</v>
      </c>
      <c r="AG1137" s="146">
        <f>VLOOKUP(Takeoffs!AF1137,Sheet1!$B$6:$C$124,2,FALSE)</f>
        <v>1.056</v>
      </c>
      <c r="AH1137" s="146">
        <f t="shared" si="521"/>
        <v>0</v>
      </c>
      <c r="AI1137" s="143">
        <f t="shared" si="522"/>
        <v>0</v>
      </c>
      <c r="AJ1137" s="133">
        <f t="shared" si="523"/>
        <v>0</v>
      </c>
      <c r="AK1137" s="142">
        <v>30</v>
      </c>
      <c r="AL1137" s="141"/>
      <c r="AO1137" s="286"/>
      <c r="AP1137" s="284">
        <f t="shared" si="511"/>
        <v>0</v>
      </c>
      <c r="AQ1137" s="281">
        <f t="shared" si="512"/>
        <v>0</v>
      </c>
      <c r="AR1137" s="284">
        <f t="shared" si="513"/>
        <v>0</v>
      </c>
      <c r="AS1137" s="281">
        <f t="shared" si="514"/>
        <v>0</v>
      </c>
      <c r="AT1137" s="284">
        <f t="shared" si="515"/>
        <v>0</v>
      </c>
    </row>
    <row r="1138" spans="1:97" s="114" customFormat="1" ht="30.9" x14ac:dyDescent="0.8">
      <c r="A1138" s="262">
        <f>ROW()</f>
        <v>1138</v>
      </c>
      <c r="C1138" s="208"/>
      <c r="D1138" s="208"/>
      <c r="E1138" s="208"/>
      <c r="F1138" s="208"/>
      <c r="G1138" s="208"/>
      <c r="H1138" s="208"/>
      <c r="J1138" s="114" t="str">
        <f t="shared" si="524"/>
        <v/>
      </c>
      <c r="K1138" s="114" t="str">
        <f>IF(COUNTBLANK(R1138)&gt;0,"",CONCATENATE(R1138," for ",N1125))</f>
        <v/>
      </c>
      <c r="N1138" s="123" t="s">
        <v>125</v>
      </c>
      <c r="O1138" s="66"/>
      <c r="P1138" s="121"/>
      <c r="Q1138" s="121"/>
      <c r="R1138" s="121"/>
      <c r="S1138" s="133">
        <f>M1125</f>
        <v>0</v>
      </c>
      <c r="T1138" s="120"/>
      <c r="U1138" s="121" t="s">
        <v>232</v>
      </c>
      <c r="V1138" s="133">
        <f t="shared" si="517"/>
        <v>0</v>
      </c>
      <c r="W1138" s="133">
        <f>VLOOKUP(U1138,Sheet1!$B$6:$C$45,2,FALSE)*V1138</f>
        <v>0</v>
      </c>
      <c r="X1138" s="141"/>
      <c r="Y1138" s="122" t="s">
        <v>1345</v>
      </c>
      <c r="Z1138" s="146">
        <f>VLOOKUP(Takeoffs!Y1138,Sheet1!$B$6:$C$124,2,FALSE)</f>
        <v>109.25999999999999</v>
      </c>
      <c r="AA1138" s="146">
        <f t="shared" si="518"/>
        <v>0</v>
      </c>
      <c r="AB1138" s="143">
        <f t="shared" si="519"/>
        <v>0</v>
      </c>
      <c r="AC1138" s="133">
        <f t="shared" si="520"/>
        <v>0</v>
      </c>
      <c r="AD1138" s="142">
        <v>1</v>
      </c>
      <c r="AE1138" s="141"/>
      <c r="AF1138" s="121" t="s">
        <v>292</v>
      </c>
      <c r="AG1138" s="146">
        <f>VLOOKUP(Takeoffs!AF1138,Sheet1!$B$6:$C$124,2,FALSE)</f>
        <v>0</v>
      </c>
      <c r="AH1138" s="146">
        <f t="shared" si="521"/>
        <v>0</v>
      </c>
      <c r="AI1138" s="143">
        <f t="shared" si="522"/>
        <v>0</v>
      </c>
      <c r="AJ1138" s="133">
        <f t="shared" si="523"/>
        <v>0</v>
      </c>
      <c r="AK1138" s="142">
        <f t="shared" ref="AK1138:AK1143" si="526">T1138</f>
        <v>0</v>
      </c>
      <c r="AL1138" s="141"/>
      <c r="AO1138" s="286"/>
      <c r="AP1138" s="284">
        <f t="shared" si="511"/>
        <v>0</v>
      </c>
      <c r="AQ1138" s="281">
        <f t="shared" si="512"/>
        <v>0</v>
      </c>
      <c r="AR1138" s="284">
        <f t="shared" si="513"/>
        <v>0</v>
      </c>
      <c r="AS1138" s="281">
        <f t="shared" si="514"/>
        <v>0</v>
      </c>
      <c r="AT1138" s="284">
        <f t="shared" si="515"/>
        <v>0</v>
      </c>
    </row>
    <row r="1139" spans="1:97" s="114" customFormat="1" ht="30.9" x14ac:dyDescent="0.8">
      <c r="A1139" s="262">
        <f>ROW()</f>
        <v>1139</v>
      </c>
      <c r="C1139" s="208"/>
      <c r="D1139" s="208"/>
      <c r="E1139" s="208"/>
      <c r="F1139" s="208"/>
      <c r="G1139" s="208"/>
      <c r="H1139" s="208"/>
      <c r="J1139" s="114" t="str">
        <f t="shared" si="524"/>
        <v/>
      </c>
      <c r="K1139" s="114" t="str">
        <f>IF(COUNTBLANK(R1139)&gt;0,"",CONCATENATE(R1139," for ",N1125))</f>
        <v/>
      </c>
      <c r="N1139" s="123" t="s">
        <v>126</v>
      </c>
      <c r="O1139" s="66" t="s">
        <v>484</v>
      </c>
      <c r="P1139" s="121"/>
      <c r="Q1139" s="121"/>
      <c r="R1139" s="121"/>
      <c r="S1139" s="133">
        <f>M1125</f>
        <v>0</v>
      </c>
      <c r="T1139" s="120"/>
      <c r="U1139" s="121" t="s">
        <v>363</v>
      </c>
      <c r="V1139" s="133">
        <f t="shared" si="517"/>
        <v>0</v>
      </c>
      <c r="W1139" s="133">
        <f>VLOOKUP(U1139,Sheet1!$B$6:$C$45,2,FALSE)*V1139</f>
        <v>0</v>
      </c>
      <c r="X1139" s="141"/>
      <c r="Y1139" s="122" t="s">
        <v>321</v>
      </c>
      <c r="Z1139" s="146">
        <f>VLOOKUP(Takeoffs!Y1139,Sheet1!$B$6:$C$124,2,FALSE)</f>
        <v>60</v>
      </c>
      <c r="AA1139" s="146">
        <f t="shared" si="518"/>
        <v>0</v>
      </c>
      <c r="AB1139" s="143">
        <f t="shared" si="519"/>
        <v>0</v>
      </c>
      <c r="AC1139" s="133">
        <f t="shared" si="520"/>
        <v>0</v>
      </c>
      <c r="AD1139" s="142">
        <v>1</v>
      </c>
      <c r="AE1139" s="141"/>
      <c r="AF1139" s="121" t="s">
        <v>292</v>
      </c>
      <c r="AG1139" s="146">
        <f>VLOOKUP(Takeoffs!AF1139,Sheet1!$B$6:$C$124,2,FALSE)</f>
        <v>0</v>
      </c>
      <c r="AH1139" s="146">
        <f t="shared" si="521"/>
        <v>0</v>
      </c>
      <c r="AI1139" s="143">
        <f t="shared" si="522"/>
        <v>0</v>
      </c>
      <c r="AJ1139" s="133">
        <f t="shared" si="523"/>
        <v>0</v>
      </c>
      <c r="AK1139" s="142">
        <f t="shared" si="526"/>
        <v>0</v>
      </c>
      <c r="AL1139" s="141"/>
      <c r="AO1139" s="286"/>
      <c r="AP1139" s="284">
        <f t="shared" si="511"/>
        <v>0</v>
      </c>
      <c r="AQ1139" s="281">
        <f t="shared" si="512"/>
        <v>0</v>
      </c>
      <c r="AR1139" s="284">
        <f t="shared" si="513"/>
        <v>0</v>
      </c>
      <c r="AS1139" s="281">
        <f t="shared" si="514"/>
        <v>0</v>
      </c>
      <c r="AT1139" s="284">
        <f t="shared" si="515"/>
        <v>0</v>
      </c>
    </row>
    <row r="1140" spans="1:97" s="114" customFormat="1" ht="30.9" x14ac:dyDescent="0.8">
      <c r="A1140" s="262">
        <f>ROW()</f>
        <v>1140</v>
      </c>
      <c r="C1140" s="208"/>
      <c r="D1140" s="208"/>
      <c r="E1140" s="208"/>
      <c r="F1140" s="208"/>
      <c r="G1140" s="208"/>
      <c r="H1140" s="208"/>
      <c r="J1140" s="114" t="str">
        <f t="shared" si="524"/>
        <v/>
      </c>
      <c r="K1140" s="114" t="str">
        <f>IF(COUNTBLANK(R1140)&gt;0,"",CONCATENATE(R1140," for ",N1125))</f>
        <v>Run and fault lights for Chilled Water Precision Cooling Unit</v>
      </c>
      <c r="N1140" s="123" t="s">
        <v>127</v>
      </c>
      <c r="O1140" s="66" t="s">
        <v>314</v>
      </c>
      <c r="P1140" s="121"/>
      <c r="Q1140" s="121"/>
      <c r="R1140" s="121" t="s">
        <v>455</v>
      </c>
      <c r="S1140" s="133">
        <f>M1125</f>
        <v>0</v>
      </c>
      <c r="T1140" s="120"/>
      <c r="U1140" s="121" t="s">
        <v>292</v>
      </c>
      <c r="V1140" s="133">
        <f t="shared" si="517"/>
        <v>0</v>
      </c>
      <c r="W1140" s="133">
        <f>VLOOKUP(U1140,Sheet1!$B$6:$C$45,2,FALSE)*V1140</f>
        <v>0</v>
      </c>
      <c r="X1140" s="141"/>
      <c r="Y1140" s="122" t="s">
        <v>280</v>
      </c>
      <c r="Z1140" s="146">
        <f>VLOOKUP(Takeoffs!Y1140,Sheet1!$B$6:$C$124,2,FALSE)</f>
        <v>19.2</v>
      </c>
      <c r="AA1140" s="146">
        <f t="shared" si="518"/>
        <v>0</v>
      </c>
      <c r="AB1140" s="143">
        <f t="shared" si="519"/>
        <v>0</v>
      </c>
      <c r="AC1140" s="133">
        <f t="shared" si="520"/>
        <v>0</v>
      </c>
      <c r="AD1140" s="142">
        <v>1</v>
      </c>
      <c r="AE1140" s="141"/>
      <c r="AF1140" s="121" t="s">
        <v>292</v>
      </c>
      <c r="AG1140" s="146">
        <f>VLOOKUP(Takeoffs!AF1140,Sheet1!$B$6:$C$124,2,FALSE)</f>
        <v>0</v>
      </c>
      <c r="AH1140" s="146">
        <f t="shared" si="521"/>
        <v>0</v>
      </c>
      <c r="AI1140" s="143">
        <f t="shared" si="522"/>
        <v>0</v>
      </c>
      <c r="AJ1140" s="133">
        <f t="shared" si="523"/>
        <v>0</v>
      </c>
      <c r="AK1140" s="142">
        <f t="shared" si="526"/>
        <v>0</v>
      </c>
      <c r="AL1140" s="141"/>
      <c r="AO1140" s="286"/>
      <c r="AP1140" s="284">
        <f t="shared" si="511"/>
        <v>0</v>
      </c>
      <c r="AQ1140" s="281">
        <f t="shared" si="512"/>
        <v>0</v>
      </c>
      <c r="AR1140" s="284">
        <f t="shared" si="513"/>
        <v>0</v>
      </c>
      <c r="AS1140" s="281">
        <f t="shared" si="514"/>
        <v>0</v>
      </c>
      <c r="AT1140" s="284">
        <f t="shared" si="515"/>
        <v>0</v>
      </c>
    </row>
    <row r="1141" spans="1:97" s="114" customFormat="1" ht="30.9" x14ac:dyDescent="0.8">
      <c r="A1141" s="262">
        <f>ROW()</f>
        <v>1141</v>
      </c>
      <c r="C1141" s="208"/>
      <c r="D1141" s="208"/>
      <c r="E1141" s="208"/>
      <c r="F1141" s="208"/>
      <c r="G1141" s="208"/>
      <c r="H1141" s="208"/>
      <c r="J1141" s="114" t="str">
        <f t="shared" si="524"/>
        <v/>
      </c>
      <c r="K1141" s="114" t="str">
        <f>IF(COUNTBLANK(R1141)&gt;0,"",CONCATENATE(R1141," for ",N1125))</f>
        <v/>
      </c>
      <c r="N1141" s="123" t="s">
        <v>128</v>
      </c>
      <c r="O1141" s="66" t="s">
        <v>315</v>
      </c>
      <c r="P1141" s="121"/>
      <c r="Q1141" s="121"/>
      <c r="R1141" s="121"/>
      <c r="S1141" s="133">
        <f>M1125</f>
        <v>0</v>
      </c>
      <c r="T1141" s="120"/>
      <c r="U1141" s="121" t="s">
        <v>292</v>
      </c>
      <c r="V1141" s="133">
        <f t="shared" si="517"/>
        <v>0</v>
      </c>
      <c r="W1141" s="133">
        <f>VLOOKUP(U1141,Sheet1!$B$6:$C$45,2,FALSE)*V1141</f>
        <v>0</v>
      </c>
      <c r="X1141" s="141"/>
      <c r="Y1141" s="122" t="s">
        <v>280</v>
      </c>
      <c r="Z1141" s="146">
        <f>VLOOKUP(Takeoffs!Y1141,Sheet1!$B$6:$C$124,2,FALSE)</f>
        <v>19.2</v>
      </c>
      <c r="AA1141" s="146">
        <f t="shared" si="518"/>
        <v>0</v>
      </c>
      <c r="AB1141" s="143">
        <f t="shared" si="519"/>
        <v>0</v>
      </c>
      <c r="AC1141" s="133">
        <f t="shared" si="520"/>
        <v>0</v>
      </c>
      <c r="AD1141" s="142">
        <v>1</v>
      </c>
      <c r="AE1141" s="141"/>
      <c r="AF1141" s="121" t="s">
        <v>292</v>
      </c>
      <c r="AG1141" s="146">
        <f>VLOOKUP(Takeoffs!AF1141,Sheet1!$B$6:$C$124,2,FALSE)</f>
        <v>0</v>
      </c>
      <c r="AH1141" s="146">
        <f t="shared" si="521"/>
        <v>0</v>
      </c>
      <c r="AI1141" s="143">
        <f t="shared" si="522"/>
        <v>0</v>
      </c>
      <c r="AJ1141" s="133">
        <f t="shared" si="523"/>
        <v>0</v>
      </c>
      <c r="AK1141" s="142">
        <f t="shared" si="526"/>
        <v>0</v>
      </c>
      <c r="AL1141" s="141"/>
      <c r="AO1141" s="286"/>
      <c r="AP1141" s="284">
        <f t="shared" si="511"/>
        <v>0</v>
      </c>
      <c r="AQ1141" s="281">
        <f t="shared" si="512"/>
        <v>0</v>
      </c>
      <c r="AR1141" s="284">
        <f t="shared" si="513"/>
        <v>0</v>
      </c>
      <c r="AS1141" s="281">
        <f t="shared" si="514"/>
        <v>0</v>
      </c>
      <c r="AT1141" s="284">
        <f t="shared" si="515"/>
        <v>0</v>
      </c>
    </row>
    <row r="1142" spans="1:97" s="114" customFormat="1" ht="30.9" x14ac:dyDescent="0.8">
      <c r="A1142" s="262">
        <f>ROW()</f>
        <v>1142</v>
      </c>
      <c r="C1142" s="208"/>
      <c r="D1142" s="208"/>
      <c r="E1142" s="208"/>
      <c r="F1142" s="208"/>
      <c r="G1142" s="208"/>
      <c r="H1142" s="208"/>
      <c r="J1142" s="114" t="str">
        <f t="shared" si="524"/>
        <v/>
      </c>
      <c r="K1142" s="114" t="str">
        <f>IF(COUNTBLANK(R1142)&gt;0,"",CONCATENATE(R1142," for ",N1125))</f>
        <v>Auto/Off/On switch for Chilled Water Precision Cooling Unit</v>
      </c>
      <c r="N1142" s="123" t="s">
        <v>129</v>
      </c>
      <c r="O1142" s="66" t="s">
        <v>329</v>
      </c>
      <c r="P1142" s="121"/>
      <c r="Q1142" s="121"/>
      <c r="R1142" s="121" t="s">
        <v>304</v>
      </c>
      <c r="S1142" s="133">
        <f>M1125</f>
        <v>0</v>
      </c>
      <c r="T1142" s="120"/>
      <c r="U1142" s="121" t="s">
        <v>292</v>
      </c>
      <c r="V1142" s="133">
        <f t="shared" si="517"/>
        <v>0</v>
      </c>
      <c r="W1142" s="133">
        <f>VLOOKUP(U1142,Sheet1!$B$6:$C$45,2,FALSE)*V1142</f>
        <v>0</v>
      </c>
      <c r="X1142" s="141"/>
      <c r="Y1142" s="122" t="s">
        <v>277</v>
      </c>
      <c r="Z1142" s="146">
        <f>VLOOKUP(Takeoffs!Y1142,Sheet1!$B$6:$C$124,2,FALSE)</f>
        <v>69.540000000000006</v>
      </c>
      <c r="AA1142" s="146">
        <f t="shared" si="518"/>
        <v>0</v>
      </c>
      <c r="AB1142" s="143">
        <f t="shared" si="519"/>
        <v>0</v>
      </c>
      <c r="AC1142" s="133">
        <f t="shared" si="520"/>
        <v>0</v>
      </c>
      <c r="AD1142" s="142">
        <v>1</v>
      </c>
      <c r="AE1142" s="141"/>
      <c r="AF1142" s="121" t="s">
        <v>292</v>
      </c>
      <c r="AG1142" s="146">
        <f>VLOOKUP(Takeoffs!AF1142,Sheet1!$B$6:$C$124,2,FALSE)</f>
        <v>0</v>
      </c>
      <c r="AH1142" s="146">
        <f t="shared" si="521"/>
        <v>0</v>
      </c>
      <c r="AI1142" s="143">
        <f t="shared" si="522"/>
        <v>0</v>
      </c>
      <c r="AJ1142" s="133">
        <f t="shared" si="523"/>
        <v>0</v>
      </c>
      <c r="AK1142" s="142">
        <f t="shared" si="526"/>
        <v>0</v>
      </c>
      <c r="AL1142" s="141"/>
      <c r="AO1142" s="286"/>
      <c r="AP1142" s="284">
        <f t="shared" si="511"/>
        <v>0</v>
      </c>
      <c r="AQ1142" s="281">
        <f t="shared" si="512"/>
        <v>0</v>
      </c>
      <c r="AR1142" s="284">
        <f t="shared" si="513"/>
        <v>0</v>
      </c>
      <c r="AS1142" s="281">
        <f t="shared" si="514"/>
        <v>0</v>
      </c>
      <c r="AT1142" s="284">
        <f t="shared" si="515"/>
        <v>0</v>
      </c>
    </row>
    <row r="1143" spans="1:97" s="114" customFormat="1" ht="30.9" x14ac:dyDescent="0.8">
      <c r="A1143" s="262">
        <f>ROW()</f>
        <v>1143</v>
      </c>
      <c r="C1143" s="208"/>
      <c r="D1143" s="208"/>
      <c r="E1143" s="208"/>
      <c r="F1143" s="208"/>
      <c r="G1143" s="208"/>
      <c r="H1143" s="208"/>
      <c r="J1143" s="114" t="str">
        <f t="shared" si="524"/>
        <v/>
      </c>
      <c r="K1143" s="114" t="str">
        <f>IF(COUNTBLANK(R1143)&gt;0,"",CONCATENATE(R1143," for ",N1125))</f>
        <v/>
      </c>
      <c r="N1143" s="123" t="s">
        <v>130</v>
      </c>
      <c r="O1143" s="66"/>
      <c r="P1143" s="121"/>
      <c r="Q1143" s="121"/>
      <c r="R1143" s="121"/>
      <c r="S1143" s="133">
        <f>M1125</f>
        <v>0</v>
      </c>
      <c r="T1143" s="120"/>
      <c r="U1143" s="121" t="s">
        <v>292</v>
      </c>
      <c r="V1143" s="133">
        <f t="shared" si="517"/>
        <v>0</v>
      </c>
      <c r="W1143" s="133">
        <f>VLOOKUP(U1143,Sheet1!$B$6:$C$45,2,FALSE)*V1143</f>
        <v>0</v>
      </c>
      <c r="X1143" s="141"/>
      <c r="Y1143" s="121" t="s">
        <v>292</v>
      </c>
      <c r="Z1143" s="146">
        <f>VLOOKUP(Takeoffs!Y1143,Sheet1!$B$6:$C$124,2,FALSE)</f>
        <v>0</v>
      </c>
      <c r="AA1143" s="146">
        <f t="shared" si="518"/>
        <v>0</v>
      </c>
      <c r="AB1143" s="143">
        <f t="shared" si="519"/>
        <v>0</v>
      </c>
      <c r="AC1143" s="133">
        <f t="shared" si="520"/>
        <v>0</v>
      </c>
      <c r="AD1143" s="142">
        <v>1</v>
      </c>
      <c r="AE1143" s="141"/>
      <c r="AF1143" s="121" t="s">
        <v>292</v>
      </c>
      <c r="AG1143" s="146">
        <f>VLOOKUP(Takeoffs!AF1143,Sheet1!$B$6:$C$124,2,FALSE)</f>
        <v>0</v>
      </c>
      <c r="AH1143" s="146">
        <f t="shared" si="521"/>
        <v>0</v>
      </c>
      <c r="AI1143" s="143">
        <f t="shared" si="522"/>
        <v>0</v>
      </c>
      <c r="AJ1143" s="133">
        <f t="shared" si="523"/>
        <v>0</v>
      </c>
      <c r="AK1143" s="142">
        <f t="shared" si="526"/>
        <v>0</v>
      </c>
      <c r="AL1143" s="141"/>
      <c r="AO1143" s="286"/>
      <c r="AP1143" s="284">
        <f t="shared" si="511"/>
        <v>0</v>
      </c>
      <c r="AQ1143" s="281">
        <f t="shared" si="512"/>
        <v>0</v>
      </c>
      <c r="AR1143" s="284">
        <f t="shared" si="513"/>
        <v>0</v>
      </c>
      <c r="AS1143" s="281">
        <f t="shared" si="514"/>
        <v>0</v>
      </c>
      <c r="AT1143" s="284">
        <f t="shared" si="515"/>
        <v>0</v>
      </c>
    </row>
    <row r="1144" spans="1:97" s="114" customFormat="1" ht="30.9" x14ac:dyDescent="0.8">
      <c r="A1144" s="262">
        <f>ROW()</f>
        <v>1144</v>
      </c>
      <c r="C1144" s="208"/>
      <c r="D1144" s="208"/>
      <c r="E1144" s="208"/>
      <c r="F1144" s="208"/>
      <c r="G1144" s="208"/>
      <c r="H1144" s="208"/>
      <c r="J1144" s="114" t="str">
        <f t="shared" si="524"/>
        <v/>
      </c>
      <c r="K1144" s="114" t="str">
        <f>IF(COUNTBLANK(R1144)&gt;0,"",CONCATENATE(R1144," for ",N1125))</f>
        <v/>
      </c>
      <c r="N1144" s="123" t="s">
        <v>131</v>
      </c>
      <c r="O1144" s="66"/>
      <c r="P1144" s="121"/>
      <c r="Q1144" s="121"/>
      <c r="R1144" s="121"/>
      <c r="S1144" s="133">
        <f>M1125</f>
        <v>0</v>
      </c>
      <c r="T1144" s="120"/>
      <c r="U1144" s="121" t="s">
        <v>292</v>
      </c>
      <c r="V1144" s="133">
        <f t="shared" si="517"/>
        <v>0</v>
      </c>
      <c r="W1144" s="133">
        <f>VLOOKUP(U1144,Sheet1!$B$6:$C$45,2,FALSE)*V1144</f>
        <v>0</v>
      </c>
      <c r="X1144" s="141"/>
      <c r="Y1144" s="121" t="s">
        <v>292</v>
      </c>
      <c r="Z1144" s="146">
        <f>VLOOKUP(Takeoffs!Y1144,Sheet1!$B$6:$C$124,2,FALSE)</f>
        <v>0</v>
      </c>
      <c r="AA1144" s="146">
        <f t="shared" si="518"/>
        <v>0</v>
      </c>
      <c r="AB1144" s="143">
        <f t="shared" si="519"/>
        <v>0</v>
      </c>
      <c r="AC1144" s="133">
        <f t="shared" si="520"/>
        <v>0</v>
      </c>
      <c r="AD1144" s="142">
        <v>1</v>
      </c>
      <c r="AE1144" s="141"/>
      <c r="AF1144" s="121" t="s">
        <v>292</v>
      </c>
      <c r="AG1144" s="146">
        <f>VLOOKUP(Takeoffs!AF1144,Sheet1!$B$6:$C$124,2,FALSE)</f>
        <v>0</v>
      </c>
      <c r="AH1144" s="146">
        <f t="shared" si="521"/>
        <v>0</v>
      </c>
      <c r="AI1144" s="143">
        <f t="shared" si="522"/>
        <v>0</v>
      </c>
      <c r="AJ1144" s="133">
        <f t="shared" si="523"/>
        <v>0</v>
      </c>
      <c r="AK1144" s="142">
        <f>T1144</f>
        <v>0</v>
      </c>
      <c r="AL1144" s="141"/>
      <c r="AO1144" s="286"/>
      <c r="AP1144" s="284">
        <f t="shared" si="511"/>
        <v>0</v>
      </c>
      <c r="AQ1144" s="281">
        <f t="shared" si="512"/>
        <v>0</v>
      </c>
      <c r="AR1144" s="284">
        <f t="shared" si="513"/>
        <v>0</v>
      </c>
      <c r="AS1144" s="281">
        <f t="shared" si="514"/>
        <v>0</v>
      </c>
      <c r="AT1144" s="284">
        <f t="shared" si="515"/>
        <v>0</v>
      </c>
    </row>
    <row r="1145" spans="1:97" s="114" customFormat="1" ht="30.9" x14ac:dyDescent="0.8">
      <c r="A1145" s="262">
        <f>ROW()</f>
        <v>1145</v>
      </c>
      <c r="C1145" s="208"/>
      <c r="D1145" s="208"/>
      <c r="E1145" s="208"/>
      <c r="F1145" s="208"/>
      <c r="G1145" s="208"/>
      <c r="H1145" s="208"/>
      <c r="J1145" s="114" t="str">
        <f t="shared" si="524"/>
        <v/>
      </c>
      <c r="K1145" s="114" t="str">
        <f>IF(COUNTBLANK(R1145)&gt;0,"",CONCATENATE(R1145," for ",N1125))</f>
        <v/>
      </c>
      <c r="N1145" s="123" t="s">
        <v>132</v>
      </c>
      <c r="O1145" s="66" t="s">
        <v>408</v>
      </c>
      <c r="P1145" s="121"/>
      <c r="Q1145" s="121"/>
      <c r="R1145" s="121"/>
      <c r="S1145" s="133">
        <f>M1125</f>
        <v>0</v>
      </c>
      <c r="T1145" s="120"/>
      <c r="U1145" s="121" t="s">
        <v>364</v>
      </c>
      <c r="V1145" s="133">
        <f t="shared" si="517"/>
        <v>0</v>
      </c>
      <c r="W1145" s="133">
        <f>VLOOKUP(U1145,Sheet1!$B$6:$C$45,2,FALSE)*V1145</f>
        <v>0</v>
      </c>
      <c r="X1145" s="141"/>
      <c r="Y1145" s="121" t="s">
        <v>292</v>
      </c>
      <c r="Z1145" s="146">
        <f>VLOOKUP(Takeoffs!Y1145,Sheet1!$B$6:$C$124,2,FALSE)</f>
        <v>0</v>
      </c>
      <c r="AA1145" s="146">
        <f t="shared" si="518"/>
        <v>0</v>
      </c>
      <c r="AB1145" s="143">
        <f t="shared" si="519"/>
        <v>0</v>
      </c>
      <c r="AC1145" s="133">
        <f t="shared" si="520"/>
        <v>0</v>
      </c>
      <c r="AD1145" s="142">
        <v>1</v>
      </c>
      <c r="AE1145" s="141"/>
      <c r="AF1145" s="121" t="s">
        <v>292</v>
      </c>
      <c r="AG1145" s="146">
        <f>VLOOKUP(Takeoffs!AF1145,Sheet1!$B$6:$C$124,2,FALSE)</f>
        <v>0</v>
      </c>
      <c r="AH1145" s="146">
        <f t="shared" si="521"/>
        <v>0</v>
      </c>
      <c r="AI1145" s="143">
        <f t="shared" si="522"/>
        <v>0</v>
      </c>
      <c r="AJ1145" s="133">
        <f t="shared" si="523"/>
        <v>0</v>
      </c>
      <c r="AK1145" s="142">
        <f>T1145</f>
        <v>0</v>
      </c>
      <c r="AL1145" s="141"/>
      <c r="AO1145" s="286"/>
      <c r="AP1145" s="284">
        <f t="shared" si="511"/>
        <v>0</v>
      </c>
      <c r="AQ1145" s="281">
        <f t="shared" si="512"/>
        <v>0</v>
      </c>
      <c r="AR1145" s="284">
        <f t="shared" si="513"/>
        <v>0</v>
      </c>
      <c r="AS1145" s="281">
        <f t="shared" si="514"/>
        <v>0</v>
      </c>
      <c r="AT1145" s="284">
        <f t="shared" si="515"/>
        <v>0</v>
      </c>
    </row>
    <row r="1146" spans="1:97" s="128" customFormat="1" ht="32.25" customHeight="1" thickBot="1" x14ac:dyDescent="0.85">
      <c r="A1146" s="262">
        <f>ROW()</f>
        <v>1146</v>
      </c>
      <c r="C1146" s="212"/>
      <c r="D1146" s="212"/>
      <c r="E1146" s="212"/>
      <c r="F1146" s="212"/>
      <c r="G1146" s="212"/>
      <c r="H1146" s="212"/>
      <c r="J1146" s="128" t="s">
        <v>377</v>
      </c>
      <c r="L1146" s="128" t="s">
        <v>378</v>
      </c>
      <c r="N1146" s="129"/>
      <c r="O1146" s="130" t="s">
        <v>357</v>
      </c>
      <c r="P1146" s="155">
        <f>V1146+AA1146+AH1146</f>
        <v>0</v>
      </c>
      <c r="Q1146" s="155"/>
      <c r="R1146" s="131"/>
      <c r="S1146" s="130"/>
      <c r="T1146" s="127"/>
      <c r="U1146" s="126" t="s">
        <v>351</v>
      </c>
      <c r="V1146" s="127">
        <f>W1146*80</f>
        <v>0</v>
      </c>
      <c r="W1146" s="147">
        <f>SUM(W1125:W1145)</f>
        <v>0</v>
      </c>
      <c r="X1146" s="148"/>
      <c r="Y1146" s="127" t="s">
        <v>352</v>
      </c>
      <c r="Z1146" s="116"/>
      <c r="AA1146" s="116">
        <f>SUM(AA1125:AA1145)</f>
        <v>0</v>
      </c>
      <c r="AB1146" s="149"/>
      <c r="AC1146" s="149"/>
      <c r="AD1146" s="149"/>
      <c r="AE1146" s="149"/>
      <c r="AF1146" s="127" t="s">
        <v>356</v>
      </c>
      <c r="AG1146" s="116"/>
      <c r="AH1146" s="116">
        <f>SUM(AH1125:AH1145)</f>
        <v>0</v>
      </c>
      <c r="AI1146" s="149"/>
      <c r="AJ1146" s="149"/>
      <c r="AK1146" s="149"/>
      <c r="AL1146" s="149"/>
      <c r="AM1146" s="150">
        <f>P1146</f>
        <v>0</v>
      </c>
      <c r="AO1146" s="286"/>
      <c r="AP1146" s="284">
        <f t="shared" si="511"/>
        <v>0</v>
      </c>
      <c r="AQ1146" s="281">
        <f t="shared" si="512"/>
        <v>0</v>
      </c>
      <c r="AR1146" s="284">
        <f t="shared" si="513"/>
        <v>0</v>
      </c>
      <c r="AS1146" s="281">
        <f t="shared" si="514"/>
        <v>0</v>
      </c>
      <c r="AT1146" s="284">
        <f t="shared" si="515"/>
        <v>0</v>
      </c>
    </row>
    <row r="1147" spans="1:97" s="234" customFormat="1" ht="127.3" thickBot="1" x14ac:dyDescent="1.25">
      <c r="A1147" s="262">
        <f>ROW()</f>
        <v>1147</v>
      </c>
      <c r="B1147" s="234" t="s">
        <v>491</v>
      </c>
      <c r="C1147" s="217" t="str">
        <f>N1125</f>
        <v>Chilled Water Precision Cooling Unit</v>
      </c>
      <c r="D1147" s="260" t="s">
        <v>678</v>
      </c>
      <c r="E1147" s="238"/>
      <c r="F1147" s="217"/>
      <c r="G1147" s="217"/>
      <c r="H1147" s="245"/>
      <c r="I1147" s="270"/>
      <c r="J1147" s="241" t="str">
        <f>CONCATENATE(O1125," ",L1125, " (",M1125,") ",N1125,".", IF(M1125&gt;1," Each "," This "),"includes supply and install of ",O1126,O1127,O1128,O1129,O1130,O1131,O1132,O1133,O1134,O1135,O1136,O1137,O1138,O1139,O1140,O1141,O1142,O1143,O1144,O1145,J1126,J1127,J1128,J1129,J1130,J1131,J1132,J1133,J1134,J1135,J1136,J1137,J1138,J1139,J1140,J1141,J1142,J1143,J1144,J1145)</f>
        <v xml:space="preserve">Electrical power supply and controls to Zero (0) Chilled Water Precision Cooling Unit. This includes supply and install of power and controls. Power for systems includes: CB, cabling to unit, local isolator, fan isolator and trefolyte label. Controls for systems includes: BMS terminals for flow fault indication, controls cabling, air pressure  switch , run light, fault light, Auto/Off/On switch, and commissioning/testing. </v>
      </c>
      <c r="K1147" s="248">
        <f>P1146</f>
        <v>0</v>
      </c>
      <c r="L1147" s="234" t="str">
        <f>CONCATENATE(Q1126,Q1127,Q1128,Q1129,Q1130,Q1131,Q1132,Q1133,Q1134,Q1135,Q1136,Q1137,Q1138,Q1139,Q1140,Q1141,Q1142,Q1143,Q1144,Q1145,)</f>
        <v/>
      </c>
      <c r="M1147" s="166" t="s">
        <v>367</v>
      </c>
      <c r="N1147" s="160" t="str">
        <f>N1125</f>
        <v>Chilled Water Precision Cooling Unit</v>
      </c>
      <c r="O1147" s="185" t="s">
        <v>365</v>
      </c>
      <c r="P1147" s="203" t="e">
        <f>P1146/M1125</f>
        <v>#DIV/0!</v>
      </c>
      <c r="Q1147" s="195"/>
      <c r="R1147" s="188"/>
      <c r="S1147" s="160"/>
      <c r="T1147" s="161"/>
      <c r="U1147" s="503" t="s">
        <v>366</v>
      </c>
      <c r="V1147" s="503"/>
      <c r="W1147" s="162" t="e">
        <f>W1146/M1125</f>
        <v>#DIV/0!</v>
      </c>
      <c r="X1147" s="163"/>
      <c r="Y1147" s="501" t="s">
        <v>365</v>
      </c>
      <c r="Z1147" s="501"/>
      <c r="AA1147" s="164" t="e">
        <f>AA1146/M1125</f>
        <v>#DIV/0!</v>
      </c>
      <c r="AB1147" s="161"/>
      <c r="AC1147" s="161"/>
      <c r="AD1147" s="161"/>
      <c r="AE1147" s="161"/>
      <c r="AF1147" s="501" t="s">
        <v>365</v>
      </c>
      <c r="AG1147" s="501"/>
      <c r="AH1147" s="164" t="e">
        <f>AH1146/M1125</f>
        <v>#DIV/0!</v>
      </c>
      <c r="AI1147" s="161"/>
      <c r="AJ1147" s="161"/>
      <c r="AK1147" s="161"/>
      <c r="AL1147" s="247"/>
      <c r="AM1147" s="257"/>
      <c r="AN1147" s="236">
        <f>K1147*1.25</f>
        <v>0</v>
      </c>
      <c r="AO1147" s="286"/>
      <c r="AP1147" s="284">
        <f t="shared" si="511"/>
        <v>0</v>
      </c>
      <c r="AQ1147" s="281">
        <f t="shared" si="512"/>
        <v>0</v>
      </c>
      <c r="AR1147" s="284">
        <f t="shared" si="513"/>
        <v>0</v>
      </c>
      <c r="AS1147" s="281">
        <f t="shared" si="514"/>
        <v>0</v>
      </c>
      <c r="AT1147" s="284">
        <f t="shared" si="515"/>
        <v>0</v>
      </c>
      <c r="AU1147" s="117"/>
      <c r="AV1147" s="117"/>
      <c r="AW1147" s="117"/>
      <c r="AX1147" s="117"/>
      <c r="AY1147" s="117"/>
      <c r="AZ1147" s="117"/>
      <c r="BA1147" s="117"/>
      <c r="BB1147" s="117"/>
      <c r="BC1147" s="117"/>
      <c r="BD1147" s="117"/>
      <c r="BE1147" s="117"/>
      <c r="BF1147" s="117"/>
      <c r="BG1147" s="117"/>
      <c r="BH1147" s="117"/>
      <c r="BI1147" s="117"/>
      <c r="BJ1147" s="117"/>
      <c r="BK1147" s="117"/>
      <c r="BL1147" s="117"/>
      <c r="BM1147" s="117"/>
      <c r="BN1147" s="117"/>
      <c r="BO1147" s="117"/>
      <c r="BP1147" s="117"/>
      <c r="BQ1147" s="117"/>
      <c r="BR1147" s="117"/>
      <c r="BS1147" s="117"/>
      <c r="BT1147" s="117"/>
      <c r="BU1147" s="117"/>
      <c r="BV1147" s="117"/>
      <c r="BW1147" s="117"/>
      <c r="BX1147" s="117"/>
      <c r="BY1147" s="117"/>
      <c r="BZ1147" s="117"/>
      <c r="CA1147" s="117"/>
      <c r="CB1147" s="117"/>
      <c r="CC1147" s="117"/>
      <c r="CD1147" s="117"/>
      <c r="CE1147" s="117"/>
      <c r="CF1147" s="117"/>
      <c r="CG1147" s="117"/>
      <c r="CH1147" s="117"/>
      <c r="CI1147" s="117"/>
      <c r="CJ1147" s="117"/>
      <c r="CK1147" s="117"/>
      <c r="CL1147" s="117"/>
      <c r="CM1147" s="117"/>
      <c r="CN1147" s="117"/>
      <c r="CO1147" s="117"/>
      <c r="CP1147" s="117"/>
      <c r="CQ1147" s="117"/>
      <c r="CR1147" s="117"/>
      <c r="CS1147" s="117"/>
    </row>
    <row r="1148" spans="1:97" s="116" customFormat="1" ht="193.5" customHeight="1" x14ac:dyDescent="0.8">
      <c r="A1148" s="262">
        <f>ROW()</f>
        <v>1148</v>
      </c>
      <c r="C1148" s="211"/>
      <c r="D1148" s="211"/>
      <c r="E1148" s="211"/>
      <c r="F1148" s="211"/>
      <c r="G1148" s="211"/>
      <c r="H1148" s="211"/>
      <c r="K1148" s="116" t="s">
        <v>452</v>
      </c>
      <c r="M1148" s="116" t="s">
        <v>107</v>
      </c>
      <c r="N1148" s="116" t="s">
        <v>108</v>
      </c>
      <c r="O1148" s="170" t="s">
        <v>386</v>
      </c>
      <c r="P1148" s="502" t="s">
        <v>375</v>
      </c>
      <c r="Q1148" s="502"/>
      <c r="R1148" s="101" t="s">
        <v>452</v>
      </c>
      <c r="S1148" s="116" t="s">
        <v>0</v>
      </c>
      <c r="T1148" s="118"/>
      <c r="U1148" s="116" t="s">
        <v>287</v>
      </c>
      <c r="V1148" s="116" t="s">
        <v>288</v>
      </c>
      <c r="W1148" s="116" t="s">
        <v>291</v>
      </c>
      <c r="X1148" s="140"/>
      <c r="Y1148" s="116" t="s">
        <v>289</v>
      </c>
      <c r="Z1148" s="116" t="s">
        <v>354</v>
      </c>
      <c r="AA1148" s="116" t="s">
        <v>355</v>
      </c>
      <c r="AB1148" s="116" t="s">
        <v>317</v>
      </c>
      <c r="AC1148" s="116" t="s">
        <v>318</v>
      </c>
      <c r="AD1148" s="116" t="s">
        <v>316</v>
      </c>
      <c r="AE1148" s="140"/>
      <c r="AF1148" s="116" t="s">
        <v>293</v>
      </c>
      <c r="AG1148" s="116" t="s">
        <v>354</v>
      </c>
      <c r="AH1148" s="116" t="s">
        <v>355</v>
      </c>
      <c r="AI1148" s="116" t="s">
        <v>296</v>
      </c>
      <c r="AJ1148" s="116" t="s">
        <v>294</v>
      </c>
      <c r="AK1148" s="116" t="s">
        <v>295</v>
      </c>
      <c r="AL1148" s="140"/>
      <c r="AO1148" s="288"/>
      <c r="AP1148" s="284">
        <f t="shared" si="511"/>
        <v>0</v>
      </c>
      <c r="AQ1148" s="281">
        <f t="shared" si="512"/>
        <v>0</v>
      </c>
      <c r="AR1148" s="284">
        <f t="shared" si="513"/>
        <v>0</v>
      </c>
      <c r="AS1148" s="281">
        <f t="shared" si="514"/>
        <v>0</v>
      </c>
      <c r="AT1148" s="284">
        <f t="shared" si="515"/>
        <v>0</v>
      </c>
    </row>
    <row r="1149" spans="1:97" s="114" customFormat="1" ht="32.25" customHeight="1" x14ac:dyDescent="0.8">
      <c r="A1149" s="262">
        <f>ROW()</f>
        <v>1149</v>
      </c>
      <c r="C1149" s="208"/>
      <c r="D1149" s="208"/>
      <c r="E1149" s="208"/>
      <c r="F1149" s="208"/>
      <c r="G1149" s="208"/>
      <c r="H1149" s="208"/>
      <c r="L1149" s="124" t="str">
        <f>VLOOKUP(M1149,Sheet2!$D$2:$E$1024,2,FALSE)</f>
        <v>Zero</v>
      </c>
      <c r="M1149" s="121">
        <f>I1171</f>
        <v>0</v>
      </c>
      <c r="N1149" s="132" t="s">
        <v>482</v>
      </c>
      <c r="O1149" s="121" t="s">
        <v>347</v>
      </c>
      <c r="P1149" s="169" t="s">
        <v>379</v>
      </c>
      <c r="Q1149" s="169" t="s">
        <v>375</v>
      </c>
      <c r="R1149" s="169"/>
      <c r="S1149" s="133">
        <f>M1149</f>
        <v>0</v>
      </c>
      <c r="T1149" s="119"/>
      <c r="U1149" s="153" t="s">
        <v>292</v>
      </c>
      <c r="V1149" s="133">
        <f>S1149</f>
        <v>0</v>
      </c>
      <c r="W1149" s="133">
        <f>VLOOKUP(U1149,Sheet1!$B$6:$C$45,2,FALSE)*V1149</f>
        <v>0</v>
      </c>
      <c r="X1149" s="141"/>
      <c r="Y1149" s="121" t="s">
        <v>292</v>
      </c>
      <c r="Z1149" s="146">
        <f>VLOOKUP(Takeoffs!Y1149,Sheet1!$B$6:$C$124,2,FALSE)</f>
        <v>0</v>
      </c>
      <c r="AA1149" s="146">
        <f>Z1149*AB1149</f>
        <v>0</v>
      </c>
      <c r="AB1149" s="143">
        <f>AD1149*AC1149</f>
        <v>0</v>
      </c>
      <c r="AC1149" s="133">
        <f>S1149</f>
        <v>0</v>
      </c>
      <c r="AD1149" s="142">
        <v>1</v>
      </c>
      <c r="AE1149" s="141"/>
      <c r="AF1149" s="121" t="s">
        <v>292</v>
      </c>
      <c r="AG1149" s="146">
        <f>VLOOKUP(Takeoffs!AF1149,Sheet1!$B$6:$C$124,2,FALSE)</f>
        <v>0</v>
      </c>
      <c r="AH1149" s="146">
        <f>AG1149*AI1149</f>
        <v>0</v>
      </c>
      <c r="AI1149" s="143">
        <f>AK1149*AJ1149</f>
        <v>0</v>
      </c>
      <c r="AJ1149" s="133">
        <f>S1149</f>
        <v>0</v>
      </c>
      <c r="AK1149" s="142">
        <f>T1149</f>
        <v>0</v>
      </c>
      <c r="AL1149" s="141"/>
      <c r="AO1149" s="286"/>
      <c r="AP1149" s="284">
        <f t="shared" si="511"/>
        <v>0</v>
      </c>
      <c r="AQ1149" s="281">
        <f t="shared" si="512"/>
        <v>0</v>
      </c>
      <c r="AR1149" s="284">
        <f t="shared" si="513"/>
        <v>0</v>
      </c>
      <c r="AS1149" s="281">
        <f t="shared" si="514"/>
        <v>0</v>
      </c>
      <c r="AT1149" s="284">
        <f t="shared" si="515"/>
        <v>0</v>
      </c>
    </row>
    <row r="1150" spans="1:97" s="114" customFormat="1" ht="30.9" x14ac:dyDescent="0.8">
      <c r="A1150" s="262">
        <f>ROW()</f>
        <v>1150</v>
      </c>
      <c r="C1150" s="208"/>
      <c r="D1150" s="208"/>
      <c r="E1150" s="208"/>
      <c r="F1150" s="208"/>
      <c r="G1150" s="208"/>
      <c r="H1150" s="208"/>
      <c r="J1150" s="114" t="str">
        <f>IF(COUNTBLANK(Q1150)&gt;0,"",CONCATENATE("Coordination Note: - ",P1150,": Please refer to our exclusions relating to ",Q1150))</f>
        <v/>
      </c>
      <c r="K1150" s="114" t="str">
        <f>IF(COUNTBLANK(R1150)&gt;0,"",CONCATENATE(R1150," for ",N1149))</f>
        <v/>
      </c>
      <c r="M1150" s="117"/>
      <c r="N1150" s="123" t="s">
        <v>113</v>
      </c>
      <c r="O1150" s="66" t="s">
        <v>411</v>
      </c>
      <c r="P1150" s="121"/>
      <c r="Q1150" s="121"/>
      <c r="R1150" s="121"/>
      <c r="S1150" s="133">
        <f>M1149</f>
        <v>0</v>
      </c>
      <c r="T1150" s="120"/>
      <c r="U1150" s="121" t="s">
        <v>233</v>
      </c>
      <c r="V1150" s="133">
        <f t="shared" ref="V1150:V1169" si="527">S1150</f>
        <v>0</v>
      </c>
      <c r="W1150" s="133">
        <f>VLOOKUP(U1150,Sheet1!$B$6:$C$45,2,FALSE)*V1150</f>
        <v>0</v>
      </c>
      <c r="X1150" s="141"/>
      <c r="Y1150" s="121" t="s">
        <v>292</v>
      </c>
      <c r="Z1150" s="146">
        <f>VLOOKUP(Takeoffs!Y1150,Sheet1!$B$6:$C$124,2,FALSE)</f>
        <v>0</v>
      </c>
      <c r="AA1150" s="146">
        <f t="shared" ref="AA1150:AA1169" si="528">Z1150*AB1150</f>
        <v>0</v>
      </c>
      <c r="AB1150" s="143">
        <f t="shared" ref="AB1150:AB1169" si="529">AD1150*AC1150</f>
        <v>0</v>
      </c>
      <c r="AC1150" s="133">
        <f>S1150</f>
        <v>0</v>
      </c>
      <c r="AD1150" s="142">
        <v>1</v>
      </c>
      <c r="AE1150" s="141"/>
      <c r="AF1150" s="121" t="s">
        <v>292</v>
      </c>
      <c r="AG1150" s="146">
        <f>VLOOKUP(Takeoffs!AF1150,Sheet1!$B$6:$C$124,2,FALSE)</f>
        <v>0</v>
      </c>
      <c r="AH1150" s="146">
        <f t="shared" ref="AH1150:AH1169" si="530">AG1150*AI1150</f>
        <v>0</v>
      </c>
      <c r="AI1150" s="143">
        <f t="shared" ref="AI1150:AI1169" si="531">AK1150*AJ1150</f>
        <v>0</v>
      </c>
      <c r="AJ1150" s="133">
        <f t="shared" ref="AJ1150:AJ1169" si="532">S1150</f>
        <v>0</v>
      </c>
      <c r="AK1150" s="142"/>
      <c r="AL1150" s="141"/>
      <c r="AO1150" s="286"/>
      <c r="AP1150" s="284">
        <f t="shared" si="511"/>
        <v>0</v>
      </c>
      <c r="AQ1150" s="281">
        <f t="shared" si="512"/>
        <v>0</v>
      </c>
      <c r="AR1150" s="284">
        <f t="shared" si="513"/>
        <v>0</v>
      </c>
      <c r="AS1150" s="281">
        <f t="shared" si="514"/>
        <v>0</v>
      </c>
      <c r="AT1150" s="284">
        <f t="shared" si="515"/>
        <v>0</v>
      </c>
    </row>
    <row r="1151" spans="1:97" s="114" customFormat="1" ht="30.9" x14ac:dyDescent="0.8">
      <c r="A1151" s="262">
        <f>ROW()</f>
        <v>1151</v>
      </c>
      <c r="C1151" s="208"/>
      <c r="D1151" s="208"/>
      <c r="E1151" s="208"/>
      <c r="F1151" s="208"/>
      <c r="G1151" s="208"/>
      <c r="H1151" s="208"/>
      <c r="J1151" s="114" t="str">
        <f t="shared" ref="J1151:J1169" si="533">IF(COUNTBLANK(Q1151)&gt;0,"",CONCATENATE("Coordination Note: - ",P1151,": Please refer to our exclusions relating to ",Q1151))</f>
        <v/>
      </c>
      <c r="K1151" s="114" t="str">
        <f>IF(COUNTBLANK(R1151)&gt;0,"",CONCATENATE(R1151," for ",N1149))</f>
        <v/>
      </c>
      <c r="M1151" s="117"/>
      <c r="N1151" s="123" t="s">
        <v>114</v>
      </c>
      <c r="O1151" s="66" t="s">
        <v>308</v>
      </c>
      <c r="P1151" s="121"/>
      <c r="Q1151" s="121"/>
      <c r="R1151" s="121"/>
      <c r="S1151" s="133">
        <f>M1149</f>
        <v>0</v>
      </c>
      <c r="T1151" s="120"/>
      <c r="U1151" s="121" t="s">
        <v>292</v>
      </c>
      <c r="V1151" s="133">
        <f t="shared" si="527"/>
        <v>0</v>
      </c>
      <c r="W1151" s="133">
        <f>VLOOKUP(U1151,Sheet1!$B$6:$C$45,2,FALSE)*V1151</f>
        <v>0</v>
      </c>
      <c r="X1151" s="141"/>
      <c r="Y1151" s="122" t="s">
        <v>252</v>
      </c>
      <c r="Z1151" s="146">
        <f>VLOOKUP(Takeoffs!Y1151,Sheet1!$B$6:$C$124,2,FALSE)</f>
        <v>43.440000000000005</v>
      </c>
      <c r="AA1151" s="146">
        <f t="shared" si="528"/>
        <v>0</v>
      </c>
      <c r="AB1151" s="143">
        <f t="shared" si="529"/>
        <v>0</v>
      </c>
      <c r="AC1151" s="133">
        <f>S1151</f>
        <v>0</v>
      </c>
      <c r="AD1151" s="142">
        <v>1</v>
      </c>
      <c r="AE1151" s="141"/>
      <c r="AF1151" s="121" t="s">
        <v>292</v>
      </c>
      <c r="AG1151" s="146">
        <f>VLOOKUP(Takeoffs!AF1151,Sheet1!$B$6:$C$124,2,FALSE)</f>
        <v>0</v>
      </c>
      <c r="AH1151" s="146">
        <f t="shared" si="530"/>
        <v>0</v>
      </c>
      <c r="AI1151" s="143">
        <f t="shared" si="531"/>
        <v>0</v>
      </c>
      <c r="AJ1151" s="133">
        <f t="shared" si="532"/>
        <v>0</v>
      </c>
      <c r="AK1151" s="142">
        <f>T1151</f>
        <v>0</v>
      </c>
      <c r="AL1151" s="141"/>
      <c r="AO1151" s="286"/>
      <c r="AP1151" s="284">
        <f t="shared" si="511"/>
        <v>0</v>
      </c>
      <c r="AQ1151" s="281">
        <f t="shared" si="512"/>
        <v>0</v>
      </c>
      <c r="AR1151" s="284">
        <f t="shared" si="513"/>
        <v>0</v>
      </c>
      <c r="AS1151" s="281">
        <f t="shared" si="514"/>
        <v>0</v>
      </c>
      <c r="AT1151" s="284">
        <f t="shared" si="515"/>
        <v>0</v>
      </c>
    </row>
    <row r="1152" spans="1:97" s="114" customFormat="1" ht="30.9" x14ac:dyDescent="0.8">
      <c r="A1152" s="262">
        <f>ROW()</f>
        <v>1152</v>
      </c>
      <c r="C1152" s="208"/>
      <c r="D1152" s="208"/>
      <c r="E1152" s="208"/>
      <c r="F1152" s="208"/>
      <c r="G1152" s="208"/>
      <c r="H1152" s="208"/>
      <c r="J1152" s="114" t="str">
        <f t="shared" si="533"/>
        <v/>
      </c>
      <c r="K1152" s="114" t="str">
        <f>IF(COUNTBLANK(R1152)&gt;0,"",CONCATENATE(R1152," for ",N1149))</f>
        <v/>
      </c>
      <c r="M1152" s="117"/>
      <c r="N1152" s="123" t="s">
        <v>115</v>
      </c>
      <c r="O1152" s="66" t="s">
        <v>505</v>
      </c>
      <c r="P1152" s="121"/>
      <c r="Q1152" s="121"/>
      <c r="R1152" s="121"/>
      <c r="S1152" s="133">
        <f>M1149</f>
        <v>0</v>
      </c>
      <c r="T1152" s="120"/>
      <c r="U1152" s="117" t="s">
        <v>478</v>
      </c>
      <c r="V1152" s="133">
        <f t="shared" si="527"/>
        <v>0</v>
      </c>
      <c r="W1152" s="133">
        <f>VLOOKUP(U1152,Sheet1!$B$6:$C$45,2,FALSE)*V1152</f>
        <v>0</v>
      </c>
      <c r="X1152" s="141"/>
      <c r="Y1152" s="121" t="s">
        <v>292</v>
      </c>
      <c r="Z1152" s="146">
        <f>VLOOKUP(Takeoffs!Y1152,Sheet1!$B$6:$C$124,2,FALSE)</f>
        <v>0</v>
      </c>
      <c r="AA1152" s="146">
        <f t="shared" si="528"/>
        <v>0</v>
      </c>
      <c r="AB1152" s="143">
        <f t="shared" si="529"/>
        <v>0</v>
      </c>
      <c r="AC1152" s="133">
        <f t="shared" ref="AC1152:AC1169" si="534">S1152</f>
        <v>0</v>
      </c>
      <c r="AD1152" s="142">
        <v>1</v>
      </c>
      <c r="AE1152" s="141"/>
      <c r="AF1152" s="122" t="s">
        <v>267</v>
      </c>
      <c r="AG1152" s="146">
        <f>VLOOKUP(Takeoffs!AF1152,Sheet1!$B$6:$C$124,2,FALSE)</f>
        <v>3.48</v>
      </c>
      <c r="AH1152" s="146">
        <f t="shared" si="530"/>
        <v>0</v>
      </c>
      <c r="AI1152" s="143">
        <f t="shared" si="531"/>
        <v>0</v>
      </c>
      <c r="AJ1152" s="133">
        <f t="shared" si="532"/>
        <v>0</v>
      </c>
      <c r="AK1152" s="142">
        <v>20</v>
      </c>
      <c r="AL1152" s="141"/>
      <c r="AO1152" s="286"/>
      <c r="AP1152" s="284">
        <f t="shared" si="511"/>
        <v>0</v>
      </c>
      <c r="AQ1152" s="281">
        <f t="shared" si="512"/>
        <v>0</v>
      </c>
      <c r="AR1152" s="284">
        <f t="shared" si="513"/>
        <v>0</v>
      </c>
      <c r="AS1152" s="281">
        <f t="shared" si="514"/>
        <v>0</v>
      </c>
      <c r="AT1152" s="284">
        <f t="shared" si="515"/>
        <v>0</v>
      </c>
    </row>
    <row r="1153" spans="1:46" s="114" customFormat="1" ht="30.9" x14ac:dyDescent="0.8">
      <c r="A1153" s="262">
        <f>ROW()</f>
        <v>1153</v>
      </c>
      <c r="C1153" s="208"/>
      <c r="D1153" s="208"/>
      <c r="E1153" s="208"/>
      <c r="F1153" s="208"/>
      <c r="G1153" s="208"/>
      <c r="H1153" s="208"/>
      <c r="J1153" s="114" t="str">
        <f t="shared" si="533"/>
        <v/>
      </c>
      <c r="K1153" s="114" t="str">
        <f>IF(COUNTBLANK(R1153)&gt;0,"",CONCATENATE(R1153," for ",N1149))</f>
        <v/>
      </c>
      <c r="M1153" s="117"/>
      <c r="N1153" s="123" t="s">
        <v>116</v>
      </c>
      <c r="O1153" s="66"/>
      <c r="P1153" s="121"/>
      <c r="Q1153" s="121"/>
      <c r="R1153" s="121"/>
      <c r="S1153" s="133">
        <f>M1149</f>
        <v>0</v>
      </c>
      <c r="T1153" s="120"/>
      <c r="U1153" s="121" t="s">
        <v>292</v>
      </c>
      <c r="V1153" s="133">
        <f t="shared" si="527"/>
        <v>0</v>
      </c>
      <c r="W1153" s="133">
        <f>VLOOKUP(U1153,Sheet1!$B$6:$C$45,2,FALSE)*V1153</f>
        <v>0</v>
      </c>
      <c r="X1153" s="141"/>
      <c r="Y1153" s="121" t="s">
        <v>292</v>
      </c>
      <c r="Z1153" s="146">
        <f>VLOOKUP(Takeoffs!Y1153,Sheet1!$B$6:$C$124,2,FALSE)</f>
        <v>0</v>
      </c>
      <c r="AA1153" s="146">
        <f t="shared" si="528"/>
        <v>0</v>
      </c>
      <c r="AB1153" s="143">
        <f t="shared" si="529"/>
        <v>0</v>
      </c>
      <c r="AC1153" s="133">
        <f t="shared" si="534"/>
        <v>0</v>
      </c>
      <c r="AD1153" s="142">
        <v>1</v>
      </c>
      <c r="AE1153" s="141"/>
      <c r="AF1153" s="121" t="s">
        <v>292</v>
      </c>
      <c r="AG1153" s="146">
        <f>VLOOKUP(Takeoffs!AF1153,Sheet1!$B$6:$C$124,2,FALSE)</f>
        <v>0</v>
      </c>
      <c r="AH1153" s="146">
        <f t="shared" si="530"/>
        <v>0</v>
      </c>
      <c r="AI1153" s="143">
        <f t="shared" si="531"/>
        <v>0</v>
      </c>
      <c r="AJ1153" s="133">
        <f t="shared" si="532"/>
        <v>0</v>
      </c>
      <c r="AK1153" s="142">
        <f>T1153</f>
        <v>0</v>
      </c>
      <c r="AL1153" s="141"/>
      <c r="AO1153" s="286"/>
      <c r="AP1153" s="284">
        <f t="shared" si="511"/>
        <v>0</v>
      </c>
      <c r="AQ1153" s="281">
        <f t="shared" si="512"/>
        <v>0</v>
      </c>
      <c r="AR1153" s="284">
        <f t="shared" si="513"/>
        <v>0</v>
      </c>
      <c r="AS1153" s="281">
        <f t="shared" si="514"/>
        <v>0</v>
      </c>
      <c r="AT1153" s="284">
        <f t="shared" si="515"/>
        <v>0</v>
      </c>
    </row>
    <row r="1154" spans="1:46" s="114" customFormat="1" ht="30.9" x14ac:dyDescent="0.8">
      <c r="A1154" s="262">
        <f>ROW()</f>
        <v>1154</v>
      </c>
      <c r="C1154" s="208"/>
      <c r="D1154" s="208"/>
      <c r="E1154" s="208"/>
      <c r="F1154" s="208"/>
      <c r="G1154" s="208"/>
      <c r="H1154" s="208"/>
      <c r="J1154" s="114" t="str">
        <f t="shared" si="533"/>
        <v/>
      </c>
      <c r="K1154" s="114" t="str">
        <f>IF(COUNTBLANK(R1154)&gt;0,"",CONCATENATE(R1154," for ",N1149))</f>
        <v/>
      </c>
      <c r="M1154" s="117"/>
      <c r="N1154" s="123" t="s">
        <v>117</v>
      </c>
      <c r="O1154" s="66"/>
      <c r="P1154" s="121"/>
      <c r="Q1154" s="121"/>
      <c r="R1154" s="121"/>
      <c r="S1154" s="133">
        <f>M1149</f>
        <v>0</v>
      </c>
      <c r="T1154" s="120"/>
      <c r="U1154" s="121" t="s">
        <v>292</v>
      </c>
      <c r="V1154" s="133">
        <f t="shared" si="527"/>
        <v>0</v>
      </c>
      <c r="W1154" s="133">
        <f>VLOOKUP(U1154,Sheet1!$B$6:$C$45,2,FALSE)*V1154</f>
        <v>0</v>
      </c>
      <c r="X1154" s="141"/>
      <c r="Y1154" s="121" t="s">
        <v>292</v>
      </c>
      <c r="Z1154" s="146">
        <f>VLOOKUP(Takeoffs!Y1154,Sheet1!$B$6:$C$124,2,FALSE)</f>
        <v>0</v>
      </c>
      <c r="AA1154" s="146">
        <f t="shared" si="528"/>
        <v>0</v>
      </c>
      <c r="AB1154" s="143">
        <f t="shared" si="529"/>
        <v>0</v>
      </c>
      <c r="AC1154" s="133">
        <f t="shared" si="534"/>
        <v>0</v>
      </c>
      <c r="AD1154" s="142">
        <v>1</v>
      </c>
      <c r="AE1154" s="141"/>
      <c r="AF1154" s="121" t="s">
        <v>292</v>
      </c>
      <c r="AG1154" s="146">
        <f>VLOOKUP(Takeoffs!AF1154,Sheet1!$B$6:$C$124,2,FALSE)</f>
        <v>0</v>
      </c>
      <c r="AH1154" s="146">
        <f t="shared" si="530"/>
        <v>0</v>
      </c>
      <c r="AI1154" s="143">
        <f t="shared" si="531"/>
        <v>0</v>
      </c>
      <c r="AJ1154" s="133">
        <f t="shared" si="532"/>
        <v>0</v>
      </c>
      <c r="AK1154" s="142">
        <v>0</v>
      </c>
      <c r="AL1154" s="141"/>
      <c r="AO1154" s="286"/>
      <c r="AP1154" s="284">
        <f t="shared" si="511"/>
        <v>0</v>
      </c>
      <c r="AQ1154" s="281">
        <f t="shared" si="512"/>
        <v>0</v>
      </c>
      <c r="AR1154" s="284">
        <f t="shared" si="513"/>
        <v>0</v>
      </c>
      <c r="AS1154" s="281">
        <f t="shared" si="514"/>
        <v>0</v>
      </c>
      <c r="AT1154" s="284">
        <f t="shared" si="515"/>
        <v>0</v>
      </c>
    </row>
    <row r="1155" spans="1:46" s="114" customFormat="1" ht="30.9" x14ac:dyDescent="0.8">
      <c r="A1155" s="262">
        <f>ROW()</f>
        <v>1155</v>
      </c>
      <c r="C1155" s="208"/>
      <c r="D1155" s="208"/>
      <c r="E1155" s="208"/>
      <c r="F1155" s="208"/>
      <c r="G1155" s="208"/>
      <c r="H1155" s="208"/>
      <c r="J1155" s="114" t="str">
        <f t="shared" si="533"/>
        <v/>
      </c>
      <c r="K1155" s="114" t="str">
        <f>IF(COUNTBLANK(R1155)&gt;0,"",CONCATENATE(R1155," for ",N1149))</f>
        <v/>
      </c>
      <c r="M1155" s="117"/>
      <c r="N1155" s="123" t="s">
        <v>118</v>
      </c>
      <c r="O1155" s="66" t="s">
        <v>309</v>
      </c>
      <c r="P1155" s="121"/>
      <c r="Q1155" s="121"/>
      <c r="R1155" s="121"/>
      <c r="S1155" s="133">
        <f>M1149</f>
        <v>0</v>
      </c>
      <c r="T1155" s="120"/>
      <c r="U1155" s="121" t="s">
        <v>292</v>
      </c>
      <c r="V1155" s="133">
        <f t="shared" si="527"/>
        <v>0</v>
      </c>
      <c r="W1155" s="133">
        <f>VLOOKUP(U1155,Sheet1!$B$6:$C$45,2,FALSE)*V1155</f>
        <v>0</v>
      </c>
      <c r="X1155" s="141"/>
      <c r="Y1155" s="122" t="s">
        <v>245</v>
      </c>
      <c r="Z1155" s="146">
        <f>VLOOKUP(Takeoffs!Y1155,Sheet1!$B$6:$C$124,2,FALSE)</f>
        <v>46.463999999999999</v>
      </c>
      <c r="AA1155" s="146">
        <f t="shared" si="528"/>
        <v>0</v>
      </c>
      <c r="AB1155" s="143">
        <f t="shared" si="529"/>
        <v>0</v>
      </c>
      <c r="AC1155" s="133">
        <f t="shared" si="534"/>
        <v>0</v>
      </c>
      <c r="AD1155" s="142">
        <v>1</v>
      </c>
      <c r="AE1155" s="141"/>
      <c r="AF1155" s="121" t="s">
        <v>292</v>
      </c>
      <c r="AG1155" s="146">
        <f>VLOOKUP(Takeoffs!AF1155,Sheet1!$B$6:$C$124,2,FALSE)</f>
        <v>0</v>
      </c>
      <c r="AH1155" s="146">
        <f t="shared" si="530"/>
        <v>0</v>
      </c>
      <c r="AI1155" s="143">
        <f t="shared" si="531"/>
        <v>0</v>
      </c>
      <c r="AJ1155" s="133">
        <f t="shared" si="532"/>
        <v>0</v>
      </c>
      <c r="AK1155" s="142">
        <f t="shared" ref="AK1155:AK1160" si="535">T1155</f>
        <v>0</v>
      </c>
      <c r="AL1155" s="141"/>
      <c r="AO1155" s="286"/>
      <c r="AP1155" s="284">
        <f t="shared" si="511"/>
        <v>0</v>
      </c>
      <c r="AQ1155" s="281">
        <f t="shared" si="512"/>
        <v>0</v>
      </c>
      <c r="AR1155" s="284">
        <f t="shared" si="513"/>
        <v>0</v>
      </c>
      <c r="AS1155" s="281">
        <f t="shared" si="514"/>
        <v>0</v>
      </c>
      <c r="AT1155" s="284">
        <f t="shared" si="515"/>
        <v>0</v>
      </c>
    </row>
    <row r="1156" spans="1:46" s="114" customFormat="1" ht="30.9" x14ac:dyDescent="0.8">
      <c r="A1156" s="262">
        <f>ROW()</f>
        <v>1156</v>
      </c>
      <c r="C1156" s="208"/>
      <c r="D1156" s="208"/>
      <c r="E1156" s="208"/>
      <c r="F1156" s="208"/>
      <c r="G1156" s="208"/>
      <c r="H1156" s="208"/>
      <c r="J1156" s="114" t="str">
        <f t="shared" si="533"/>
        <v/>
      </c>
      <c r="K1156" s="114" t="str">
        <f>IF(COUNTBLANK(R1156)&gt;0,"",CONCATENATE(R1156," for ",N1149))</f>
        <v/>
      </c>
      <c r="N1156" s="123" t="s">
        <v>119</v>
      </c>
      <c r="O1156" s="66" t="s">
        <v>310</v>
      </c>
      <c r="P1156" s="121"/>
      <c r="Q1156" s="121"/>
      <c r="R1156" s="121"/>
      <c r="S1156" s="133">
        <f>M1149</f>
        <v>0</v>
      </c>
      <c r="T1156" s="120"/>
      <c r="U1156" s="121" t="s">
        <v>292</v>
      </c>
      <c r="V1156" s="133">
        <f t="shared" si="527"/>
        <v>0</v>
      </c>
      <c r="W1156" s="133">
        <f>VLOOKUP(U1156,Sheet1!$B$6:$C$45,2,FALSE)*V1156</f>
        <v>0</v>
      </c>
      <c r="X1156" s="141"/>
      <c r="Y1156" s="122" t="s">
        <v>278</v>
      </c>
      <c r="Z1156" s="146">
        <f>VLOOKUP(Takeoffs!Y1156,Sheet1!$B$6:$C$124,2,FALSE)</f>
        <v>36</v>
      </c>
      <c r="AA1156" s="146">
        <f t="shared" si="528"/>
        <v>0</v>
      </c>
      <c r="AB1156" s="143">
        <f t="shared" si="529"/>
        <v>0</v>
      </c>
      <c r="AC1156" s="133">
        <f t="shared" si="534"/>
        <v>0</v>
      </c>
      <c r="AD1156" s="142">
        <v>1</v>
      </c>
      <c r="AE1156" s="141"/>
      <c r="AF1156" s="121" t="s">
        <v>292</v>
      </c>
      <c r="AG1156" s="146">
        <f>VLOOKUP(Takeoffs!AF1156,Sheet1!$B$6:$C$124,2,FALSE)</f>
        <v>0</v>
      </c>
      <c r="AH1156" s="146">
        <f t="shared" si="530"/>
        <v>0</v>
      </c>
      <c r="AI1156" s="143">
        <f t="shared" si="531"/>
        <v>0</v>
      </c>
      <c r="AJ1156" s="133">
        <f t="shared" si="532"/>
        <v>0</v>
      </c>
      <c r="AK1156" s="142">
        <f t="shared" si="535"/>
        <v>0</v>
      </c>
      <c r="AL1156" s="141"/>
      <c r="AO1156" s="286"/>
      <c r="AP1156" s="284">
        <f t="shared" si="511"/>
        <v>0</v>
      </c>
      <c r="AQ1156" s="281">
        <f t="shared" si="512"/>
        <v>0</v>
      </c>
      <c r="AR1156" s="284">
        <f t="shared" si="513"/>
        <v>0</v>
      </c>
      <c r="AS1156" s="281">
        <f t="shared" si="514"/>
        <v>0</v>
      </c>
      <c r="AT1156" s="284">
        <f t="shared" si="515"/>
        <v>0</v>
      </c>
    </row>
    <row r="1157" spans="1:46" s="114" customFormat="1" ht="30.9" x14ac:dyDescent="0.8">
      <c r="A1157" s="262">
        <f>ROW()</f>
        <v>1157</v>
      </c>
      <c r="C1157" s="208"/>
      <c r="D1157" s="208"/>
      <c r="E1157" s="208"/>
      <c r="F1157" s="208"/>
      <c r="G1157" s="208"/>
      <c r="H1157" s="208"/>
      <c r="J1157" s="114" t="str">
        <f t="shared" si="533"/>
        <v/>
      </c>
      <c r="K1157" s="114" t="str">
        <f>IF(COUNTBLANK(R1157)&gt;0,"",CONCATENATE(R1157," for ",N1149))</f>
        <v/>
      </c>
      <c r="N1157" s="123" t="s">
        <v>120</v>
      </c>
      <c r="O1157" s="66" t="s">
        <v>483</v>
      </c>
      <c r="P1157" s="121"/>
      <c r="Q1157" s="121"/>
      <c r="R1157" s="121"/>
      <c r="S1157" s="133">
        <f>M1149</f>
        <v>0</v>
      </c>
      <c r="T1157" s="120"/>
      <c r="U1157" s="121" t="s">
        <v>292</v>
      </c>
      <c r="V1157" s="133">
        <f t="shared" si="527"/>
        <v>0</v>
      </c>
      <c r="W1157" s="133">
        <f>VLOOKUP(U1157,Sheet1!$B$6:$C$45,2,FALSE)*V1157</f>
        <v>0</v>
      </c>
      <c r="X1157" s="141"/>
      <c r="Y1157" s="122" t="s">
        <v>274</v>
      </c>
      <c r="Z1157" s="146">
        <f>VLOOKUP(Takeoffs!Y1157,Sheet1!$B$6:$C$124,2,FALSE)</f>
        <v>360</v>
      </c>
      <c r="AA1157" s="146">
        <f t="shared" si="528"/>
        <v>0</v>
      </c>
      <c r="AB1157" s="143">
        <f t="shared" si="529"/>
        <v>0</v>
      </c>
      <c r="AC1157" s="133">
        <f t="shared" si="534"/>
        <v>0</v>
      </c>
      <c r="AD1157" s="142">
        <v>1</v>
      </c>
      <c r="AE1157" s="141"/>
      <c r="AF1157" s="121" t="s">
        <v>292</v>
      </c>
      <c r="AG1157" s="146">
        <f>VLOOKUP(Takeoffs!AF1157,Sheet1!$B$6:$C$124,2,FALSE)</f>
        <v>0</v>
      </c>
      <c r="AH1157" s="146">
        <f t="shared" si="530"/>
        <v>0</v>
      </c>
      <c r="AI1157" s="143">
        <f t="shared" si="531"/>
        <v>0</v>
      </c>
      <c r="AJ1157" s="133">
        <f t="shared" si="532"/>
        <v>0</v>
      </c>
      <c r="AK1157" s="142">
        <f t="shared" si="535"/>
        <v>0</v>
      </c>
      <c r="AL1157" s="141"/>
      <c r="AO1157" s="286"/>
      <c r="AP1157" s="284">
        <f t="shared" si="511"/>
        <v>0</v>
      </c>
      <c r="AQ1157" s="281">
        <f t="shared" si="512"/>
        <v>0</v>
      </c>
      <c r="AR1157" s="284">
        <f t="shared" si="513"/>
        <v>0</v>
      </c>
      <c r="AS1157" s="281">
        <f t="shared" si="514"/>
        <v>0</v>
      </c>
      <c r="AT1157" s="284">
        <f t="shared" si="515"/>
        <v>0</v>
      </c>
    </row>
    <row r="1158" spans="1:46" s="114" customFormat="1" ht="30.9" x14ac:dyDescent="0.8">
      <c r="A1158" s="262">
        <f>ROW()</f>
        <v>1158</v>
      </c>
      <c r="C1158" s="208"/>
      <c r="D1158" s="208"/>
      <c r="E1158" s="208"/>
      <c r="F1158" s="208"/>
      <c r="G1158" s="208"/>
      <c r="H1158" s="208"/>
      <c r="J1158" s="114" t="str">
        <f t="shared" si="533"/>
        <v/>
      </c>
      <c r="K1158" s="114" t="str">
        <f>IF(COUNTBLANK(R1158)&gt;0,"",CONCATENATE(R1158," for ",N1149))</f>
        <v/>
      </c>
      <c r="N1158" s="123" t="s">
        <v>121</v>
      </c>
      <c r="O1158" s="66" t="s">
        <v>307</v>
      </c>
      <c r="P1158" s="121"/>
      <c r="Q1158" s="121"/>
      <c r="R1158" s="121"/>
      <c r="S1158" s="133">
        <f>M1149</f>
        <v>0</v>
      </c>
      <c r="T1158" s="120"/>
      <c r="U1158" s="121" t="s">
        <v>364</v>
      </c>
      <c r="V1158" s="133">
        <f t="shared" si="527"/>
        <v>0</v>
      </c>
      <c r="W1158" s="133">
        <f>VLOOKUP(U1158,Sheet1!$B$6:$C$45,2,FALSE)*V1158</f>
        <v>0</v>
      </c>
      <c r="X1158" s="141"/>
      <c r="Y1158" s="121" t="s">
        <v>292</v>
      </c>
      <c r="Z1158" s="146">
        <f>VLOOKUP(Takeoffs!Y1158,Sheet1!$B$6:$C$124,2,FALSE)</f>
        <v>0</v>
      </c>
      <c r="AA1158" s="146">
        <f t="shared" si="528"/>
        <v>0</v>
      </c>
      <c r="AB1158" s="143">
        <f t="shared" si="529"/>
        <v>0</v>
      </c>
      <c r="AC1158" s="133">
        <f t="shared" si="534"/>
        <v>0</v>
      </c>
      <c r="AD1158" s="142">
        <v>1</v>
      </c>
      <c r="AE1158" s="141"/>
      <c r="AF1158" s="121" t="s">
        <v>292</v>
      </c>
      <c r="AG1158" s="146">
        <f>VLOOKUP(Takeoffs!AF1158,Sheet1!$B$6:$C$124,2,FALSE)</f>
        <v>0</v>
      </c>
      <c r="AH1158" s="146">
        <f t="shared" si="530"/>
        <v>0</v>
      </c>
      <c r="AI1158" s="143">
        <f t="shared" si="531"/>
        <v>0</v>
      </c>
      <c r="AJ1158" s="133">
        <f t="shared" si="532"/>
        <v>0</v>
      </c>
      <c r="AK1158" s="142">
        <f t="shared" si="535"/>
        <v>0</v>
      </c>
      <c r="AL1158" s="141"/>
      <c r="AO1158" s="286"/>
      <c r="AP1158" s="284">
        <f t="shared" si="511"/>
        <v>0</v>
      </c>
      <c r="AQ1158" s="281">
        <f t="shared" si="512"/>
        <v>0</v>
      </c>
      <c r="AR1158" s="284">
        <f t="shared" si="513"/>
        <v>0</v>
      </c>
      <c r="AS1158" s="281">
        <f t="shared" si="514"/>
        <v>0</v>
      </c>
      <c r="AT1158" s="284">
        <f t="shared" si="515"/>
        <v>0</v>
      </c>
    </row>
    <row r="1159" spans="1:46" s="114" customFormat="1" ht="30.9" x14ac:dyDescent="0.8">
      <c r="A1159" s="262">
        <f>ROW()</f>
        <v>1159</v>
      </c>
      <c r="C1159" s="208"/>
      <c r="D1159" s="208"/>
      <c r="E1159" s="208"/>
      <c r="F1159" s="208"/>
      <c r="G1159" s="208"/>
      <c r="H1159" s="208"/>
      <c r="J1159" s="114" t="str">
        <f t="shared" si="533"/>
        <v/>
      </c>
      <c r="K1159" s="114" t="str">
        <f>IF(COUNTBLANK(R1159)&gt;0,"",CONCATENATE(R1159," for ",N1149))</f>
        <v/>
      </c>
      <c r="N1159" s="123" t="s">
        <v>122</v>
      </c>
      <c r="O1159" s="66" t="s">
        <v>500</v>
      </c>
      <c r="P1159" s="121"/>
      <c r="Q1159" s="121"/>
      <c r="R1159" s="121"/>
      <c r="S1159" s="133">
        <f>M1149</f>
        <v>0</v>
      </c>
      <c r="T1159" s="120"/>
      <c r="U1159" s="121" t="s">
        <v>292</v>
      </c>
      <c r="V1159" s="133">
        <f t="shared" si="527"/>
        <v>0</v>
      </c>
      <c r="W1159" s="133">
        <f>VLOOKUP(U1159,Sheet1!$B$6:$C$45,2,FALSE)*V1159</f>
        <v>0</v>
      </c>
      <c r="X1159" s="141"/>
      <c r="Y1159" s="121" t="s">
        <v>292</v>
      </c>
      <c r="Z1159" s="146">
        <f>VLOOKUP(Takeoffs!Y1159,Sheet1!$B$6:$C$124,2,FALSE)</f>
        <v>0</v>
      </c>
      <c r="AA1159" s="146">
        <f t="shared" si="528"/>
        <v>0</v>
      </c>
      <c r="AB1159" s="143">
        <f t="shared" si="529"/>
        <v>0</v>
      </c>
      <c r="AC1159" s="133">
        <f t="shared" si="534"/>
        <v>0</v>
      </c>
      <c r="AD1159" s="142">
        <v>2</v>
      </c>
      <c r="AE1159" s="141"/>
      <c r="AF1159" s="121" t="s">
        <v>292</v>
      </c>
      <c r="AG1159" s="146">
        <f>VLOOKUP(Takeoffs!AF1159,Sheet1!$B$6:$C$124,2,FALSE)</f>
        <v>0</v>
      </c>
      <c r="AH1159" s="146">
        <f t="shared" si="530"/>
        <v>0</v>
      </c>
      <c r="AI1159" s="143">
        <f t="shared" si="531"/>
        <v>0</v>
      </c>
      <c r="AJ1159" s="133">
        <f t="shared" si="532"/>
        <v>0</v>
      </c>
      <c r="AK1159" s="142">
        <f t="shared" si="535"/>
        <v>0</v>
      </c>
      <c r="AL1159" s="141"/>
      <c r="AO1159" s="286"/>
      <c r="AP1159" s="284">
        <f t="shared" si="511"/>
        <v>0</v>
      </c>
      <c r="AQ1159" s="281">
        <f t="shared" si="512"/>
        <v>0</v>
      </c>
      <c r="AR1159" s="284">
        <f t="shared" si="513"/>
        <v>0</v>
      </c>
      <c r="AS1159" s="281">
        <f t="shared" si="514"/>
        <v>0</v>
      </c>
      <c r="AT1159" s="284">
        <f t="shared" si="515"/>
        <v>0</v>
      </c>
    </row>
    <row r="1160" spans="1:46" s="114" customFormat="1" ht="30.9" x14ac:dyDescent="0.8">
      <c r="A1160" s="262">
        <f>ROW()</f>
        <v>1160</v>
      </c>
      <c r="C1160" s="208"/>
      <c r="D1160" s="208"/>
      <c r="E1160" s="208"/>
      <c r="F1160" s="208"/>
      <c r="G1160" s="208"/>
      <c r="H1160" s="208"/>
      <c r="J1160" s="114" t="str">
        <f t="shared" si="533"/>
        <v/>
      </c>
      <c r="K1160" s="114" t="str">
        <f>IF(COUNTBLANK(R1160)&gt;0,"",CONCATENATE(R1160," for ",N1149))</f>
        <v/>
      </c>
      <c r="N1160" s="123" t="s">
        <v>123</v>
      </c>
      <c r="O1160" s="66" t="s">
        <v>506</v>
      </c>
      <c r="P1160" s="121"/>
      <c r="Q1160" s="121"/>
      <c r="R1160" s="121"/>
      <c r="S1160" s="133">
        <f>M1149</f>
        <v>0</v>
      </c>
      <c r="T1160" s="120"/>
      <c r="U1160" s="121" t="s">
        <v>292</v>
      </c>
      <c r="V1160" s="133">
        <f t="shared" si="527"/>
        <v>0</v>
      </c>
      <c r="W1160" s="133">
        <f>VLOOKUP(U1160,Sheet1!$B$6:$C$45,2,FALSE)*V1160</f>
        <v>0</v>
      </c>
      <c r="X1160" s="141"/>
      <c r="Y1160" s="121" t="s">
        <v>292</v>
      </c>
      <c r="Z1160" s="146">
        <f>VLOOKUP(Takeoffs!Y1160,Sheet1!$B$6:$C$124,2,FALSE)</f>
        <v>0</v>
      </c>
      <c r="AA1160" s="146">
        <f t="shared" si="528"/>
        <v>0</v>
      </c>
      <c r="AB1160" s="143">
        <f t="shared" si="529"/>
        <v>0</v>
      </c>
      <c r="AC1160" s="133">
        <f t="shared" si="534"/>
        <v>0</v>
      </c>
      <c r="AD1160" s="142">
        <v>1</v>
      </c>
      <c r="AE1160" s="141"/>
      <c r="AF1160" s="121" t="s">
        <v>292</v>
      </c>
      <c r="AG1160" s="146">
        <f>VLOOKUP(Takeoffs!AF1160,Sheet1!$B$6:$C$124,2,FALSE)</f>
        <v>0</v>
      </c>
      <c r="AH1160" s="146">
        <f t="shared" si="530"/>
        <v>0</v>
      </c>
      <c r="AI1160" s="143">
        <f t="shared" si="531"/>
        <v>0</v>
      </c>
      <c r="AJ1160" s="133">
        <f t="shared" si="532"/>
        <v>0</v>
      </c>
      <c r="AK1160" s="142">
        <f t="shared" si="535"/>
        <v>0</v>
      </c>
      <c r="AL1160" s="141"/>
      <c r="AO1160" s="286"/>
      <c r="AP1160" s="284">
        <f t="shared" si="511"/>
        <v>0</v>
      </c>
      <c r="AQ1160" s="281">
        <f t="shared" si="512"/>
        <v>0</v>
      </c>
      <c r="AR1160" s="284">
        <f t="shared" si="513"/>
        <v>0</v>
      </c>
      <c r="AS1160" s="281">
        <f t="shared" si="514"/>
        <v>0</v>
      </c>
      <c r="AT1160" s="284">
        <f t="shared" si="515"/>
        <v>0</v>
      </c>
    </row>
    <row r="1161" spans="1:46" s="114" customFormat="1" ht="30.9" x14ac:dyDescent="0.8">
      <c r="A1161" s="262">
        <f>ROW()</f>
        <v>1161</v>
      </c>
      <c r="C1161" s="208"/>
      <c r="D1161" s="208"/>
      <c r="E1161" s="208"/>
      <c r="F1161" s="208"/>
      <c r="G1161" s="208"/>
      <c r="H1161" s="208"/>
      <c r="J1161" s="114" t="str">
        <f t="shared" si="533"/>
        <v/>
      </c>
      <c r="K1161" s="114" t="str">
        <f>IF(COUNTBLANK(R1161)&gt;0,"",CONCATENATE(R1161," for ",N1149))</f>
        <v/>
      </c>
      <c r="N1161" s="123" t="s">
        <v>124</v>
      </c>
      <c r="O1161" s="66" t="s">
        <v>140</v>
      </c>
      <c r="P1161" s="121"/>
      <c r="Q1161" s="121"/>
      <c r="R1161" s="121"/>
      <c r="S1161" s="133">
        <f>M1149</f>
        <v>0</v>
      </c>
      <c r="T1161" s="120"/>
      <c r="U1161" s="121" t="s">
        <v>363</v>
      </c>
      <c r="V1161" s="133">
        <f t="shared" si="527"/>
        <v>0</v>
      </c>
      <c r="W1161" s="133">
        <f>VLOOKUP(U1161,Sheet1!$B$6:$C$45,2,FALSE)*V1161</f>
        <v>0</v>
      </c>
      <c r="X1161" s="141"/>
      <c r="Y1161" s="121" t="s">
        <v>292</v>
      </c>
      <c r="Z1161" s="146">
        <f>VLOOKUP(Takeoffs!Y1161,Sheet1!$B$6:$C$124,2,FALSE)</f>
        <v>0</v>
      </c>
      <c r="AA1161" s="146">
        <f t="shared" si="528"/>
        <v>0</v>
      </c>
      <c r="AB1161" s="143">
        <f t="shared" si="529"/>
        <v>0</v>
      </c>
      <c r="AC1161" s="133">
        <f t="shared" si="534"/>
        <v>0</v>
      </c>
      <c r="AD1161" s="142">
        <v>1</v>
      </c>
      <c r="AE1161" s="141"/>
      <c r="AF1161" s="144" t="s">
        <v>269</v>
      </c>
      <c r="AG1161" s="146">
        <f>VLOOKUP(Takeoffs!AF1161,Sheet1!$B$6:$C$124,2,FALSE)</f>
        <v>1.056</v>
      </c>
      <c r="AH1161" s="146">
        <f t="shared" si="530"/>
        <v>0</v>
      </c>
      <c r="AI1161" s="143">
        <f t="shared" si="531"/>
        <v>0</v>
      </c>
      <c r="AJ1161" s="133">
        <f t="shared" si="532"/>
        <v>0</v>
      </c>
      <c r="AK1161" s="142">
        <v>30</v>
      </c>
      <c r="AL1161" s="141"/>
      <c r="AO1161" s="286"/>
      <c r="AP1161" s="284">
        <f t="shared" si="511"/>
        <v>0</v>
      </c>
      <c r="AQ1161" s="281">
        <f t="shared" si="512"/>
        <v>0</v>
      </c>
      <c r="AR1161" s="284">
        <f t="shared" si="513"/>
        <v>0</v>
      </c>
      <c r="AS1161" s="281">
        <f t="shared" si="514"/>
        <v>0</v>
      </c>
      <c r="AT1161" s="284">
        <f t="shared" si="515"/>
        <v>0</v>
      </c>
    </row>
    <row r="1162" spans="1:46" s="114" customFormat="1" ht="30.9" x14ac:dyDescent="0.8">
      <c r="A1162" s="262">
        <f>ROW()</f>
        <v>1162</v>
      </c>
      <c r="C1162" s="208"/>
      <c r="D1162" s="208"/>
      <c r="E1162" s="208"/>
      <c r="F1162" s="208"/>
      <c r="G1162" s="208"/>
      <c r="H1162" s="208"/>
      <c r="J1162" s="114" t="str">
        <f t="shared" si="533"/>
        <v/>
      </c>
      <c r="K1162" s="114" t="str">
        <f>IF(COUNTBLANK(R1162)&gt;0,"",CONCATENATE(R1162," for ",N1149))</f>
        <v/>
      </c>
      <c r="N1162" s="123" t="s">
        <v>125</v>
      </c>
      <c r="O1162" s="66" t="s">
        <v>312</v>
      </c>
      <c r="P1162" s="121"/>
      <c r="Q1162" s="121"/>
      <c r="R1162" s="121"/>
      <c r="S1162" s="133">
        <f>M1149</f>
        <v>0</v>
      </c>
      <c r="T1162" s="120"/>
      <c r="U1162" s="121" t="s">
        <v>232</v>
      </c>
      <c r="V1162" s="133">
        <f t="shared" si="527"/>
        <v>0</v>
      </c>
      <c r="W1162" s="133">
        <f>VLOOKUP(U1162,Sheet1!$B$6:$C$45,2,FALSE)*V1162</f>
        <v>0</v>
      </c>
      <c r="X1162" s="141"/>
      <c r="Y1162" s="122" t="s">
        <v>1345</v>
      </c>
      <c r="Z1162" s="146">
        <f>VLOOKUP(Takeoffs!Y1162,Sheet1!$B$6:$C$124,2,FALSE)</f>
        <v>109.25999999999999</v>
      </c>
      <c r="AA1162" s="146">
        <f t="shared" si="528"/>
        <v>0</v>
      </c>
      <c r="AB1162" s="143">
        <f t="shared" si="529"/>
        <v>0</v>
      </c>
      <c r="AC1162" s="133">
        <f t="shared" si="534"/>
        <v>0</v>
      </c>
      <c r="AD1162" s="142">
        <v>1</v>
      </c>
      <c r="AE1162" s="141"/>
      <c r="AF1162" s="121" t="s">
        <v>292</v>
      </c>
      <c r="AG1162" s="146">
        <f>VLOOKUP(Takeoffs!AF1162,Sheet1!$B$6:$C$124,2,FALSE)</f>
        <v>0</v>
      </c>
      <c r="AH1162" s="146">
        <f t="shared" si="530"/>
        <v>0</v>
      </c>
      <c r="AI1162" s="143">
        <f t="shared" si="531"/>
        <v>0</v>
      </c>
      <c r="AJ1162" s="133">
        <f t="shared" si="532"/>
        <v>0</v>
      </c>
      <c r="AK1162" s="142">
        <f t="shared" ref="AK1162:AK1167" si="536">T1162</f>
        <v>0</v>
      </c>
      <c r="AL1162" s="141"/>
      <c r="AO1162" s="286"/>
      <c r="AP1162" s="284">
        <f t="shared" si="511"/>
        <v>0</v>
      </c>
      <c r="AQ1162" s="281">
        <f t="shared" si="512"/>
        <v>0</v>
      </c>
      <c r="AR1162" s="284">
        <f t="shared" si="513"/>
        <v>0</v>
      </c>
      <c r="AS1162" s="281">
        <f t="shared" si="514"/>
        <v>0</v>
      </c>
      <c r="AT1162" s="284">
        <f t="shared" si="515"/>
        <v>0</v>
      </c>
    </row>
    <row r="1163" spans="1:46" s="114" customFormat="1" ht="30.9" x14ac:dyDescent="0.8">
      <c r="A1163" s="262">
        <f>ROW()</f>
        <v>1163</v>
      </c>
      <c r="C1163" s="208"/>
      <c r="D1163" s="208"/>
      <c r="E1163" s="208"/>
      <c r="F1163" s="208"/>
      <c r="G1163" s="208"/>
      <c r="H1163" s="208"/>
      <c r="J1163" s="114" t="str">
        <f t="shared" si="533"/>
        <v/>
      </c>
      <c r="K1163" s="114" t="str">
        <f>IF(COUNTBLANK(R1163)&gt;0,"",CONCATENATE(R1163," for ",N1149))</f>
        <v/>
      </c>
      <c r="N1163" s="123" t="s">
        <v>126</v>
      </c>
      <c r="O1163" s="66" t="s">
        <v>484</v>
      </c>
      <c r="P1163" s="121"/>
      <c r="Q1163" s="121"/>
      <c r="R1163" s="121"/>
      <c r="S1163" s="133">
        <f>M1149</f>
        <v>0</v>
      </c>
      <c r="T1163" s="120"/>
      <c r="U1163" s="121" t="s">
        <v>363</v>
      </c>
      <c r="V1163" s="133">
        <f t="shared" si="527"/>
        <v>0</v>
      </c>
      <c r="W1163" s="133">
        <f>VLOOKUP(U1163,Sheet1!$B$6:$C$45,2,FALSE)*V1163</f>
        <v>0</v>
      </c>
      <c r="X1163" s="141"/>
      <c r="Y1163" s="122" t="s">
        <v>321</v>
      </c>
      <c r="Z1163" s="146">
        <f>VLOOKUP(Takeoffs!Y1163,Sheet1!$B$6:$C$124,2,FALSE)</f>
        <v>60</v>
      </c>
      <c r="AA1163" s="146">
        <f t="shared" si="528"/>
        <v>0</v>
      </c>
      <c r="AB1163" s="143">
        <f t="shared" si="529"/>
        <v>0</v>
      </c>
      <c r="AC1163" s="133">
        <f t="shared" si="534"/>
        <v>0</v>
      </c>
      <c r="AD1163" s="142">
        <v>1</v>
      </c>
      <c r="AE1163" s="141"/>
      <c r="AF1163" s="121" t="s">
        <v>292</v>
      </c>
      <c r="AG1163" s="146">
        <f>VLOOKUP(Takeoffs!AF1163,Sheet1!$B$6:$C$124,2,FALSE)</f>
        <v>0</v>
      </c>
      <c r="AH1163" s="146">
        <f t="shared" si="530"/>
        <v>0</v>
      </c>
      <c r="AI1163" s="143">
        <f t="shared" si="531"/>
        <v>0</v>
      </c>
      <c r="AJ1163" s="133">
        <f t="shared" si="532"/>
        <v>0</v>
      </c>
      <c r="AK1163" s="142">
        <f t="shared" si="536"/>
        <v>0</v>
      </c>
      <c r="AL1163" s="141"/>
      <c r="AO1163" s="286"/>
      <c r="AP1163" s="284">
        <f t="shared" si="511"/>
        <v>0</v>
      </c>
      <c r="AQ1163" s="281">
        <f t="shared" si="512"/>
        <v>0</v>
      </c>
      <c r="AR1163" s="284">
        <f t="shared" si="513"/>
        <v>0</v>
      </c>
      <c r="AS1163" s="281">
        <f t="shared" si="514"/>
        <v>0</v>
      </c>
      <c r="AT1163" s="284">
        <f t="shared" si="515"/>
        <v>0</v>
      </c>
    </row>
    <row r="1164" spans="1:46" s="114" customFormat="1" ht="30.9" x14ac:dyDescent="0.8">
      <c r="A1164" s="262">
        <f>ROW()</f>
        <v>1164</v>
      </c>
      <c r="C1164" s="208"/>
      <c r="D1164" s="208"/>
      <c r="E1164" s="208"/>
      <c r="F1164" s="208"/>
      <c r="G1164" s="208"/>
      <c r="H1164" s="208"/>
      <c r="J1164" s="114" t="str">
        <f t="shared" si="533"/>
        <v/>
      </c>
      <c r="K1164" s="114" t="str">
        <f>IF(COUNTBLANK(R1164)&gt;0,"",CONCATENATE(R1164," for ",N1149))</f>
        <v>Run and fault lights for Chilled Water Fancoil Unit ( single speed)</v>
      </c>
      <c r="N1164" s="123" t="s">
        <v>127</v>
      </c>
      <c r="O1164" s="66" t="s">
        <v>314</v>
      </c>
      <c r="P1164" s="121"/>
      <c r="Q1164" s="121"/>
      <c r="R1164" s="121" t="s">
        <v>455</v>
      </c>
      <c r="S1164" s="133">
        <f>M1149</f>
        <v>0</v>
      </c>
      <c r="T1164" s="120"/>
      <c r="U1164" s="121" t="s">
        <v>292</v>
      </c>
      <c r="V1164" s="133">
        <f t="shared" si="527"/>
        <v>0</v>
      </c>
      <c r="W1164" s="133">
        <f>VLOOKUP(U1164,Sheet1!$B$6:$C$45,2,FALSE)*V1164</f>
        <v>0</v>
      </c>
      <c r="X1164" s="141"/>
      <c r="Y1164" s="122" t="s">
        <v>280</v>
      </c>
      <c r="Z1164" s="146">
        <f>VLOOKUP(Takeoffs!Y1164,Sheet1!$B$6:$C$124,2,FALSE)</f>
        <v>19.2</v>
      </c>
      <c r="AA1164" s="146">
        <f t="shared" si="528"/>
        <v>0</v>
      </c>
      <c r="AB1164" s="143">
        <f t="shared" si="529"/>
        <v>0</v>
      </c>
      <c r="AC1164" s="133">
        <f t="shared" si="534"/>
        <v>0</v>
      </c>
      <c r="AD1164" s="142">
        <v>1</v>
      </c>
      <c r="AE1164" s="141"/>
      <c r="AF1164" s="121" t="s">
        <v>292</v>
      </c>
      <c r="AG1164" s="146">
        <f>VLOOKUP(Takeoffs!AF1164,Sheet1!$B$6:$C$124,2,FALSE)</f>
        <v>0</v>
      </c>
      <c r="AH1164" s="146">
        <f t="shared" si="530"/>
        <v>0</v>
      </c>
      <c r="AI1164" s="143">
        <f t="shared" si="531"/>
        <v>0</v>
      </c>
      <c r="AJ1164" s="133">
        <f t="shared" si="532"/>
        <v>0</v>
      </c>
      <c r="AK1164" s="142">
        <f t="shared" si="536"/>
        <v>0</v>
      </c>
      <c r="AL1164" s="141"/>
      <c r="AO1164" s="286"/>
      <c r="AP1164" s="284">
        <f t="shared" si="511"/>
        <v>0</v>
      </c>
      <c r="AQ1164" s="281">
        <f t="shared" si="512"/>
        <v>0</v>
      </c>
      <c r="AR1164" s="284">
        <f t="shared" si="513"/>
        <v>0</v>
      </c>
      <c r="AS1164" s="281">
        <f t="shared" si="514"/>
        <v>0</v>
      </c>
      <c r="AT1164" s="284">
        <f t="shared" si="515"/>
        <v>0</v>
      </c>
    </row>
    <row r="1165" spans="1:46" s="114" customFormat="1" ht="30.9" x14ac:dyDescent="0.8">
      <c r="A1165" s="262">
        <f>ROW()</f>
        <v>1165</v>
      </c>
      <c r="C1165" s="208"/>
      <c r="D1165" s="208"/>
      <c r="E1165" s="208"/>
      <c r="F1165" s="208"/>
      <c r="G1165" s="208"/>
      <c r="H1165" s="208"/>
      <c r="J1165" s="114" t="str">
        <f t="shared" si="533"/>
        <v/>
      </c>
      <c r="K1165" s="114" t="str">
        <f>IF(COUNTBLANK(R1165)&gt;0,"",CONCATENATE(R1165," for ",N1149))</f>
        <v/>
      </c>
      <c r="N1165" s="123" t="s">
        <v>128</v>
      </c>
      <c r="O1165" s="66" t="s">
        <v>315</v>
      </c>
      <c r="P1165" s="121"/>
      <c r="Q1165" s="121"/>
      <c r="R1165" s="121"/>
      <c r="S1165" s="133">
        <f>M1149</f>
        <v>0</v>
      </c>
      <c r="T1165" s="120"/>
      <c r="U1165" s="121" t="s">
        <v>292</v>
      </c>
      <c r="V1165" s="133">
        <f t="shared" si="527"/>
        <v>0</v>
      </c>
      <c r="W1165" s="133">
        <f>VLOOKUP(U1165,Sheet1!$B$6:$C$45,2,FALSE)*V1165</f>
        <v>0</v>
      </c>
      <c r="X1165" s="141"/>
      <c r="Y1165" s="122" t="s">
        <v>280</v>
      </c>
      <c r="Z1165" s="146">
        <f>VLOOKUP(Takeoffs!Y1165,Sheet1!$B$6:$C$124,2,FALSE)</f>
        <v>19.2</v>
      </c>
      <c r="AA1165" s="146">
        <f t="shared" si="528"/>
        <v>0</v>
      </c>
      <c r="AB1165" s="143">
        <f t="shared" si="529"/>
        <v>0</v>
      </c>
      <c r="AC1165" s="133">
        <f t="shared" si="534"/>
        <v>0</v>
      </c>
      <c r="AD1165" s="142">
        <v>1</v>
      </c>
      <c r="AE1165" s="141"/>
      <c r="AF1165" s="121" t="s">
        <v>292</v>
      </c>
      <c r="AG1165" s="146">
        <f>VLOOKUP(Takeoffs!AF1165,Sheet1!$B$6:$C$124,2,FALSE)</f>
        <v>0</v>
      </c>
      <c r="AH1165" s="146">
        <f t="shared" si="530"/>
        <v>0</v>
      </c>
      <c r="AI1165" s="143">
        <f t="shared" si="531"/>
        <v>0</v>
      </c>
      <c r="AJ1165" s="133">
        <f t="shared" si="532"/>
        <v>0</v>
      </c>
      <c r="AK1165" s="142">
        <f t="shared" si="536"/>
        <v>0</v>
      </c>
      <c r="AL1165" s="141"/>
      <c r="AO1165" s="286"/>
      <c r="AP1165" s="284">
        <f t="shared" si="511"/>
        <v>0</v>
      </c>
      <c r="AQ1165" s="281">
        <f t="shared" si="512"/>
        <v>0</v>
      </c>
      <c r="AR1165" s="284">
        <f t="shared" si="513"/>
        <v>0</v>
      </c>
      <c r="AS1165" s="281">
        <f t="shared" si="514"/>
        <v>0</v>
      </c>
      <c r="AT1165" s="284">
        <f t="shared" si="515"/>
        <v>0</v>
      </c>
    </row>
    <row r="1166" spans="1:46" s="114" customFormat="1" ht="30.9" x14ac:dyDescent="0.8">
      <c r="A1166" s="262">
        <f>ROW()</f>
        <v>1166</v>
      </c>
      <c r="C1166" s="208"/>
      <c r="D1166" s="208"/>
      <c r="E1166" s="208"/>
      <c r="F1166" s="208"/>
      <c r="G1166" s="208"/>
      <c r="H1166" s="208"/>
      <c r="J1166" s="114" t="str">
        <f t="shared" si="533"/>
        <v/>
      </c>
      <c r="K1166" s="114" t="str">
        <f>IF(COUNTBLANK(R1166)&gt;0,"",CONCATENATE(R1166," for ",N1149))</f>
        <v>Auto/Off/On switch for Chilled Water Fancoil Unit ( single speed)</v>
      </c>
      <c r="N1166" s="123" t="s">
        <v>129</v>
      </c>
      <c r="O1166" s="66" t="s">
        <v>329</v>
      </c>
      <c r="P1166" s="121"/>
      <c r="Q1166" s="121"/>
      <c r="R1166" s="121" t="s">
        <v>304</v>
      </c>
      <c r="S1166" s="133">
        <f>M1149</f>
        <v>0</v>
      </c>
      <c r="T1166" s="120"/>
      <c r="U1166" s="121" t="s">
        <v>292</v>
      </c>
      <c r="V1166" s="133">
        <f t="shared" si="527"/>
        <v>0</v>
      </c>
      <c r="W1166" s="133">
        <f>VLOOKUP(U1166,Sheet1!$B$6:$C$45,2,FALSE)*V1166</f>
        <v>0</v>
      </c>
      <c r="X1166" s="141"/>
      <c r="Y1166" s="122" t="s">
        <v>277</v>
      </c>
      <c r="Z1166" s="146">
        <f>VLOOKUP(Takeoffs!Y1166,Sheet1!$B$6:$C$124,2,FALSE)</f>
        <v>69.540000000000006</v>
      </c>
      <c r="AA1166" s="146">
        <f t="shared" si="528"/>
        <v>0</v>
      </c>
      <c r="AB1166" s="143">
        <f t="shared" si="529"/>
        <v>0</v>
      </c>
      <c r="AC1166" s="133">
        <f t="shared" si="534"/>
        <v>0</v>
      </c>
      <c r="AD1166" s="142">
        <v>1</v>
      </c>
      <c r="AE1166" s="141"/>
      <c r="AF1166" s="121" t="s">
        <v>292</v>
      </c>
      <c r="AG1166" s="146">
        <f>VLOOKUP(Takeoffs!AF1166,Sheet1!$B$6:$C$124,2,FALSE)</f>
        <v>0</v>
      </c>
      <c r="AH1166" s="146">
        <f t="shared" si="530"/>
        <v>0</v>
      </c>
      <c r="AI1166" s="143">
        <f t="shared" si="531"/>
        <v>0</v>
      </c>
      <c r="AJ1166" s="133">
        <f t="shared" si="532"/>
        <v>0</v>
      </c>
      <c r="AK1166" s="142">
        <f t="shared" si="536"/>
        <v>0</v>
      </c>
      <c r="AL1166" s="141"/>
      <c r="AO1166" s="286"/>
      <c r="AP1166" s="284">
        <f t="shared" si="511"/>
        <v>0</v>
      </c>
      <c r="AQ1166" s="281">
        <f t="shared" si="512"/>
        <v>0</v>
      </c>
      <c r="AR1166" s="284">
        <f t="shared" si="513"/>
        <v>0</v>
      </c>
      <c r="AS1166" s="281">
        <f t="shared" si="514"/>
        <v>0</v>
      </c>
      <c r="AT1166" s="284">
        <f t="shared" si="515"/>
        <v>0</v>
      </c>
    </row>
    <row r="1167" spans="1:46" s="114" customFormat="1" ht="30.9" x14ac:dyDescent="0.8">
      <c r="A1167" s="262">
        <f>ROW()</f>
        <v>1167</v>
      </c>
      <c r="C1167" s="208"/>
      <c r="D1167" s="208"/>
      <c r="E1167" s="208"/>
      <c r="F1167" s="208"/>
      <c r="G1167" s="208"/>
      <c r="H1167" s="208"/>
      <c r="J1167" s="114" t="str">
        <f t="shared" si="533"/>
        <v/>
      </c>
      <c r="K1167" s="114" t="str">
        <f>IF(COUNTBLANK(R1167)&gt;0,"",CONCATENATE(R1167," for ",N1149))</f>
        <v/>
      </c>
      <c r="N1167" s="123" t="s">
        <v>130</v>
      </c>
      <c r="O1167" s="66"/>
      <c r="P1167" s="121"/>
      <c r="Q1167" s="121"/>
      <c r="R1167" s="121"/>
      <c r="S1167" s="133">
        <f>M1149</f>
        <v>0</v>
      </c>
      <c r="T1167" s="120"/>
      <c r="U1167" s="121" t="s">
        <v>292</v>
      </c>
      <c r="V1167" s="133">
        <f t="shared" si="527"/>
        <v>0</v>
      </c>
      <c r="W1167" s="133">
        <f>VLOOKUP(U1167,Sheet1!$B$6:$C$45,2,FALSE)*V1167</f>
        <v>0</v>
      </c>
      <c r="X1167" s="141"/>
      <c r="Y1167" s="121" t="s">
        <v>292</v>
      </c>
      <c r="Z1167" s="146">
        <f>VLOOKUP(Takeoffs!Y1167,Sheet1!$B$6:$C$124,2,FALSE)</f>
        <v>0</v>
      </c>
      <c r="AA1167" s="146">
        <f t="shared" si="528"/>
        <v>0</v>
      </c>
      <c r="AB1167" s="143">
        <f t="shared" si="529"/>
        <v>0</v>
      </c>
      <c r="AC1167" s="133">
        <f t="shared" si="534"/>
        <v>0</v>
      </c>
      <c r="AD1167" s="142">
        <v>1</v>
      </c>
      <c r="AE1167" s="141"/>
      <c r="AF1167" s="121" t="s">
        <v>292</v>
      </c>
      <c r="AG1167" s="146">
        <f>VLOOKUP(Takeoffs!AF1167,Sheet1!$B$6:$C$124,2,FALSE)</f>
        <v>0</v>
      </c>
      <c r="AH1167" s="146">
        <f t="shared" si="530"/>
        <v>0</v>
      </c>
      <c r="AI1167" s="143">
        <f t="shared" si="531"/>
        <v>0</v>
      </c>
      <c r="AJ1167" s="133">
        <f t="shared" si="532"/>
        <v>0</v>
      </c>
      <c r="AK1167" s="142">
        <f t="shared" si="536"/>
        <v>0</v>
      </c>
      <c r="AL1167" s="141"/>
      <c r="AO1167" s="286"/>
      <c r="AP1167" s="284">
        <f t="shared" si="511"/>
        <v>0</v>
      </c>
      <c r="AQ1167" s="281">
        <f t="shared" si="512"/>
        <v>0</v>
      </c>
      <c r="AR1167" s="284">
        <f t="shared" si="513"/>
        <v>0</v>
      </c>
      <c r="AS1167" s="281">
        <f t="shared" si="514"/>
        <v>0</v>
      </c>
      <c r="AT1167" s="284">
        <f t="shared" si="515"/>
        <v>0</v>
      </c>
    </row>
    <row r="1168" spans="1:46" s="114" customFormat="1" ht="30.9" x14ac:dyDescent="0.8">
      <c r="A1168" s="262">
        <f>ROW()</f>
        <v>1168</v>
      </c>
      <c r="C1168" s="208"/>
      <c r="D1168" s="208"/>
      <c r="E1168" s="208"/>
      <c r="F1168" s="208"/>
      <c r="G1168" s="208"/>
      <c r="H1168" s="208"/>
      <c r="J1168" s="114" t="str">
        <f t="shared" si="533"/>
        <v>Coordination Note: - Fire trade: Please refer to our exclusions relating to fire cabling from FIP.</v>
      </c>
      <c r="K1168" s="114" t="str">
        <f>IF(COUNTBLANK(R1168)&gt;0,"",CONCATENATE(R1168," for ",N1149))</f>
        <v/>
      </c>
      <c r="N1168" s="123" t="s">
        <v>131</v>
      </c>
      <c r="O1168" s="66" t="s">
        <v>412</v>
      </c>
      <c r="P1168" s="121" t="s">
        <v>380</v>
      </c>
      <c r="Q1168" s="121" t="s">
        <v>384</v>
      </c>
      <c r="R1168" s="121"/>
      <c r="S1168" s="133">
        <f>M1149</f>
        <v>0</v>
      </c>
      <c r="T1168" s="120"/>
      <c r="U1168" s="121" t="s">
        <v>292</v>
      </c>
      <c r="V1168" s="133">
        <f t="shared" si="527"/>
        <v>0</v>
      </c>
      <c r="W1168" s="133">
        <f>VLOOKUP(U1168,Sheet1!$B$6:$C$45,2,FALSE)*V1168</f>
        <v>0</v>
      </c>
      <c r="X1168" s="141"/>
      <c r="Y1168" s="122" t="s">
        <v>322</v>
      </c>
      <c r="Z1168" s="146">
        <f>VLOOKUP(Takeoffs!Y1168,Sheet1!$B$6:$C$124,2,FALSE)</f>
        <v>48</v>
      </c>
      <c r="AA1168" s="146">
        <f t="shared" si="528"/>
        <v>0</v>
      </c>
      <c r="AB1168" s="143">
        <f t="shared" si="529"/>
        <v>0</v>
      </c>
      <c r="AC1168" s="133">
        <f t="shared" si="534"/>
        <v>0</v>
      </c>
      <c r="AD1168" s="142">
        <v>1</v>
      </c>
      <c r="AE1168" s="141"/>
      <c r="AF1168" s="121" t="s">
        <v>292</v>
      </c>
      <c r="AG1168" s="146">
        <f>VLOOKUP(Takeoffs!AF1168,Sheet1!$B$6:$C$124,2,FALSE)</f>
        <v>0</v>
      </c>
      <c r="AH1168" s="146">
        <f t="shared" si="530"/>
        <v>0</v>
      </c>
      <c r="AI1168" s="143">
        <f t="shared" si="531"/>
        <v>0</v>
      </c>
      <c r="AJ1168" s="133">
        <f t="shared" si="532"/>
        <v>0</v>
      </c>
      <c r="AK1168" s="142">
        <f>T1168</f>
        <v>0</v>
      </c>
      <c r="AL1168" s="141"/>
      <c r="AO1168" s="286"/>
      <c r="AP1168" s="284">
        <f t="shared" si="511"/>
        <v>0</v>
      </c>
      <c r="AQ1168" s="281">
        <f t="shared" si="512"/>
        <v>0</v>
      </c>
      <c r="AR1168" s="284">
        <f t="shared" si="513"/>
        <v>0</v>
      </c>
      <c r="AS1168" s="281">
        <f t="shared" si="514"/>
        <v>0</v>
      </c>
      <c r="AT1168" s="284">
        <f t="shared" si="515"/>
        <v>0</v>
      </c>
    </row>
    <row r="1169" spans="1:97" s="114" customFormat="1" ht="30.9" x14ac:dyDescent="0.8">
      <c r="A1169" s="262">
        <f>ROW()</f>
        <v>1169</v>
      </c>
      <c r="C1169" s="208"/>
      <c r="D1169" s="208"/>
      <c r="E1169" s="208"/>
      <c r="F1169" s="208"/>
      <c r="G1169" s="208"/>
      <c r="H1169" s="208"/>
      <c r="J1169" s="114" t="str">
        <f t="shared" si="533"/>
        <v/>
      </c>
      <c r="K1169" s="114" t="str">
        <f>IF(COUNTBLANK(R1169)&gt;0,"",CONCATENATE(R1169," for ",N1149))</f>
        <v/>
      </c>
      <c r="N1169" s="123" t="s">
        <v>132</v>
      </c>
      <c r="O1169" s="66" t="s">
        <v>408</v>
      </c>
      <c r="P1169" s="121"/>
      <c r="Q1169" s="121"/>
      <c r="R1169" s="121"/>
      <c r="S1169" s="133">
        <f>M1149</f>
        <v>0</v>
      </c>
      <c r="T1169" s="120"/>
      <c r="U1169" s="121" t="s">
        <v>364</v>
      </c>
      <c r="V1169" s="133">
        <f t="shared" si="527"/>
        <v>0</v>
      </c>
      <c r="W1169" s="133">
        <f>VLOOKUP(U1169,Sheet1!$B$6:$C$45,2,FALSE)*V1169</f>
        <v>0</v>
      </c>
      <c r="X1169" s="141"/>
      <c r="Y1169" s="121" t="s">
        <v>292</v>
      </c>
      <c r="Z1169" s="146">
        <f>VLOOKUP(Takeoffs!Y1169,Sheet1!$B$6:$C$124,2,FALSE)</f>
        <v>0</v>
      </c>
      <c r="AA1169" s="146">
        <f t="shared" si="528"/>
        <v>0</v>
      </c>
      <c r="AB1169" s="143">
        <f t="shared" si="529"/>
        <v>0</v>
      </c>
      <c r="AC1169" s="133">
        <f t="shared" si="534"/>
        <v>0</v>
      </c>
      <c r="AD1169" s="142">
        <v>1</v>
      </c>
      <c r="AE1169" s="141"/>
      <c r="AF1169" s="121" t="s">
        <v>292</v>
      </c>
      <c r="AG1169" s="146">
        <f>VLOOKUP(Takeoffs!AF1169,Sheet1!$B$6:$C$124,2,FALSE)</f>
        <v>0</v>
      </c>
      <c r="AH1169" s="146">
        <f t="shared" si="530"/>
        <v>0</v>
      </c>
      <c r="AI1169" s="143">
        <f t="shared" si="531"/>
        <v>0</v>
      </c>
      <c r="AJ1169" s="133">
        <f t="shared" si="532"/>
        <v>0</v>
      </c>
      <c r="AK1169" s="142">
        <f>T1169</f>
        <v>0</v>
      </c>
      <c r="AL1169" s="141"/>
      <c r="AO1169" s="286"/>
      <c r="AP1169" s="284">
        <f t="shared" si="511"/>
        <v>0</v>
      </c>
      <c r="AQ1169" s="281">
        <f t="shared" si="512"/>
        <v>0</v>
      </c>
      <c r="AR1169" s="284">
        <f t="shared" si="513"/>
        <v>0</v>
      </c>
      <c r="AS1169" s="281">
        <f t="shared" si="514"/>
        <v>0</v>
      </c>
      <c r="AT1169" s="284">
        <f t="shared" si="515"/>
        <v>0</v>
      </c>
    </row>
    <row r="1170" spans="1:97" s="128" customFormat="1" ht="32.25" customHeight="1" thickBot="1" x14ac:dyDescent="0.85">
      <c r="A1170" s="262">
        <f>ROW()</f>
        <v>1170</v>
      </c>
      <c r="C1170" s="212"/>
      <c r="D1170" s="212"/>
      <c r="E1170" s="212"/>
      <c r="F1170" s="212"/>
      <c r="G1170" s="212"/>
      <c r="H1170" s="212"/>
      <c r="J1170" s="128" t="s">
        <v>377</v>
      </c>
      <c r="L1170" s="128" t="s">
        <v>378</v>
      </c>
      <c r="N1170" s="129"/>
      <c r="O1170" s="130" t="s">
        <v>357</v>
      </c>
      <c r="P1170" s="155">
        <f>V1170+AA1170+AH1170</f>
        <v>0</v>
      </c>
      <c r="Q1170" s="155"/>
      <c r="R1170" s="131"/>
      <c r="S1170" s="130"/>
      <c r="T1170" s="127"/>
      <c r="U1170" s="126" t="s">
        <v>351</v>
      </c>
      <c r="V1170" s="127">
        <f>W1170*80</f>
        <v>0</v>
      </c>
      <c r="W1170" s="147">
        <f>SUM(W1149:W1169)</f>
        <v>0</v>
      </c>
      <c r="X1170" s="148"/>
      <c r="Y1170" s="127" t="s">
        <v>352</v>
      </c>
      <c r="Z1170" s="116"/>
      <c r="AA1170" s="116">
        <f>SUM(AA1149:AA1169)</f>
        <v>0</v>
      </c>
      <c r="AB1170" s="149"/>
      <c r="AC1170" s="149"/>
      <c r="AD1170" s="149"/>
      <c r="AE1170" s="149"/>
      <c r="AF1170" s="127" t="s">
        <v>356</v>
      </c>
      <c r="AG1170" s="116"/>
      <c r="AH1170" s="116">
        <f>SUM(AH1149:AH1169)</f>
        <v>0</v>
      </c>
      <c r="AI1170" s="149"/>
      <c r="AJ1170" s="149"/>
      <c r="AK1170" s="149"/>
      <c r="AL1170" s="149"/>
      <c r="AM1170" s="150">
        <f>P1170</f>
        <v>0</v>
      </c>
      <c r="AO1170" s="286"/>
      <c r="AP1170" s="284">
        <f t="shared" si="511"/>
        <v>0</v>
      </c>
      <c r="AQ1170" s="281">
        <f t="shared" si="512"/>
        <v>0</v>
      </c>
      <c r="AR1170" s="284">
        <f t="shared" si="513"/>
        <v>0</v>
      </c>
      <c r="AS1170" s="281">
        <f t="shared" si="514"/>
        <v>0</v>
      </c>
      <c r="AT1170" s="284">
        <f t="shared" si="515"/>
        <v>0</v>
      </c>
    </row>
    <row r="1171" spans="1:97" s="234" customFormat="1" ht="158.15" thickBot="1" x14ac:dyDescent="1.25">
      <c r="A1171" s="262">
        <f>ROW()</f>
        <v>1171</v>
      </c>
      <c r="B1171" s="234" t="s">
        <v>491</v>
      </c>
      <c r="C1171" s="217" t="str">
        <f>N1149</f>
        <v>Chilled Water Fancoil Unit ( single speed)</v>
      </c>
      <c r="D1171" s="260" t="s">
        <v>677</v>
      </c>
      <c r="E1171" s="238"/>
      <c r="F1171" s="217"/>
      <c r="G1171" s="217"/>
      <c r="H1171" s="245"/>
      <c r="I1171" s="270"/>
      <c r="J1171" s="241" t="str">
        <f>CONCATENATE(O1149," ",L1149, " (",M1149,") ",N1149,".", IF(M1149&gt;1," Each "," This "),"includes supply and install of ",O1150,O1151,O1152,O1153,O1154,O1155,O1156,O1157,O1158,O1159,O1160,O1161,O1162,O1163,O1164,O1165,O1166,O1167,O1168,O1169,J1150,J1151,J1152,J1153,J1154,J1155,J1156,J1157,J1158,J1159,J1160,J1161,J1162,J1163,J1164,J1165,J1166,J1167,J1168,J1169)</f>
        <v>Electrical power supply and controls to Zero (0) Chilled Water Fancoil Unit ( single speed). This includes supply and install of power and controls. Power for systems includes: CB, cabling to unit, local isolator, 003 padlock, fan isolator and trefolyte label. Controls for systems includes: BMS terminals for on/off control, BMS terminals for flow fault indication, controls cabling, contactors/relays, air pressure  switch , run light, fault light, Auto/Off/On switch, interface at MSSB for fire trade connection and commissioning/testing. Coordination Note: - Fire trade: Please refer to our exclusions relating to fire cabling from FIP.</v>
      </c>
      <c r="K1171" s="248">
        <f>P1170</f>
        <v>0</v>
      </c>
      <c r="L1171" s="234" t="str">
        <f>CONCATENATE(Q1150,Q1151,Q1152,Q1153,Q1154,Q1155,Q1156,Q1157,Q1158,Q1159,Q1160,Q1161,Q1162,Q1163,Q1164,Q1165,Q1166,Q1167,Q1168,Q1169,)</f>
        <v>fire cabling from FIP.</v>
      </c>
      <c r="M1171" s="166" t="s">
        <v>367</v>
      </c>
      <c r="N1171" s="160" t="str">
        <f>N1149</f>
        <v>Chilled Water Fancoil Unit ( single speed)</v>
      </c>
      <c r="O1171" s="185" t="s">
        <v>365</v>
      </c>
      <c r="P1171" s="203" t="e">
        <f>P1170/M1149</f>
        <v>#DIV/0!</v>
      </c>
      <c r="Q1171" s="195"/>
      <c r="R1171" s="188"/>
      <c r="S1171" s="160"/>
      <c r="T1171" s="161"/>
      <c r="U1171" s="503" t="s">
        <v>366</v>
      </c>
      <c r="V1171" s="503"/>
      <c r="W1171" s="162" t="e">
        <f>W1170/M1149</f>
        <v>#DIV/0!</v>
      </c>
      <c r="X1171" s="163"/>
      <c r="Y1171" s="501" t="s">
        <v>365</v>
      </c>
      <c r="Z1171" s="501"/>
      <c r="AA1171" s="164" t="e">
        <f>AA1170/M1149</f>
        <v>#DIV/0!</v>
      </c>
      <c r="AB1171" s="161"/>
      <c r="AC1171" s="161"/>
      <c r="AD1171" s="161"/>
      <c r="AE1171" s="161"/>
      <c r="AF1171" s="501" t="s">
        <v>365</v>
      </c>
      <c r="AG1171" s="501"/>
      <c r="AH1171" s="164" t="e">
        <f>AH1170/M1149</f>
        <v>#DIV/0!</v>
      </c>
      <c r="AI1171" s="161"/>
      <c r="AJ1171" s="161"/>
      <c r="AK1171" s="161"/>
      <c r="AL1171" s="247"/>
      <c r="AM1171" s="257"/>
      <c r="AN1171" s="236">
        <f>K1171*1.25</f>
        <v>0</v>
      </c>
      <c r="AO1171" s="286"/>
      <c r="AP1171" s="284">
        <f t="shared" si="511"/>
        <v>0</v>
      </c>
      <c r="AQ1171" s="281">
        <f t="shared" si="512"/>
        <v>0</v>
      </c>
      <c r="AR1171" s="284">
        <f t="shared" si="513"/>
        <v>0</v>
      </c>
      <c r="AS1171" s="281">
        <f t="shared" si="514"/>
        <v>0</v>
      </c>
      <c r="AT1171" s="284">
        <f t="shared" si="515"/>
        <v>0</v>
      </c>
      <c r="AU1171" s="117"/>
      <c r="AV1171" s="117"/>
      <c r="AW1171" s="117"/>
      <c r="AX1171" s="117"/>
      <c r="AY1171" s="117"/>
      <c r="AZ1171" s="117"/>
      <c r="BA1171" s="117"/>
      <c r="BB1171" s="117"/>
      <c r="BC1171" s="117"/>
      <c r="BD1171" s="117"/>
      <c r="BE1171" s="117"/>
      <c r="BF1171" s="117"/>
      <c r="BG1171" s="117"/>
      <c r="BH1171" s="117"/>
      <c r="BI1171" s="117"/>
      <c r="BJ1171" s="117"/>
      <c r="BK1171" s="117"/>
      <c r="BL1171" s="117"/>
      <c r="BM1171" s="117"/>
      <c r="BN1171" s="117"/>
      <c r="BO1171" s="117"/>
      <c r="BP1171" s="117"/>
      <c r="BQ1171" s="117"/>
      <c r="BR1171" s="117"/>
      <c r="BS1171" s="117"/>
      <c r="BT1171" s="117"/>
      <c r="BU1171" s="117"/>
      <c r="BV1171" s="117"/>
      <c r="BW1171" s="117"/>
      <c r="BX1171" s="117"/>
      <c r="BY1171" s="117"/>
      <c r="BZ1171" s="117"/>
      <c r="CA1171" s="117"/>
      <c r="CB1171" s="117"/>
      <c r="CC1171" s="117"/>
      <c r="CD1171" s="117"/>
      <c r="CE1171" s="117"/>
      <c r="CF1171" s="117"/>
      <c r="CG1171" s="117"/>
      <c r="CH1171" s="117"/>
      <c r="CI1171" s="117"/>
      <c r="CJ1171" s="117"/>
      <c r="CK1171" s="117"/>
      <c r="CL1171" s="117"/>
      <c r="CM1171" s="117"/>
      <c r="CN1171" s="117"/>
      <c r="CO1171" s="117"/>
      <c r="CP1171" s="117"/>
      <c r="CQ1171" s="117"/>
      <c r="CR1171" s="117"/>
      <c r="CS1171" s="117"/>
    </row>
    <row r="1172" spans="1:97" s="261" customFormat="1" ht="92.6" x14ac:dyDescent="1.2">
      <c r="A1172" s="262">
        <f>ROW()</f>
        <v>1172</v>
      </c>
      <c r="B1172" s="261" t="s">
        <v>491</v>
      </c>
      <c r="D1172" s="261" t="str">
        <f>IF(B1172="Shopping List",IF(ISNUMBER(SEARCH("MSSB",C1172)),"MSSB",IF(ISNUMBER(SEARCH("local",C1172)),"LOCAL","")))</f>
        <v/>
      </c>
      <c r="I1172" s="269">
        <f>SUM(I1196:I1630)</f>
        <v>0</v>
      </c>
      <c r="J1172" s="261" t="s">
        <v>496</v>
      </c>
      <c r="L1172" s="261" t="str">
        <f>J1172</f>
        <v>DX Air Conditioning</v>
      </c>
      <c r="AN1172" s="261">
        <f>K1172*1.25</f>
        <v>0</v>
      </c>
      <c r="AO1172" s="289"/>
      <c r="AP1172" s="284">
        <f t="shared" ref="AP1172:AP1235" si="537">IF(AND(I1172&gt;0, ISNUMBER(I1172)),I1172*P1172,0)</f>
        <v>0</v>
      </c>
      <c r="AQ1172" s="281">
        <f t="shared" ref="AQ1172:AQ1235" si="538">IF(AND(I1172&gt;0, ISNUMBER(I1172)),I1172*W1172*80,0)</f>
        <v>0</v>
      </c>
      <c r="AR1172" s="284">
        <f t="shared" ref="AR1172:AR1235" si="539">IF(AND(I1172&gt;0, ISNUMBER(I1172)),I1172*AA1172,0)</f>
        <v>0</v>
      </c>
      <c r="AS1172" s="281">
        <f t="shared" ref="AS1172:AS1235" si="540">IF(AND(I1172&gt;0, ISNUMBER(I1172)),I1172*AH1172,0)</f>
        <v>0</v>
      </c>
      <c r="AT1172" s="284">
        <f t="shared" ref="AT1172:AT1235" si="541">IF(AND(I1172&gt;0, ISNUMBER(I1172)),I1172*(AP1172-(AQ1172+AR1172+AS1172)),0)</f>
        <v>0</v>
      </c>
    </row>
    <row r="1173" spans="1:97" s="116" customFormat="1" ht="192.75" customHeight="1" x14ac:dyDescent="0.8">
      <c r="A1173" s="262">
        <f>ROW()</f>
        <v>1173</v>
      </c>
      <c r="C1173" s="211" t="s">
        <v>492</v>
      </c>
      <c r="D1173" s="211"/>
      <c r="E1173" s="218"/>
      <c r="F1173" s="218"/>
      <c r="G1173" s="218"/>
      <c r="H1173" s="218"/>
      <c r="I1173" s="240" t="s">
        <v>0</v>
      </c>
      <c r="J1173" s="116" t="s">
        <v>387</v>
      </c>
      <c r="K1173" s="222" t="s">
        <v>353</v>
      </c>
      <c r="L1173" s="253" t="s">
        <v>388</v>
      </c>
      <c r="M1173" s="116" t="s">
        <v>107</v>
      </c>
      <c r="N1173" s="116" t="s">
        <v>108</v>
      </c>
      <c r="O1173" s="170" t="s">
        <v>386</v>
      </c>
      <c r="P1173" s="502" t="s">
        <v>375</v>
      </c>
      <c r="Q1173" s="502"/>
      <c r="R1173" s="101" t="s">
        <v>452</v>
      </c>
      <c r="S1173" s="116" t="s">
        <v>0</v>
      </c>
      <c r="T1173" s="118"/>
      <c r="U1173" s="116" t="s">
        <v>287</v>
      </c>
      <c r="V1173" s="116" t="s">
        <v>288</v>
      </c>
      <c r="W1173" s="116" t="s">
        <v>291</v>
      </c>
      <c r="X1173" s="140"/>
      <c r="Y1173" s="116" t="s">
        <v>289</v>
      </c>
      <c r="Z1173" s="116" t="s">
        <v>354</v>
      </c>
      <c r="AA1173" s="116" t="s">
        <v>355</v>
      </c>
      <c r="AB1173" s="116" t="s">
        <v>317</v>
      </c>
      <c r="AC1173" s="116" t="s">
        <v>318</v>
      </c>
      <c r="AD1173" s="116" t="s">
        <v>316</v>
      </c>
      <c r="AE1173" s="140"/>
      <c r="AF1173" s="116" t="s">
        <v>293</v>
      </c>
      <c r="AG1173" s="116" t="s">
        <v>354</v>
      </c>
      <c r="AH1173" s="116" t="s">
        <v>355</v>
      </c>
      <c r="AI1173" s="116" t="s">
        <v>296</v>
      </c>
      <c r="AJ1173" s="116" t="s">
        <v>294</v>
      </c>
      <c r="AK1173" s="116" t="s">
        <v>295</v>
      </c>
      <c r="AL1173" s="140"/>
      <c r="AN1173" s="194"/>
      <c r="AO1173" s="288"/>
      <c r="AP1173" s="284">
        <f t="shared" si="537"/>
        <v>0</v>
      </c>
      <c r="AQ1173" s="281">
        <f t="shared" si="538"/>
        <v>0</v>
      </c>
      <c r="AR1173" s="284">
        <f t="shared" si="539"/>
        <v>0</v>
      </c>
      <c r="AS1173" s="281">
        <f t="shared" si="540"/>
        <v>0</v>
      </c>
      <c r="AT1173" s="284">
        <f t="shared" si="541"/>
        <v>0</v>
      </c>
    </row>
    <row r="1174" spans="1:97" s="114" customFormat="1" ht="31.5" customHeight="1" x14ac:dyDescent="0.8">
      <c r="A1174" s="262">
        <f>ROW()</f>
        <v>1174</v>
      </c>
      <c r="C1174" s="208"/>
      <c r="D1174" s="208"/>
      <c r="E1174" s="208"/>
      <c r="F1174" s="208"/>
      <c r="G1174" s="208"/>
      <c r="H1174" s="208"/>
      <c r="L1174" s="124" t="str">
        <f>VLOOKUP(M1174,Sheet2!$D$2:$E$1024,2,FALSE)</f>
        <v>Zero</v>
      </c>
      <c r="M1174" s="121">
        <f>I1196</f>
        <v>0</v>
      </c>
      <c r="N1174" s="132" t="s">
        <v>349</v>
      </c>
      <c r="O1174" s="121" t="s">
        <v>178</v>
      </c>
      <c r="P1174" s="169" t="s">
        <v>379</v>
      </c>
      <c r="Q1174" s="169" t="s">
        <v>375</v>
      </c>
      <c r="R1174" s="169"/>
      <c r="S1174" s="133">
        <f>M1174</f>
        <v>0</v>
      </c>
      <c r="T1174" s="119"/>
      <c r="U1174" s="121" t="s">
        <v>350</v>
      </c>
      <c r="V1174" s="133">
        <f>S1174</f>
        <v>0</v>
      </c>
      <c r="W1174" s="133">
        <f>VLOOKUP(U1174,Sheet1!$B$6:$C$45,2,FALSE)*V1174</f>
        <v>0</v>
      </c>
      <c r="X1174" s="141"/>
      <c r="Y1174" s="121" t="s">
        <v>292</v>
      </c>
      <c r="Z1174" s="146">
        <f>VLOOKUP(Takeoffs!Y1174,Sheet1!$B$6:$C$124,2,FALSE)</f>
        <v>0</v>
      </c>
      <c r="AA1174" s="146">
        <f>Z1174*AB1174</f>
        <v>0</v>
      </c>
      <c r="AB1174" s="143">
        <f>AD1174*AC1174</f>
        <v>0</v>
      </c>
      <c r="AC1174" s="133">
        <f>S1174</f>
        <v>0</v>
      </c>
      <c r="AD1174" s="142">
        <v>1</v>
      </c>
      <c r="AE1174" s="141"/>
      <c r="AF1174" s="121" t="s">
        <v>292</v>
      </c>
      <c r="AG1174" s="146">
        <f>VLOOKUP(Takeoffs!AF1174,Sheet1!$B$6:$C$124,2,FALSE)</f>
        <v>0</v>
      </c>
      <c r="AH1174" s="146">
        <f>AG1174*AI1174</f>
        <v>0</v>
      </c>
      <c r="AI1174" s="143">
        <f>AK1174*AJ1174</f>
        <v>0</v>
      </c>
      <c r="AJ1174" s="133">
        <f>S1174</f>
        <v>0</v>
      </c>
      <c r="AK1174" s="142">
        <v>0</v>
      </c>
      <c r="AL1174" s="141"/>
      <c r="AO1174" s="286"/>
      <c r="AP1174" s="284">
        <f t="shared" si="537"/>
        <v>0</v>
      </c>
      <c r="AQ1174" s="281">
        <f t="shared" si="538"/>
        <v>0</v>
      </c>
      <c r="AR1174" s="284">
        <f t="shared" si="539"/>
        <v>0</v>
      </c>
      <c r="AS1174" s="281">
        <f t="shared" si="540"/>
        <v>0</v>
      </c>
      <c r="AT1174" s="284">
        <f t="shared" si="541"/>
        <v>0</v>
      </c>
    </row>
    <row r="1175" spans="1:97" s="114" customFormat="1" ht="30.9" x14ac:dyDescent="0.8">
      <c r="A1175" s="262">
        <f>ROW()</f>
        <v>1175</v>
      </c>
      <c r="C1175" s="208"/>
      <c r="D1175" s="208"/>
      <c r="E1175" s="208"/>
      <c r="F1175" s="208"/>
      <c r="G1175" s="208"/>
      <c r="H1175" s="208"/>
      <c r="J1175" s="114" t="str">
        <f>IF(COUNTBLANK(Q1175)&gt;0,"",CONCATENATE("Coordination Note: - ",P1175,": Please refer to our exclusions relating to ",Q1175))</f>
        <v/>
      </c>
      <c r="K1175" s="114" t="str">
        <f>IF(COUNTBLANK(R1175)&gt;0,"",CONCATENATE(R1175," for ",N1174))</f>
        <v/>
      </c>
      <c r="M1175" s="117"/>
      <c r="N1175" s="123" t="s">
        <v>113</v>
      </c>
      <c r="O1175" s="66" t="s">
        <v>151</v>
      </c>
      <c r="P1175" s="121"/>
      <c r="Q1175" s="121"/>
      <c r="R1175" s="121"/>
      <c r="S1175" s="133">
        <f>M1174</f>
        <v>0</v>
      </c>
      <c r="T1175" s="120"/>
      <c r="U1175" s="121" t="s">
        <v>292</v>
      </c>
      <c r="V1175" s="133">
        <f t="shared" ref="V1175:V1194" si="542">S1175</f>
        <v>0</v>
      </c>
      <c r="W1175" s="133">
        <f>VLOOKUP(U1175,Sheet1!$B$6:$C$45,2,FALSE)*V1175</f>
        <v>0</v>
      </c>
      <c r="X1175" s="141"/>
      <c r="Y1175" s="122" t="s">
        <v>253</v>
      </c>
      <c r="Z1175" s="146">
        <f>VLOOKUP(Takeoffs!Y1175,Sheet1!$B$6:$C$124,2,FALSE)</f>
        <v>10.139999999999999</v>
      </c>
      <c r="AA1175" s="146">
        <f t="shared" ref="AA1175:AA1194" si="543">Z1175*AB1175</f>
        <v>0</v>
      </c>
      <c r="AB1175" s="143">
        <f t="shared" ref="AB1175:AB1194" si="544">AD1175*AC1175</f>
        <v>0</v>
      </c>
      <c r="AC1175" s="133">
        <f>S1175</f>
        <v>0</v>
      </c>
      <c r="AD1175" s="142">
        <v>1</v>
      </c>
      <c r="AE1175" s="141"/>
      <c r="AF1175" s="121" t="s">
        <v>292</v>
      </c>
      <c r="AG1175" s="146">
        <f>VLOOKUP(Takeoffs!AF1175,Sheet1!$B$6:$C$124,2,FALSE)</f>
        <v>0</v>
      </c>
      <c r="AH1175" s="146">
        <f t="shared" ref="AH1175:AH1194" si="545">AG1175*AI1175</f>
        <v>0</v>
      </c>
      <c r="AI1175" s="143">
        <f t="shared" ref="AI1175:AI1194" si="546">AK1175*AJ1175</f>
        <v>0</v>
      </c>
      <c r="AJ1175" s="133">
        <f t="shared" ref="AJ1175:AJ1194" si="547">S1175</f>
        <v>0</v>
      </c>
      <c r="AK1175" s="142">
        <f>T1175</f>
        <v>0</v>
      </c>
      <c r="AL1175" s="141"/>
      <c r="AO1175" s="286"/>
      <c r="AP1175" s="284">
        <f t="shared" si="537"/>
        <v>0</v>
      </c>
      <c r="AQ1175" s="281">
        <f t="shared" si="538"/>
        <v>0</v>
      </c>
      <c r="AR1175" s="284">
        <f t="shared" si="539"/>
        <v>0</v>
      </c>
      <c r="AS1175" s="281">
        <f t="shared" si="540"/>
        <v>0</v>
      </c>
      <c r="AT1175" s="284">
        <f t="shared" si="541"/>
        <v>0</v>
      </c>
    </row>
    <row r="1176" spans="1:97" s="114" customFormat="1" ht="30.9" x14ac:dyDescent="0.8">
      <c r="A1176" s="262">
        <f>ROW()</f>
        <v>1176</v>
      </c>
      <c r="C1176" s="208"/>
      <c r="D1176" s="208"/>
      <c r="E1176" s="208"/>
      <c r="F1176" s="208"/>
      <c r="G1176" s="208"/>
      <c r="H1176" s="208"/>
      <c r="J1176" s="114" t="str">
        <f t="shared" ref="J1176:J1194" si="548">IF(COUNTBLANK(Q1176)&gt;0,"",CONCATENATE("Coordination Note: - ",P1176,": Please refer to our exclusions relating to ",Q1176))</f>
        <v/>
      </c>
      <c r="K1176" s="114" t="str">
        <f>IF(COUNTBLANK(R1176)&gt;0,"",CONCATENATE(R1176," for ",N1174))</f>
        <v/>
      </c>
      <c r="M1176" s="117"/>
      <c r="N1176" s="123" t="s">
        <v>114</v>
      </c>
      <c r="O1176" s="66" t="s">
        <v>389</v>
      </c>
      <c r="P1176" s="121"/>
      <c r="Q1176" s="121"/>
      <c r="R1176" s="121"/>
      <c r="S1176" s="133">
        <f>M1174</f>
        <v>0</v>
      </c>
      <c r="T1176" s="120"/>
      <c r="U1176" s="121" t="s">
        <v>292</v>
      </c>
      <c r="V1176" s="133">
        <f t="shared" si="542"/>
        <v>0</v>
      </c>
      <c r="W1176" s="133">
        <f>VLOOKUP(U1176,Sheet1!$B$6:$C$45,2,FALSE)*V1176</f>
        <v>0</v>
      </c>
      <c r="X1176" s="141"/>
      <c r="Y1176" s="121" t="s">
        <v>292</v>
      </c>
      <c r="Z1176" s="146">
        <f>VLOOKUP(Takeoffs!Y1176,Sheet1!$B$6:$C$124,2,FALSE)</f>
        <v>0</v>
      </c>
      <c r="AA1176" s="146">
        <f t="shared" si="543"/>
        <v>0</v>
      </c>
      <c r="AB1176" s="143">
        <f t="shared" si="544"/>
        <v>0</v>
      </c>
      <c r="AC1176" s="133">
        <f>S1176</f>
        <v>0</v>
      </c>
      <c r="AD1176" s="142">
        <v>1</v>
      </c>
      <c r="AE1176" s="141"/>
      <c r="AF1176" s="122" t="s">
        <v>268</v>
      </c>
      <c r="AG1176" s="146">
        <f>VLOOKUP(Takeoffs!AF1176,Sheet1!$B$6:$C$124,2,FALSE)</f>
        <v>1.02</v>
      </c>
      <c r="AH1176" s="146">
        <f t="shared" si="545"/>
        <v>0</v>
      </c>
      <c r="AI1176" s="143">
        <f t="shared" si="546"/>
        <v>0</v>
      </c>
      <c r="AJ1176" s="133">
        <f t="shared" si="547"/>
        <v>0</v>
      </c>
      <c r="AK1176" s="142">
        <v>20</v>
      </c>
      <c r="AL1176" s="141"/>
      <c r="AO1176" s="286"/>
      <c r="AP1176" s="284">
        <f t="shared" si="537"/>
        <v>0</v>
      </c>
      <c r="AQ1176" s="281">
        <f t="shared" si="538"/>
        <v>0</v>
      </c>
      <c r="AR1176" s="284">
        <f t="shared" si="539"/>
        <v>0</v>
      </c>
      <c r="AS1176" s="281">
        <f t="shared" si="540"/>
        <v>0</v>
      </c>
      <c r="AT1176" s="284">
        <f t="shared" si="541"/>
        <v>0</v>
      </c>
    </row>
    <row r="1177" spans="1:97" s="114" customFormat="1" ht="30.9" x14ac:dyDescent="0.8">
      <c r="A1177" s="262">
        <f>ROW()</f>
        <v>1177</v>
      </c>
      <c r="C1177" s="208"/>
      <c r="D1177" s="208"/>
      <c r="E1177" s="208"/>
      <c r="F1177" s="208"/>
      <c r="G1177" s="208"/>
      <c r="H1177" s="208"/>
      <c r="J1177" s="114" t="str">
        <f t="shared" si="548"/>
        <v/>
      </c>
      <c r="K1177" s="114" t="str">
        <f>IF(COUNTBLANK(R1177)&gt;0,"",CONCATENATE(R1177," for ",N1174))</f>
        <v/>
      </c>
      <c r="M1177" s="117"/>
      <c r="N1177" s="123" t="s">
        <v>115</v>
      </c>
      <c r="O1177" s="66" t="s">
        <v>358</v>
      </c>
      <c r="P1177" s="121"/>
      <c r="Q1177" s="121"/>
      <c r="R1177" s="121"/>
      <c r="S1177" s="133">
        <f>M1174</f>
        <v>0</v>
      </c>
      <c r="T1177" s="120"/>
      <c r="U1177" s="121" t="s">
        <v>292</v>
      </c>
      <c r="V1177" s="133">
        <f t="shared" si="542"/>
        <v>0</v>
      </c>
      <c r="W1177" s="133">
        <f>VLOOKUP(U1177,Sheet1!$B$6:$C$45,2,FALSE)*V1177</f>
        <v>0</v>
      </c>
      <c r="X1177" s="141"/>
      <c r="Y1177" s="121" t="s">
        <v>292</v>
      </c>
      <c r="Z1177" s="146">
        <f>VLOOKUP(Takeoffs!Y1177,Sheet1!$B$6:$C$124,2,FALSE)</f>
        <v>0</v>
      </c>
      <c r="AA1177" s="146">
        <f t="shared" si="543"/>
        <v>0</v>
      </c>
      <c r="AB1177" s="143">
        <f t="shared" si="544"/>
        <v>0</v>
      </c>
      <c r="AC1177" s="133">
        <f t="shared" ref="AC1177:AC1194" si="549">S1177</f>
        <v>0</v>
      </c>
      <c r="AD1177" s="142">
        <v>1</v>
      </c>
      <c r="AE1177" s="141"/>
      <c r="AF1177" s="152" t="s">
        <v>360</v>
      </c>
      <c r="AG1177" s="146">
        <f>VLOOKUP(Takeoffs!AF1177,Sheet1!$B$6:$C$124,2,FALSE)</f>
        <v>2.4</v>
      </c>
      <c r="AH1177" s="146">
        <f t="shared" si="545"/>
        <v>0</v>
      </c>
      <c r="AI1177" s="143">
        <f t="shared" si="546"/>
        <v>0</v>
      </c>
      <c r="AJ1177" s="133">
        <f t="shared" si="547"/>
        <v>0</v>
      </c>
      <c r="AK1177" s="142">
        <v>20</v>
      </c>
      <c r="AL1177" s="141"/>
      <c r="AO1177" s="286"/>
      <c r="AP1177" s="284">
        <f t="shared" si="537"/>
        <v>0</v>
      </c>
      <c r="AQ1177" s="281">
        <f t="shared" si="538"/>
        <v>0</v>
      </c>
      <c r="AR1177" s="284">
        <f t="shared" si="539"/>
        <v>0</v>
      </c>
      <c r="AS1177" s="281">
        <f t="shared" si="540"/>
        <v>0</v>
      </c>
      <c r="AT1177" s="284">
        <f t="shared" si="541"/>
        <v>0</v>
      </c>
    </row>
    <row r="1178" spans="1:97" s="114" customFormat="1" ht="30.9" x14ac:dyDescent="0.8">
      <c r="A1178" s="262">
        <f>ROW()</f>
        <v>1178</v>
      </c>
      <c r="C1178" s="208"/>
      <c r="D1178" s="208"/>
      <c r="E1178" s="208"/>
      <c r="F1178" s="208"/>
      <c r="G1178" s="208"/>
      <c r="H1178" s="208"/>
      <c r="J1178" s="114" t="str">
        <f t="shared" si="548"/>
        <v>Coordination Note: - VRF supplier and commissioning team: Please refer to our exclusions relating to VRF central controller supply and commissioning.</v>
      </c>
      <c r="K1178" s="114" t="str">
        <f>IF(COUNTBLANK(R1178)&gt;0,"",CONCATENATE(R1178," for ",N1174))</f>
        <v/>
      </c>
      <c r="M1178" s="117"/>
      <c r="N1178" s="123" t="s">
        <v>116</v>
      </c>
      <c r="O1178" s="66" t="s">
        <v>359</v>
      </c>
      <c r="P1178" s="121" t="s">
        <v>376</v>
      </c>
      <c r="Q1178" s="121" t="s">
        <v>385</v>
      </c>
      <c r="R1178" s="121"/>
      <c r="S1178" s="133">
        <f>M1174</f>
        <v>0</v>
      </c>
      <c r="T1178" s="120"/>
      <c r="U1178" s="121" t="s">
        <v>292</v>
      </c>
      <c r="V1178" s="133">
        <f t="shared" si="542"/>
        <v>0</v>
      </c>
      <c r="W1178" s="133">
        <f>VLOOKUP(U1178,Sheet1!$B$6:$C$45,2,FALSE)*V1178</f>
        <v>0</v>
      </c>
      <c r="X1178" s="141"/>
      <c r="Y1178" s="121" t="s">
        <v>292</v>
      </c>
      <c r="Z1178" s="146">
        <f>VLOOKUP(Takeoffs!Y1178,Sheet1!$B$6:$C$124,2,FALSE)</f>
        <v>0</v>
      </c>
      <c r="AA1178" s="146">
        <f t="shared" si="543"/>
        <v>0</v>
      </c>
      <c r="AB1178" s="143">
        <f t="shared" si="544"/>
        <v>0</v>
      </c>
      <c r="AC1178" s="133">
        <f t="shared" si="549"/>
        <v>0</v>
      </c>
      <c r="AD1178" s="142">
        <v>1</v>
      </c>
      <c r="AE1178" s="141"/>
      <c r="AF1178" s="121" t="s">
        <v>292</v>
      </c>
      <c r="AG1178" s="146">
        <f>VLOOKUP(Takeoffs!AF1178,Sheet1!$B$6:$C$124,2,FALSE)</f>
        <v>0</v>
      </c>
      <c r="AH1178" s="146">
        <f t="shared" si="545"/>
        <v>0</v>
      </c>
      <c r="AI1178" s="143">
        <f t="shared" si="546"/>
        <v>0</v>
      </c>
      <c r="AJ1178" s="133">
        <f t="shared" si="547"/>
        <v>0</v>
      </c>
      <c r="AK1178" s="142">
        <f t="shared" ref="AK1178:AK1183" si="550">T1178</f>
        <v>0</v>
      </c>
      <c r="AL1178" s="141"/>
      <c r="AO1178" s="286"/>
      <c r="AP1178" s="284">
        <f t="shared" si="537"/>
        <v>0</v>
      </c>
      <c r="AQ1178" s="281">
        <f t="shared" si="538"/>
        <v>0</v>
      </c>
      <c r="AR1178" s="284">
        <f t="shared" si="539"/>
        <v>0</v>
      </c>
      <c r="AS1178" s="281">
        <f t="shared" si="540"/>
        <v>0</v>
      </c>
      <c r="AT1178" s="284">
        <f t="shared" si="541"/>
        <v>0</v>
      </c>
    </row>
    <row r="1179" spans="1:97" s="114" customFormat="1" ht="30.9" x14ac:dyDescent="0.8">
      <c r="A1179" s="262">
        <f>ROW()</f>
        <v>1179</v>
      </c>
      <c r="C1179" s="208"/>
      <c r="D1179" s="208"/>
      <c r="E1179" s="208"/>
      <c r="F1179" s="208"/>
      <c r="G1179" s="208"/>
      <c r="H1179" s="208"/>
      <c r="J1179" s="114" t="str">
        <f t="shared" si="548"/>
        <v/>
      </c>
      <c r="K1179" s="114" t="str">
        <f>IF(COUNTBLANK(R1179)&gt;0,"",CONCATENATE(R1179," for ",N1174))</f>
        <v/>
      </c>
      <c r="M1179" s="117"/>
      <c r="N1179" s="123" t="s">
        <v>117</v>
      </c>
      <c r="O1179" s="66"/>
      <c r="P1179" s="121"/>
      <c r="Q1179" s="121"/>
      <c r="R1179" s="121"/>
      <c r="S1179" s="133">
        <f>M1174</f>
        <v>0</v>
      </c>
      <c r="T1179" s="120"/>
      <c r="U1179" s="121" t="s">
        <v>292</v>
      </c>
      <c r="V1179" s="133">
        <f t="shared" si="542"/>
        <v>0</v>
      </c>
      <c r="W1179" s="133">
        <f>VLOOKUP(U1179,Sheet1!$B$6:$C$45,2,FALSE)*V1179</f>
        <v>0</v>
      </c>
      <c r="X1179" s="141"/>
      <c r="Y1179" s="121" t="s">
        <v>292</v>
      </c>
      <c r="Z1179" s="146">
        <f>VLOOKUP(Takeoffs!Y1179,Sheet1!$B$6:$C$124,2,FALSE)</f>
        <v>0</v>
      </c>
      <c r="AA1179" s="146">
        <f t="shared" si="543"/>
        <v>0</v>
      </c>
      <c r="AB1179" s="143">
        <f t="shared" si="544"/>
        <v>0</v>
      </c>
      <c r="AC1179" s="133">
        <f t="shared" si="549"/>
        <v>0</v>
      </c>
      <c r="AD1179" s="142">
        <v>1</v>
      </c>
      <c r="AE1179" s="141"/>
      <c r="AF1179" s="121" t="s">
        <v>292</v>
      </c>
      <c r="AG1179" s="146">
        <f>VLOOKUP(Takeoffs!AF1179,Sheet1!$B$6:$C$124,2,FALSE)</f>
        <v>0</v>
      </c>
      <c r="AH1179" s="146">
        <f t="shared" si="545"/>
        <v>0</v>
      </c>
      <c r="AI1179" s="143">
        <f t="shared" si="546"/>
        <v>0</v>
      </c>
      <c r="AJ1179" s="133">
        <f t="shared" si="547"/>
        <v>0</v>
      </c>
      <c r="AK1179" s="142">
        <f t="shared" si="550"/>
        <v>0</v>
      </c>
      <c r="AL1179" s="141"/>
      <c r="AO1179" s="286"/>
      <c r="AP1179" s="284">
        <f t="shared" si="537"/>
        <v>0</v>
      </c>
      <c r="AQ1179" s="281">
        <f t="shared" si="538"/>
        <v>0</v>
      </c>
      <c r="AR1179" s="284">
        <f t="shared" si="539"/>
        <v>0</v>
      </c>
      <c r="AS1179" s="281">
        <f t="shared" si="540"/>
        <v>0</v>
      </c>
      <c r="AT1179" s="284">
        <f t="shared" si="541"/>
        <v>0</v>
      </c>
    </row>
    <row r="1180" spans="1:97" s="114" customFormat="1" ht="30.9" x14ac:dyDescent="0.8">
      <c r="A1180" s="262">
        <f>ROW()</f>
        <v>1180</v>
      </c>
      <c r="C1180" s="208"/>
      <c r="D1180" s="208"/>
      <c r="E1180" s="208"/>
      <c r="F1180" s="208"/>
      <c r="G1180" s="208"/>
      <c r="H1180" s="208"/>
      <c r="J1180" s="114" t="str">
        <f t="shared" si="548"/>
        <v/>
      </c>
      <c r="K1180" s="114" t="str">
        <f>IF(COUNTBLANK(R1180)&gt;0,"",CONCATENATE(R1180," for ",N1174))</f>
        <v/>
      </c>
      <c r="M1180" s="117"/>
      <c r="N1180" s="123" t="s">
        <v>118</v>
      </c>
      <c r="O1180" s="66"/>
      <c r="P1180" s="121"/>
      <c r="Q1180" s="121"/>
      <c r="R1180" s="121"/>
      <c r="S1180" s="133">
        <f>M1174</f>
        <v>0</v>
      </c>
      <c r="T1180" s="120"/>
      <c r="U1180" s="121" t="s">
        <v>292</v>
      </c>
      <c r="V1180" s="133">
        <f t="shared" si="542"/>
        <v>0</v>
      </c>
      <c r="W1180" s="133">
        <f>VLOOKUP(U1180,Sheet1!$B$6:$C$45,2,FALSE)*V1180</f>
        <v>0</v>
      </c>
      <c r="X1180" s="141"/>
      <c r="Y1180" s="121" t="s">
        <v>292</v>
      </c>
      <c r="Z1180" s="146">
        <f>VLOOKUP(Takeoffs!Y1180,Sheet1!$B$6:$C$124,2,FALSE)</f>
        <v>0</v>
      </c>
      <c r="AA1180" s="146">
        <f t="shared" si="543"/>
        <v>0</v>
      </c>
      <c r="AB1180" s="143">
        <f t="shared" si="544"/>
        <v>0</v>
      </c>
      <c r="AC1180" s="133">
        <f t="shared" si="549"/>
        <v>0</v>
      </c>
      <c r="AD1180" s="142">
        <v>1</v>
      </c>
      <c r="AE1180" s="141"/>
      <c r="AF1180" s="121" t="s">
        <v>292</v>
      </c>
      <c r="AG1180" s="146">
        <f>VLOOKUP(Takeoffs!AF1180,Sheet1!$B$6:$C$124,2,FALSE)</f>
        <v>0</v>
      </c>
      <c r="AH1180" s="146">
        <f t="shared" si="545"/>
        <v>0</v>
      </c>
      <c r="AI1180" s="143">
        <f t="shared" si="546"/>
        <v>0</v>
      </c>
      <c r="AJ1180" s="133">
        <f t="shared" si="547"/>
        <v>0</v>
      </c>
      <c r="AK1180" s="142">
        <f t="shared" si="550"/>
        <v>0</v>
      </c>
      <c r="AL1180" s="141"/>
      <c r="AO1180" s="286"/>
      <c r="AP1180" s="284">
        <f t="shared" si="537"/>
        <v>0</v>
      </c>
      <c r="AQ1180" s="281">
        <f t="shared" si="538"/>
        <v>0</v>
      </c>
      <c r="AR1180" s="284">
        <f t="shared" si="539"/>
        <v>0</v>
      </c>
      <c r="AS1180" s="281">
        <f t="shared" si="540"/>
        <v>0</v>
      </c>
      <c r="AT1180" s="284">
        <f t="shared" si="541"/>
        <v>0</v>
      </c>
    </row>
    <row r="1181" spans="1:97" s="114" customFormat="1" ht="30.9" x14ac:dyDescent="0.8">
      <c r="A1181" s="262">
        <f>ROW()</f>
        <v>1181</v>
      </c>
      <c r="C1181" s="208"/>
      <c r="D1181" s="208"/>
      <c r="E1181" s="208"/>
      <c r="F1181" s="208"/>
      <c r="G1181" s="208"/>
      <c r="H1181" s="208"/>
      <c r="J1181" s="114" t="str">
        <f t="shared" si="548"/>
        <v/>
      </c>
      <c r="K1181" s="114" t="str">
        <f>IF(COUNTBLANK(R1181)&gt;0,"",CONCATENATE(R1181," for ",N1174))</f>
        <v/>
      </c>
      <c r="N1181" s="123" t="s">
        <v>119</v>
      </c>
      <c r="O1181" s="66"/>
      <c r="P1181" s="121"/>
      <c r="Q1181" s="121"/>
      <c r="R1181" s="121"/>
      <c r="S1181" s="133">
        <f>M1174</f>
        <v>0</v>
      </c>
      <c r="T1181" s="120"/>
      <c r="U1181" s="121" t="s">
        <v>292</v>
      </c>
      <c r="V1181" s="133">
        <f t="shared" si="542"/>
        <v>0</v>
      </c>
      <c r="W1181" s="133">
        <f>VLOOKUP(U1181,Sheet1!$B$6:$C$45,2,FALSE)*V1181</f>
        <v>0</v>
      </c>
      <c r="X1181" s="141"/>
      <c r="Y1181" s="121" t="s">
        <v>292</v>
      </c>
      <c r="Z1181" s="146">
        <f>VLOOKUP(Takeoffs!Y1181,Sheet1!$B$6:$C$124,2,FALSE)</f>
        <v>0</v>
      </c>
      <c r="AA1181" s="146">
        <f t="shared" si="543"/>
        <v>0</v>
      </c>
      <c r="AB1181" s="143">
        <f t="shared" si="544"/>
        <v>0</v>
      </c>
      <c r="AC1181" s="133">
        <f t="shared" si="549"/>
        <v>0</v>
      </c>
      <c r="AD1181" s="142">
        <v>1</v>
      </c>
      <c r="AE1181" s="141"/>
      <c r="AF1181" s="121" t="s">
        <v>292</v>
      </c>
      <c r="AG1181" s="146">
        <f>VLOOKUP(Takeoffs!AF1181,Sheet1!$B$6:$C$124,2,FALSE)</f>
        <v>0</v>
      </c>
      <c r="AH1181" s="146">
        <f t="shared" si="545"/>
        <v>0</v>
      </c>
      <c r="AI1181" s="143">
        <f t="shared" si="546"/>
        <v>0</v>
      </c>
      <c r="AJ1181" s="133">
        <f t="shared" si="547"/>
        <v>0</v>
      </c>
      <c r="AK1181" s="142">
        <f t="shared" si="550"/>
        <v>0</v>
      </c>
      <c r="AL1181" s="141"/>
      <c r="AO1181" s="286"/>
      <c r="AP1181" s="284">
        <f t="shared" si="537"/>
        <v>0</v>
      </c>
      <c r="AQ1181" s="281">
        <f t="shared" si="538"/>
        <v>0</v>
      </c>
      <c r="AR1181" s="284">
        <f t="shared" si="539"/>
        <v>0</v>
      </c>
      <c r="AS1181" s="281">
        <f t="shared" si="540"/>
        <v>0</v>
      </c>
      <c r="AT1181" s="284">
        <f t="shared" si="541"/>
        <v>0</v>
      </c>
    </row>
    <row r="1182" spans="1:97" s="114" customFormat="1" ht="30.9" x14ac:dyDescent="0.8">
      <c r="A1182" s="262">
        <f>ROW()</f>
        <v>1182</v>
      </c>
      <c r="C1182" s="208"/>
      <c r="D1182" s="208"/>
      <c r="E1182" s="208"/>
      <c r="F1182" s="208"/>
      <c r="G1182" s="208"/>
      <c r="H1182" s="208"/>
      <c r="J1182" s="114" t="str">
        <f t="shared" si="548"/>
        <v/>
      </c>
      <c r="K1182" s="114" t="str">
        <f>IF(COUNTBLANK(R1182)&gt;0,"",CONCATENATE(R1182," for ",N1174))</f>
        <v/>
      </c>
      <c r="N1182" s="123" t="s">
        <v>120</v>
      </c>
      <c r="O1182" s="66"/>
      <c r="P1182" s="121"/>
      <c r="Q1182" s="121"/>
      <c r="R1182" s="121"/>
      <c r="S1182" s="133">
        <f>M1174</f>
        <v>0</v>
      </c>
      <c r="T1182" s="120"/>
      <c r="U1182" s="121" t="s">
        <v>292</v>
      </c>
      <c r="V1182" s="133">
        <f t="shared" si="542"/>
        <v>0</v>
      </c>
      <c r="W1182" s="133">
        <f>VLOOKUP(U1182,Sheet1!$B$6:$C$45,2,FALSE)*V1182</f>
        <v>0</v>
      </c>
      <c r="X1182" s="141"/>
      <c r="Y1182" s="121" t="s">
        <v>292</v>
      </c>
      <c r="Z1182" s="146">
        <f>VLOOKUP(Takeoffs!Y1182,Sheet1!$B$6:$C$124,2,FALSE)</f>
        <v>0</v>
      </c>
      <c r="AA1182" s="146">
        <f t="shared" si="543"/>
        <v>0</v>
      </c>
      <c r="AB1182" s="143">
        <f t="shared" si="544"/>
        <v>0</v>
      </c>
      <c r="AC1182" s="133">
        <f t="shared" si="549"/>
        <v>0</v>
      </c>
      <c r="AD1182" s="142">
        <v>1</v>
      </c>
      <c r="AE1182" s="141"/>
      <c r="AF1182" s="121" t="s">
        <v>292</v>
      </c>
      <c r="AG1182" s="146">
        <f>VLOOKUP(Takeoffs!AF1182,Sheet1!$B$6:$C$124,2,FALSE)</f>
        <v>0</v>
      </c>
      <c r="AH1182" s="146">
        <f t="shared" si="545"/>
        <v>0</v>
      </c>
      <c r="AI1182" s="143">
        <f t="shared" si="546"/>
        <v>0</v>
      </c>
      <c r="AJ1182" s="133">
        <f t="shared" si="547"/>
        <v>0</v>
      </c>
      <c r="AK1182" s="142">
        <f t="shared" si="550"/>
        <v>0</v>
      </c>
      <c r="AL1182" s="141"/>
      <c r="AO1182" s="286"/>
      <c r="AP1182" s="284">
        <f t="shared" si="537"/>
        <v>0</v>
      </c>
      <c r="AQ1182" s="281">
        <f t="shared" si="538"/>
        <v>0</v>
      </c>
      <c r="AR1182" s="284">
        <f t="shared" si="539"/>
        <v>0</v>
      </c>
      <c r="AS1182" s="281">
        <f t="shared" si="540"/>
        <v>0</v>
      </c>
      <c r="AT1182" s="284">
        <f t="shared" si="541"/>
        <v>0</v>
      </c>
    </row>
    <row r="1183" spans="1:97" s="114" customFormat="1" ht="30.9" x14ac:dyDescent="0.8">
      <c r="A1183" s="262">
        <f>ROW()</f>
        <v>1183</v>
      </c>
      <c r="C1183" s="208"/>
      <c r="D1183" s="208"/>
      <c r="E1183" s="208"/>
      <c r="F1183" s="208"/>
      <c r="G1183" s="208"/>
      <c r="H1183" s="208"/>
      <c r="J1183" s="114" t="str">
        <f t="shared" si="548"/>
        <v/>
      </c>
      <c r="K1183" s="114" t="str">
        <f>IF(COUNTBLANK(R1183)&gt;0,"",CONCATENATE(R1183," for ",N1174))</f>
        <v/>
      </c>
      <c r="N1183" s="123" t="s">
        <v>121</v>
      </c>
      <c r="O1183" s="66"/>
      <c r="P1183" s="121"/>
      <c r="Q1183" s="121"/>
      <c r="R1183" s="121"/>
      <c r="S1183" s="133">
        <f>M1174</f>
        <v>0</v>
      </c>
      <c r="T1183" s="120"/>
      <c r="U1183" s="121" t="s">
        <v>292</v>
      </c>
      <c r="V1183" s="133">
        <f t="shared" si="542"/>
        <v>0</v>
      </c>
      <c r="W1183" s="133">
        <f>VLOOKUP(U1183,Sheet1!$B$6:$C$45,2,FALSE)*V1183</f>
        <v>0</v>
      </c>
      <c r="X1183" s="141"/>
      <c r="Y1183" s="121" t="s">
        <v>292</v>
      </c>
      <c r="Z1183" s="146">
        <f>VLOOKUP(Takeoffs!Y1183,Sheet1!$B$6:$C$124,2,FALSE)</f>
        <v>0</v>
      </c>
      <c r="AA1183" s="146">
        <f t="shared" si="543"/>
        <v>0</v>
      </c>
      <c r="AB1183" s="143">
        <f t="shared" si="544"/>
        <v>0</v>
      </c>
      <c r="AC1183" s="133">
        <f t="shared" si="549"/>
        <v>0</v>
      </c>
      <c r="AD1183" s="142">
        <v>1</v>
      </c>
      <c r="AE1183" s="141"/>
      <c r="AF1183" s="121" t="s">
        <v>292</v>
      </c>
      <c r="AG1183" s="146">
        <f>VLOOKUP(Takeoffs!AF1183,Sheet1!$B$6:$C$124,2,FALSE)</f>
        <v>0</v>
      </c>
      <c r="AH1183" s="146">
        <f t="shared" si="545"/>
        <v>0</v>
      </c>
      <c r="AI1183" s="143">
        <f t="shared" si="546"/>
        <v>0</v>
      </c>
      <c r="AJ1183" s="133">
        <f t="shared" si="547"/>
        <v>0</v>
      </c>
      <c r="AK1183" s="142">
        <f t="shared" si="550"/>
        <v>0</v>
      </c>
      <c r="AL1183" s="141"/>
      <c r="AO1183" s="286"/>
      <c r="AP1183" s="284">
        <f t="shared" si="537"/>
        <v>0</v>
      </c>
      <c r="AQ1183" s="281">
        <f t="shared" si="538"/>
        <v>0</v>
      </c>
      <c r="AR1183" s="284">
        <f t="shared" si="539"/>
        <v>0</v>
      </c>
      <c r="AS1183" s="281">
        <f t="shared" si="540"/>
        <v>0</v>
      </c>
      <c r="AT1183" s="284">
        <f t="shared" si="541"/>
        <v>0</v>
      </c>
    </row>
    <row r="1184" spans="1:97" s="114" customFormat="1" ht="30.9" x14ac:dyDescent="0.8">
      <c r="A1184" s="262">
        <f>ROW()</f>
        <v>1184</v>
      </c>
      <c r="C1184" s="208"/>
      <c r="D1184" s="208"/>
      <c r="E1184" s="208"/>
      <c r="F1184" s="208"/>
      <c r="G1184" s="208"/>
      <c r="H1184" s="208"/>
      <c r="J1184" s="114" t="str">
        <f t="shared" si="548"/>
        <v/>
      </c>
      <c r="K1184" s="114" t="str">
        <f>IF(COUNTBLANK(R1184)&gt;0,"",CONCATENATE(R1184," for ",N1174))</f>
        <v/>
      </c>
      <c r="N1184" s="123" t="s">
        <v>122</v>
      </c>
      <c r="O1184" s="66"/>
      <c r="P1184" s="121"/>
      <c r="Q1184" s="121"/>
      <c r="R1184" s="121"/>
      <c r="S1184" s="133">
        <f>M1174</f>
        <v>0</v>
      </c>
      <c r="T1184" s="120"/>
      <c r="U1184" s="121" t="s">
        <v>292</v>
      </c>
      <c r="V1184" s="133">
        <f t="shared" si="542"/>
        <v>0</v>
      </c>
      <c r="W1184" s="133">
        <f>VLOOKUP(U1184,Sheet1!$B$6:$C$45,2,FALSE)*V1184</f>
        <v>0</v>
      </c>
      <c r="X1184" s="141"/>
      <c r="Y1184" s="121" t="s">
        <v>292</v>
      </c>
      <c r="Z1184" s="146">
        <f>VLOOKUP(Takeoffs!Y1184,Sheet1!$B$6:$C$124,2,FALSE)</f>
        <v>0</v>
      </c>
      <c r="AA1184" s="146">
        <f t="shared" si="543"/>
        <v>0</v>
      </c>
      <c r="AB1184" s="143">
        <f t="shared" si="544"/>
        <v>0</v>
      </c>
      <c r="AC1184" s="133">
        <f t="shared" si="549"/>
        <v>0</v>
      </c>
      <c r="AD1184" s="142">
        <v>1</v>
      </c>
      <c r="AE1184" s="141"/>
      <c r="AF1184" s="121" t="s">
        <v>292</v>
      </c>
      <c r="AG1184" s="146">
        <f>VLOOKUP(Takeoffs!AF1184,Sheet1!$B$6:$C$124,2,FALSE)</f>
        <v>0</v>
      </c>
      <c r="AH1184" s="146">
        <f t="shared" si="545"/>
        <v>0</v>
      </c>
      <c r="AI1184" s="143">
        <f t="shared" si="546"/>
        <v>0</v>
      </c>
      <c r="AJ1184" s="133">
        <f t="shared" si="547"/>
        <v>0</v>
      </c>
      <c r="AK1184" s="142">
        <f>T1184</f>
        <v>0</v>
      </c>
      <c r="AL1184" s="141"/>
      <c r="AO1184" s="286"/>
      <c r="AP1184" s="284">
        <f t="shared" si="537"/>
        <v>0</v>
      </c>
      <c r="AQ1184" s="281">
        <f t="shared" si="538"/>
        <v>0</v>
      </c>
      <c r="AR1184" s="284">
        <f t="shared" si="539"/>
        <v>0</v>
      </c>
      <c r="AS1184" s="281">
        <f t="shared" si="540"/>
        <v>0</v>
      </c>
      <c r="AT1184" s="284">
        <f t="shared" si="541"/>
        <v>0</v>
      </c>
    </row>
    <row r="1185" spans="1:97" s="114" customFormat="1" ht="30.9" x14ac:dyDescent="0.8">
      <c r="A1185" s="262">
        <f>ROW()</f>
        <v>1185</v>
      </c>
      <c r="C1185" s="208"/>
      <c r="D1185" s="208"/>
      <c r="E1185" s="208"/>
      <c r="F1185" s="208"/>
      <c r="G1185" s="208"/>
      <c r="H1185" s="208"/>
      <c r="J1185" s="114" t="str">
        <f t="shared" si="548"/>
        <v/>
      </c>
      <c r="K1185" s="114" t="str">
        <f>IF(COUNTBLANK(R1185)&gt;0,"",CONCATENATE(R1185," for ",N1174))</f>
        <v/>
      </c>
      <c r="N1185" s="123" t="s">
        <v>123</v>
      </c>
      <c r="O1185" s="66"/>
      <c r="P1185" s="121"/>
      <c r="Q1185" s="121"/>
      <c r="R1185" s="121"/>
      <c r="S1185" s="133">
        <f>M1174</f>
        <v>0</v>
      </c>
      <c r="T1185" s="120"/>
      <c r="U1185" s="121" t="s">
        <v>292</v>
      </c>
      <c r="V1185" s="133">
        <f t="shared" si="542"/>
        <v>0</v>
      </c>
      <c r="W1185" s="133">
        <f>VLOOKUP(U1185,Sheet1!$B$6:$C$45,2,FALSE)*V1185</f>
        <v>0</v>
      </c>
      <c r="X1185" s="141"/>
      <c r="Y1185" s="121" t="s">
        <v>292</v>
      </c>
      <c r="Z1185" s="146">
        <f>VLOOKUP(Takeoffs!Y1185,Sheet1!$B$6:$C$124,2,FALSE)</f>
        <v>0</v>
      </c>
      <c r="AA1185" s="146">
        <f t="shared" si="543"/>
        <v>0</v>
      </c>
      <c r="AB1185" s="143">
        <f t="shared" si="544"/>
        <v>0</v>
      </c>
      <c r="AC1185" s="133">
        <f t="shared" si="549"/>
        <v>0</v>
      </c>
      <c r="AD1185" s="142">
        <v>1</v>
      </c>
      <c r="AE1185" s="141"/>
      <c r="AF1185" s="121" t="s">
        <v>292</v>
      </c>
      <c r="AG1185" s="146">
        <f>VLOOKUP(Takeoffs!AF1185,Sheet1!$B$6:$C$124,2,FALSE)</f>
        <v>0</v>
      </c>
      <c r="AH1185" s="146">
        <f t="shared" si="545"/>
        <v>0</v>
      </c>
      <c r="AI1185" s="143">
        <f t="shared" si="546"/>
        <v>0</v>
      </c>
      <c r="AJ1185" s="133">
        <f t="shared" si="547"/>
        <v>0</v>
      </c>
      <c r="AK1185" s="142">
        <v>0</v>
      </c>
      <c r="AL1185" s="141"/>
      <c r="AO1185" s="286"/>
      <c r="AP1185" s="284">
        <f t="shared" si="537"/>
        <v>0</v>
      </c>
      <c r="AQ1185" s="281">
        <f t="shared" si="538"/>
        <v>0</v>
      </c>
      <c r="AR1185" s="284">
        <f t="shared" si="539"/>
        <v>0</v>
      </c>
      <c r="AS1185" s="281">
        <f t="shared" si="540"/>
        <v>0</v>
      </c>
      <c r="AT1185" s="284">
        <f t="shared" si="541"/>
        <v>0</v>
      </c>
    </row>
    <row r="1186" spans="1:97" s="114" customFormat="1" ht="30.9" x14ac:dyDescent="0.8">
      <c r="A1186" s="262">
        <f>ROW()</f>
        <v>1186</v>
      </c>
      <c r="C1186" s="208"/>
      <c r="D1186" s="208"/>
      <c r="E1186" s="208"/>
      <c r="F1186" s="208"/>
      <c r="G1186" s="208"/>
      <c r="H1186" s="208"/>
      <c r="J1186" s="114" t="str">
        <f t="shared" si="548"/>
        <v/>
      </c>
      <c r="K1186" s="114" t="str">
        <f>IF(COUNTBLANK(R1186)&gt;0,"",CONCATENATE(R1186," for ",N1174))</f>
        <v/>
      </c>
      <c r="N1186" s="123" t="s">
        <v>124</v>
      </c>
      <c r="O1186" s="66"/>
      <c r="P1186" s="121"/>
      <c r="Q1186" s="121"/>
      <c r="R1186" s="121"/>
      <c r="S1186" s="133">
        <f>M1174</f>
        <v>0</v>
      </c>
      <c r="T1186" s="120"/>
      <c r="U1186" s="121" t="s">
        <v>292</v>
      </c>
      <c r="V1186" s="133">
        <f t="shared" si="542"/>
        <v>0</v>
      </c>
      <c r="W1186" s="133">
        <f>VLOOKUP(U1186,Sheet1!$B$6:$C$45,2,FALSE)*V1186</f>
        <v>0</v>
      </c>
      <c r="X1186" s="141"/>
      <c r="Y1186" s="121" t="s">
        <v>292</v>
      </c>
      <c r="Z1186" s="146">
        <f>VLOOKUP(Takeoffs!Y1186,Sheet1!$B$6:$C$124,2,FALSE)</f>
        <v>0</v>
      </c>
      <c r="AA1186" s="146">
        <f t="shared" si="543"/>
        <v>0</v>
      </c>
      <c r="AB1186" s="143">
        <f t="shared" si="544"/>
        <v>0</v>
      </c>
      <c r="AC1186" s="133">
        <f t="shared" si="549"/>
        <v>0</v>
      </c>
      <c r="AD1186" s="142">
        <v>1</v>
      </c>
      <c r="AE1186" s="141"/>
      <c r="AF1186" s="121" t="s">
        <v>292</v>
      </c>
      <c r="AG1186" s="146">
        <f>VLOOKUP(Takeoffs!AF1186,Sheet1!$B$6:$C$124,2,FALSE)</f>
        <v>0</v>
      </c>
      <c r="AH1186" s="146">
        <f t="shared" si="545"/>
        <v>0</v>
      </c>
      <c r="AI1186" s="143">
        <f t="shared" si="546"/>
        <v>0</v>
      </c>
      <c r="AJ1186" s="133">
        <f t="shared" si="547"/>
        <v>0</v>
      </c>
      <c r="AK1186" s="142"/>
      <c r="AL1186" s="141"/>
      <c r="AO1186" s="286"/>
      <c r="AP1186" s="284">
        <f t="shared" si="537"/>
        <v>0</v>
      </c>
      <c r="AQ1186" s="281">
        <f t="shared" si="538"/>
        <v>0</v>
      </c>
      <c r="AR1186" s="284">
        <f t="shared" si="539"/>
        <v>0</v>
      </c>
      <c r="AS1186" s="281">
        <f t="shared" si="540"/>
        <v>0</v>
      </c>
      <c r="AT1186" s="284">
        <f t="shared" si="541"/>
        <v>0</v>
      </c>
    </row>
    <row r="1187" spans="1:97" s="114" customFormat="1" ht="30.9" x14ac:dyDescent="0.8">
      <c r="A1187" s="262">
        <f>ROW()</f>
        <v>1187</v>
      </c>
      <c r="C1187" s="208"/>
      <c r="D1187" s="208"/>
      <c r="E1187" s="208"/>
      <c r="F1187" s="208"/>
      <c r="G1187" s="208"/>
      <c r="H1187" s="208"/>
      <c r="J1187" s="114" t="str">
        <f t="shared" si="548"/>
        <v/>
      </c>
      <c r="K1187" s="114" t="str">
        <f>IF(COUNTBLANK(R1187)&gt;0,"",CONCATENATE(R1187," for ",N1174))</f>
        <v/>
      </c>
      <c r="N1187" s="123" t="s">
        <v>125</v>
      </c>
      <c r="O1187" s="66"/>
      <c r="P1187" s="121"/>
      <c r="Q1187" s="121"/>
      <c r="R1187" s="121"/>
      <c r="S1187" s="133">
        <f>M1174</f>
        <v>0</v>
      </c>
      <c r="T1187" s="120"/>
      <c r="U1187" s="121" t="s">
        <v>292</v>
      </c>
      <c r="V1187" s="133">
        <f t="shared" si="542"/>
        <v>0</v>
      </c>
      <c r="W1187" s="133">
        <f>VLOOKUP(U1187,Sheet1!$B$6:$C$45,2,FALSE)*V1187</f>
        <v>0</v>
      </c>
      <c r="X1187" s="141"/>
      <c r="Y1187" s="121" t="s">
        <v>292</v>
      </c>
      <c r="Z1187" s="146">
        <f>VLOOKUP(Takeoffs!Y1187,Sheet1!$B$6:$C$124,2,FALSE)</f>
        <v>0</v>
      </c>
      <c r="AA1187" s="146">
        <f t="shared" si="543"/>
        <v>0</v>
      </c>
      <c r="AB1187" s="143">
        <f t="shared" si="544"/>
        <v>0</v>
      </c>
      <c r="AC1187" s="133">
        <f t="shared" si="549"/>
        <v>0</v>
      </c>
      <c r="AD1187" s="142">
        <v>1</v>
      </c>
      <c r="AE1187" s="141"/>
      <c r="AF1187" s="121" t="s">
        <v>292</v>
      </c>
      <c r="AG1187" s="146">
        <f>VLOOKUP(Takeoffs!AF1187,Sheet1!$B$6:$C$124,2,FALSE)</f>
        <v>0</v>
      </c>
      <c r="AH1187" s="146">
        <f t="shared" si="545"/>
        <v>0</v>
      </c>
      <c r="AI1187" s="143">
        <f t="shared" si="546"/>
        <v>0</v>
      </c>
      <c r="AJ1187" s="133">
        <f t="shared" si="547"/>
        <v>0</v>
      </c>
      <c r="AK1187" s="142">
        <f t="shared" ref="AK1187:AK1194" si="551">T1187</f>
        <v>0</v>
      </c>
      <c r="AL1187" s="141"/>
      <c r="AO1187" s="286"/>
      <c r="AP1187" s="284">
        <f t="shared" si="537"/>
        <v>0</v>
      </c>
      <c r="AQ1187" s="281">
        <f t="shared" si="538"/>
        <v>0</v>
      </c>
      <c r="AR1187" s="284">
        <f t="shared" si="539"/>
        <v>0</v>
      </c>
      <c r="AS1187" s="281">
        <f t="shared" si="540"/>
        <v>0</v>
      </c>
      <c r="AT1187" s="284">
        <f t="shared" si="541"/>
        <v>0</v>
      </c>
    </row>
    <row r="1188" spans="1:97" s="114" customFormat="1" ht="30.9" x14ac:dyDescent="0.8">
      <c r="A1188" s="262">
        <f>ROW()</f>
        <v>1188</v>
      </c>
      <c r="C1188" s="208"/>
      <c r="D1188" s="208"/>
      <c r="E1188" s="208"/>
      <c r="F1188" s="208"/>
      <c r="G1188" s="208"/>
      <c r="H1188" s="208"/>
      <c r="J1188" s="114" t="str">
        <f t="shared" si="548"/>
        <v/>
      </c>
      <c r="K1188" s="114" t="str">
        <f>IF(COUNTBLANK(R1188)&gt;0,"",CONCATENATE(R1188," for ",N1174))</f>
        <v/>
      </c>
      <c r="N1188" s="123" t="s">
        <v>126</v>
      </c>
      <c r="O1188" s="66"/>
      <c r="P1188" s="121"/>
      <c r="Q1188" s="121"/>
      <c r="R1188" s="121"/>
      <c r="S1188" s="133">
        <f>M1174</f>
        <v>0</v>
      </c>
      <c r="T1188" s="120"/>
      <c r="U1188" s="121" t="s">
        <v>292</v>
      </c>
      <c r="V1188" s="133">
        <f t="shared" si="542"/>
        <v>0</v>
      </c>
      <c r="W1188" s="133">
        <f>VLOOKUP(U1188,Sheet1!$B$6:$C$45,2,FALSE)*V1188</f>
        <v>0</v>
      </c>
      <c r="X1188" s="141"/>
      <c r="Y1188" s="121" t="s">
        <v>292</v>
      </c>
      <c r="Z1188" s="146">
        <f>VLOOKUP(Takeoffs!Y1188,Sheet1!$B$6:$C$124,2,FALSE)</f>
        <v>0</v>
      </c>
      <c r="AA1188" s="146">
        <f t="shared" si="543"/>
        <v>0</v>
      </c>
      <c r="AB1188" s="143">
        <f t="shared" si="544"/>
        <v>0</v>
      </c>
      <c r="AC1188" s="133">
        <f t="shared" si="549"/>
        <v>0</v>
      </c>
      <c r="AD1188" s="142">
        <v>1</v>
      </c>
      <c r="AE1188" s="141"/>
      <c r="AF1188" s="121" t="s">
        <v>292</v>
      </c>
      <c r="AG1188" s="146">
        <f>VLOOKUP(Takeoffs!AF1188,Sheet1!$B$6:$C$124,2,FALSE)</f>
        <v>0</v>
      </c>
      <c r="AH1188" s="146">
        <f t="shared" si="545"/>
        <v>0</v>
      </c>
      <c r="AI1188" s="143">
        <f t="shared" si="546"/>
        <v>0</v>
      </c>
      <c r="AJ1188" s="133">
        <f t="shared" si="547"/>
        <v>0</v>
      </c>
      <c r="AK1188" s="142">
        <f t="shared" si="551"/>
        <v>0</v>
      </c>
      <c r="AL1188" s="141"/>
      <c r="AO1188" s="286"/>
      <c r="AP1188" s="284">
        <f t="shared" si="537"/>
        <v>0</v>
      </c>
      <c r="AQ1188" s="281">
        <f t="shared" si="538"/>
        <v>0</v>
      </c>
      <c r="AR1188" s="284">
        <f t="shared" si="539"/>
        <v>0</v>
      </c>
      <c r="AS1188" s="281">
        <f t="shared" si="540"/>
        <v>0</v>
      </c>
      <c r="AT1188" s="284">
        <f t="shared" si="541"/>
        <v>0</v>
      </c>
    </row>
    <row r="1189" spans="1:97" s="114" customFormat="1" ht="30.9" x14ac:dyDescent="0.8">
      <c r="A1189" s="262">
        <f>ROW()</f>
        <v>1189</v>
      </c>
      <c r="C1189" s="208"/>
      <c r="D1189" s="208"/>
      <c r="E1189" s="208"/>
      <c r="F1189" s="208"/>
      <c r="G1189" s="208"/>
      <c r="H1189" s="208"/>
      <c r="J1189" s="114" t="str">
        <f t="shared" si="548"/>
        <v/>
      </c>
      <c r="K1189" s="114" t="str">
        <f>IF(COUNTBLANK(R1189)&gt;0,"",CONCATENATE(R1189," for ",N1174))</f>
        <v/>
      </c>
      <c r="N1189" s="123" t="s">
        <v>127</v>
      </c>
      <c r="O1189" s="66"/>
      <c r="P1189" s="121"/>
      <c r="Q1189" s="121"/>
      <c r="R1189" s="121"/>
      <c r="S1189" s="133">
        <f>M1174</f>
        <v>0</v>
      </c>
      <c r="T1189" s="120"/>
      <c r="U1189" s="121" t="s">
        <v>292</v>
      </c>
      <c r="V1189" s="133">
        <f t="shared" si="542"/>
        <v>0</v>
      </c>
      <c r="W1189" s="133">
        <f>VLOOKUP(U1189,Sheet1!$B$6:$C$45,2,FALSE)*V1189</f>
        <v>0</v>
      </c>
      <c r="X1189" s="141"/>
      <c r="Y1189" s="121" t="s">
        <v>292</v>
      </c>
      <c r="Z1189" s="146">
        <f>VLOOKUP(Takeoffs!Y1189,Sheet1!$B$6:$C$124,2,FALSE)</f>
        <v>0</v>
      </c>
      <c r="AA1189" s="146">
        <f t="shared" si="543"/>
        <v>0</v>
      </c>
      <c r="AB1189" s="143">
        <f t="shared" si="544"/>
        <v>0</v>
      </c>
      <c r="AC1189" s="133">
        <f t="shared" si="549"/>
        <v>0</v>
      </c>
      <c r="AD1189" s="142">
        <v>1</v>
      </c>
      <c r="AE1189" s="141"/>
      <c r="AF1189" s="121" t="s">
        <v>292</v>
      </c>
      <c r="AG1189" s="146">
        <f>VLOOKUP(Takeoffs!AF1189,Sheet1!$B$6:$C$124,2,FALSE)</f>
        <v>0</v>
      </c>
      <c r="AH1189" s="146">
        <f t="shared" si="545"/>
        <v>0</v>
      </c>
      <c r="AI1189" s="143">
        <f t="shared" si="546"/>
        <v>0</v>
      </c>
      <c r="AJ1189" s="133">
        <f t="shared" si="547"/>
        <v>0</v>
      </c>
      <c r="AK1189" s="142">
        <f t="shared" si="551"/>
        <v>0</v>
      </c>
      <c r="AL1189" s="141"/>
      <c r="AO1189" s="286"/>
      <c r="AP1189" s="284">
        <f t="shared" si="537"/>
        <v>0</v>
      </c>
      <c r="AQ1189" s="281">
        <f t="shared" si="538"/>
        <v>0</v>
      </c>
      <c r="AR1189" s="284">
        <f t="shared" si="539"/>
        <v>0</v>
      </c>
      <c r="AS1189" s="281">
        <f t="shared" si="540"/>
        <v>0</v>
      </c>
      <c r="AT1189" s="284">
        <f t="shared" si="541"/>
        <v>0</v>
      </c>
    </row>
    <row r="1190" spans="1:97" s="114" customFormat="1" ht="30.9" x14ac:dyDescent="0.8">
      <c r="A1190" s="262">
        <f>ROW()</f>
        <v>1190</v>
      </c>
      <c r="C1190" s="208"/>
      <c r="D1190" s="208"/>
      <c r="E1190" s="208"/>
      <c r="F1190" s="208"/>
      <c r="G1190" s="208"/>
      <c r="H1190" s="208"/>
      <c r="J1190" s="114" t="str">
        <f t="shared" si="548"/>
        <v/>
      </c>
      <c r="K1190" s="114" t="str">
        <f>IF(COUNTBLANK(R1190)&gt;0,"",CONCATENATE(R1190," for ",N1174))</f>
        <v/>
      </c>
      <c r="N1190" s="123" t="s">
        <v>128</v>
      </c>
      <c r="O1190" s="66"/>
      <c r="P1190" s="121"/>
      <c r="Q1190" s="121"/>
      <c r="R1190" s="121"/>
      <c r="S1190" s="133">
        <f>M1174</f>
        <v>0</v>
      </c>
      <c r="T1190" s="120"/>
      <c r="U1190" s="121" t="s">
        <v>292</v>
      </c>
      <c r="V1190" s="133">
        <f t="shared" si="542"/>
        <v>0</v>
      </c>
      <c r="W1190" s="133">
        <f>VLOOKUP(U1190,Sheet1!$B$6:$C$45,2,FALSE)*V1190</f>
        <v>0</v>
      </c>
      <c r="X1190" s="141"/>
      <c r="Y1190" s="121" t="s">
        <v>292</v>
      </c>
      <c r="Z1190" s="146">
        <f>VLOOKUP(Takeoffs!Y1190,Sheet1!$B$6:$C$124,2,FALSE)</f>
        <v>0</v>
      </c>
      <c r="AA1190" s="146">
        <f t="shared" si="543"/>
        <v>0</v>
      </c>
      <c r="AB1190" s="143">
        <f t="shared" si="544"/>
        <v>0</v>
      </c>
      <c r="AC1190" s="133">
        <f t="shared" si="549"/>
        <v>0</v>
      </c>
      <c r="AD1190" s="142">
        <v>1</v>
      </c>
      <c r="AE1190" s="141"/>
      <c r="AF1190" s="121" t="s">
        <v>292</v>
      </c>
      <c r="AG1190" s="146">
        <f>VLOOKUP(Takeoffs!AF1190,Sheet1!$B$6:$C$124,2,FALSE)</f>
        <v>0</v>
      </c>
      <c r="AH1190" s="146">
        <f t="shared" si="545"/>
        <v>0</v>
      </c>
      <c r="AI1190" s="143">
        <f t="shared" si="546"/>
        <v>0</v>
      </c>
      <c r="AJ1190" s="133">
        <f t="shared" si="547"/>
        <v>0</v>
      </c>
      <c r="AK1190" s="142">
        <f t="shared" si="551"/>
        <v>0</v>
      </c>
      <c r="AL1190" s="141"/>
      <c r="AO1190" s="286"/>
      <c r="AP1190" s="284">
        <f t="shared" si="537"/>
        <v>0</v>
      </c>
      <c r="AQ1190" s="281">
        <f t="shared" si="538"/>
        <v>0</v>
      </c>
      <c r="AR1190" s="284">
        <f t="shared" si="539"/>
        <v>0</v>
      </c>
      <c r="AS1190" s="281">
        <f t="shared" si="540"/>
        <v>0</v>
      </c>
      <c r="AT1190" s="284">
        <f t="shared" si="541"/>
        <v>0</v>
      </c>
    </row>
    <row r="1191" spans="1:97" s="114" customFormat="1" ht="30.9" x14ac:dyDescent="0.8">
      <c r="A1191" s="262">
        <f>ROW()</f>
        <v>1191</v>
      </c>
      <c r="C1191" s="208"/>
      <c r="D1191" s="208"/>
      <c r="E1191" s="208"/>
      <c r="F1191" s="208"/>
      <c r="G1191" s="208"/>
      <c r="H1191" s="208"/>
      <c r="J1191" s="114" t="str">
        <f t="shared" si="548"/>
        <v/>
      </c>
      <c r="K1191" s="114" t="str">
        <f>IF(COUNTBLANK(R1191)&gt;0,"",CONCATENATE(R1191," for ",N1174))</f>
        <v/>
      </c>
      <c r="N1191" s="123" t="s">
        <v>129</v>
      </c>
      <c r="O1191" s="66"/>
      <c r="P1191" s="121"/>
      <c r="Q1191" s="121"/>
      <c r="R1191" s="121"/>
      <c r="S1191" s="133">
        <f>M1174</f>
        <v>0</v>
      </c>
      <c r="T1191" s="120"/>
      <c r="U1191" s="121" t="s">
        <v>292</v>
      </c>
      <c r="V1191" s="133">
        <f t="shared" si="542"/>
        <v>0</v>
      </c>
      <c r="W1191" s="133">
        <f>VLOOKUP(U1191,Sheet1!$B$6:$C$45,2,FALSE)*V1191</f>
        <v>0</v>
      </c>
      <c r="X1191" s="141"/>
      <c r="Y1191" s="121" t="s">
        <v>292</v>
      </c>
      <c r="Z1191" s="146">
        <f>VLOOKUP(Takeoffs!Y1191,Sheet1!$B$6:$C$124,2,FALSE)</f>
        <v>0</v>
      </c>
      <c r="AA1191" s="146">
        <f t="shared" si="543"/>
        <v>0</v>
      </c>
      <c r="AB1191" s="143">
        <f t="shared" si="544"/>
        <v>0</v>
      </c>
      <c r="AC1191" s="133">
        <f t="shared" si="549"/>
        <v>0</v>
      </c>
      <c r="AD1191" s="142">
        <v>1</v>
      </c>
      <c r="AE1191" s="141"/>
      <c r="AF1191" s="121" t="s">
        <v>292</v>
      </c>
      <c r="AG1191" s="146">
        <f>VLOOKUP(Takeoffs!AF1191,Sheet1!$B$6:$C$124,2,FALSE)</f>
        <v>0</v>
      </c>
      <c r="AH1191" s="146">
        <f t="shared" si="545"/>
        <v>0</v>
      </c>
      <c r="AI1191" s="143">
        <f t="shared" si="546"/>
        <v>0</v>
      </c>
      <c r="AJ1191" s="133">
        <f t="shared" si="547"/>
        <v>0</v>
      </c>
      <c r="AK1191" s="142">
        <f t="shared" si="551"/>
        <v>0</v>
      </c>
      <c r="AL1191" s="141"/>
      <c r="AO1191" s="286"/>
      <c r="AP1191" s="284">
        <f t="shared" si="537"/>
        <v>0</v>
      </c>
      <c r="AQ1191" s="281">
        <f t="shared" si="538"/>
        <v>0</v>
      </c>
      <c r="AR1191" s="284">
        <f t="shared" si="539"/>
        <v>0</v>
      </c>
      <c r="AS1191" s="281">
        <f t="shared" si="540"/>
        <v>0</v>
      </c>
      <c r="AT1191" s="284">
        <f t="shared" si="541"/>
        <v>0</v>
      </c>
    </row>
    <row r="1192" spans="1:97" s="114" customFormat="1" ht="30.9" x14ac:dyDescent="0.8">
      <c r="A1192" s="262">
        <f>ROW()</f>
        <v>1192</v>
      </c>
      <c r="C1192" s="208"/>
      <c r="D1192" s="208"/>
      <c r="E1192" s="208"/>
      <c r="F1192" s="208"/>
      <c r="G1192" s="208"/>
      <c r="H1192" s="208"/>
      <c r="J1192" s="114" t="str">
        <f t="shared" si="548"/>
        <v/>
      </c>
      <c r="K1192" s="114" t="str">
        <f>IF(COUNTBLANK(R1192)&gt;0,"",CONCATENATE(R1192," for ",N1174))</f>
        <v/>
      </c>
      <c r="N1192" s="123" t="s">
        <v>130</v>
      </c>
      <c r="O1192" s="66"/>
      <c r="P1192" s="121"/>
      <c r="Q1192" s="121"/>
      <c r="R1192" s="121"/>
      <c r="S1192" s="133">
        <f>M1174</f>
        <v>0</v>
      </c>
      <c r="T1192" s="120"/>
      <c r="U1192" s="121" t="s">
        <v>292</v>
      </c>
      <c r="V1192" s="133">
        <f t="shared" si="542"/>
        <v>0</v>
      </c>
      <c r="W1192" s="133">
        <f>VLOOKUP(U1192,Sheet1!$B$6:$C$45,2,FALSE)*V1192</f>
        <v>0</v>
      </c>
      <c r="X1192" s="141"/>
      <c r="Y1192" s="121" t="s">
        <v>292</v>
      </c>
      <c r="Z1192" s="146">
        <f>VLOOKUP(Takeoffs!Y1192,Sheet1!$B$6:$C$124,2,FALSE)</f>
        <v>0</v>
      </c>
      <c r="AA1192" s="146">
        <f t="shared" si="543"/>
        <v>0</v>
      </c>
      <c r="AB1192" s="143">
        <f t="shared" si="544"/>
        <v>0</v>
      </c>
      <c r="AC1192" s="133">
        <f t="shared" si="549"/>
        <v>0</v>
      </c>
      <c r="AD1192" s="142">
        <v>1</v>
      </c>
      <c r="AE1192" s="141"/>
      <c r="AF1192" s="121" t="s">
        <v>292</v>
      </c>
      <c r="AG1192" s="146">
        <f>VLOOKUP(Takeoffs!AF1192,Sheet1!$B$6:$C$124,2,FALSE)</f>
        <v>0</v>
      </c>
      <c r="AH1192" s="146">
        <f t="shared" si="545"/>
        <v>0</v>
      </c>
      <c r="AI1192" s="143">
        <f t="shared" si="546"/>
        <v>0</v>
      </c>
      <c r="AJ1192" s="133">
        <f t="shared" si="547"/>
        <v>0</v>
      </c>
      <c r="AK1192" s="142">
        <f t="shared" si="551"/>
        <v>0</v>
      </c>
      <c r="AL1192" s="141"/>
      <c r="AO1192" s="286"/>
      <c r="AP1192" s="284">
        <f t="shared" si="537"/>
        <v>0</v>
      </c>
      <c r="AQ1192" s="281">
        <f t="shared" si="538"/>
        <v>0</v>
      </c>
      <c r="AR1192" s="284">
        <f t="shared" si="539"/>
        <v>0</v>
      </c>
      <c r="AS1192" s="281">
        <f t="shared" si="540"/>
        <v>0</v>
      </c>
      <c r="AT1192" s="284">
        <f t="shared" si="541"/>
        <v>0</v>
      </c>
    </row>
    <row r="1193" spans="1:97" s="114" customFormat="1" ht="30.9" x14ac:dyDescent="0.8">
      <c r="A1193" s="262">
        <f>ROW()</f>
        <v>1193</v>
      </c>
      <c r="C1193" s="208"/>
      <c r="D1193" s="208"/>
      <c r="E1193" s="208"/>
      <c r="F1193" s="208"/>
      <c r="G1193" s="208"/>
      <c r="H1193" s="208"/>
      <c r="J1193" s="114" t="str">
        <f t="shared" si="548"/>
        <v/>
      </c>
      <c r="K1193" s="114" t="str">
        <f>IF(COUNTBLANK(R1193)&gt;0,"",CONCATENATE(R1193," for ",N1174))</f>
        <v/>
      </c>
      <c r="N1193" s="123" t="s">
        <v>131</v>
      </c>
      <c r="O1193" s="66"/>
      <c r="P1193" s="121"/>
      <c r="Q1193" s="121"/>
      <c r="R1193" s="121"/>
      <c r="S1193" s="133">
        <f>M1174</f>
        <v>0</v>
      </c>
      <c r="T1193" s="120"/>
      <c r="U1193" s="121" t="s">
        <v>292</v>
      </c>
      <c r="V1193" s="133">
        <f t="shared" si="542"/>
        <v>0</v>
      </c>
      <c r="W1193" s="133">
        <f>VLOOKUP(U1193,Sheet1!$B$6:$C$45,2,FALSE)*V1193</f>
        <v>0</v>
      </c>
      <c r="X1193" s="141"/>
      <c r="Y1193" s="121" t="s">
        <v>292</v>
      </c>
      <c r="Z1193" s="146">
        <f>VLOOKUP(Takeoffs!Y1193,Sheet1!$B$6:$C$124,2,FALSE)</f>
        <v>0</v>
      </c>
      <c r="AA1193" s="146">
        <f t="shared" si="543"/>
        <v>0</v>
      </c>
      <c r="AB1193" s="143">
        <f t="shared" si="544"/>
        <v>0</v>
      </c>
      <c r="AC1193" s="133">
        <f t="shared" si="549"/>
        <v>0</v>
      </c>
      <c r="AD1193" s="142">
        <v>1</v>
      </c>
      <c r="AE1193" s="141"/>
      <c r="AF1193" s="121" t="s">
        <v>292</v>
      </c>
      <c r="AG1193" s="146">
        <f>VLOOKUP(Takeoffs!AF1193,Sheet1!$B$6:$C$124,2,FALSE)</f>
        <v>0</v>
      </c>
      <c r="AH1193" s="146">
        <f t="shared" si="545"/>
        <v>0</v>
      </c>
      <c r="AI1193" s="143">
        <f t="shared" si="546"/>
        <v>0</v>
      </c>
      <c r="AJ1193" s="133">
        <f t="shared" si="547"/>
        <v>0</v>
      </c>
      <c r="AK1193" s="142">
        <f t="shared" si="551"/>
        <v>0</v>
      </c>
      <c r="AL1193" s="141"/>
      <c r="AO1193" s="286"/>
      <c r="AP1193" s="284">
        <f t="shared" si="537"/>
        <v>0</v>
      </c>
      <c r="AQ1193" s="281">
        <f t="shared" si="538"/>
        <v>0</v>
      </c>
      <c r="AR1193" s="284">
        <f t="shared" si="539"/>
        <v>0</v>
      </c>
      <c r="AS1193" s="281">
        <f t="shared" si="540"/>
        <v>0</v>
      </c>
      <c r="AT1193" s="284">
        <f t="shared" si="541"/>
        <v>0</v>
      </c>
    </row>
    <row r="1194" spans="1:97" s="114" customFormat="1" ht="30.9" x14ac:dyDescent="0.8">
      <c r="A1194" s="262">
        <f>ROW()</f>
        <v>1194</v>
      </c>
      <c r="C1194" s="208"/>
      <c r="D1194" s="208"/>
      <c r="E1194" s="208"/>
      <c r="F1194" s="208"/>
      <c r="G1194" s="208"/>
      <c r="H1194" s="208"/>
      <c r="J1194" s="114" t="str">
        <f t="shared" si="548"/>
        <v/>
      </c>
      <c r="K1194" s="114" t="str">
        <f>IF(COUNTBLANK(R1194)&gt;0,"",CONCATENATE(R1194," for ",N1174))</f>
        <v/>
      </c>
      <c r="N1194" s="123" t="s">
        <v>132</v>
      </c>
      <c r="O1194" s="66"/>
      <c r="P1194" s="121"/>
      <c r="Q1194" s="121"/>
      <c r="R1194" s="121"/>
      <c r="S1194" s="133">
        <f>M1174</f>
        <v>0</v>
      </c>
      <c r="T1194" s="120"/>
      <c r="U1194" s="121" t="s">
        <v>292</v>
      </c>
      <c r="V1194" s="133">
        <f t="shared" si="542"/>
        <v>0</v>
      </c>
      <c r="W1194" s="133">
        <f>VLOOKUP(U1194,Sheet1!$B$6:$C$45,2,FALSE)*V1194</f>
        <v>0</v>
      </c>
      <c r="X1194" s="141"/>
      <c r="Y1194" s="121" t="s">
        <v>292</v>
      </c>
      <c r="Z1194" s="146">
        <f>VLOOKUP(Takeoffs!Y1194,Sheet1!$B$6:$C$124,2,FALSE)</f>
        <v>0</v>
      </c>
      <c r="AA1194" s="146">
        <f t="shared" si="543"/>
        <v>0</v>
      </c>
      <c r="AB1194" s="143">
        <f t="shared" si="544"/>
        <v>0</v>
      </c>
      <c r="AC1194" s="133">
        <f t="shared" si="549"/>
        <v>0</v>
      </c>
      <c r="AD1194" s="142">
        <v>1</v>
      </c>
      <c r="AE1194" s="141"/>
      <c r="AF1194" s="121" t="s">
        <v>292</v>
      </c>
      <c r="AG1194" s="146">
        <f>VLOOKUP(Takeoffs!AF1194,Sheet1!$B$6:$C$124,2,FALSE)</f>
        <v>0</v>
      </c>
      <c r="AH1194" s="146">
        <f t="shared" si="545"/>
        <v>0</v>
      </c>
      <c r="AI1194" s="143">
        <f t="shared" si="546"/>
        <v>0</v>
      </c>
      <c r="AJ1194" s="133">
        <f t="shared" si="547"/>
        <v>0</v>
      </c>
      <c r="AK1194" s="142">
        <f t="shared" si="551"/>
        <v>0</v>
      </c>
      <c r="AL1194" s="141"/>
      <c r="AO1194" s="286"/>
      <c r="AP1194" s="284">
        <f t="shared" si="537"/>
        <v>0</v>
      </c>
      <c r="AQ1194" s="281">
        <f t="shared" si="538"/>
        <v>0</v>
      </c>
      <c r="AR1194" s="284">
        <f t="shared" si="539"/>
        <v>0</v>
      </c>
      <c r="AS1194" s="281">
        <f t="shared" si="540"/>
        <v>0</v>
      </c>
      <c r="AT1194" s="284">
        <f t="shared" si="541"/>
        <v>0</v>
      </c>
    </row>
    <row r="1195" spans="1:97" s="128" customFormat="1" ht="31.5" customHeight="1" x14ac:dyDescent="0.8">
      <c r="A1195" s="262">
        <f>ROW()</f>
        <v>1195</v>
      </c>
      <c r="C1195" s="212"/>
      <c r="D1195" s="212"/>
      <c r="E1195" s="212"/>
      <c r="F1195" s="212"/>
      <c r="G1195" s="212"/>
      <c r="H1195" s="212"/>
      <c r="J1195" s="128" t="s">
        <v>377</v>
      </c>
      <c r="L1195" s="128" t="s">
        <v>378</v>
      </c>
      <c r="N1195" s="129"/>
      <c r="O1195" s="154" t="s">
        <v>357</v>
      </c>
      <c r="P1195" s="155">
        <f>V1195+AA1195+AH1195</f>
        <v>0</v>
      </c>
      <c r="Q1195" s="155"/>
      <c r="R1195" s="155"/>
      <c r="S1195" s="154"/>
      <c r="T1195" s="156"/>
      <c r="U1195" s="157" t="s">
        <v>351</v>
      </c>
      <c r="V1195" s="156">
        <f>W1195*80</f>
        <v>0</v>
      </c>
      <c r="W1195" s="158">
        <f>SUM(W1174:W1194)</f>
        <v>0</v>
      </c>
      <c r="X1195" s="159"/>
      <c r="Y1195" s="156" t="s">
        <v>352</v>
      </c>
      <c r="Z1195" s="116"/>
      <c r="AA1195" s="116">
        <f>SUM(AA1174:AA1194)</f>
        <v>0</v>
      </c>
      <c r="AB1195" s="149"/>
      <c r="AC1195" s="149"/>
      <c r="AD1195" s="149"/>
      <c r="AE1195" s="149"/>
      <c r="AF1195" s="156" t="s">
        <v>356</v>
      </c>
      <c r="AG1195" s="116"/>
      <c r="AH1195" s="116">
        <f>SUM(AH1174:AH1194)</f>
        <v>0</v>
      </c>
      <c r="AI1195" s="149"/>
      <c r="AJ1195" s="149"/>
      <c r="AK1195" s="149"/>
      <c r="AL1195" s="149"/>
      <c r="AM1195" s="150">
        <f>P1195</f>
        <v>0</v>
      </c>
      <c r="AO1195" s="286"/>
      <c r="AP1195" s="284">
        <f t="shared" si="537"/>
        <v>0</v>
      </c>
      <c r="AQ1195" s="281">
        <f t="shared" si="538"/>
        <v>0</v>
      </c>
      <c r="AR1195" s="284">
        <f t="shared" si="539"/>
        <v>0</v>
      </c>
      <c r="AS1195" s="281">
        <f t="shared" si="540"/>
        <v>0</v>
      </c>
      <c r="AT1195" s="284">
        <f t="shared" si="541"/>
        <v>0</v>
      </c>
    </row>
    <row r="1196" spans="1:97" s="234" customFormat="1" ht="92.6" x14ac:dyDescent="0.8">
      <c r="A1196" s="262">
        <f>ROW()</f>
        <v>1196</v>
      </c>
      <c r="B1196" s="234" t="s">
        <v>491</v>
      </c>
      <c r="C1196" s="217" t="str">
        <f>N1174</f>
        <v>installation of VRF central controller</v>
      </c>
      <c r="D1196" s="260" t="s">
        <v>677</v>
      </c>
      <c r="E1196" s="238"/>
      <c r="F1196" s="217"/>
      <c r="G1196" s="217"/>
      <c r="H1196" s="245"/>
      <c r="I1196" s="270"/>
      <c r="J1196" s="241" t="str">
        <f>CONCATENATE(O1174," ",L1174, " (",M1174,") ",N1174,".", IF(M1174&gt;1," Each "," This "),"includes supply and install of ",O1175,O1176,O1177,O1178,O1179,O1180,O1181,O1182,O1183,O1184,O1185,O1186,O1187,O1188,O1189,O1190,O1191,O1192,O1193,O1194,J1175,J1176,J1177,J1178,J1179,J1180,J1181,J1182,J1183,J1184,J1185,J1186,J1187,J1188,J1189,J1190,J1191,J1192,J1193,J1194)</f>
        <v>Electrical power supply and controls cabling for  Zero (0) installation of VRF central controller. This includes supply and install of circuit breaker, power supply from MSSB, interconnect controls cabling and display install. Coordination Note: - VRF supplier and commissioning team: Please refer to our exclusions relating to VRF central controller supply and commissioning.</v>
      </c>
      <c r="K1196" s="246">
        <f>P1195</f>
        <v>0</v>
      </c>
      <c r="L1196" s="234" t="str">
        <f>CONCATENATE(Q1175,Q1176,Q1177,Q1178,Q1179,Q1180,Q1181,Q1182,Q1183,Q1184,Q1185,Q1186,Q1187,Q1188,Q1189,Q1190,Q1191,Q1192,Q1193,Q1194,)</f>
        <v>VRF central controller supply and commissioning.</v>
      </c>
      <c r="M1196" s="166" t="s">
        <v>367</v>
      </c>
      <c r="N1196" s="160" t="str">
        <f>N1174</f>
        <v>installation of VRF central controller</v>
      </c>
      <c r="O1196" s="160" t="s">
        <v>365</v>
      </c>
      <c r="P1196" s="171" t="e">
        <f>P1195/M1174</f>
        <v>#DIV/0!</v>
      </c>
      <c r="Q1196" s="161"/>
      <c r="R1196" s="161"/>
      <c r="S1196" s="160"/>
      <c r="T1196" s="161"/>
      <c r="U1196" s="503" t="s">
        <v>366</v>
      </c>
      <c r="V1196" s="503"/>
      <c r="W1196" s="162" t="e">
        <f>W1195/M1174</f>
        <v>#DIV/0!</v>
      </c>
      <c r="X1196" s="163"/>
      <c r="Y1196" s="501" t="s">
        <v>365</v>
      </c>
      <c r="Z1196" s="501"/>
      <c r="AA1196" s="164" t="e">
        <f>AA1195/M1174</f>
        <v>#DIV/0!</v>
      </c>
      <c r="AB1196" s="161"/>
      <c r="AC1196" s="161"/>
      <c r="AD1196" s="161"/>
      <c r="AE1196" s="161"/>
      <c r="AF1196" s="501" t="s">
        <v>365</v>
      </c>
      <c r="AG1196" s="501"/>
      <c r="AH1196" s="164" t="e">
        <f>AH1195/M1174</f>
        <v>#DIV/0!</v>
      </c>
      <c r="AI1196" s="161"/>
      <c r="AJ1196" s="161"/>
      <c r="AK1196" s="161"/>
      <c r="AL1196" s="247"/>
      <c r="AM1196" s="257"/>
      <c r="AN1196" s="236">
        <f>K1196*1.25</f>
        <v>0</v>
      </c>
      <c r="AO1196" s="286"/>
      <c r="AP1196" s="284">
        <f t="shared" si="537"/>
        <v>0</v>
      </c>
      <c r="AQ1196" s="281">
        <f t="shared" si="538"/>
        <v>0</v>
      </c>
      <c r="AR1196" s="284">
        <f t="shared" si="539"/>
        <v>0</v>
      </c>
      <c r="AS1196" s="281">
        <f t="shared" si="540"/>
        <v>0</v>
      </c>
      <c r="AT1196" s="284">
        <f t="shared" si="541"/>
        <v>0</v>
      </c>
      <c r="AU1196" s="117"/>
      <c r="AV1196" s="117"/>
      <c r="AW1196" s="117"/>
      <c r="AX1196" s="117"/>
      <c r="AY1196" s="117"/>
      <c r="AZ1196" s="117"/>
      <c r="BA1196" s="117"/>
      <c r="BB1196" s="117"/>
      <c r="BC1196" s="117"/>
      <c r="BD1196" s="117"/>
      <c r="BE1196" s="117"/>
      <c r="BF1196" s="117"/>
      <c r="BG1196" s="117"/>
      <c r="BH1196" s="117"/>
      <c r="BI1196" s="117"/>
      <c r="BJ1196" s="117"/>
      <c r="BK1196" s="117"/>
      <c r="BL1196" s="117"/>
      <c r="BM1196" s="117"/>
      <c r="BN1196" s="117"/>
      <c r="BO1196" s="117"/>
      <c r="BP1196" s="117"/>
      <c r="BQ1196" s="117"/>
      <c r="BR1196" s="117"/>
      <c r="BS1196" s="117"/>
      <c r="BT1196" s="117"/>
      <c r="BU1196" s="117"/>
      <c r="BV1196" s="117"/>
      <c r="BW1196" s="117"/>
      <c r="BX1196" s="117"/>
      <c r="BY1196" s="117"/>
      <c r="BZ1196" s="117"/>
      <c r="CA1196" s="117"/>
      <c r="CB1196" s="117"/>
      <c r="CC1196" s="117"/>
      <c r="CD1196" s="117"/>
      <c r="CE1196" s="117"/>
      <c r="CF1196" s="117"/>
      <c r="CG1196" s="117"/>
      <c r="CH1196" s="117"/>
      <c r="CI1196" s="117"/>
      <c r="CJ1196" s="117"/>
      <c r="CK1196" s="117"/>
      <c r="CL1196" s="117"/>
      <c r="CM1196" s="117"/>
      <c r="CN1196" s="117"/>
      <c r="CO1196" s="117"/>
      <c r="CP1196" s="117"/>
      <c r="CQ1196" s="117"/>
      <c r="CR1196" s="117"/>
      <c r="CS1196" s="117"/>
    </row>
    <row r="1197" spans="1:97" s="116" customFormat="1" ht="192.75" customHeight="1" x14ac:dyDescent="0.8">
      <c r="A1197" s="262">
        <f>ROW()</f>
        <v>1197</v>
      </c>
      <c r="C1197" s="211"/>
      <c r="D1197" s="211"/>
      <c r="E1197" s="211"/>
      <c r="F1197" s="211"/>
      <c r="G1197" s="211"/>
      <c r="H1197" s="211"/>
      <c r="K1197" s="116" t="s">
        <v>452</v>
      </c>
      <c r="M1197" s="116" t="s">
        <v>107</v>
      </c>
      <c r="N1197" s="116" t="s">
        <v>108</v>
      </c>
      <c r="O1197" s="170" t="s">
        <v>386</v>
      </c>
      <c r="P1197" s="502" t="s">
        <v>375</v>
      </c>
      <c r="Q1197" s="502"/>
      <c r="R1197" s="101" t="s">
        <v>452</v>
      </c>
      <c r="S1197" s="116" t="s">
        <v>0</v>
      </c>
      <c r="T1197" s="118"/>
      <c r="U1197" s="116" t="s">
        <v>287</v>
      </c>
      <c r="V1197" s="116" t="s">
        <v>288</v>
      </c>
      <c r="W1197" s="116" t="s">
        <v>291</v>
      </c>
      <c r="X1197" s="140"/>
      <c r="Y1197" s="116" t="s">
        <v>289</v>
      </c>
      <c r="Z1197" s="116" t="s">
        <v>354</v>
      </c>
      <c r="AA1197" s="116" t="s">
        <v>355</v>
      </c>
      <c r="AB1197" s="116" t="s">
        <v>317</v>
      </c>
      <c r="AC1197" s="116" t="s">
        <v>318</v>
      </c>
      <c r="AD1197" s="116" t="s">
        <v>316</v>
      </c>
      <c r="AE1197" s="140"/>
      <c r="AF1197" s="116" t="s">
        <v>293</v>
      </c>
      <c r="AG1197" s="116" t="s">
        <v>354</v>
      </c>
      <c r="AH1197" s="116" t="s">
        <v>355</v>
      </c>
      <c r="AI1197" s="116" t="s">
        <v>296</v>
      </c>
      <c r="AJ1197" s="116" t="s">
        <v>294</v>
      </c>
      <c r="AK1197" s="116" t="s">
        <v>295</v>
      </c>
      <c r="AL1197" s="140"/>
      <c r="AO1197" s="288"/>
      <c r="AP1197" s="284">
        <f t="shared" si="537"/>
        <v>0</v>
      </c>
      <c r="AQ1197" s="281">
        <f t="shared" si="538"/>
        <v>0</v>
      </c>
      <c r="AR1197" s="284">
        <f t="shared" si="539"/>
        <v>0</v>
      </c>
      <c r="AS1197" s="281">
        <f t="shared" si="540"/>
        <v>0</v>
      </c>
      <c r="AT1197" s="284">
        <f t="shared" si="541"/>
        <v>0</v>
      </c>
    </row>
    <row r="1198" spans="1:97" s="114" customFormat="1" ht="31.5" customHeight="1" x14ac:dyDescent="0.8">
      <c r="A1198" s="262">
        <f>ROW()</f>
        <v>1198</v>
      </c>
      <c r="C1198" s="208"/>
      <c r="D1198" s="208"/>
      <c r="E1198" s="208"/>
      <c r="F1198" s="208"/>
      <c r="G1198" s="208"/>
      <c r="H1198" s="208"/>
      <c r="L1198" s="124" t="str">
        <f>VLOOKUP(M1198,Sheet2!$D$2:$E$1024,2,FALSE)</f>
        <v>Zero</v>
      </c>
      <c r="M1198" s="121">
        <f>I1220</f>
        <v>0</v>
      </c>
      <c r="N1198" s="132" t="s">
        <v>574</v>
      </c>
      <c r="O1198" s="121" t="s">
        <v>133</v>
      </c>
      <c r="P1198" s="169" t="s">
        <v>379</v>
      </c>
      <c r="Q1198" s="169" t="s">
        <v>375</v>
      </c>
      <c r="R1198" s="169"/>
      <c r="S1198" s="133">
        <f>M1198</f>
        <v>0</v>
      </c>
      <c r="T1198" s="119"/>
      <c r="U1198" s="121" t="s">
        <v>292</v>
      </c>
      <c r="V1198" s="133">
        <f>S1198</f>
        <v>0</v>
      </c>
      <c r="W1198" s="133">
        <f>VLOOKUP(U1198,Sheet1!$B$6:$C$45,2,FALSE)*V1198</f>
        <v>0</v>
      </c>
      <c r="X1198" s="141"/>
      <c r="Y1198" s="121" t="s">
        <v>292</v>
      </c>
      <c r="Z1198" s="146">
        <f>VLOOKUP(Takeoffs!Y1198,Sheet1!$B$6:$C$124,2,FALSE)</f>
        <v>0</v>
      </c>
      <c r="AA1198" s="146">
        <f>Z1198*AB1198</f>
        <v>0</v>
      </c>
      <c r="AB1198" s="143">
        <f>AD1198*AC1198</f>
        <v>0</v>
      </c>
      <c r="AC1198" s="133">
        <f>S1198</f>
        <v>0</v>
      </c>
      <c r="AD1198" s="142">
        <v>1</v>
      </c>
      <c r="AE1198" s="141"/>
      <c r="AF1198" s="121" t="s">
        <v>292</v>
      </c>
      <c r="AG1198" s="146">
        <f>VLOOKUP(Takeoffs!AF1198,Sheet1!$B$6:$C$124,2,FALSE)</f>
        <v>0</v>
      </c>
      <c r="AH1198" s="146">
        <f>AG1198*AI1198</f>
        <v>0</v>
      </c>
      <c r="AI1198" s="143">
        <f>AK1198*AJ1198</f>
        <v>0</v>
      </c>
      <c r="AJ1198" s="133">
        <f>S1198</f>
        <v>0</v>
      </c>
      <c r="AK1198" s="142">
        <f>T1198</f>
        <v>0</v>
      </c>
      <c r="AL1198" s="141"/>
      <c r="AO1198" s="286"/>
      <c r="AP1198" s="284">
        <f t="shared" si="537"/>
        <v>0</v>
      </c>
      <c r="AQ1198" s="281">
        <f t="shared" si="538"/>
        <v>0</v>
      </c>
      <c r="AR1198" s="284">
        <f t="shared" si="539"/>
        <v>0</v>
      </c>
      <c r="AS1198" s="281">
        <f t="shared" si="540"/>
        <v>0</v>
      </c>
      <c r="AT1198" s="284">
        <f t="shared" si="541"/>
        <v>0</v>
      </c>
    </row>
    <row r="1199" spans="1:97" s="114" customFormat="1" ht="30.9" x14ac:dyDescent="0.8">
      <c r="A1199" s="262">
        <f>ROW()</f>
        <v>1199</v>
      </c>
      <c r="C1199" s="208"/>
      <c r="D1199" s="208"/>
      <c r="E1199" s="208"/>
      <c r="F1199" s="208"/>
      <c r="G1199" s="208"/>
      <c r="H1199" s="208"/>
      <c r="J1199" s="114" t="str">
        <f>IF(COUNTBLANK(Q1199)&gt;0,"",CONCATENATE("Coordination Note: - ",P1199,": Please refer to our exclusions relating to ",Q1199))</f>
        <v/>
      </c>
      <c r="K1199" s="114" t="str">
        <f>IF(COUNTBLANK(R1199)&gt;0,"",CONCATENATE(R1199," for ",N1198))</f>
        <v/>
      </c>
      <c r="M1199" s="117"/>
      <c r="N1199" s="123" t="s">
        <v>113</v>
      </c>
      <c r="O1199" s="66" t="s">
        <v>308</v>
      </c>
      <c r="P1199" s="121"/>
      <c r="Q1199" s="121"/>
      <c r="R1199" s="121"/>
      <c r="S1199" s="133">
        <f>M1198</f>
        <v>0</v>
      </c>
      <c r="T1199" s="120"/>
      <c r="U1199" s="121" t="s">
        <v>292</v>
      </c>
      <c r="V1199" s="133">
        <f t="shared" ref="V1199:V1218" si="552">S1199</f>
        <v>0</v>
      </c>
      <c r="W1199" s="133">
        <f>VLOOKUP(U1199,Sheet1!$B$6:$C$45,2,FALSE)*V1199</f>
        <v>0</v>
      </c>
      <c r="X1199" s="141"/>
      <c r="Y1199" s="135" t="s">
        <v>250</v>
      </c>
      <c r="Z1199" s="146">
        <f>VLOOKUP(Takeoffs!Y1199,Sheet1!$B$6:$C$124,2,FALSE)</f>
        <v>43.440000000000005</v>
      </c>
      <c r="AA1199" s="146">
        <f t="shared" ref="AA1199:AA1218" si="553">Z1199*AB1199</f>
        <v>0</v>
      </c>
      <c r="AB1199" s="143">
        <f t="shared" ref="AB1199:AB1218" si="554">AD1199*AC1199</f>
        <v>0</v>
      </c>
      <c r="AC1199" s="133">
        <f t="shared" ref="AC1199:AC1218" si="555">S1199</f>
        <v>0</v>
      </c>
      <c r="AD1199" s="142">
        <v>1</v>
      </c>
      <c r="AE1199" s="141"/>
      <c r="AF1199" s="152" t="s">
        <v>267</v>
      </c>
      <c r="AG1199" s="146">
        <f>VLOOKUP(Takeoffs!AF1199,Sheet1!$B$6:$C$124,2,FALSE)</f>
        <v>3.48</v>
      </c>
      <c r="AH1199" s="146">
        <f t="shared" ref="AH1199:AH1218" si="556">AG1199*AI1199</f>
        <v>0</v>
      </c>
      <c r="AI1199" s="143">
        <f t="shared" ref="AI1199:AI1218" si="557">AK1199*AJ1199</f>
        <v>0</v>
      </c>
      <c r="AJ1199" s="133">
        <f t="shared" ref="AJ1199:AJ1218" si="558">S1199</f>
        <v>0</v>
      </c>
      <c r="AK1199" s="142">
        <v>20</v>
      </c>
      <c r="AL1199" s="141"/>
      <c r="AO1199" s="286"/>
      <c r="AP1199" s="284">
        <f t="shared" si="537"/>
        <v>0</v>
      </c>
      <c r="AQ1199" s="281">
        <f t="shared" si="538"/>
        <v>0</v>
      </c>
      <c r="AR1199" s="284">
        <f t="shared" si="539"/>
        <v>0</v>
      </c>
      <c r="AS1199" s="281">
        <f t="shared" si="540"/>
        <v>0</v>
      </c>
      <c r="AT1199" s="284">
        <f t="shared" si="541"/>
        <v>0</v>
      </c>
    </row>
    <row r="1200" spans="1:97" s="114" customFormat="1" ht="30.9" x14ac:dyDescent="0.8">
      <c r="A1200" s="262">
        <f>ROW()</f>
        <v>1200</v>
      </c>
      <c r="C1200" s="208"/>
      <c r="D1200" s="208"/>
      <c r="E1200" s="208"/>
      <c r="F1200" s="208"/>
      <c r="G1200" s="208"/>
      <c r="H1200" s="208"/>
      <c r="J1200" s="114" t="str">
        <f t="shared" ref="J1200:J1218" si="559">IF(COUNTBLANK(Q1200)&gt;0,"",CONCATENATE("Coordination Note: - ",P1200,": Please refer to our exclusions relating to ",Q1200))</f>
        <v/>
      </c>
      <c r="K1200" s="114" t="str">
        <f>IF(COUNTBLANK(R1200)&gt;0,"",CONCATENATE(R1200," for ",N1198))</f>
        <v/>
      </c>
      <c r="M1200" s="117"/>
      <c r="N1200" s="123" t="s">
        <v>114</v>
      </c>
      <c r="O1200" s="66" t="s">
        <v>575</v>
      </c>
      <c r="P1200" s="121"/>
      <c r="Q1200" s="121"/>
      <c r="R1200" s="121"/>
      <c r="S1200" s="133">
        <f>M1198</f>
        <v>0</v>
      </c>
      <c r="T1200" s="120"/>
      <c r="U1200" s="117" t="s">
        <v>297</v>
      </c>
      <c r="V1200" s="133">
        <f t="shared" si="552"/>
        <v>0</v>
      </c>
      <c r="W1200" s="133">
        <f>VLOOKUP(U1200,Sheet1!$B$6:$C$45,2,FALSE)*V1200</f>
        <v>0</v>
      </c>
      <c r="X1200" s="141"/>
      <c r="Y1200" s="121" t="s">
        <v>292</v>
      </c>
      <c r="Z1200" s="146">
        <f>VLOOKUP(Takeoffs!Y1200,Sheet1!$B$6:$C$124,2,FALSE)</f>
        <v>0</v>
      </c>
      <c r="AA1200" s="146">
        <f t="shared" si="553"/>
        <v>0</v>
      </c>
      <c r="AB1200" s="143">
        <f t="shared" si="554"/>
        <v>0</v>
      </c>
      <c r="AC1200" s="133">
        <f t="shared" si="555"/>
        <v>0</v>
      </c>
      <c r="AD1200" s="142">
        <v>1</v>
      </c>
      <c r="AE1200" s="141"/>
      <c r="AF1200" s="121" t="s">
        <v>292</v>
      </c>
      <c r="AG1200" s="146">
        <f>VLOOKUP(Takeoffs!AF1200,Sheet1!$B$6:$C$124,2,FALSE)</f>
        <v>0</v>
      </c>
      <c r="AH1200" s="146">
        <f t="shared" si="556"/>
        <v>0</v>
      </c>
      <c r="AI1200" s="143">
        <f t="shared" si="557"/>
        <v>0</v>
      </c>
      <c r="AJ1200" s="133">
        <f t="shared" si="558"/>
        <v>0</v>
      </c>
      <c r="AK1200" s="142">
        <f t="shared" ref="AK1200:AK1218" si="560">T1200</f>
        <v>0</v>
      </c>
      <c r="AL1200" s="141"/>
      <c r="AO1200" s="286"/>
      <c r="AP1200" s="284">
        <f t="shared" si="537"/>
        <v>0</v>
      </c>
      <c r="AQ1200" s="281">
        <f t="shared" si="538"/>
        <v>0</v>
      </c>
      <c r="AR1200" s="284">
        <f t="shared" si="539"/>
        <v>0</v>
      </c>
      <c r="AS1200" s="281">
        <f t="shared" si="540"/>
        <v>0</v>
      </c>
      <c r="AT1200" s="284">
        <f t="shared" si="541"/>
        <v>0</v>
      </c>
    </row>
    <row r="1201" spans="1:46" s="114" customFormat="1" ht="30.9" x14ac:dyDescent="0.8">
      <c r="A1201" s="262">
        <f>ROW()</f>
        <v>1201</v>
      </c>
      <c r="C1201" s="208"/>
      <c r="D1201" s="208"/>
      <c r="E1201" s="208"/>
      <c r="F1201" s="208"/>
      <c r="G1201" s="208"/>
      <c r="H1201" s="208"/>
      <c r="J1201" s="114" t="str">
        <f t="shared" si="559"/>
        <v/>
      </c>
      <c r="K1201" s="114" t="str">
        <f>IF(COUNTBLANK(R1201)&gt;0,"",CONCATENATE(R1201," for ",N1198))</f>
        <v/>
      </c>
      <c r="M1201" s="117"/>
      <c r="N1201" s="123" t="s">
        <v>115</v>
      </c>
      <c r="O1201" s="66" t="s">
        <v>406</v>
      </c>
      <c r="P1201" s="121"/>
      <c r="Q1201" s="121"/>
      <c r="R1201" s="121"/>
      <c r="S1201" s="133">
        <f>M1198</f>
        <v>0</v>
      </c>
      <c r="T1201" s="120"/>
      <c r="U1201" s="121" t="s">
        <v>292</v>
      </c>
      <c r="V1201" s="133">
        <f t="shared" si="552"/>
        <v>0</v>
      </c>
      <c r="W1201" s="133">
        <f>VLOOKUP(U1201,Sheet1!$B$6:$C$45,2,FALSE)*V1201</f>
        <v>0</v>
      </c>
      <c r="X1201" s="141"/>
      <c r="Y1201" s="135" t="s">
        <v>245</v>
      </c>
      <c r="Z1201" s="146">
        <f>VLOOKUP(Takeoffs!Y1201,Sheet1!$B$6:$C$124,2,FALSE)</f>
        <v>46.463999999999999</v>
      </c>
      <c r="AA1201" s="146">
        <f t="shared" si="553"/>
        <v>0</v>
      </c>
      <c r="AB1201" s="143">
        <f t="shared" si="554"/>
        <v>0</v>
      </c>
      <c r="AC1201" s="133">
        <f t="shared" si="555"/>
        <v>0</v>
      </c>
      <c r="AD1201" s="142">
        <v>1</v>
      </c>
      <c r="AE1201" s="141"/>
      <c r="AF1201" s="121" t="s">
        <v>292</v>
      </c>
      <c r="AG1201" s="146">
        <f>VLOOKUP(Takeoffs!AF1201,Sheet1!$B$6:$C$124,2,FALSE)</f>
        <v>0</v>
      </c>
      <c r="AH1201" s="146">
        <f t="shared" si="556"/>
        <v>0</v>
      </c>
      <c r="AI1201" s="143">
        <f t="shared" si="557"/>
        <v>0</v>
      </c>
      <c r="AJ1201" s="133">
        <f t="shared" si="558"/>
        <v>0</v>
      </c>
      <c r="AK1201" s="142">
        <f t="shared" si="560"/>
        <v>0</v>
      </c>
      <c r="AL1201" s="141"/>
      <c r="AO1201" s="286"/>
      <c r="AP1201" s="284">
        <f t="shared" si="537"/>
        <v>0</v>
      </c>
      <c r="AQ1201" s="281">
        <f t="shared" si="538"/>
        <v>0</v>
      </c>
      <c r="AR1201" s="284">
        <f t="shared" si="539"/>
        <v>0</v>
      </c>
      <c r="AS1201" s="281">
        <f t="shared" si="540"/>
        <v>0</v>
      </c>
      <c r="AT1201" s="284">
        <f t="shared" si="541"/>
        <v>0</v>
      </c>
    </row>
    <row r="1202" spans="1:46" s="114" customFormat="1" ht="30.9" x14ac:dyDescent="0.8">
      <c r="A1202" s="262">
        <f>ROW()</f>
        <v>1202</v>
      </c>
      <c r="C1202" s="208"/>
      <c r="D1202" s="208"/>
      <c r="E1202" s="208"/>
      <c r="F1202" s="208"/>
      <c r="G1202" s="208"/>
      <c r="H1202" s="208"/>
      <c r="J1202" s="114" t="str">
        <f t="shared" si="559"/>
        <v/>
      </c>
      <c r="K1202" s="114" t="str">
        <f>IF(COUNTBLANK(R1202)&gt;0,"",CONCATENATE(R1202," for ",N1198))</f>
        <v/>
      </c>
      <c r="M1202" s="117"/>
      <c r="N1202" s="123" t="s">
        <v>116</v>
      </c>
      <c r="O1202" s="66"/>
      <c r="P1202" s="121"/>
      <c r="Q1202" s="121"/>
      <c r="R1202" s="121"/>
      <c r="S1202" s="133">
        <f>M1198</f>
        <v>0</v>
      </c>
      <c r="T1202" s="120"/>
      <c r="U1202" s="121" t="s">
        <v>292</v>
      </c>
      <c r="V1202" s="133">
        <f t="shared" si="552"/>
        <v>0</v>
      </c>
      <c r="W1202" s="133">
        <f>VLOOKUP(U1202,Sheet1!$B$6:$C$45,2,FALSE)*V1202</f>
        <v>0</v>
      </c>
      <c r="X1202" s="141"/>
      <c r="Y1202" s="121" t="s">
        <v>292</v>
      </c>
      <c r="Z1202" s="146">
        <f>VLOOKUP(Takeoffs!Y1202,Sheet1!$B$6:$C$124,2,FALSE)</f>
        <v>0</v>
      </c>
      <c r="AA1202" s="146">
        <f t="shared" si="553"/>
        <v>0</v>
      </c>
      <c r="AB1202" s="143">
        <f t="shared" si="554"/>
        <v>0</v>
      </c>
      <c r="AC1202" s="133">
        <f t="shared" si="555"/>
        <v>0</v>
      </c>
      <c r="AD1202" s="142">
        <v>1</v>
      </c>
      <c r="AE1202" s="141"/>
      <c r="AF1202" s="121" t="s">
        <v>292</v>
      </c>
      <c r="AG1202" s="146">
        <f>VLOOKUP(Takeoffs!AF1202,Sheet1!$B$6:$C$124,2,FALSE)</f>
        <v>0</v>
      </c>
      <c r="AH1202" s="146">
        <f t="shared" si="556"/>
        <v>0</v>
      </c>
      <c r="AI1202" s="143">
        <f t="shared" si="557"/>
        <v>0</v>
      </c>
      <c r="AJ1202" s="133">
        <f t="shared" si="558"/>
        <v>0</v>
      </c>
      <c r="AK1202" s="142">
        <f t="shared" si="560"/>
        <v>0</v>
      </c>
      <c r="AL1202" s="141"/>
      <c r="AO1202" s="286"/>
      <c r="AP1202" s="284">
        <f t="shared" si="537"/>
        <v>0</v>
      </c>
      <c r="AQ1202" s="281">
        <f t="shared" si="538"/>
        <v>0</v>
      </c>
      <c r="AR1202" s="284">
        <f t="shared" si="539"/>
        <v>0</v>
      </c>
      <c r="AS1202" s="281">
        <f t="shared" si="540"/>
        <v>0</v>
      </c>
      <c r="AT1202" s="284">
        <f t="shared" si="541"/>
        <v>0</v>
      </c>
    </row>
    <row r="1203" spans="1:46" s="114" customFormat="1" ht="30.9" x14ac:dyDescent="0.8">
      <c r="A1203" s="262">
        <f>ROW()</f>
        <v>1203</v>
      </c>
      <c r="C1203" s="208"/>
      <c r="D1203" s="208"/>
      <c r="E1203" s="208"/>
      <c r="F1203" s="208"/>
      <c r="G1203" s="208"/>
      <c r="H1203" s="208"/>
      <c r="J1203" s="114" t="str">
        <f t="shared" si="559"/>
        <v/>
      </c>
      <c r="K1203" s="114" t="str">
        <f>IF(COUNTBLANK(R1203)&gt;0,"",CONCATENATE(R1203," for ",N1198))</f>
        <v/>
      </c>
      <c r="M1203" s="117"/>
      <c r="N1203" s="123" t="s">
        <v>117</v>
      </c>
      <c r="O1203" s="66"/>
      <c r="P1203" s="121"/>
      <c r="Q1203" s="121"/>
      <c r="R1203" s="121"/>
      <c r="S1203" s="133">
        <f>M1198</f>
        <v>0</v>
      </c>
      <c r="T1203" s="120"/>
      <c r="U1203" s="121" t="s">
        <v>292</v>
      </c>
      <c r="V1203" s="133">
        <f t="shared" si="552"/>
        <v>0</v>
      </c>
      <c r="W1203" s="133">
        <f>VLOOKUP(U1203,Sheet1!$B$6:$C$45,2,FALSE)*V1203</f>
        <v>0</v>
      </c>
      <c r="X1203" s="141"/>
      <c r="Y1203" s="121" t="s">
        <v>292</v>
      </c>
      <c r="Z1203" s="146">
        <f>VLOOKUP(Takeoffs!Y1203,Sheet1!$B$6:$C$124,2,FALSE)</f>
        <v>0</v>
      </c>
      <c r="AA1203" s="146">
        <f t="shared" si="553"/>
        <v>0</v>
      </c>
      <c r="AB1203" s="143">
        <f t="shared" si="554"/>
        <v>0</v>
      </c>
      <c r="AC1203" s="133">
        <f t="shared" si="555"/>
        <v>0</v>
      </c>
      <c r="AD1203" s="142">
        <v>1</v>
      </c>
      <c r="AE1203" s="141"/>
      <c r="AF1203" s="121" t="s">
        <v>292</v>
      </c>
      <c r="AG1203" s="146">
        <f>VLOOKUP(Takeoffs!AF1203,Sheet1!$B$6:$C$124,2,FALSE)</f>
        <v>0</v>
      </c>
      <c r="AH1203" s="146">
        <f t="shared" si="556"/>
        <v>0</v>
      </c>
      <c r="AI1203" s="143">
        <f t="shared" si="557"/>
        <v>0</v>
      </c>
      <c r="AJ1203" s="133">
        <f t="shared" si="558"/>
        <v>0</v>
      </c>
      <c r="AK1203" s="142">
        <f t="shared" si="560"/>
        <v>0</v>
      </c>
      <c r="AL1203" s="141"/>
      <c r="AO1203" s="286"/>
      <c r="AP1203" s="284">
        <f t="shared" si="537"/>
        <v>0</v>
      </c>
      <c r="AQ1203" s="281">
        <f t="shared" si="538"/>
        <v>0</v>
      </c>
      <c r="AR1203" s="284">
        <f t="shared" si="539"/>
        <v>0</v>
      </c>
      <c r="AS1203" s="281">
        <f t="shared" si="540"/>
        <v>0</v>
      </c>
      <c r="AT1203" s="284">
        <f t="shared" si="541"/>
        <v>0</v>
      </c>
    </row>
    <row r="1204" spans="1:46" s="114" customFormat="1" ht="30.9" x14ac:dyDescent="0.8">
      <c r="A1204" s="262">
        <f>ROW()</f>
        <v>1204</v>
      </c>
      <c r="C1204" s="208"/>
      <c r="D1204" s="208"/>
      <c r="E1204" s="208"/>
      <c r="F1204" s="208"/>
      <c r="G1204" s="208"/>
      <c r="H1204" s="208"/>
      <c r="J1204" s="114" t="str">
        <f t="shared" si="559"/>
        <v/>
      </c>
      <c r="K1204" s="114" t="str">
        <f>IF(COUNTBLANK(R1204)&gt;0,"",CONCATENATE(R1204," for ",N1198))</f>
        <v/>
      </c>
      <c r="M1204" s="117"/>
      <c r="N1204" s="123" t="s">
        <v>118</v>
      </c>
      <c r="O1204" s="66"/>
      <c r="P1204" s="121"/>
      <c r="Q1204" s="121"/>
      <c r="R1204" s="121"/>
      <c r="S1204" s="133">
        <f>M1198</f>
        <v>0</v>
      </c>
      <c r="T1204" s="120"/>
      <c r="U1204" s="121" t="s">
        <v>292</v>
      </c>
      <c r="V1204" s="133">
        <f t="shared" si="552"/>
        <v>0</v>
      </c>
      <c r="W1204" s="133">
        <f>VLOOKUP(U1204,Sheet1!$B$6:$C$45,2,FALSE)*V1204</f>
        <v>0</v>
      </c>
      <c r="X1204" s="141"/>
      <c r="Y1204" s="121" t="s">
        <v>292</v>
      </c>
      <c r="Z1204" s="146">
        <f>VLOOKUP(Takeoffs!Y1204,Sheet1!$B$6:$C$124,2,FALSE)</f>
        <v>0</v>
      </c>
      <c r="AA1204" s="146">
        <f t="shared" si="553"/>
        <v>0</v>
      </c>
      <c r="AB1204" s="143">
        <f t="shared" si="554"/>
        <v>0</v>
      </c>
      <c r="AC1204" s="133">
        <f t="shared" si="555"/>
        <v>0</v>
      </c>
      <c r="AD1204" s="142">
        <v>1</v>
      </c>
      <c r="AE1204" s="141"/>
      <c r="AF1204" s="121" t="s">
        <v>292</v>
      </c>
      <c r="AG1204" s="146">
        <f>VLOOKUP(Takeoffs!AF1204,Sheet1!$B$6:$C$124,2,FALSE)</f>
        <v>0</v>
      </c>
      <c r="AH1204" s="146">
        <f t="shared" si="556"/>
        <v>0</v>
      </c>
      <c r="AI1204" s="143">
        <f t="shared" si="557"/>
        <v>0</v>
      </c>
      <c r="AJ1204" s="133">
        <f t="shared" si="558"/>
        <v>0</v>
      </c>
      <c r="AK1204" s="142">
        <f t="shared" si="560"/>
        <v>0</v>
      </c>
      <c r="AL1204" s="141"/>
      <c r="AO1204" s="286"/>
      <c r="AP1204" s="284">
        <f t="shared" si="537"/>
        <v>0</v>
      </c>
      <c r="AQ1204" s="281">
        <f t="shared" si="538"/>
        <v>0</v>
      </c>
      <c r="AR1204" s="284">
        <f t="shared" si="539"/>
        <v>0</v>
      </c>
      <c r="AS1204" s="281">
        <f t="shared" si="540"/>
        <v>0</v>
      </c>
      <c r="AT1204" s="284">
        <f t="shared" si="541"/>
        <v>0</v>
      </c>
    </row>
    <row r="1205" spans="1:46" s="114" customFormat="1" ht="30.9" x14ac:dyDescent="0.8">
      <c r="A1205" s="262">
        <f>ROW()</f>
        <v>1205</v>
      </c>
      <c r="C1205" s="208"/>
      <c r="D1205" s="208"/>
      <c r="E1205" s="208"/>
      <c r="F1205" s="208"/>
      <c r="G1205" s="208"/>
      <c r="H1205" s="208"/>
      <c r="J1205" s="114" t="str">
        <f t="shared" si="559"/>
        <v/>
      </c>
      <c r="K1205" s="114" t="str">
        <f>IF(COUNTBLANK(R1205)&gt;0,"",CONCATENATE(R1205," for ",N1198))</f>
        <v/>
      </c>
      <c r="N1205" s="123" t="s">
        <v>119</v>
      </c>
      <c r="O1205" s="66"/>
      <c r="P1205" s="121"/>
      <c r="Q1205" s="121"/>
      <c r="R1205" s="121"/>
      <c r="S1205" s="133">
        <f>M1198</f>
        <v>0</v>
      </c>
      <c r="T1205" s="120"/>
      <c r="U1205" s="121" t="s">
        <v>292</v>
      </c>
      <c r="V1205" s="133">
        <f t="shared" si="552"/>
        <v>0</v>
      </c>
      <c r="W1205" s="133">
        <f>VLOOKUP(U1205,Sheet1!$B$6:$C$45,2,FALSE)*V1205</f>
        <v>0</v>
      </c>
      <c r="X1205" s="141"/>
      <c r="Y1205" s="121" t="s">
        <v>292</v>
      </c>
      <c r="Z1205" s="146">
        <f>VLOOKUP(Takeoffs!Y1205,Sheet1!$B$6:$C$124,2,FALSE)</f>
        <v>0</v>
      </c>
      <c r="AA1205" s="146">
        <f t="shared" si="553"/>
        <v>0</v>
      </c>
      <c r="AB1205" s="143">
        <f t="shared" si="554"/>
        <v>0</v>
      </c>
      <c r="AC1205" s="133">
        <f t="shared" si="555"/>
        <v>0</v>
      </c>
      <c r="AD1205" s="142">
        <v>1</v>
      </c>
      <c r="AE1205" s="141"/>
      <c r="AF1205" s="121" t="s">
        <v>292</v>
      </c>
      <c r="AG1205" s="146">
        <f>VLOOKUP(Takeoffs!AF1205,Sheet1!$B$6:$C$124,2,FALSE)</f>
        <v>0</v>
      </c>
      <c r="AH1205" s="146">
        <f t="shared" si="556"/>
        <v>0</v>
      </c>
      <c r="AI1205" s="143">
        <f t="shared" si="557"/>
        <v>0</v>
      </c>
      <c r="AJ1205" s="133">
        <f t="shared" si="558"/>
        <v>0</v>
      </c>
      <c r="AK1205" s="142">
        <f t="shared" si="560"/>
        <v>0</v>
      </c>
      <c r="AL1205" s="141"/>
      <c r="AO1205" s="286"/>
      <c r="AP1205" s="284">
        <f t="shared" si="537"/>
        <v>0</v>
      </c>
      <c r="AQ1205" s="281">
        <f t="shared" si="538"/>
        <v>0</v>
      </c>
      <c r="AR1205" s="284">
        <f t="shared" si="539"/>
        <v>0</v>
      </c>
      <c r="AS1205" s="281">
        <f t="shared" si="540"/>
        <v>0</v>
      </c>
      <c r="AT1205" s="284">
        <f t="shared" si="541"/>
        <v>0</v>
      </c>
    </row>
    <row r="1206" spans="1:46" s="114" customFormat="1" ht="30.9" x14ac:dyDescent="0.8">
      <c r="A1206" s="262">
        <f>ROW()</f>
        <v>1206</v>
      </c>
      <c r="C1206" s="208"/>
      <c r="D1206" s="208"/>
      <c r="E1206" s="208"/>
      <c r="F1206" s="208"/>
      <c r="G1206" s="208"/>
      <c r="H1206" s="208"/>
      <c r="J1206" s="114" t="str">
        <f t="shared" si="559"/>
        <v/>
      </c>
      <c r="K1206" s="114" t="str">
        <f>IF(COUNTBLANK(R1206)&gt;0,"",CONCATENATE(R1206," for ",N1198))</f>
        <v/>
      </c>
      <c r="N1206" s="123" t="s">
        <v>120</v>
      </c>
      <c r="O1206" s="66"/>
      <c r="P1206" s="121"/>
      <c r="Q1206" s="121"/>
      <c r="R1206" s="121"/>
      <c r="S1206" s="133">
        <f>M1198</f>
        <v>0</v>
      </c>
      <c r="T1206" s="120"/>
      <c r="U1206" s="121" t="s">
        <v>292</v>
      </c>
      <c r="V1206" s="133">
        <f t="shared" si="552"/>
        <v>0</v>
      </c>
      <c r="W1206" s="133">
        <f>VLOOKUP(U1206,Sheet1!$B$6:$C$45,2,FALSE)*V1206</f>
        <v>0</v>
      </c>
      <c r="X1206" s="141"/>
      <c r="Y1206" s="121" t="s">
        <v>292</v>
      </c>
      <c r="Z1206" s="146">
        <f>VLOOKUP(Takeoffs!Y1206,Sheet1!$B$6:$C$124,2,FALSE)</f>
        <v>0</v>
      </c>
      <c r="AA1206" s="146">
        <f t="shared" si="553"/>
        <v>0</v>
      </c>
      <c r="AB1206" s="143">
        <f t="shared" si="554"/>
        <v>0</v>
      </c>
      <c r="AC1206" s="133">
        <f t="shared" si="555"/>
        <v>0</v>
      </c>
      <c r="AD1206" s="142">
        <v>1</v>
      </c>
      <c r="AE1206" s="141"/>
      <c r="AF1206" s="121" t="s">
        <v>292</v>
      </c>
      <c r="AG1206" s="146">
        <f>VLOOKUP(Takeoffs!AF1206,Sheet1!$B$6:$C$124,2,FALSE)</f>
        <v>0</v>
      </c>
      <c r="AH1206" s="146">
        <f t="shared" si="556"/>
        <v>0</v>
      </c>
      <c r="AI1206" s="143">
        <f t="shared" si="557"/>
        <v>0</v>
      </c>
      <c r="AJ1206" s="133">
        <f t="shared" si="558"/>
        <v>0</v>
      </c>
      <c r="AK1206" s="142">
        <f t="shared" si="560"/>
        <v>0</v>
      </c>
      <c r="AL1206" s="141"/>
      <c r="AO1206" s="286"/>
      <c r="AP1206" s="284">
        <f t="shared" si="537"/>
        <v>0</v>
      </c>
      <c r="AQ1206" s="281">
        <f t="shared" si="538"/>
        <v>0</v>
      </c>
      <c r="AR1206" s="284">
        <f t="shared" si="539"/>
        <v>0</v>
      </c>
      <c r="AS1206" s="281">
        <f t="shared" si="540"/>
        <v>0</v>
      </c>
      <c r="AT1206" s="284">
        <f t="shared" si="541"/>
        <v>0</v>
      </c>
    </row>
    <row r="1207" spans="1:46" s="114" customFormat="1" ht="30.9" x14ac:dyDescent="0.8">
      <c r="A1207" s="262">
        <f>ROW()</f>
        <v>1207</v>
      </c>
      <c r="C1207" s="208"/>
      <c r="D1207" s="208"/>
      <c r="E1207" s="208"/>
      <c r="F1207" s="208"/>
      <c r="G1207" s="208"/>
      <c r="H1207" s="208"/>
      <c r="J1207" s="114" t="str">
        <f t="shared" si="559"/>
        <v/>
      </c>
      <c r="K1207" s="114" t="str">
        <f>IF(COUNTBLANK(R1207)&gt;0,"",CONCATENATE(R1207," for ",N1198))</f>
        <v/>
      </c>
      <c r="N1207" s="123" t="s">
        <v>121</v>
      </c>
      <c r="O1207" s="66"/>
      <c r="P1207" s="121"/>
      <c r="Q1207" s="121"/>
      <c r="R1207" s="121"/>
      <c r="S1207" s="133">
        <f>M1198</f>
        <v>0</v>
      </c>
      <c r="T1207" s="120"/>
      <c r="U1207" s="121" t="s">
        <v>292</v>
      </c>
      <c r="V1207" s="133">
        <f t="shared" si="552"/>
        <v>0</v>
      </c>
      <c r="W1207" s="133">
        <f>VLOOKUP(U1207,Sheet1!$B$6:$C$45,2,FALSE)*V1207</f>
        <v>0</v>
      </c>
      <c r="X1207" s="141"/>
      <c r="Y1207" s="121" t="s">
        <v>292</v>
      </c>
      <c r="Z1207" s="146">
        <f>VLOOKUP(Takeoffs!Y1207,Sheet1!$B$6:$C$124,2,FALSE)</f>
        <v>0</v>
      </c>
      <c r="AA1207" s="146">
        <f t="shared" si="553"/>
        <v>0</v>
      </c>
      <c r="AB1207" s="143">
        <f t="shared" si="554"/>
        <v>0</v>
      </c>
      <c r="AC1207" s="133">
        <f t="shared" si="555"/>
        <v>0</v>
      </c>
      <c r="AD1207" s="142">
        <v>1</v>
      </c>
      <c r="AE1207" s="141"/>
      <c r="AF1207" s="121" t="s">
        <v>292</v>
      </c>
      <c r="AG1207" s="146">
        <f>VLOOKUP(Takeoffs!AF1207,Sheet1!$B$6:$C$124,2,FALSE)</f>
        <v>0</v>
      </c>
      <c r="AH1207" s="146">
        <f t="shared" si="556"/>
        <v>0</v>
      </c>
      <c r="AI1207" s="143">
        <f t="shared" si="557"/>
        <v>0</v>
      </c>
      <c r="AJ1207" s="133">
        <f t="shared" si="558"/>
        <v>0</v>
      </c>
      <c r="AK1207" s="142">
        <f t="shared" si="560"/>
        <v>0</v>
      </c>
      <c r="AL1207" s="141"/>
      <c r="AO1207" s="286"/>
      <c r="AP1207" s="284">
        <f t="shared" si="537"/>
        <v>0</v>
      </c>
      <c r="AQ1207" s="281">
        <f t="shared" si="538"/>
        <v>0</v>
      </c>
      <c r="AR1207" s="284">
        <f t="shared" si="539"/>
        <v>0</v>
      </c>
      <c r="AS1207" s="281">
        <f t="shared" si="540"/>
        <v>0</v>
      </c>
      <c r="AT1207" s="284">
        <f t="shared" si="541"/>
        <v>0</v>
      </c>
    </row>
    <row r="1208" spans="1:46" s="114" customFormat="1" ht="30.9" x14ac:dyDescent="0.8">
      <c r="A1208" s="262">
        <f>ROW()</f>
        <v>1208</v>
      </c>
      <c r="C1208" s="208"/>
      <c r="D1208" s="208"/>
      <c r="E1208" s="208"/>
      <c r="F1208" s="208"/>
      <c r="G1208" s="208"/>
      <c r="H1208" s="208"/>
      <c r="J1208" s="114" t="str">
        <f t="shared" si="559"/>
        <v/>
      </c>
      <c r="K1208" s="114" t="str">
        <f>IF(COUNTBLANK(R1208)&gt;0,"",CONCATENATE(R1208," for ",N1198))</f>
        <v/>
      </c>
      <c r="N1208" s="123" t="s">
        <v>122</v>
      </c>
      <c r="O1208" s="66"/>
      <c r="P1208" s="121"/>
      <c r="Q1208" s="121"/>
      <c r="R1208" s="121"/>
      <c r="S1208" s="133">
        <f>M1198</f>
        <v>0</v>
      </c>
      <c r="T1208" s="120"/>
      <c r="U1208" s="121" t="s">
        <v>292</v>
      </c>
      <c r="V1208" s="133">
        <f t="shared" si="552"/>
        <v>0</v>
      </c>
      <c r="W1208" s="133">
        <f>VLOOKUP(U1208,Sheet1!$B$6:$C$45,2,FALSE)*V1208</f>
        <v>0</v>
      </c>
      <c r="X1208" s="141"/>
      <c r="Y1208" s="121" t="s">
        <v>292</v>
      </c>
      <c r="Z1208" s="146">
        <f>VLOOKUP(Takeoffs!Y1208,Sheet1!$B$6:$C$124,2,FALSE)</f>
        <v>0</v>
      </c>
      <c r="AA1208" s="146">
        <f t="shared" si="553"/>
        <v>0</v>
      </c>
      <c r="AB1208" s="143">
        <f t="shared" si="554"/>
        <v>0</v>
      </c>
      <c r="AC1208" s="133">
        <f t="shared" si="555"/>
        <v>0</v>
      </c>
      <c r="AD1208" s="142">
        <v>1</v>
      </c>
      <c r="AE1208" s="141"/>
      <c r="AF1208" s="121" t="s">
        <v>292</v>
      </c>
      <c r="AG1208" s="146">
        <f>VLOOKUP(Takeoffs!AF1208,Sheet1!$B$6:$C$124,2,FALSE)</f>
        <v>0</v>
      </c>
      <c r="AH1208" s="146">
        <f t="shared" si="556"/>
        <v>0</v>
      </c>
      <c r="AI1208" s="143">
        <f t="shared" si="557"/>
        <v>0</v>
      </c>
      <c r="AJ1208" s="133">
        <f t="shared" si="558"/>
        <v>0</v>
      </c>
      <c r="AK1208" s="142">
        <f t="shared" si="560"/>
        <v>0</v>
      </c>
      <c r="AL1208" s="141"/>
      <c r="AO1208" s="286"/>
      <c r="AP1208" s="284">
        <f t="shared" si="537"/>
        <v>0</v>
      </c>
      <c r="AQ1208" s="281">
        <f t="shared" si="538"/>
        <v>0</v>
      </c>
      <c r="AR1208" s="284">
        <f t="shared" si="539"/>
        <v>0</v>
      </c>
      <c r="AS1208" s="281">
        <f t="shared" si="540"/>
        <v>0</v>
      </c>
      <c r="AT1208" s="284">
        <f t="shared" si="541"/>
        <v>0</v>
      </c>
    </row>
    <row r="1209" spans="1:46" s="114" customFormat="1" ht="30.9" x14ac:dyDescent="0.8">
      <c r="A1209" s="262">
        <f>ROW()</f>
        <v>1209</v>
      </c>
      <c r="C1209" s="208"/>
      <c r="D1209" s="208"/>
      <c r="E1209" s="208"/>
      <c r="F1209" s="208"/>
      <c r="G1209" s="208"/>
      <c r="H1209" s="208"/>
      <c r="J1209" s="114" t="str">
        <f t="shared" si="559"/>
        <v/>
      </c>
      <c r="K1209" s="114" t="str">
        <f>IF(COUNTBLANK(R1209)&gt;0,"",CONCATENATE(R1209," for ",N1198))</f>
        <v/>
      </c>
      <c r="N1209" s="123" t="s">
        <v>123</v>
      </c>
      <c r="O1209" s="66"/>
      <c r="P1209" s="121"/>
      <c r="Q1209" s="121"/>
      <c r="R1209" s="121"/>
      <c r="S1209" s="133">
        <f>M1198</f>
        <v>0</v>
      </c>
      <c r="T1209" s="120"/>
      <c r="U1209" s="121" t="s">
        <v>292</v>
      </c>
      <c r="V1209" s="133">
        <f t="shared" si="552"/>
        <v>0</v>
      </c>
      <c r="W1209" s="133">
        <f>VLOOKUP(U1209,Sheet1!$B$6:$C$45,2,FALSE)*V1209</f>
        <v>0</v>
      </c>
      <c r="X1209" s="141"/>
      <c r="Y1209" s="121" t="s">
        <v>292</v>
      </c>
      <c r="Z1209" s="146">
        <f>VLOOKUP(Takeoffs!Y1209,Sheet1!$B$6:$C$124,2,FALSE)</f>
        <v>0</v>
      </c>
      <c r="AA1209" s="146">
        <f t="shared" si="553"/>
        <v>0</v>
      </c>
      <c r="AB1209" s="143">
        <f t="shared" si="554"/>
        <v>0</v>
      </c>
      <c r="AC1209" s="133">
        <f t="shared" si="555"/>
        <v>0</v>
      </c>
      <c r="AD1209" s="142">
        <v>1</v>
      </c>
      <c r="AE1209" s="141"/>
      <c r="AF1209" s="121" t="s">
        <v>292</v>
      </c>
      <c r="AG1209" s="146">
        <f>VLOOKUP(Takeoffs!AF1209,Sheet1!$B$6:$C$124,2,FALSE)</f>
        <v>0</v>
      </c>
      <c r="AH1209" s="146">
        <f t="shared" si="556"/>
        <v>0</v>
      </c>
      <c r="AI1209" s="143">
        <f t="shared" si="557"/>
        <v>0</v>
      </c>
      <c r="AJ1209" s="133">
        <f t="shared" si="558"/>
        <v>0</v>
      </c>
      <c r="AK1209" s="142">
        <f t="shared" si="560"/>
        <v>0</v>
      </c>
      <c r="AL1209" s="141"/>
      <c r="AO1209" s="286"/>
      <c r="AP1209" s="284">
        <f t="shared" si="537"/>
        <v>0</v>
      </c>
      <c r="AQ1209" s="281">
        <f t="shared" si="538"/>
        <v>0</v>
      </c>
      <c r="AR1209" s="284">
        <f t="shared" si="539"/>
        <v>0</v>
      </c>
      <c r="AS1209" s="281">
        <f t="shared" si="540"/>
        <v>0</v>
      </c>
      <c r="AT1209" s="284">
        <f t="shared" si="541"/>
        <v>0</v>
      </c>
    </row>
    <row r="1210" spans="1:46" s="114" customFormat="1" ht="30.9" x14ac:dyDescent="0.8">
      <c r="A1210" s="262">
        <f>ROW()</f>
        <v>1210</v>
      </c>
      <c r="C1210" s="208"/>
      <c r="D1210" s="208"/>
      <c r="E1210" s="208"/>
      <c r="F1210" s="208"/>
      <c r="G1210" s="208"/>
      <c r="H1210" s="208"/>
      <c r="J1210" s="114" t="str">
        <f t="shared" si="559"/>
        <v/>
      </c>
      <c r="K1210" s="114" t="str">
        <f>IF(COUNTBLANK(R1210)&gt;0,"",CONCATENATE(R1210," for ",N1198))</f>
        <v/>
      </c>
      <c r="N1210" s="123" t="s">
        <v>124</v>
      </c>
      <c r="O1210" s="66"/>
      <c r="P1210" s="121"/>
      <c r="Q1210" s="121"/>
      <c r="R1210" s="121"/>
      <c r="S1210" s="133">
        <f>M1198</f>
        <v>0</v>
      </c>
      <c r="T1210" s="120"/>
      <c r="U1210" s="121" t="s">
        <v>292</v>
      </c>
      <c r="V1210" s="133">
        <f t="shared" si="552"/>
        <v>0</v>
      </c>
      <c r="W1210" s="133">
        <f>VLOOKUP(U1210,Sheet1!$B$6:$C$45,2,FALSE)*V1210</f>
        <v>0</v>
      </c>
      <c r="X1210" s="141"/>
      <c r="Y1210" s="121" t="s">
        <v>292</v>
      </c>
      <c r="Z1210" s="146">
        <f>VLOOKUP(Takeoffs!Y1210,Sheet1!$B$6:$C$124,2,FALSE)</f>
        <v>0</v>
      </c>
      <c r="AA1210" s="146">
        <f t="shared" si="553"/>
        <v>0</v>
      </c>
      <c r="AB1210" s="143">
        <f t="shared" si="554"/>
        <v>0</v>
      </c>
      <c r="AC1210" s="133">
        <f t="shared" si="555"/>
        <v>0</v>
      </c>
      <c r="AD1210" s="142">
        <v>1</v>
      </c>
      <c r="AE1210" s="141"/>
      <c r="AF1210" s="121" t="s">
        <v>292</v>
      </c>
      <c r="AG1210" s="146">
        <f>VLOOKUP(Takeoffs!AF1210,Sheet1!$B$6:$C$124,2,FALSE)</f>
        <v>0</v>
      </c>
      <c r="AH1210" s="146">
        <f t="shared" si="556"/>
        <v>0</v>
      </c>
      <c r="AI1210" s="143">
        <f t="shared" si="557"/>
        <v>0</v>
      </c>
      <c r="AJ1210" s="133">
        <f t="shared" si="558"/>
        <v>0</v>
      </c>
      <c r="AK1210" s="142">
        <f t="shared" si="560"/>
        <v>0</v>
      </c>
      <c r="AL1210" s="141"/>
      <c r="AO1210" s="286"/>
      <c r="AP1210" s="284">
        <f t="shared" si="537"/>
        <v>0</v>
      </c>
      <c r="AQ1210" s="281">
        <f t="shared" si="538"/>
        <v>0</v>
      </c>
      <c r="AR1210" s="284">
        <f t="shared" si="539"/>
        <v>0</v>
      </c>
      <c r="AS1210" s="281">
        <f t="shared" si="540"/>
        <v>0</v>
      </c>
      <c r="AT1210" s="284">
        <f t="shared" si="541"/>
        <v>0</v>
      </c>
    </row>
    <row r="1211" spans="1:46" s="114" customFormat="1" ht="30.9" x14ac:dyDescent="0.8">
      <c r="A1211" s="262">
        <f>ROW()</f>
        <v>1211</v>
      </c>
      <c r="C1211" s="208"/>
      <c r="D1211" s="208"/>
      <c r="E1211" s="208"/>
      <c r="F1211" s="208"/>
      <c r="G1211" s="208"/>
      <c r="H1211" s="208"/>
      <c r="J1211" s="114" t="str">
        <f t="shared" si="559"/>
        <v/>
      </c>
      <c r="K1211" s="114" t="str">
        <f>IF(COUNTBLANK(R1211)&gt;0,"",CONCATENATE(R1211," for ",N1198))</f>
        <v/>
      </c>
      <c r="N1211" s="123" t="s">
        <v>125</v>
      </c>
      <c r="O1211" s="66"/>
      <c r="P1211" s="121"/>
      <c r="Q1211" s="121"/>
      <c r="R1211" s="121"/>
      <c r="S1211" s="133">
        <f>M1198</f>
        <v>0</v>
      </c>
      <c r="T1211" s="120"/>
      <c r="U1211" s="121" t="s">
        <v>292</v>
      </c>
      <c r="V1211" s="133">
        <f t="shared" si="552"/>
        <v>0</v>
      </c>
      <c r="W1211" s="133">
        <f>VLOOKUP(U1211,Sheet1!$B$6:$C$45,2,FALSE)*V1211</f>
        <v>0</v>
      </c>
      <c r="X1211" s="141"/>
      <c r="Y1211" s="121" t="s">
        <v>292</v>
      </c>
      <c r="Z1211" s="146">
        <f>VLOOKUP(Takeoffs!Y1211,Sheet1!$B$6:$C$124,2,FALSE)</f>
        <v>0</v>
      </c>
      <c r="AA1211" s="146">
        <f t="shared" si="553"/>
        <v>0</v>
      </c>
      <c r="AB1211" s="143">
        <f t="shared" si="554"/>
        <v>0</v>
      </c>
      <c r="AC1211" s="133">
        <f t="shared" si="555"/>
        <v>0</v>
      </c>
      <c r="AD1211" s="142">
        <v>1</v>
      </c>
      <c r="AE1211" s="141"/>
      <c r="AF1211" s="121" t="s">
        <v>292</v>
      </c>
      <c r="AG1211" s="146">
        <f>VLOOKUP(Takeoffs!AF1211,Sheet1!$B$6:$C$124,2,FALSE)</f>
        <v>0</v>
      </c>
      <c r="AH1211" s="146">
        <f t="shared" si="556"/>
        <v>0</v>
      </c>
      <c r="AI1211" s="143">
        <f t="shared" si="557"/>
        <v>0</v>
      </c>
      <c r="AJ1211" s="133">
        <f t="shared" si="558"/>
        <v>0</v>
      </c>
      <c r="AK1211" s="142">
        <f t="shared" si="560"/>
        <v>0</v>
      </c>
      <c r="AL1211" s="141"/>
      <c r="AO1211" s="286"/>
      <c r="AP1211" s="284">
        <f t="shared" si="537"/>
        <v>0</v>
      </c>
      <c r="AQ1211" s="281">
        <f t="shared" si="538"/>
        <v>0</v>
      </c>
      <c r="AR1211" s="284">
        <f t="shared" si="539"/>
        <v>0</v>
      </c>
      <c r="AS1211" s="281">
        <f t="shared" si="540"/>
        <v>0</v>
      </c>
      <c r="AT1211" s="284">
        <f t="shared" si="541"/>
        <v>0</v>
      </c>
    </row>
    <row r="1212" spans="1:46" s="114" customFormat="1" ht="30.9" x14ac:dyDescent="0.8">
      <c r="A1212" s="262">
        <f>ROW()</f>
        <v>1212</v>
      </c>
      <c r="C1212" s="208"/>
      <c r="D1212" s="208"/>
      <c r="E1212" s="208"/>
      <c r="F1212" s="208"/>
      <c r="G1212" s="208"/>
      <c r="H1212" s="208"/>
      <c r="J1212" s="114" t="str">
        <f t="shared" si="559"/>
        <v/>
      </c>
      <c r="K1212" s="114" t="str">
        <f>IF(COUNTBLANK(R1212)&gt;0,"",CONCATENATE(R1212," for ",N1198))</f>
        <v/>
      </c>
      <c r="N1212" s="123" t="s">
        <v>126</v>
      </c>
      <c r="O1212" s="66"/>
      <c r="P1212" s="121"/>
      <c r="Q1212" s="121"/>
      <c r="R1212" s="121"/>
      <c r="S1212" s="133">
        <f>M1198</f>
        <v>0</v>
      </c>
      <c r="T1212" s="120"/>
      <c r="U1212" s="121" t="s">
        <v>292</v>
      </c>
      <c r="V1212" s="133">
        <f t="shared" si="552"/>
        <v>0</v>
      </c>
      <c r="W1212" s="133">
        <f>VLOOKUP(U1212,Sheet1!$B$6:$C$45,2,FALSE)*V1212</f>
        <v>0</v>
      </c>
      <c r="X1212" s="141"/>
      <c r="Y1212" s="121" t="s">
        <v>292</v>
      </c>
      <c r="Z1212" s="146">
        <f>VLOOKUP(Takeoffs!Y1212,Sheet1!$B$6:$C$124,2,FALSE)</f>
        <v>0</v>
      </c>
      <c r="AA1212" s="146">
        <f t="shared" si="553"/>
        <v>0</v>
      </c>
      <c r="AB1212" s="143">
        <f t="shared" si="554"/>
        <v>0</v>
      </c>
      <c r="AC1212" s="133">
        <f t="shared" si="555"/>
        <v>0</v>
      </c>
      <c r="AD1212" s="142">
        <v>1</v>
      </c>
      <c r="AE1212" s="141"/>
      <c r="AF1212" s="121" t="s">
        <v>292</v>
      </c>
      <c r="AG1212" s="146">
        <f>VLOOKUP(Takeoffs!AF1212,Sheet1!$B$6:$C$124,2,FALSE)</f>
        <v>0</v>
      </c>
      <c r="AH1212" s="146">
        <f t="shared" si="556"/>
        <v>0</v>
      </c>
      <c r="AI1212" s="143">
        <f t="shared" si="557"/>
        <v>0</v>
      </c>
      <c r="AJ1212" s="133">
        <f t="shared" si="558"/>
        <v>0</v>
      </c>
      <c r="AK1212" s="142">
        <f t="shared" si="560"/>
        <v>0</v>
      </c>
      <c r="AL1212" s="141"/>
      <c r="AO1212" s="286"/>
      <c r="AP1212" s="284">
        <f t="shared" si="537"/>
        <v>0</v>
      </c>
      <c r="AQ1212" s="281">
        <f t="shared" si="538"/>
        <v>0</v>
      </c>
      <c r="AR1212" s="284">
        <f t="shared" si="539"/>
        <v>0</v>
      </c>
      <c r="AS1212" s="281">
        <f t="shared" si="540"/>
        <v>0</v>
      </c>
      <c r="AT1212" s="284">
        <f t="shared" si="541"/>
        <v>0</v>
      </c>
    </row>
    <row r="1213" spans="1:46" s="114" customFormat="1" ht="30.9" x14ac:dyDescent="0.8">
      <c r="A1213" s="262">
        <f>ROW()</f>
        <v>1213</v>
      </c>
      <c r="C1213" s="208"/>
      <c r="D1213" s="208"/>
      <c r="E1213" s="208"/>
      <c r="F1213" s="208"/>
      <c r="G1213" s="208"/>
      <c r="H1213" s="208"/>
      <c r="J1213" s="114" t="str">
        <f t="shared" si="559"/>
        <v/>
      </c>
      <c r="K1213" s="114" t="str">
        <f>IF(COUNTBLANK(R1213)&gt;0,"",CONCATENATE(R1213," for ",N1198))</f>
        <v/>
      </c>
      <c r="N1213" s="123" t="s">
        <v>127</v>
      </c>
      <c r="O1213" s="66"/>
      <c r="P1213" s="121"/>
      <c r="Q1213" s="121"/>
      <c r="R1213" s="121"/>
      <c r="S1213" s="133">
        <f>M1198</f>
        <v>0</v>
      </c>
      <c r="T1213" s="120"/>
      <c r="U1213" s="121" t="s">
        <v>292</v>
      </c>
      <c r="V1213" s="133">
        <f t="shared" si="552"/>
        <v>0</v>
      </c>
      <c r="W1213" s="133">
        <f>VLOOKUP(U1213,Sheet1!$B$6:$C$45,2,FALSE)*V1213</f>
        <v>0</v>
      </c>
      <c r="X1213" s="141"/>
      <c r="Y1213" s="121" t="s">
        <v>292</v>
      </c>
      <c r="Z1213" s="146">
        <f>VLOOKUP(Takeoffs!Y1213,Sheet1!$B$6:$C$124,2,FALSE)</f>
        <v>0</v>
      </c>
      <c r="AA1213" s="146">
        <f t="shared" si="553"/>
        <v>0</v>
      </c>
      <c r="AB1213" s="143">
        <f t="shared" si="554"/>
        <v>0</v>
      </c>
      <c r="AC1213" s="133">
        <f t="shared" si="555"/>
        <v>0</v>
      </c>
      <c r="AD1213" s="142">
        <v>1</v>
      </c>
      <c r="AE1213" s="141"/>
      <c r="AF1213" s="121" t="s">
        <v>292</v>
      </c>
      <c r="AG1213" s="146">
        <f>VLOOKUP(Takeoffs!AF1213,Sheet1!$B$6:$C$124,2,FALSE)</f>
        <v>0</v>
      </c>
      <c r="AH1213" s="146">
        <f t="shared" si="556"/>
        <v>0</v>
      </c>
      <c r="AI1213" s="143">
        <f t="shared" si="557"/>
        <v>0</v>
      </c>
      <c r="AJ1213" s="133">
        <f t="shared" si="558"/>
        <v>0</v>
      </c>
      <c r="AK1213" s="142">
        <f t="shared" si="560"/>
        <v>0</v>
      </c>
      <c r="AL1213" s="141"/>
      <c r="AO1213" s="286"/>
      <c r="AP1213" s="284">
        <f t="shared" si="537"/>
        <v>0</v>
      </c>
      <c r="AQ1213" s="281">
        <f t="shared" si="538"/>
        <v>0</v>
      </c>
      <c r="AR1213" s="284">
        <f t="shared" si="539"/>
        <v>0</v>
      </c>
      <c r="AS1213" s="281">
        <f t="shared" si="540"/>
        <v>0</v>
      </c>
      <c r="AT1213" s="284">
        <f t="shared" si="541"/>
        <v>0</v>
      </c>
    </row>
    <row r="1214" spans="1:46" s="114" customFormat="1" ht="30.9" x14ac:dyDescent="0.8">
      <c r="A1214" s="262">
        <f>ROW()</f>
        <v>1214</v>
      </c>
      <c r="C1214" s="208"/>
      <c r="D1214" s="208"/>
      <c r="E1214" s="208"/>
      <c r="F1214" s="208"/>
      <c r="G1214" s="208"/>
      <c r="H1214" s="208"/>
      <c r="J1214" s="114" t="str">
        <f t="shared" si="559"/>
        <v/>
      </c>
      <c r="K1214" s="114" t="str">
        <f>IF(COUNTBLANK(R1214)&gt;0,"",CONCATENATE(R1214," for ",N1198))</f>
        <v/>
      </c>
      <c r="N1214" s="123" t="s">
        <v>128</v>
      </c>
      <c r="O1214" s="66"/>
      <c r="P1214" s="121"/>
      <c r="Q1214" s="121"/>
      <c r="R1214" s="121"/>
      <c r="S1214" s="133">
        <f>M1198</f>
        <v>0</v>
      </c>
      <c r="T1214" s="120"/>
      <c r="U1214" s="121" t="s">
        <v>292</v>
      </c>
      <c r="V1214" s="133">
        <f t="shared" si="552"/>
        <v>0</v>
      </c>
      <c r="W1214" s="133">
        <f>VLOOKUP(U1214,Sheet1!$B$6:$C$45,2,FALSE)*V1214</f>
        <v>0</v>
      </c>
      <c r="X1214" s="141"/>
      <c r="Y1214" s="121" t="s">
        <v>292</v>
      </c>
      <c r="Z1214" s="146">
        <f>VLOOKUP(Takeoffs!Y1214,Sheet1!$B$6:$C$124,2,FALSE)</f>
        <v>0</v>
      </c>
      <c r="AA1214" s="146">
        <f t="shared" si="553"/>
        <v>0</v>
      </c>
      <c r="AB1214" s="143">
        <f t="shared" si="554"/>
        <v>0</v>
      </c>
      <c r="AC1214" s="133">
        <f t="shared" si="555"/>
        <v>0</v>
      </c>
      <c r="AD1214" s="142">
        <v>1</v>
      </c>
      <c r="AE1214" s="141"/>
      <c r="AF1214" s="121" t="s">
        <v>292</v>
      </c>
      <c r="AG1214" s="146">
        <f>VLOOKUP(Takeoffs!AF1214,Sheet1!$B$6:$C$124,2,FALSE)</f>
        <v>0</v>
      </c>
      <c r="AH1214" s="146">
        <f t="shared" si="556"/>
        <v>0</v>
      </c>
      <c r="AI1214" s="143">
        <f t="shared" si="557"/>
        <v>0</v>
      </c>
      <c r="AJ1214" s="133">
        <f t="shared" si="558"/>
        <v>0</v>
      </c>
      <c r="AK1214" s="142">
        <f t="shared" si="560"/>
        <v>0</v>
      </c>
      <c r="AL1214" s="141"/>
      <c r="AO1214" s="286"/>
      <c r="AP1214" s="284">
        <f t="shared" si="537"/>
        <v>0</v>
      </c>
      <c r="AQ1214" s="281">
        <f t="shared" si="538"/>
        <v>0</v>
      </c>
      <c r="AR1214" s="284">
        <f t="shared" si="539"/>
        <v>0</v>
      </c>
      <c r="AS1214" s="281">
        <f t="shared" si="540"/>
        <v>0</v>
      </c>
      <c r="AT1214" s="284">
        <f t="shared" si="541"/>
        <v>0</v>
      </c>
    </row>
    <row r="1215" spans="1:46" s="114" customFormat="1" ht="30.9" x14ac:dyDescent="0.8">
      <c r="A1215" s="262">
        <f>ROW()</f>
        <v>1215</v>
      </c>
      <c r="C1215" s="208"/>
      <c r="D1215" s="208"/>
      <c r="E1215" s="208"/>
      <c r="F1215" s="208"/>
      <c r="G1215" s="208"/>
      <c r="H1215" s="208"/>
      <c r="J1215" s="114" t="str">
        <f t="shared" si="559"/>
        <v/>
      </c>
      <c r="K1215" s="114" t="str">
        <f>IF(COUNTBLANK(R1215)&gt;0,"",CONCATENATE(R1215," for ",N1198))</f>
        <v/>
      </c>
      <c r="N1215" s="123" t="s">
        <v>129</v>
      </c>
      <c r="O1215" s="66"/>
      <c r="P1215" s="121"/>
      <c r="Q1215" s="121"/>
      <c r="R1215" s="121"/>
      <c r="S1215" s="133">
        <f>M1198</f>
        <v>0</v>
      </c>
      <c r="T1215" s="120"/>
      <c r="U1215" s="121" t="s">
        <v>292</v>
      </c>
      <c r="V1215" s="133">
        <f t="shared" si="552"/>
        <v>0</v>
      </c>
      <c r="W1215" s="133">
        <f>VLOOKUP(U1215,Sheet1!$B$6:$C$45,2,FALSE)*V1215</f>
        <v>0</v>
      </c>
      <c r="X1215" s="141"/>
      <c r="Y1215" s="121" t="s">
        <v>292</v>
      </c>
      <c r="Z1215" s="146">
        <f>VLOOKUP(Takeoffs!Y1215,Sheet1!$B$6:$C$124,2,FALSE)</f>
        <v>0</v>
      </c>
      <c r="AA1215" s="146">
        <f t="shared" si="553"/>
        <v>0</v>
      </c>
      <c r="AB1215" s="143">
        <f t="shared" si="554"/>
        <v>0</v>
      </c>
      <c r="AC1215" s="133">
        <f t="shared" si="555"/>
        <v>0</v>
      </c>
      <c r="AD1215" s="142">
        <v>1</v>
      </c>
      <c r="AE1215" s="141"/>
      <c r="AF1215" s="121" t="s">
        <v>292</v>
      </c>
      <c r="AG1215" s="146">
        <f>VLOOKUP(Takeoffs!AF1215,Sheet1!$B$6:$C$124,2,FALSE)</f>
        <v>0</v>
      </c>
      <c r="AH1215" s="146">
        <f t="shared" si="556"/>
        <v>0</v>
      </c>
      <c r="AI1215" s="143">
        <f t="shared" si="557"/>
        <v>0</v>
      </c>
      <c r="AJ1215" s="133">
        <f t="shared" si="558"/>
        <v>0</v>
      </c>
      <c r="AK1215" s="142">
        <f t="shared" si="560"/>
        <v>0</v>
      </c>
      <c r="AL1215" s="141"/>
      <c r="AO1215" s="286"/>
      <c r="AP1215" s="284">
        <f t="shared" si="537"/>
        <v>0</v>
      </c>
      <c r="AQ1215" s="281">
        <f t="shared" si="538"/>
        <v>0</v>
      </c>
      <c r="AR1215" s="284">
        <f t="shared" si="539"/>
        <v>0</v>
      </c>
      <c r="AS1215" s="281">
        <f t="shared" si="540"/>
        <v>0</v>
      </c>
      <c r="AT1215" s="284">
        <f t="shared" si="541"/>
        <v>0</v>
      </c>
    </row>
    <row r="1216" spans="1:46" s="114" customFormat="1" ht="30.9" x14ac:dyDescent="0.8">
      <c r="A1216" s="262">
        <f>ROW()</f>
        <v>1216</v>
      </c>
      <c r="C1216" s="208"/>
      <c r="D1216" s="208"/>
      <c r="E1216" s="208"/>
      <c r="F1216" s="208"/>
      <c r="G1216" s="208"/>
      <c r="H1216" s="208"/>
      <c r="J1216" s="114" t="str">
        <f t="shared" si="559"/>
        <v/>
      </c>
      <c r="K1216" s="114" t="str">
        <f>IF(COUNTBLANK(R1216)&gt;0,"",CONCATENATE(R1216," for ",N1198))</f>
        <v/>
      </c>
      <c r="N1216" s="123" t="s">
        <v>130</v>
      </c>
      <c r="O1216" s="66"/>
      <c r="P1216" s="121"/>
      <c r="Q1216" s="121"/>
      <c r="R1216" s="121"/>
      <c r="S1216" s="133">
        <f>M1198</f>
        <v>0</v>
      </c>
      <c r="T1216" s="120"/>
      <c r="U1216" s="121" t="s">
        <v>292</v>
      </c>
      <c r="V1216" s="133">
        <f t="shared" si="552"/>
        <v>0</v>
      </c>
      <c r="W1216" s="133">
        <f>VLOOKUP(U1216,Sheet1!$B$6:$C$45,2,FALSE)*V1216</f>
        <v>0</v>
      </c>
      <c r="X1216" s="141"/>
      <c r="Y1216" s="121" t="s">
        <v>292</v>
      </c>
      <c r="Z1216" s="146">
        <f>VLOOKUP(Takeoffs!Y1216,Sheet1!$B$6:$C$124,2,FALSE)</f>
        <v>0</v>
      </c>
      <c r="AA1216" s="146">
        <f t="shared" si="553"/>
        <v>0</v>
      </c>
      <c r="AB1216" s="143">
        <f t="shared" si="554"/>
        <v>0</v>
      </c>
      <c r="AC1216" s="133">
        <f t="shared" si="555"/>
        <v>0</v>
      </c>
      <c r="AD1216" s="142">
        <v>1</v>
      </c>
      <c r="AE1216" s="141"/>
      <c r="AF1216" s="121" t="s">
        <v>292</v>
      </c>
      <c r="AG1216" s="146">
        <f>VLOOKUP(Takeoffs!AF1216,Sheet1!$B$6:$C$124,2,FALSE)</f>
        <v>0</v>
      </c>
      <c r="AH1216" s="146">
        <f t="shared" si="556"/>
        <v>0</v>
      </c>
      <c r="AI1216" s="143">
        <f t="shared" si="557"/>
        <v>0</v>
      </c>
      <c r="AJ1216" s="133">
        <f t="shared" si="558"/>
        <v>0</v>
      </c>
      <c r="AK1216" s="142">
        <f t="shared" si="560"/>
        <v>0</v>
      </c>
      <c r="AL1216" s="141"/>
      <c r="AO1216" s="286"/>
      <c r="AP1216" s="284">
        <f t="shared" si="537"/>
        <v>0</v>
      </c>
      <c r="AQ1216" s="281">
        <f t="shared" si="538"/>
        <v>0</v>
      </c>
      <c r="AR1216" s="284">
        <f t="shared" si="539"/>
        <v>0</v>
      </c>
      <c r="AS1216" s="281">
        <f t="shared" si="540"/>
        <v>0</v>
      </c>
      <c r="AT1216" s="284">
        <f t="shared" si="541"/>
        <v>0</v>
      </c>
    </row>
    <row r="1217" spans="1:97" s="114" customFormat="1" ht="30.9" x14ac:dyDescent="0.8">
      <c r="A1217" s="262">
        <f>ROW()</f>
        <v>1217</v>
      </c>
      <c r="C1217" s="208"/>
      <c r="D1217" s="208"/>
      <c r="E1217" s="208"/>
      <c r="F1217" s="208"/>
      <c r="G1217" s="208"/>
      <c r="H1217" s="208"/>
      <c r="J1217" s="114" t="str">
        <f t="shared" si="559"/>
        <v/>
      </c>
      <c r="K1217" s="114" t="str">
        <f>IF(COUNTBLANK(R1217)&gt;0,"",CONCATENATE(R1217," for ",N1198))</f>
        <v/>
      </c>
      <c r="N1217" s="123" t="s">
        <v>131</v>
      </c>
      <c r="O1217" s="66"/>
      <c r="P1217" s="121"/>
      <c r="Q1217" s="121"/>
      <c r="R1217" s="121"/>
      <c r="S1217" s="133">
        <f>M1198</f>
        <v>0</v>
      </c>
      <c r="T1217" s="120"/>
      <c r="U1217" s="121" t="s">
        <v>292</v>
      </c>
      <c r="V1217" s="133">
        <f t="shared" si="552"/>
        <v>0</v>
      </c>
      <c r="W1217" s="133">
        <f>VLOOKUP(U1217,Sheet1!$B$6:$C$45,2,FALSE)*V1217</f>
        <v>0</v>
      </c>
      <c r="X1217" s="141"/>
      <c r="Y1217" s="121" t="s">
        <v>292</v>
      </c>
      <c r="Z1217" s="146">
        <f>VLOOKUP(Takeoffs!Y1217,Sheet1!$B$6:$C$124,2,FALSE)</f>
        <v>0</v>
      </c>
      <c r="AA1217" s="146">
        <f t="shared" si="553"/>
        <v>0</v>
      </c>
      <c r="AB1217" s="143">
        <f t="shared" si="554"/>
        <v>0</v>
      </c>
      <c r="AC1217" s="133">
        <f t="shared" si="555"/>
        <v>0</v>
      </c>
      <c r="AD1217" s="142">
        <v>1</v>
      </c>
      <c r="AE1217" s="141"/>
      <c r="AF1217" s="121" t="s">
        <v>292</v>
      </c>
      <c r="AG1217" s="146">
        <f>VLOOKUP(Takeoffs!AF1217,Sheet1!$B$6:$C$124,2,FALSE)</f>
        <v>0</v>
      </c>
      <c r="AH1217" s="146">
        <f t="shared" si="556"/>
        <v>0</v>
      </c>
      <c r="AI1217" s="143">
        <f t="shared" si="557"/>
        <v>0</v>
      </c>
      <c r="AJ1217" s="133">
        <f t="shared" si="558"/>
        <v>0</v>
      </c>
      <c r="AK1217" s="142">
        <f t="shared" si="560"/>
        <v>0</v>
      </c>
      <c r="AL1217" s="141"/>
      <c r="AO1217" s="286"/>
      <c r="AP1217" s="284">
        <f t="shared" si="537"/>
        <v>0</v>
      </c>
      <c r="AQ1217" s="281">
        <f t="shared" si="538"/>
        <v>0</v>
      </c>
      <c r="AR1217" s="284">
        <f t="shared" si="539"/>
        <v>0</v>
      </c>
      <c r="AS1217" s="281">
        <f t="shared" si="540"/>
        <v>0</v>
      </c>
      <c r="AT1217" s="284">
        <f t="shared" si="541"/>
        <v>0</v>
      </c>
    </row>
    <row r="1218" spans="1:97" s="114" customFormat="1" ht="30.9" x14ac:dyDescent="0.8">
      <c r="A1218" s="262">
        <f>ROW()</f>
        <v>1218</v>
      </c>
      <c r="C1218" s="208"/>
      <c r="D1218" s="208"/>
      <c r="E1218" s="208"/>
      <c r="F1218" s="208"/>
      <c r="G1218" s="208"/>
      <c r="H1218" s="208"/>
      <c r="J1218" s="114" t="str">
        <f t="shared" si="559"/>
        <v/>
      </c>
      <c r="K1218" s="114" t="str">
        <f>IF(COUNTBLANK(R1218)&gt;0,"",CONCATENATE(R1218," for ",N1198))</f>
        <v/>
      </c>
      <c r="N1218" s="123" t="s">
        <v>132</v>
      </c>
      <c r="O1218" s="66"/>
      <c r="P1218" s="121"/>
      <c r="Q1218" s="121"/>
      <c r="R1218" s="121"/>
      <c r="S1218" s="133">
        <f>M1198</f>
        <v>0</v>
      </c>
      <c r="T1218" s="120"/>
      <c r="U1218" s="121" t="s">
        <v>292</v>
      </c>
      <c r="V1218" s="133">
        <f t="shared" si="552"/>
        <v>0</v>
      </c>
      <c r="W1218" s="133">
        <f>VLOOKUP(U1218,Sheet1!$B$6:$C$45,2,FALSE)*V1218</f>
        <v>0</v>
      </c>
      <c r="X1218" s="141"/>
      <c r="Y1218" s="121" t="s">
        <v>292</v>
      </c>
      <c r="Z1218" s="146">
        <f>VLOOKUP(Takeoffs!Y1218,Sheet1!$B$6:$C$124,2,FALSE)</f>
        <v>0</v>
      </c>
      <c r="AA1218" s="146">
        <f t="shared" si="553"/>
        <v>0</v>
      </c>
      <c r="AB1218" s="143">
        <f t="shared" si="554"/>
        <v>0</v>
      </c>
      <c r="AC1218" s="133">
        <f t="shared" si="555"/>
        <v>0</v>
      </c>
      <c r="AD1218" s="142">
        <v>1</v>
      </c>
      <c r="AE1218" s="141"/>
      <c r="AF1218" s="121" t="s">
        <v>292</v>
      </c>
      <c r="AG1218" s="146">
        <f>VLOOKUP(Takeoffs!AF1218,Sheet1!$B$6:$C$124,2,FALSE)</f>
        <v>0</v>
      </c>
      <c r="AH1218" s="146">
        <f t="shared" si="556"/>
        <v>0</v>
      </c>
      <c r="AI1218" s="143">
        <f t="shared" si="557"/>
        <v>0</v>
      </c>
      <c r="AJ1218" s="133">
        <f t="shared" si="558"/>
        <v>0</v>
      </c>
      <c r="AK1218" s="142">
        <f t="shared" si="560"/>
        <v>0</v>
      </c>
      <c r="AL1218" s="141"/>
      <c r="AO1218" s="286"/>
      <c r="AP1218" s="284">
        <f t="shared" si="537"/>
        <v>0</v>
      </c>
      <c r="AQ1218" s="281">
        <f t="shared" si="538"/>
        <v>0</v>
      </c>
      <c r="AR1218" s="284">
        <f t="shared" si="539"/>
        <v>0</v>
      </c>
      <c r="AS1218" s="281">
        <f t="shared" si="540"/>
        <v>0</v>
      </c>
      <c r="AT1218" s="284">
        <f t="shared" si="541"/>
        <v>0</v>
      </c>
    </row>
    <row r="1219" spans="1:97" s="128" customFormat="1" ht="31.5" customHeight="1" x14ac:dyDescent="0.8">
      <c r="A1219" s="262">
        <f>ROW()</f>
        <v>1219</v>
      </c>
      <c r="C1219" s="212"/>
      <c r="D1219" s="212"/>
      <c r="E1219" s="212"/>
      <c r="F1219" s="212"/>
      <c r="G1219" s="212"/>
      <c r="H1219" s="212"/>
      <c r="J1219" s="128" t="s">
        <v>377</v>
      </c>
      <c r="L1219" s="128" t="s">
        <v>378</v>
      </c>
      <c r="N1219" s="129"/>
      <c r="O1219" s="130" t="s">
        <v>357</v>
      </c>
      <c r="P1219" s="82">
        <f>V1219+AA1219+AH1219</f>
        <v>0</v>
      </c>
      <c r="Q1219" s="131"/>
      <c r="R1219" s="131"/>
      <c r="S1219" s="130"/>
      <c r="T1219" s="127"/>
      <c r="U1219" s="126" t="s">
        <v>351</v>
      </c>
      <c r="V1219" s="127">
        <f>W1219*80</f>
        <v>0</v>
      </c>
      <c r="W1219" s="147">
        <f>SUM(W1198:W1218)</f>
        <v>0</v>
      </c>
      <c r="X1219" s="148"/>
      <c r="Y1219" s="127" t="s">
        <v>352</v>
      </c>
      <c r="Z1219" s="116"/>
      <c r="AA1219" s="116">
        <f>SUM(AA1198:AA1218)</f>
        <v>0</v>
      </c>
      <c r="AB1219" s="149"/>
      <c r="AC1219" s="149"/>
      <c r="AD1219" s="149"/>
      <c r="AE1219" s="149"/>
      <c r="AF1219" s="127" t="s">
        <v>356</v>
      </c>
      <c r="AG1219" s="116"/>
      <c r="AH1219" s="116">
        <f>SUM(AH1198:AH1218)</f>
        <v>0</v>
      </c>
      <c r="AI1219" s="149"/>
      <c r="AJ1219" s="149"/>
      <c r="AK1219" s="149"/>
      <c r="AL1219" s="149"/>
      <c r="AM1219" s="150">
        <f>P1219</f>
        <v>0</v>
      </c>
      <c r="AO1219" s="286"/>
      <c r="AP1219" s="284">
        <f t="shared" si="537"/>
        <v>0</v>
      </c>
      <c r="AQ1219" s="281">
        <f t="shared" si="538"/>
        <v>0</v>
      </c>
      <c r="AR1219" s="284">
        <f t="shared" si="539"/>
        <v>0</v>
      </c>
      <c r="AS1219" s="281">
        <f t="shared" si="540"/>
        <v>0</v>
      </c>
      <c r="AT1219" s="284">
        <f t="shared" si="541"/>
        <v>0</v>
      </c>
    </row>
    <row r="1220" spans="1:97" s="234" customFormat="1" ht="61.75" x14ac:dyDescent="0.8">
      <c r="A1220" s="262">
        <f>ROW()</f>
        <v>1220</v>
      </c>
      <c r="B1220" s="234" t="s">
        <v>491</v>
      </c>
      <c r="C1220" s="217" t="str">
        <f>N1198</f>
        <v>MSSB powered VRF outdoor units</v>
      </c>
      <c r="D1220" s="260" t="str">
        <f>IF(B1220="Shopping List",IF(ISNUMBER(SEARCH("MSSB",C1220)),"MSSB",IF(ISNUMBER(SEARCH("local",C1220)),"LOCAL","")))</f>
        <v>MSSB</v>
      </c>
      <c r="E1220" s="238"/>
      <c r="F1220" s="217"/>
      <c r="G1220" s="217"/>
      <c r="H1220" s="245"/>
      <c r="I1220" s="270"/>
      <c r="J1220" s="241" t="str">
        <f>CONCATENATE(O1198," ",L1198, " (",M1198,") ",N1198,".", IF(M1198&gt;1," Each "," This "),"includes supply and install of ",O1199,O1200,O1201,O1202,O1203,O1204,O1205,O1206,O1207,O1208,O1209,O1210,O1211,O1212,O1213,O1214,O1215,O1216,O1217,O1218,J1199,J1200,J1201,J1202,J1203,J1204,J1205,J1206,J1207,J1208,J1209,J1210,J1211,J1212,J1213,J1214,J1215,J1216,J1217,J1218)</f>
        <v xml:space="preserve">Electrical power supply to Zero (0) MSSB powered VRF outdoor units. This includes supply and install of CB, cabling from MSSB to CU, and local isolator. </v>
      </c>
      <c r="K1220" s="246">
        <f>P1219</f>
        <v>0</v>
      </c>
      <c r="L1220" s="234" t="str">
        <f>CONCATENATE(Q1199,Q1200,Q1201,Q1202,Q1203,Q1204,Q1205,Q1206,Q1207,Q1208,Q1209,Q1210,Q1211,Q1212,Q1213,Q1214,Q1215,Q1216,Q1217,Q1218,)</f>
        <v/>
      </c>
      <c r="M1220" s="166" t="s">
        <v>367</v>
      </c>
      <c r="N1220" s="160" t="str">
        <f>N1198</f>
        <v>MSSB powered VRF outdoor units</v>
      </c>
      <c r="O1220" s="160" t="s">
        <v>365</v>
      </c>
      <c r="P1220" s="161" t="e">
        <f>P1219/M1198</f>
        <v>#DIV/0!</v>
      </c>
      <c r="Q1220" s="161"/>
      <c r="R1220" s="161"/>
      <c r="S1220" s="160"/>
      <c r="T1220" s="161"/>
      <c r="U1220" s="503" t="s">
        <v>366</v>
      </c>
      <c r="V1220" s="503"/>
      <c r="W1220" s="162" t="e">
        <f>W1219/M1198</f>
        <v>#DIV/0!</v>
      </c>
      <c r="X1220" s="163"/>
      <c r="Y1220" s="501" t="s">
        <v>365</v>
      </c>
      <c r="Z1220" s="501"/>
      <c r="AA1220" s="164" t="e">
        <f>AA1219/M1198</f>
        <v>#DIV/0!</v>
      </c>
      <c r="AB1220" s="161"/>
      <c r="AC1220" s="161"/>
      <c r="AD1220" s="161"/>
      <c r="AE1220" s="161"/>
      <c r="AF1220" s="501" t="s">
        <v>365</v>
      </c>
      <c r="AG1220" s="501"/>
      <c r="AH1220" s="164" t="e">
        <f>AH1219/M1198</f>
        <v>#DIV/0!</v>
      </c>
      <c r="AI1220" s="161"/>
      <c r="AJ1220" s="161"/>
      <c r="AK1220" s="161"/>
      <c r="AL1220" s="247"/>
      <c r="AM1220" s="257"/>
      <c r="AN1220" s="236">
        <f>K1220*1.25</f>
        <v>0</v>
      </c>
      <c r="AO1220" s="286"/>
      <c r="AP1220" s="284">
        <f t="shared" si="537"/>
        <v>0</v>
      </c>
      <c r="AQ1220" s="281">
        <f t="shared" si="538"/>
        <v>0</v>
      </c>
      <c r="AR1220" s="284">
        <f t="shared" si="539"/>
        <v>0</v>
      </c>
      <c r="AS1220" s="281">
        <f t="shared" si="540"/>
        <v>0</v>
      </c>
      <c r="AT1220" s="284">
        <f t="shared" si="541"/>
        <v>0</v>
      </c>
      <c r="AU1220" s="117"/>
      <c r="AV1220" s="117"/>
      <c r="AW1220" s="117"/>
      <c r="AX1220" s="117"/>
      <c r="AY1220" s="117"/>
      <c r="AZ1220" s="117"/>
      <c r="BA1220" s="117"/>
      <c r="BB1220" s="117"/>
      <c r="BC1220" s="117"/>
      <c r="BD1220" s="117"/>
      <c r="BE1220" s="117"/>
      <c r="BF1220" s="117"/>
      <c r="BG1220" s="117"/>
      <c r="BH1220" s="117"/>
      <c r="BI1220" s="117"/>
      <c r="BJ1220" s="117"/>
      <c r="BK1220" s="117"/>
      <c r="BL1220" s="117"/>
      <c r="BM1220" s="117"/>
      <c r="BN1220" s="117"/>
      <c r="BO1220" s="117"/>
      <c r="BP1220" s="117"/>
      <c r="BQ1220" s="117"/>
      <c r="BR1220" s="117"/>
      <c r="BS1220" s="117"/>
      <c r="BT1220" s="117"/>
      <c r="BU1220" s="117"/>
      <c r="BV1220" s="117"/>
      <c r="BW1220" s="117"/>
      <c r="BX1220" s="117"/>
      <c r="BY1220" s="117"/>
      <c r="BZ1220" s="117"/>
      <c r="CA1220" s="117"/>
      <c r="CB1220" s="117"/>
      <c r="CC1220" s="117"/>
      <c r="CD1220" s="117"/>
      <c r="CE1220" s="117"/>
      <c r="CF1220" s="117"/>
      <c r="CG1220" s="117"/>
      <c r="CH1220" s="117"/>
      <c r="CI1220" s="117"/>
      <c r="CJ1220" s="117"/>
      <c r="CK1220" s="117"/>
      <c r="CL1220" s="117"/>
      <c r="CM1220" s="117"/>
      <c r="CN1220" s="117"/>
      <c r="CO1220" s="117"/>
      <c r="CP1220" s="117"/>
      <c r="CQ1220" s="117"/>
      <c r="CR1220" s="117"/>
      <c r="CS1220" s="117"/>
    </row>
    <row r="1221" spans="1:97" s="2" customFormat="1" ht="192.75" customHeight="1" x14ac:dyDescent="0.8">
      <c r="A1221" s="262">
        <f>ROW()</f>
        <v>1221</v>
      </c>
      <c r="B1221" s="116"/>
      <c r="C1221" s="211"/>
      <c r="D1221" s="211"/>
      <c r="E1221" s="211"/>
      <c r="F1221" s="211"/>
      <c r="G1221" s="211"/>
      <c r="H1221" s="211"/>
      <c r="I1221" s="116"/>
      <c r="K1221" s="2" t="s">
        <v>452</v>
      </c>
      <c r="M1221" s="2" t="s">
        <v>107</v>
      </c>
      <c r="N1221" s="2" t="s">
        <v>108</v>
      </c>
      <c r="O1221" s="97" t="s">
        <v>386</v>
      </c>
      <c r="P1221" s="502" t="s">
        <v>375</v>
      </c>
      <c r="Q1221" s="502"/>
      <c r="R1221" s="101" t="s">
        <v>452</v>
      </c>
      <c r="S1221" s="2" t="s">
        <v>0</v>
      </c>
      <c r="T1221" s="9"/>
      <c r="U1221" s="2" t="s">
        <v>287</v>
      </c>
      <c r="V1221" s="2" t="s">
        <v>288</v>
      </c>
      <c r="W1221" s="2" t="s">
        <v>291</v>
      </c>
      <c r="X1221" s="58"/>
      <c r="Y1221" s="2" t="s">
        <v>289</v>
      </c>
      <c r="Z1221" s="2" t="s">
        <v>354</v>
      </c>
      <c r="AA1221" s="2" t="s">
        <v>355</v>
      </c>
      <c r="AB1221" s="2" t="s">
        <v>317</v>
      </c>
      <c r="AC1221" s="2" t="s">
        <v>318</v>
      </c>
      <c r="AD1221" s="2" t="s">
        <v>316</v>
      </c>
      <c r="AE1221" s="58"/>
      <c r="AF1221" s="2" t="s">
        <v>293</v>
      </c>
      <c r="AG1221" s="2" t="s">
        <v>354</v>
      </c>
      <c r="AH1221" s="2" t="s">
        <v>355</v>
      </c>
      <c r="AI1221" s="2" t="s">
        <v>296</v>
      </c>
      <c r="AJ1221" s="2" t="s">
        <v>294</v>
      </c>
      <c r="AK1221" s="2" t="s">
        <v>295</v>
      </c>
      <c r="AL1221" s="58"/>
      <c r="AO1221" s="288"/>
      <c r="AP1221" s="284">
        <f t="shared" si="537"/>
        <v>0</v>
      </c>
      <c r="AQ1221" s="281">
        <f t="shared" si="538"/>
        <v>0</v>
      </c>
      <c r="AR1221" s="284">
        <f t="shared" si="539"/>
        <v>0</v>
      </c>
      <c r="AS1221" s="281">
        <f t="shared" si="540"/>
        <v>0</v>
      </c>
      <c r="AT1221" s="284">
        <f t="shared" si="541"/>
        <v>0</v>
      </c>
    </row>
    <row r="1222" spans="1:97" s="32" customFormat="1" ht="31.5" customHeight="1" x14ac:dyDescent="0.8">
      <c r="A1222" s="262">
        <f>ROW()</f>
        <v>1222</v>
      </c>
      <c r="B1222" s="114"/>
      <c r="C1222" s="208"/>
      <c r="D1222" s="208"/>
      <c r="E1222" s="208"/>
      <c r="F1222" s="208"/>
      <c r="G1222" s="208"/>
      <c r="H1222" s="208"/>
      <c r="I1222" s="114"/>
      <c r="L1222" s="16" t="str">
        <f>VLOOKUP(M1222,Sheet2!$D$2:$E$1024,2,FALSE)</f>
        <v>Zero</v>
      </c>
      <c r="M1222" s="121">
        <f>I1244</f>
        <v>0</v>
      </c>
      <c r="N1222" s="27" t="s">
        <v>635</v>
      </c>
      <c r="O1222" s="12" t="s">
        <v>133</v>
      </c>
      <c r="P1222" s="96" t="s">
        <v>379</v>
      </c>
      <c r="Q1222" s="96" t="s">
        <v>375</v>
      </c>
      <c r="R1222" s="96"/>
      <c r="S1222" s="28">
        <f>M1222</f>
        <v>0</v>
      </c>
      <c r="T1222" s="10"/>
      <c r="U1222" s="12" t="s">
        <v>292</v>
      </c>
      <c r="V1222" s="28">
        <f>S1222</f>
        <v>0</v>
      </c>
      <c r="W1222" s="28">
        <f>VLOOKUP(U1222,Sheet1!$B$6:$C$45,2,FALSE)*V1222</f>
        <v>0</v>
      </c>
      <c r="X1222" s="59"/>
      <c r="Y1222" s="12" t="s">
        <v>292</v>
      </c>
      <c r="Z1222" s="68">
        <f>VLOOKUP(Takeoffs!Y1222,Sheet1!$B$6:$C$124,2,FALSE)</f>
        <v>0</v>
      </c>
      <c r="AA1222" s="68">
        <f>Z1222*AB1222</f>
        <v>0</v>
      </c>
      <c r="AB1222" s="63">
        <f>AD1222*AC1222</f>
        <v>0</v>
      </c>
      <c r="AC1222" s="28">
        <f>S1222</f>
        <v>0</v>
      </c>
      <c r="AD1222" s="61">
        <v>1</v>
      </c>
      <c r="AE1222" s="59"/>
      <c r="AF1222" s="12" t="s">
        <v>292</v>
      </c>
      <c r="AG1222" s="68">
        <f>VLOOKUP(Takeoffs!AF1222,Sheet1!$B$6:$C$124,2,FALSE)</f>
        <v>0</v>
      </c>
      <c r="AH1222" s="68">
        <f>AG1222*AI1222</f>
        <v>0</v>
      </c>
      <c r="AI1222" s="63">
        <f>AK1222*AJ1222</f>
        <v>0</v>
      </c>
      <c r="AJ1222" s="28">
        <f>S1222</f>
        <v>0</v>
      </c>
      <c r="AK1222" s="61">
        <f>T1222</f>
        <v>0</v>
      </c>
      <c r="AL1222" s="59"/>
      <c r="AO1222" s="286"/>
      <c r="AP1222" s="284">
        <f t="shared" si="537"/>
        <v>0</v>
      </c>
      <c r="AQ1222" s="281">
        <f t="shared" si="538"/>
        <v>0</v>
      </c>
      <c r="AR1222" s="284">
        <f t="shared" si="539"/>
        <v>0</v>
      </c>
      <c r="AS1222" s="281">
        <f t="shared" si="540"/>
        <v>0</v>
      </c>
      <c r="AT1222" s="284">
        <f t="shared" si="541"/>
        <v>0</v>
      </c>
    </row>
    <row r="1223" spans="1:97" s="32" customFormat="1" ht="30.9" x14ac:dyDescent="0.8">
      <c r="A1223" s="262">
        <f>ROW()</f>
        <v>1223</v>
      </c>
      <c r="B1223" s="114"/>
      <c r="C1223" s="208"/>
      <c r="D1223" s="208"/>
      <c r="E1223" s="208"/>
      <c r="F1223" s="208"/>
      <c r="G1223" s="208"/>
      <c r="H1223" s="208"/>
      <c r="I1223" s="114"/>
      <c r="J1223" s="32" t="str">
        <f>IF(COUNTBLANK(Q1223)&gt;0,"",CONCATENATE("Coordination Note: - ",P1223,": Please refer to our exclusions relating to ",Q1223))</f>
        <v xml:space="preserve">Coordination Note: - Builder's Electrician : Please refer to our exclusions relating to local power supply and isolator for apartment condenser units. </v>
      </c>
      <c r="K1223" s="32" t="str">
        <f>IF(COUNTBLANK(R1223)&gt;0,"",CONCATENATE(R1223," for ",N1222))</f>
        <v/>
      </c>
      <c r="M1223" s="38"/>
      <c r="N1223" s="15" t="s">
        <v>113</v>
      </c>
      <c r="O1223" s="66" t="s">
        <v>446</v>
      </c>
      <c r="P1223" s="12" t="s">
        <v>444</v>
      </c>
      <c r="Q1223" s="12" t="s">
        <v>445</v>
      </c>
      <c r="R1223" s="12"/>
      <c r="S1223" s="28">
        <f>M1222</f>
        <v>0</v>
      </c>
      <c r="T1223" s="11"/>
      <c r="U1223" s="12" t="s">
        <v>302</v>
      </c>
      <c r="V1223" s="28">
        <f t="shared" ref="V1223:V1242" si="561">S1223</f>
        <v>0</v>
      </c>
      <c r="W1223" s="28">
        <f>VLOOKUP(U1223,Sheet1!$B$6:$C$45,2,FALSE)*V1223</f>
        <v>0</v>
      </c>
      <c r="X1223" s="59"/>
      <c r="Y1223" s="12" t="s">
        <v>292</v>
      </c>
      <c r="Z1223" s="68">
        <f>VLOOKUP(Takeoffs!Y1223,Sheet1!$B$6:$C$124,2,FALSE)</f>
        <v>0</v>
      </c>
      <c r="AA1223" s="68">
        <f t="shared" ref="AA1223:AA1242" si="562">Z1223*AB1223</f>
        <v>0</v>
      </c>
      <c r="AB1223" s="63">
        <f t="shared" ref="AB1223:AB1242" si="563">AD1223*AC1223</f>
        <v>0</v>
      </c>
      <c r="AC1223" s="28">
        <f>S1223</f>
        <v>0</v>
      </c>
      <c r="AD1223" s="61">
        <v>1</v>
      </c>
      <c r="AE1223" s="59"/>
      <c r="AF1223" s="73" t="s">
        <v>267</v>
      </c>
      <c r="AG1223" s="68">
        <f>VLOOKUP(Takeoffs!AF1223,Sheet1!$B$6:$C$124,2,FALSE)</f>
        <v>3.48</v>
      </c>
      <c r="AH1223" s="68">
        <f t="shared" ref="AH1223:AH1242" si="564">AG1223*AI1223</f>
        <v>0</v>
      </c>
      <c r="AI1223" s="63">
        <f t="shared" ref="AI1223:AI1242" si="565">AK1223*AJ1223</f>
        <v>0</v>
      </c>
      <c r="AJ1223" s="28">
        <f t="shared" ref="AJ1223:AJ1242" si="566">S1223</f>
        <v>0</v>
      </c>
      <c r="AK1223" s="61">
        <v>1</v>
      </c>
      <c r="AL1223" s="59"/>
      <c r="AO1223" s="286"/>
      <c r="AP1223" s="284">
        <f t="shared" si="537"/>
        <v>0</v>
      </c>
      <c r="AQ1223" s="281">
        <f t="shared" si="538"/>
        <v>0</v>
      </c>
      <c r="AR1223" s="284">
        <f t="shared" si="539"/>
        <v>0</v>
      </c>
      <c r="AS1223" s="281">
        <f t="shared" si="540"/>
        <v>0</v>
      </c>
      <c r="AT1223" s="284">
        <f t="shared" si="541"/>
        <v>0</v>
      </c>
    </row>
    <row r="1224" spans="1:97" s="32" customFormat="1" ht="30.9" x14ac:dyDescent="0.8">
      <c r="A1224" s="262">
        <f>ROW()</f>
        <v>1224</v>
      </c>
      <c r="B1224" s="114"/>
      <c r="C1224" s="208"/>
      <c r="D1224" s="208"/>
      <c r="E1224" s="208"/>
      <c r="F1224" s="208"/>
      <c r="G1224" s="208"/>
      <c r="H1224" s="208"/>
      <c r="I1224" s="114"/>
      <c r="J1224" s="32" t="str">
        <f t="shared" ref="J1224:J1242" si="567">IF(COUNTBLANK(Q1224)&gt;0,"",CONCATENATE("Coordination Note: - ",P1224,": Please refer to our exclusions relating to ",Q1224))</f>
        <v/>
      </c>
      <c r="K1224" s="32" t="str">
        <f>IF(COUNTBLANK(R1224)&gt;0,"",CONCATENATE(R1224," for ",N1222))</f>
        <v/>
      </c>
      <c r="M1224" s="38"/>
      <c r="N1224" s="15" t="s">
        <v>114</v>
      </c>
      <c r="O1224" s="66"/>
      <c r="P1224" s="12"/>
      <c r="Q1224" s="12"/>
      <c r="R1224" s="12"/>
      <c r="S1224" s="28">
        <f>M1222</f>
        <v>0</v>
      </c>
      <c r="T1224" s="11"/>
      <c r="U1224" s="12" t="s">
        <v>292</v>
      </c>
      <c r="V1224" s="28">
        <f t="shared" si="561"/>
        <v>0</v>
      </c>
      <c r="W1224" s="28">
        <f>VLOOKUP(U1224,Sheet1!$B$6:$C$45,2,FALSE)*V1224</f>
        <v>0</v>
      </c>
      <c r="X1224" s="59"/>
      <c r="Y1224" s="12" t="s">
        <v>292</v>
      </c>
      <c r="Z1224" s="68">
        <f>VLOOKUP(Takeoffs!Y1224,Sheet1!$B$6:$C$124,2,FALSE)</f>
        <v>0</v>
      </c>
      <c r="AA1224" s="68">
        <f t="shared" si="562"/>
        <v>0</v>
      </c>
      <c r="AB1224" s="63">
        <f t="shared" si="563"/>
        <v>0</v>
      </c>
      <c r="AC1224" s="28">
        <f>S1224</f>
        <v>0</v>
      </c>
      <c r="AD1224" s="61">
        <v>1</v>
      </c>
      <c r="AE1224" s="59"/>
      <c r="AF1224" s="12" t="s">
        <v>292</v>
      </c>
      <c r="AG1224" s="68">
        <f>VLOOKUP(Takeoffs!AF1224,Sheet1!$B$6:$C$124,2,FALSE)</f>
        <v>0</v>
      </c>
      <c r="AH1224" s="68">
        <f t="shared" si="564"/>
        <v>0</v>
      </c>
      <c r="AI1224" s="63">
        <f t="shared" si="565"/>
        <v>0</v>
      </c>
      <c r="AJ1224" s="28">
        <f t="shared" si="566"/>
        <v>0</v>
      </c>
      <c r="AK1224" s="61">
        <f t="shared" ref="AK1224:AK1242" si="568">T1224</f>
        <v>0</v>
      </c>
      <c r="AL1224" s="59"/>
      <c r="AO1224" s="286"/>
      <c r="AP1224" s="284">
        <f t="shared" si="537"/>
        <v>0</v>
      </c>
      <c r="AQ1224" s="281">
        <f t="shared" si="538"/>
        <v>0</v>
      </c>
      <c r="AR1224" s="284">
        <f t="shared" si="539"/>
        <v>0</v>
      </c>
      <c r="AS1224" s="281">
        <f t="shared" si="540"/>
        <v>0</v>
      </c>
      <c r="AT1224" s="284">
        <f t="shared" si="541"/>
        <v>0</v>
      </c>
    </row>
    <row r="1225" spans="1:97" s="32" customFormat="1" ht="30.9" x14ac:dyDescent="0.8">
      <c r="A1225" s="262">
        <f>ROW()</f>
        <v>1225</v>
      </c>
      <c r="B1225" s="114"/>
      <c r="C1225" s="208"/>
      <c r="D1225" s="208"/>
      <c r="E1225" s="208"/>
      <c r="F1225" s="208"/>
      <c r="G1225" s="208"/>
      <c r="H1225" s="208"/>
      <c r="I1225" s="114"/>
      <c r="J1225" s="32" t="str">
        <f t="shared" si="567"/>
        <v/>
      </c>
      <c r="K1225" s="32" t="str">
        <f>IF(COUNTBLANK(R1225)&gt;0,"",CONCATENATE(R1225," for ",N1222))</f>
        <v/>
      </c>
      <c r="M1225" s="38"/>
      <c r="N1225" s="15" t="s">
        <v>115</v>
      </c>
      <c r="O1225" s="66"/>
      <c r="P1225" s="12"/>
      <c r="Q1225" s="12"/>
      <c r="R1225" s="12"/>
      <c r="S1225" s="28">
        <f>M1222</f>
        <v>0</v>
      </c>
      <c r="T1225" s="11"/>
      <c r="U1225" s="12" t="s">
        <v>292</v>
      </c>
      <c r="V1225" s="28">
        <f t="shared" si="561"/>
        <v>0</v>
      </c>
      <c r="W1225" s="28">
        <f>VLOOKUP(U1225,Sheet1!$B$6:$C$45,2,FALSE)*V1225</f>
        <v>0</v>
      </c>
      <c r="X1225" s="59"/>
      <c r="Y1225" s="12" t="s">
        <v>292</v>
      </c>
      <c r="Z1225" s="68">
        <f>VLOOKUP(Takeoffs!Y1225,Sheet1!$B$6:$C$124,2,FALSE)</f>
        <v>0</v>
      </c>
      <c r="AA1225" s="68">
        <f t="shared" si="562"/>
        <v>0</v>
      </c>
      <c r="AB1225" s="63">
        <f t="shared" si="563"/>
        <v>0</v>
      </c>
      <c r="AC1225" s="28">
        <f t="shared" ref="AC1225:AC1242" si="569">S1225</f>
        <v>0</v>
      </c>
      <c r="AD1225" s="61">
        <v>1</v>
      </c>
      <c r="AE1225" s="59"/>
      <c r="AF1225" s="12" t="s">
        <v>292</v>
      </c>
      <c r="AG1225" s="68">
        <f>VLOOKUP(Takeoffs!AF1225,Sheet1!$B$6:$C$124,2,FALSE)</f>
        <v>0</v>
      </c>
      <c r="AH1225" s="68">
        <f t="shared" si="564"/>
        <v>0</v>
      </c>
      <c r="AI1225" s="63">
        <f t="shared" si="565"/>
        <v>0</v>
      </c>
      <c r="AJ1225" s="28">
        <f t="shared" si="566"/>
        <v>0</v>
      </c>
      <c r="AK1225" s="61">
        <f t="shared" si="568"/>
        <v>0</v>
      </c>
      <c r="AL1225" s="59"/>
      <c r="AO1225" s="286"/>
      <c r="AP1225" s="284">
        <f t="shared" si="537"/>
        <v>0</v>
      </c>
      <c r="AQ1225" s="281">
        <f t="shared" si="538"/>
        <v>0</v>
      </c>
      <c r="AR1225" s="284">
        <f t="shared" si="539"/>
        <v>0</v>
      </c>
      <c r="AS1225" s="281">
        <f t="shared" si="540"/>
        <v>0</v>
      </c>
      <c r="AT1225" s="284">
        <f t="shared" si="541"/>
        <v>0</v>
      </c>
    </row>
    <row r="1226" spans="1:97" s="32" customFormat="1" ht="30.9" x14ac:dyDescent="0.8">
      <c r="A1226" s="262">
        <f>ROW()</f>
        <v>1226</v>
      </c>
      <c r="B1226" s="114"/>
      <c r="C1226" s="208"/>
      <c r="D1226" s="208"/>
      <c r="E1226" s="208"/>
      <c r="F1226" s="208"/>
      <c r="G1226" s="208"/>
      <c r="H1226" s="208"/>
      <c r="I1226" s="114"/>
      <c r="J1226" s="32" t="str">
        <f t="shared" si="567"/>
        <v/>
      </c>
      <c r="K1226" s="32" t="str">
        <f>IF(COUNTBLANK(R1226)&gt;0,"",CONCATENATE(R1226," for ",N1222))</f>
        <v/>
      </c>
      <c r="M1226" s="38"/>
      <c r="N1226" s="15" t="s">
        <v>116</v>
      </c>
      <c r="O1226" s="66"/>
      <c r="P1226" s="12"/>
      <c r="Q1226" s="12"/>
      <c r="R1226" s="12"/>
      <c r="S1226" s="28">
        <f>M1222</f>
        <v>0</v>
      </c>
      <c r="T1226" s="11"/>
      <c r="U1226" s="12" t="s">
        <v>292</v>
      </c>
      <c r="V1226" s="28">
        <f t="shared" si="561"/>
        <v>0</v>
      </c>
      <c r="W1226" s="28">
        <f>VLOOKUP(U1226,Sheet1!$B$6:$C$45,2,FALSE)*V1226</f>
        <v>0</v>
      </c>
      <c r="X1226" s="59"/>
      <c r="Y1226" s="12" t="s">
        <v>292</v>
      </c>
      <c r="Z1226" s="68">
        <f>VLOOKUP(Takeoffs!Y1226,Sheet1!$B$6:$C$124,2,FALSE)</f>
        <v>0</v>
      </c>
      <c r="AA1226" s="68">
        <f t="shared" si="562"/>
        <v>0</v>
      </c>
      <c r="AB1226" s="63">
        <f t="shared" si="563"/>
        <v>0</v>
      </c>
      <c r="AC1226" s="28">
        <f t="shared" si="569"/>
        <v>0</v>
      </c>
      <c r="AD1226" s="61">
        <v>1</v>
      </c>
      <c r="AE1226" s="59"/>
      <c r="AF1226" s="12" t="s">
        <v>292</v>
      </c>
      <c r="AG1226" s="68">
        <f>VLOOKUP(Takeoffs!AF1226,Sheet1!$B$6:$C$124,2,FALSE)</f>
        <v>0</v>
      </c>
      <c r="AH1226" s="68">
        <f t="shared" si="564"/>
        <v>0</v>
      </c>
      <c r="AI1226" s="63">
        <f t="shared" si="565"/>
        <v>0</v>
      </c>
      <c r="AJ1226" s="28">
        <f t="shared" si="566"/>
        <v>0</v>
      </c>
      <c r="AK1226" s="61">
        <f t="shared" si="568"/>
        <v>0</v>
      </c>
      <c r="AL1226" s="59"/>
      <c r="AO1226" s="286"/>
      <c r="AP1226" s="284">
        <f t="shared" si="537"/>
        <v>0</v>
      </c>
      <c r="AQ1226" s="281">
        <f t="shared" si="538"/>
        <v>0</v>
      </c>
      <c r="AR1226" s="284">
        <f t="shared" si="539"/>
        <v>0</v>
      </c>
      <c r="AS1226" s="281">
        <f t="shared" si="540"/>
        <v>0</v>
      </c>
      <c r="AT1226" s="284">
        <f t="shared" si="541"/>
        <v>0</v>
      </c>
    </row>
    <row r="1227" spans="1:97" s="32" customFormat="1" ht="30.9" x14ac:dyDescent="0.8">
      <c r="A1227" s="262">
        <f>ROW()</f>
        <v>1227</v>
      </c>
      <c r="B1227" s="114"/>
      <c r="C1227" s="208"/>
      <c r="D1227" s="208"/>
      <c r="E1227" s="208"/>
      <c r="F1227" s="208"/>
      <c r="G1227" s="208"/>
      <c r="H1227" s="208"/>
      <c r="I1227" s="114"/>
      <c r="J1227" s="32" t="str">
        <f t="shared" si="567"/>
        <v/>
      </c>
      <c r="K1227" s="32" t="str">
        <f>IF(COUNTBLANK(R1227)&gt;0,"",CONCATENATE(R1227," for ",N1222))</f>
        <v/>
      </c>
      <c r="M1227" s="38"/>
      <c r="N1227" s="15" t="s">
        <v>117</v>
      </c>
      <c r="O1227" s="66"/>
      <c r="P1227" s="12"/>
      <c r="Q1227" s="12"/>
      <c r="R1227" s="12"/>
      <c r="S1227" s="28">
        <f>M1222</f>
        <v>0</v>
      </c>
      <c r="T1227" s="11"/>
      <c r="U1227" s="12" t="s">
        <v>292</v>
      </c>
      <c r="V1227" s="28">
        <f t="shared" si="561"/>
        <v>0</v>
      </c>
      <c r="W1227" s="28">
        <f>VLOOKUP(U1227,Sheet1!$B$6:$C$45,2,FALSE)*V1227</f>
        <v>0</v>
      </c>
      <c r="X1227" s="59"/>
      <c r="Y1227" s="12" t="s">
        <v>292</v>
      </c>
      <c r="Z1227" s="68">
        <f>VLOOKUP(Takeoffs!Y1227,Sheet1!$B$6:$C$124,2,FALSE)</f>
        <v>0</v>
      </c>
      <c r="AA1227" s="68">
        <f t="shared" si="562"/>
        <v>0</v>
      </c>
      <c r="AB1227" s="63">
        <f t="shared" si="563"/>
        <v>0</v>
      </c>
      <c r="AC1227" s="28">
        <f t="shared" si="569"/>
        <v>0</v>
      </c>
      <c r="AD1227" s="61">
        <v>1</v>
      </c>
      <c r="AE1227" s="59"/>
      <c r="AF1227" s="12" t="s">
        <v>292</v>
      </c>
      <c r="AG1227" s="68">
        <f>VLOOKUP(Takeoffs!AF1227,Sheet1!$B$6:$C$124,2,FALSE)</f>
        <v>0</v>
      </c>
      <c r="AH1227" s="68">
        <f t="shared" si="564"/>
        <v>0</v>
      </c>
      <c r="AI1227" s="63">
        <f t="shared" si="565"/>
        <v>0</v>
      </c>
      <c r="AJ1227" s="28">
        <f t="shared" si="566"/>
        <v>0</v>
      </c>
      <c r="AK1227" s="61">
        <f t="shared" si="568"/>
        <v>0</v>
      </c>
      <c r="AL1227" s="59"/>
      <c r="AO1227" s="286"/>
      <c r="AP1227" s="284">
        <f t="shared" si="537"/>
        <v>0</v>
      </c>
      <c r="AQ1227" s="281">
        <f t="shared" si="538"/>
        <v>0</v>
      </c>
      <c r="AR1227" s="284">
        <f t="shared" si="539"/>
        <v>0</v>
      </c>
      <c r="AS1227" s="281">
        <f t="shared" si="540"/>
        <v>0</v>
      </c>
      <c r="AT1227" s="284">
        <f t="shared" si="541"/>
        <v>0</v>
      </c>
    </row>
    <row r="1228" spans="1:97" s="32" customFormat="1" ht="30.9" x14ac:dyDescent="0.8">
      <c r="A1228" s="262">
        <f>ROW()</f>
        <v>1228</v>
      </c>
      <c r="B1228" s="114"/>
      <c r="C1228" s="208"/>
      <c r="D1228" s="208"/>
      <c r="E1228" s="208"/>
      <c r="F1228" s="208"/>
      <c r="G1228" s="208"/>
      <c r="H1228" s="208"/>
      <c r="I1228" s="114"/>
      <c r="J1228" s="32" t="str">
        <f t="shared" si="567"/>
        <v/>
      </c>
      <c r="K1228" s="32" t="str">
        <f>IF(COUNTBLANK(R1228)&gt;0,"",CONCATENATE(R1228," for ",N1222))</f>
        <v/>
      </c>
      <c r="M1228" s="38"/>
      <c r="N1228" s="15" t="s">
        <v>118</v>
      </c>
      <c r="O1228" s="66"/>
      <c r="P1228" s="12"/>
      <c r="Q1228" s="12"/>
      <c r="R1228" s="12"/>
      <c r="S1228" s="28">
        <f>M1222</f>
        <v>0</v>
      </c>
      <c r="T1228" s="11"/>
      <c r="U1228" s="12" t="s">
        <v>292</v>
      </c>
      <c r="V1228" s="28">
        <f t="shared" si="561"/>
        <v>0</v>
      </c>
      <c r="W1228" s="28">
        <f>VLOOKUP(U1228,Sheet1!$B$6:$C$45,2,FALSE)*V1228</f>
        <v>0</v>
      </c>
      <c r="X1228" s="59"/>
      <c r="Y1228" s="12" t="s">
        <v>292</v>
      </c>
      <c r="Z1228" s="68">
        <f>VLOOKUP(Takeoffs!Y1228,Sheet1!$B$6:$C$124,2,FALSE)</f>
        <v>0</v>
      </c>
      <c r="AA1228" s="68">
        <f t="shared" si="562"/>
        <v>0</v>
      </c>
      <c r="AB1228" s="63">
        <f t="shared" si="563"/>
        <v>0</v>
      </c>
      <c r="AC1228" s="28">
        <f t="shared" si="569"/>
        <v>0</v>
      </c>
      <c r="AD1228" s="61">
        <v>1</v>
      </c>
      <c r="AE1228" s="59"/>
      <c r="AF1228" s="12" t="s">
        <v>292</v>
      </c>
      <c r="AG1228" s="68">
        <f>VLOOKUP(Takeoffs!AF1228,Sheet1!$B$6:$C$124,2,FALSE)</f>
        <v>0</v>
      </c>
      <c r="AH1228" s="68">
        <f t="shared" si="564"/>
        <v>0</v>
      </c>
      <c r="AI1228" s="63">
        <f t="shared" si="565"/>
        <v>0</v>
      </c>
      <c r="AJ1228" s="28">
        <f t="shared" si="566"/>
        <v>0</v>
      </c>
      <c r="AK1228" s="61">
        <f t="shared" si="568"/>
        <v>0</v>
      </c>
      <c r="AL1228" s="59"/>
      <c r="AO1228" s="286"/>
      <c r="AP1228" s="284">
        <f t="shared" si="537"/>
        <v>0</v>
      </c>
      <c r="AQ1228" s="281">
        <f t="shared" si="538"/>
        <v>0</v>
      </c>
      <c r="AR1228" s="284">
        <f t="shared" si="539"/>
        <v>0</v>
      </c>
      <c r="AS1228" s="281">
        <f t="shared" si="540"/>
        <v>0</v>
      </c>
      <c r="AT1228" s="284">
        <f t="shared" si="541"/>
        <v>0</v>
      </c>
    </row>
    <row r="1229" spans="1:97" s="32" customFormat="1" ht="30.9" x14ac:dyDescent="0.8">
      <c r="A1229" s="262">
        <f>ROW()</f>
        <v>1229</v>
      </c>
      <c r="B1229" s="114"/>
      <c r="C1229" s="208"/>
      <c r="D1229" s="208"/>
      <c r="E1229" s="208"/>
      <c r="F1229" s="208"/>
      <c r="G1229" s="208"/>
      <c r="H1229" s="208"/>
      <c r="I1229" s="114"/>
      <c r="J1229" s="32" t="str">
        <f t="shared" si="567"/>
        <v/>
      </c>
      <c r="K1229" s="32" t="str">
        <f>IF(COUNTBLANK(R1229)&gt;0,"",CONCATENATE(R1229," for ",N1222))</f>
        <v/>
      </c>
      <c r="N1229" s="15" t="s">
        <v>119</v>
      </c>
      <c r="O1229" s="66"/>
      <c r="P1229" s="12"/>
      <c r="Q1229" s="12"/>
      <c r="R1229" s="12"/>
      <c r="S1229" s="28">
        <f>M1222</f>
        <v>0</v>
      </c>
      <c r="T1229" s="11"/>
      <c r="U1229" s="12" t="s">
        <v>292</v>
      </c>
      <c r="V1229" s="28">
        <f t="shared" si="561"/>
        <v>0</v>
      </c>
      <c r="W1229" s="28">
        <f>VLOOKUP(U1229,Sheet1!$B$6:$C$45,2,FALSE)*V1229</f>
        <v>0</v>
      </c>
      <c r="X1229" s="59"/>
      <c r="Y1229" s="12" t="s">
        <v>292</v>
      </c>
      <c r="Z1229" s="68">
        <f>VLOOKUP(Takeoffs!Y1229,Sheet1!$B$6:$C$124,2,FALSE)</f>
        <v>0</v>
      </c>
      <c r="AA1229" s="68">
        <f t="shared" si="562"/>
        <v>0</v>
      </c>
      <c r="AB1229" s="63">
        <f t="shared" si="563"/>
        <v>0</v>
      </c>
      <c r="AC1229" s="28">
        <f t="shared" si="569"/>
        <v>0</v>
      </c>
      <c r="AD1229" s="61">
        <v>1</v>
      </c>
      <c r="AE1229" s="59"/>
      <c r="AF1229" s="12" t="s">
        <v>292</v>
      </c>
      <c r="AG1229" s="68">
        <f>VLOOKUP(Takeoffs!AF1229,Sheet1!$B$6:$C$124,2,FALSE)</f>
        <v>0</v>
      </c>
      <c r="AH1229" s="68">
        <f t="shared" si="564"/>
        <v>0</v>
      </c>
      <c r="AI1229" s="63">
        <f t="shared" si="565"/>
        <v>0</v>
      </c>
      <c r="AJ1229" s="28">
        <f t="shared" si="566"/>
        <v>0</v>
      </c>
      <c r="AK1229" s="61">
        <f t="shared" si="568"/>
        <v>0</v>
      </c>
      <c r="AL1229" s="59"/>
      <c r="AO1229" s="286"/>
      <c r="AP1229" s="284">
        <f t="shared" si="537"/>
        <v>0</v>
      </c>
      <c r="AQ1229" s="281">
        <f t="shared" si="538"/>
        <v>0</v>
      </c>
      <c r="AR1229" s="284">
        <f t="shared" si="539"/>
        <v>0</v>
      </c>
      <c r="AS1229" s="281">
        <f t="shared" si="540"/>
        <v>0</v>
      </c>
      <c r="AT1229" s="284">
        <f t="shared" si="541"/>
        <v>0</v>
      </c>
    </row>
    <row r="1230" spans="1:97" s="32" customFormat="1" ht="30.9" x14ac:dyDescent="0.8">
      <c r="A1230" s="262">
        <f>ROW()</f>
        <v>1230</v>
      </c>
      <c r="B1230" s="114"/>
      <c r="C1230" s="208"/>
      <c r="D1230" s="208"/>
      <c r="E1230" s="208"/>
      <c r="F1230" s="208"/>
      <c r="G1230" s="208"/>
      <c r="H1230" s="208"/>
      <c r="I1230" s="114"/>
      <c r="J1230" s="32" t="str">
        <f t="shared" si="567"/>
        <v/>
      </c>
      <c r="K1230" s="32" t="str">
        <f>IF(COUNTBLANK(R1230)&gt;0,"",CONCATENATE(R1230," for ",N1222))</f>
        <v/>
      </c>
      <c r="N1230" s="15" t="s">
        <v>120</v>
      </c>
      <c r="O1230" s="66"/>
      <c r="P1230" s="12"/>
      <c r="Q1230" s="12"/>
      <c r="R1230" s="12"/>
      <c r="S1230" s="28">
        <f>M1222</f>
        <v>0</v>
      </c>
      <c r="T1230" s="11"/>
      <c r="U1230" s="12" t="s">
        <v>292</v>
      </c>
      <c r="V1230" s="28">
        <f t="shared" si="561"/>
        <v>0</v>
      </c>
      <c r="W1230" s="28">
        <f>VLOOKUP(U1230,Sheet1!$B$6:$C$45,2,FALSE)*V1230</f>
        <v>0</v>
      </c>
      <c r="X1230" s="59"/>
      <c r="Y1230" s="12" t="s">
        <v>292</v>
      </c>
      <c r="Z1230" s="68">
        <f>VLOOKUP(Takeoffs!Y1230,Sheet1!$B$6:$C$124,2,FALSE)</f>
        <v>0</v>
      </c>
      <c r="AA1230" s="68">
        <f t="shared" si="562"/>
        <v>0</v>
      </c>
      <c r="AB1230" s="63">
        <f t="shared" si="563"/>
        <v>0</v>
      </c>
      <c r="AC1230" s="28">
        <f t="shared" si="569"/>
        <v>0</v>
      </c>
      <c r="AD1230" s="61">
        <v>1</v>
      </c>
      <c r="AE1230" s="59"/>
      <c r="AF1230" s="12" t="s">
        <v>292</v>
      </c>
      <c r="AG1230" s="68">
        <f>VLOOKUP(Takeoffs!AF1230,Sheet1!$B$6:$C$124,2,FALSE)</f>
        <v>0</v>
      </c>
      <c r="AH1230" s="68">
        <f t="shared" si="564"/>
        <v>0</v>
      </c>
      <c r="AI1230" s="63">
        <f t="shared" si="565"/>
        <v>0</v>
      </c>
      <c r="AJ1230" s="28">
        <f t="shared" si="566"/>
        <v>0</v>
      </c>
      <c r="AK1230" s="61">
        <f t="shared" si="568"/>
        <v>0</v>
      </c>
      <c r="AL1230" s="59"/>
      <c r="AO1230" s="286"/>
      <c r="AP1230" s="284">
        <f t="shared" si="537"/>
        <v>0</v>
      </c>
      <c r="AQ1230" s="281">
        <f t="shared" si="538"/>
        <v>0</v>
      </c>
      <c r="AR1230" s="284">
        <f t="shared" si="539"/>
        <v>0</v>
      </c>
      <c r="AS1230" s="281">
        <f t="shared" si="540"/>
        <v>0</v>
      </c>
      <c r="AT1230" s="284">
        <f t="shared" si="541"/>
        <v>0</v>
      </c>
    </row>
    <row r="1231" spans="1:97" s="32" customFormat="1" ht="30.9" x14ac:dyDescent="0.8">
      <c r="A1231" s="262">
        <f>ROW()</f>
        <v>1231</v>
      </c>
      <c r="B1231" s="114"/>
      <c r="C1231" s="208"/>
      <c r="D1231" s="208"/>
      <c r="E1231" s="208"/>
      <c r="F1231" s="208"/>
      <c r="G1231" s="208"/>
      <c r="H1231" s="208"/>
      <c r="I1231" s="114"/>
      <c r="J1231" s="32" t="str">
        <f t="shared" si="567"/>
        <v/>
      </c>
      <c r="K1231" s="32" t="str">
        <f>IF(COUNTBLANK(R1231)&gt;0,"",CONCATENATE(R1231," for ",N1222))</f>
        <v/>
      </c>
      <c r="N1231" s="15" t="s">
        <v>121</v>
      </c>
      <c r="O1231" s="66"/>
      <c r="P1231" s="12"/>
      <c r="Q1231" s="12"/>
      <c r="R1231" s="12"/>
      <c r="S1231" s="28">
        <f>M1222</f>
        <v>0</v>
      </c>
      <c r="T1231" s="11"/>
      <c r="U1231" s="12" t="s">
        <v>292</v>
      </c>
      <c r="V1231" s="28">
        <f t="shared" si="561"/>
        <v>0</v>
      </c>
      <c r="W1231" s="28">
        <f>VLOOKUP(U1231,Sheet1!$B$6:$C$45,2,FALSE)*V1231</f>
        <v>0</v>
      </c>
      <c r="X1231" s="59"/>
      <c r="Y1231" s="12" t="s">
        <v>292</v>
      </c>
      <c r="Z1231" s="68">
        <f>VLOOKUP(Takeoffs!Y1231,Sheet1!$B$6:$C$124,2,FALSE)</f>
        <v>0</v>
      </c>
      <c r="AA1231" s="68">
        <f t="shared" si="562"/>
        <v>0</v>
      </c>
      <c r="AB1231" s="63">
        <f t="shared" si="563"/>
        <v>0</v>
      </c>
      <c r="AC1231" s="28">
        <f t="shared" si="569"/>
        <v>0</v>
      </c>
      <c r="AD1231" s="61">
        <v>1</v>
      </c>
      <c r="AE1231" s="59"/>
      <c r="AF1231" s="12" t="s">
        <v>292</v>
      </c>
      <c r="AG1231" s="68">
        <f>VLOOKUP(Takeoffs!AF1231,Sheet1!$B$6:$C$124,2,FALSE)</f>
        <v>0</v>
      </c>
      <c r="AH1231" s="68">
        <f t="shared" si="564"/>
        <v>0</v>
      </c>
      <c r="AI1231" s="63">
        <f t="shared" si="565"/>
        <v>0</v>
      </c>
      <c r="AJ1231" s="28">
        <f t="shared" si="566"/>
        <v>0</v>
      </c>
      <c r="AK1231" s="61">
        <f t="shared" si="568"/>
        <v>0</v>
      </c>
      <c r="AL1231" s="59"/>
      <c r="AO1231" s="286"/>
      <c r="AP1231" s="284">
        <f t="shared" si="537"/>
        <v>0</v>
      </c>
      <c r="AQ1231" s="281">
        <f t="shared" si="538"/>
        <v>0</v>
      </c>
      <c r="AR1231" s="284">
        <f t="shared" si="539"/>
        <v>0</v>
      </c>
      <c r="AS1231" s="281">
        <f t="shared" si="540"/>
        <v>0</v>
      </c>
      <c r="AT1231" s="284">
        <f t="shared" si="541"/>
        <v>0</v>
      </c>
    </row>
    <row r="1232" spans="1:97" s="32" customFormat="1" ht="30.9" x14ac:dyDescent="0.8">
      <c r="A1232" s="262">
        <f>ROW()</f>
        <v>1232</v>
      </c>
      <c r="B1232" s="114"/>
      <c r="C1232" s="208"/>
      <c r="D1232" s="208"/>
      <c r="E1232" s="208"/>
      <c r="F1232" s="208"/>
      <c r="G1232" s="208"/>
      <c r="H1232" s="208"/>
      <c r="I1232" s="114"/>
      <c r="J1232" s="32" t="str">
        <f t="shared" si="567"/>
        <v/>
      </c>
      <c r="K1232" s="32" t="str">
        <f>IF(COUNTBLANK(R1232)&gt;0,"",CONCATENATE(R1232," for ",N1222))</f>
        <v/>
      </c>
      <c r="N1232" s="15" t="s">
        <v>122</v>
      </c>
      <c r="O1232" s="66"/>
      <c r="P1232" s="12"/>
      <c r="Q1232" s="12"/>
      <c r="R1232" s="12"/>
      <c r="S1232" s="28">
        <f>M1222</f>
        <v>0</v>
      </c>
      <c r="T1232" s="11"/>
      <c r="U1232" s="12" t="s">
        <v>292</v>
      </c>
      <c r="V1232" s="28">
        <f t="shared" si="561"/>
        <v>0</v>
      </c>
      <c r="W1232" s="28">
        <f>VLOOKUP(U1232,Sheet1!$B$6:$C$45,2,FALSE)*V1232</f>
        <v>0</v>
      </c>
      <c r="X1232" s="59"/>
      <c r="Y1232" s="12" t="s">
        <v>292</v>
      </c>
      <c r="Z1232" s="68">
        <f>VLOOKUP(Takeoffs!Y1232,Sheet1!$B$6:$C$124,2,FALSE)</f>
        <v>0</v>
      </c>
      <c r="AA1232" s="68">
        <f t="shared" si="562"/>
        <v>0</v>
      </c>
      <c r="AB1232" s="63">
        <f t="shared" si="563"/>
        <v>0</v>
      </c>
      <c r="AC1232" s="28">
        <f t="shared" si="569"/>
        <v>0</v>
      </c>
      <c r="AD1232" s="61">
        <v>1</v>
      </c>
      <c r="AE1232" s="59"/>
      <c r="AF1232" s="12" t="s">
        <v>292</v>
      </c>
      <c r="AG1232" s="68">
        <f>VLOOKUP(Takeoffs!AF1232,Sheet1!$B$6:$C$124,2,FALSE)</f>
        <v>0</v>
      </c>
      <c r="AH1232" s="68">
        <f t="shared" si="564"/>
        <v>0</v>
      </c>
      <c r="AI1232" s="63">
        <f t="shared" si="565"/>
        <v>0</v>
      </c>
      <c r="AJ1232" s="28">
        <f t="shared" si="566"/>
        <v>0</v>
      </c>
      <c r="AK1232" s="61">
        <f t="shared" si="568"/>
        <v>0</v>
      </c>
      <c r="AL1232" s="59"/>
      <c r="AO1232" s="286"/>
      <c r="AP1232" s="284">
        <f t="shared" si="537"/>
        <v>0</v>
      </c>
      <c r="AQ1232" s="281">
        <f t="shared" si="538"/>
        <v>0</v>
      </c>
      <c r="AR1232" s="284">
        <f t="shared" si="539"/>
        <v>0</v>
      </c>
      <c r="AS1232" s="281">
        <f t="shared" si="540"/>
        <v>0</v>
      </c>
      <c r="AT1232" s="284">
        <f t="shared" si="541"/>
        <v>0</v>
      </c>
    </row>
    <row r="1233" spans="1:97" s="32" customFormat="1" ht="30.9" x14ac:dyDescent="0.8">
      <c r="A1233" s="262">
        <f>ROW()</f>
        <v>1233</v>
      </c>
      <c r="B1233" s="114"/>
      <c r="C1233" s="208"/>
      <c r="D1233" s="208"/>
      <c r="E1233" s="208"/>
      <c r="F1233" s="208"/>
      <c r="G1233" s="208"/>
      <c r="H1233" s="208"/>
      <c r="I1233" s="114"/>
      <c r="J1233" s="32" t="str">
        <f t="shared" si="567"/>
        <v/>
      </c>
      <c r="K1233" s="32" t="str">
        <f>IF(COUNTBLANK(R1233)&gt;0,"",CONCATENATE(R1233," for ",N1222))</f>
        <v/>
      </c>
      <c r="N1233" s="15" t="s">
        <v>123</v>
      </c>
      <c r="O1233" s="66"/>
      <c r="P1233" s="12"/>
      <c r="Q1233" s="12"/>
      <c r="R1233" s="12"/>
      <c r="S1233" s="28">
        <f>M1222</f>
        <v>0</v>
      </c>
      <c r="T1233" s="11"/>
      <c r="U1233" s="12" t="s">
        <v>292</v>
      </c>
      <c r="V1233" s="28">
        <f t="shared" si="561"/>
        <v>0</v>
      </c>
      <c r="W1233" s="28">
        <f>VLOOKUP(U1233,Sheet1!$B$6:$C$45,2,FALSE)*V1233</f>
        <v>0</v>
      </c>
      <c r="X1233" s="59"/>
      <c r="Y1233" s="12" t="s">
        <v>292</v>
      </c>
      <c r="Z1233" s="68">
        <f>VLOOKUP(Takeoffs!Y1233,Sheet1!$B$6:$C$124,2,FALSE)</f>
        <v>0</v>
      </c>
      <c r="AA1233" s="68">
        <f t="shared" si="562"/>
        <v>0</v>
      </c>
      <c r="AB1233" s="63">
        <f t="shared" si="563"/>
        <v>0</v>
      </c>
      <c r="AC1233" s="28">
        <f t="shared" si="569"/>
        <v>0</v>
      </c>
      <c r="AD1233" s="61">
        <v>1</v>
      </c>
      <c r="AE1233" s="59"/>
      <c r="AF1233" s="12" t="s">
        <v>292</v>
      </c>
      <c r="AG1233" s="68">
        <f>VLOOKUP(Takeoffs!AF1233,Sheet1!$B$6:$C$124,2,FALSE)</f>
        <v>0</v>
      </c>
      <c r="AH1233" s="68">
        <f t="shared" si="564"/>
        <v>0</v>
      </c>
      <c r="AI1233" s="63">
        <f t="shared" si="565"/>
        <v>0</v>
      </c>
      <c r="AJ1233" s="28">
        <f t="shared" si="566"/>
        <v>0</v>
      </c>
      <c r="AK1233" s="61">
        <f t="shared" si="568"/>
        <v>0</v>
      </c>
      <c r="AL1233" s="59"/>
      <c r="AO1233" s="286"/>
      <c r="AP1233" s="284">
        <f t="shared" si="537"/>
        <v>0</v>
      </c>
      <c r="AQ1233" s="281">
        <f t="shared" si="538"/>
        <v>0</v>
      </c>
      <c r="AR1233" s="284">
        <f t="shared" si="539"/>
        <v>0</v>
      </c>
      <c r="AS1233" s="281">
        <f t="shared" si="540"/>
        <v>0</v>
      </c>
      <c r="AT1233" s="284">
        <f t="shared" si="541"/>
        <v>0</v>
      </c>
    </row>
    <row r="1234" spans="1:97" s="32" customFormat="1" ht="30.9" x14ac:dyDescent="0.8">
      <c r="A1234" s="262">
        <f>ROW()</f>
        <v>1234</v>
      </c>
      <c r="B1234" s="114"/>
      <c r="C1234" s="208"/>
      <c r="D1234" s="208"/>
      <c r="E1234" s="208"/>
      <c r="F1234" s="208"/>
      <c r="G1234" s="208"/>
      <c r="H1234" s="208"/>
      <c r="I1234" s="114"/>
      <c r="J1234" s="32" t="str">
        <f t="shared" si="567"/>
        <v/>
      </c>
      <c r="K1234" s="32" t="str">
        <f>IF(COUNTBLANK(R1234)&gt;0,"",CONCATENATE(R1234," for ",N1222))</f>
        <v/>
      </c>
      <c r="N1234" s="15" t="s">
        <v>124</v>
      </c>
      <c r="O1234" s="66"/>
      <c r="P1234" s="12"/>
      <c r="Q1234" s="12"/>
      <c r="R1234" s="12"/>
      <c r="S1234" s="28">
        <f>M1222</f>
        <v>0</v>
      </c>
      <c r="T1234" s="11"/>
      <c r="U1234" s="12" t="s">
        <v>292</v>
      </c>
      <c r="V1234" s="28">
        <f t="shared" si="561"/>
        <v>0</v>
      </c>
      <c r="W1234" s="28">
        <f>VLOOKUP(U1234,Sheet1!$B$6:$C$45,2,FALSE)*V1234</f>
        <v>0</v>
      </c>
      <c r="X1234" s="59"/>
      <c r="Y1234" s="12" t="s">
        <v>292</v>
      </c>
      <c r="Z1234" s="68">
        <f>VLOOKUP(Takeoffs!Y1234,Sheet1!$B$6:$C$124,2,FALSE)</f>
        <v>0</v>
      </c>
      <c r="AA1234" s="68">
        <f t="shared" si="562"/>
        <v>0</v>
      </c>
      <c r="AB1234" s="63">
        <f t="shared" si="563"/>
        <v>0</v>
      </c>
      <c r="AC1234" s="28">
        <f t="shared" si="569"/>
        <v>0</v>
      </c>
      <c r="AD1234" s="61">
        <v>1</v>
      </c>
      <c r="AE1234" s="59"/>
      <c r="AF1234" s="12" t="s">
        <v>292</v>
      </c>
      <c r="AG1234" s="68">
        <f>VLOOKUP(Takeoffs!AF1234,Sheet1!$B$6:$C$124,2,FALSE)</f>
        <v>0</v>
      </c>
      <c r="AH1234" s="68">
        <f t="shared" si="564"/>
        <v>0</v>
      </c>
      <c r="AI1234" s="63">
        <f t="shared" si="565"/>
        <v>0</v>
      </c>
      <c r="AJ1234" s="28">
        <f t="shared" si="566"/>
        <v>0</v>
      </c>
      <c r="AK1234" s="61">
        <f t="shared" si="568"/>
        <v>0</v>
      </c>
      <c r="AL1234" s="59"/>
      <c r="AO1234" s="286"/>
      <c r="AP1234" s="284">
        <f t="shared" si="537"/>
        <v>0</v>
      </c>
      <c r="AQ1234" s="281">
        <f t="shared" si="538"/>
        <v>0</v>
      </c>
      <c r="AR1234" s="284">
        <f t="shared" si="539"/>
        <v>0</v>
      </c>
      <c r="AS1234" s="281">
        <f t="shared" si="540"/>
        <v>0</v>
      </c>
      <c r="AT1234" s="284">
        <f t="shared" si="541"/>
        <v>0</v>
      </c>
    </row>
    <row r="1235" spans="1:97" s="32" customFormat="1" ht="30.9" x14ac:dyDescent="0.8">
      <c r="A1235" s="262">
        <f>ROW()</f>
        <v>1235</v>
      </c>
      <c r="B1235" s="114"/>
      <c r="C1235" s="208"/>
      <c r="D1235" s="208"/>
      <c r="E1235" s="208"/>
      <c r="F1235" s="208"/>
      <c r="G1235" s="208"/>
      <c r="H1235" s="208"/>
      <c r="I1235" s="114"/>
      <c r="J1235" s="32" t="str">
        <f t="shared" si="567"/>
        <v/>
      </c>
      <c r="K1235" s="32" t="str">
        <f>IF(COUNTBLANK(R1235)&gt;0,"",CONCATENATE(R1235," for ",N1222))</f>
        <v/>
      </c>
      <c r="N1235" s="15" t="s">
        <v>125</v>
      </c>
      <c r="O1235" s="66"/>
      <c r="P1235" s="12"/>
      <c r="Q1235" s="12"/>
      <c r="R1235" s="12"/>
      <c r="S1235" s="28">
        <f>M1222</f>
        <v>0</v>
      </c>
      <c r="T1235" s="11"/>
      <c r="U1235" s="12" t="s">
        <v>292</v>
      </c>
      <c r="V1235" s="28">
        <f t="shared" si="561"/>
        <v>0</v>
      </c>
      <c r="W1235" s="28">
        <f>VLOOKUP(U1235,Sheet1!$B$6:$C$45,2,FALSE)*V1235</f>
        <v>0</v>
      </c>
      <c r="X1235" s="59"/>
      <c r="Y1235" s="12" t="s">
        <v>292</v>
      </c>
      <c r="Z1235" s="68">
        <f>VLOOKUP(Takeoffs!Y1235,Sheet1!$B$6:$C$124,2,FALSE)</f>
        <v>0</v>
      </c>
      <c r="AA1235" s="68">
        <f t="shared" si="562"/>
        <v>0</v>
      </c>
      <c r="AB1235" s="63">
        <f t="shared" si="563"/>
        <v>0</v>
      </c>
      <c r="AC1235" s="28">
        <f t="shared" si="569"/>
        <v>0</v>
      </c>
      <c r="AD1235" s="61">
        <v>1</v>
      </c>
      <c r="AE1235" s="59"/>
      <c r="AF1235" s="12" t="s">
        <v>292</v>
      </c>
      <c r="AG1235" s="68">
        <f>VLOOKUP(Takeoffs!AF1235,Sheet1!$B$6:$C$124,2,FALSE)</f>
        <v>0</v>
      </c>
      <c r="AH1235" s="68">
        <f t="shared" si="564"/>
        <v>0</v>
      </c>
      <c r="AI1235" s="63">
        <f t="shared" si="565"/>
        <v>0</v>
      </c>
      <c r="AJ1235" s="28">
        <f t="shared" si="566"/>
        <v>0</v>
      </c>
      <c r="AK1235" s="61">
        <f t="shared" si="568"/>
        <v>0</v>
      </c>
      <c r="AL1235" s="59"/>
      <c r="AO1235" s="286"/>
      <c r="AP1235" s="284">
        <f t="shared" si="537"/>
        <v>0</v>
      </c>
      <c r="AQ1235" s="281">
        <f t="shared" si="538"/>
        <v>0</v>
      </c>
      <c r="AR1235" s="284">
        <f t="shared" si="539"/>
        <v>0</v>
      </c>
      <c r="AS1235" s="281">
        <f t="shared" si="540"/>
        <v>0</v>
      </c>
      <c r="AT1235" s="284">
        <f t="shared" si="541"/>
        <v>0</v>
      </c>
    </row>
    <row r="1236" spans="1:97" s="32" customFormat="1" ht="30.9" x14ac:dyDescent="0.8">
      <c r="A1236" s="262">
        <f>ROW()</f>
        <v>1236</v>
      </c>
      <c r="B1236" s="114"/>
      <c r="C1236" s="208"/>
      <c r="D1236" s="208"/>
      <c r="E1236" s="208"/>
      <c r="F1236" s="208"/>
      <c r="G1236" s="208"/>
      <c r="H1236" s="208"/>
      <c r="I1236" s="114"/>
      <c r="J1236" s="32" t="str">
        <f t="shared" si="567"/>
        <v/>
      </c>
      <c r="K1236" s="32" t="str">
        <f>IF(COUNTBLANK(R1236)&gt;0,"",CONCATENATE(R1236," for ",N1222))</f>
        <v/>
      </c>
      <c r="N1236" s="15" t="s">
        <v>126</v>
      </c>
      <c r="O1236" s="66"/>
      <c r="P1236" s="12"/>
      <c r="Q1236" s="12"/>
      <c r="R1236" s="12"/>
      <c r="S1236" s="28">
        <f>M1222</f>
        <v>0</v>
      </c>
      <c r="T1236" s="11"/>
      <c r="U1236" s="12" t="s">
        <v>292</v>
      </c>
      <c r="V1236" s="28">
        <f t="shared" si="561"/>
        <v>0</v>
      </c>
      <c r="W1236" s="28">
        <f>VLOOKUP(U1236,Sheet1!$B$6:$C$45,2,FALSE)*V1236</f>
        <v>0</v>
      </c>
      <c r="X1236" s="59"/>
      <c r="Y1236" s="12" t="s">
        <v>292</v>
      </c>
      <c r="Z1236" s="68">
        <f>VLOOKUP(Takeoffs!Y1236,Sheet1!$B$6:$C$124,2,FALSE)</f>
        <v>0</v>
      </c>
      <c r="AA1236" s="68">
        <f t="shared" si="562"/>
        <v>0</v>
      </c>
      <c r="AB1236" s="63">
        <f t="shared" si="563"/>
        <v>0</v>
      </c>
      <c r="AC1236" s="28">
        <f t="shared" si="569"/>
        <v>0</v>
      </c>
      <c r="AD1236" s="61">
        <v>1</v>
      </c>
      <c r="AE1236" s="59"/>
      <c r="AF1236" s="12" t="s">
        <v>292</v>
      </c>
      <c r="AG1236" s="68">
        <f>VLOOKUP(Takeoffs!AF1236,Sheet1!$B$6:$C$124,2,FALSE)</f>
        <v>0</v>
      </c>
      <c r="AH1236" s="68">
        <f t="shared" si="564"/>
        <v>0</v>
      </c>
      <c r="AI1236" s="63">
        <f t="shared" si="565"/>
        <v>0</v>
      </c>
      <c r="AJ1236" s="28">
        <f t="shared" si="566"/>
        <v>0</v>
      </c>
      <c r="AK1236" s="61">
        <f t="shared" si="568"/>
        <v>0</v>
      </c>
      <c r="AL1236" s="59"/>
      <c r="AO1236" s="286"/>
      <c r="AP1236" s="284">
        <f t="shared" ref="AP1236:AP1299" si="570">IF(AND(I1236&gt;0, ISNUMBER(I1236)),I1236*P1236,0)</f>
        <v>0</v>
      </c>
      <c r="AQ1236" s="281">
        <f t="shared" ref="AQ1236:AQ1299" si="571">IF(AND(I1236&gt;0, ISNUMBER(I1236)),I1236*W1236*80,0)</f>
        <v>0</v>
      </c>
      <c r="AR1236" s="284">
        <f t="shared" ref="AR1236:AR1299" si="572">IF(AND(I1236&gt;0, ISNUMBER(I1236)),I1236*AA1236,0)</f>
        <v>0</v>
      </c>
      <c r="AS1236" s="281">
        <f t="shared" ref="AS1236:AS1299" si="573">IF(AND(I1236&gt;0, ISNUMBER(I1236)),I1236*AH1236,0)</f>
        <v>0</v>
      </c>
      <c r="AT1236" s="284">
        <f t="shared" ref="AT1236:AT1299" si="574">IF(AND(I1236&gt;0, ISNUMBER(I1236)),I1236*(AP1236-(AQ1236+AR1236+AS1236)),0)</f>
        <v>0</v>
      </c>
    </row>
    <row r="1237" spans="1:97" s="32" customFormat="1" ht="30.9" x14ac:dyDescent="0.8">
      <c r="A1237" s="262">
        <f>ROW()</f>
        <v>1237</v>
      </c>
      <c r="B1237" s="114"/>
      <c r="C1237" s="208"/>
      <c r="D1237" s="208"/>
      <c r="E1237" s="208"/>
      <c r="F1237" s="208"/>
      <c r="G1237" s="208"/>
      <c r="H1237" s="208"/>
      <c r="I1237" s="114"/>
      <c r="J1237" s="32" t="str">
        <f t="shared" si="567"/>
        <v/>
      </c>
      <c r="K1237" s="32" t="str">
        <f>IF(COUNTBLANK(R1237)&gt;0,"",CONCATENATE(R1237," for ",N1222))</f>
        <v/>
      </c>
      <c r="N1237" s="15" t="s">
        <v>127</v>
      </c>
      <c r="O1237" s="66"/>
      <c r="P1237" s="12"/>
      <c r="Q1237" s="12"/>
      <c r="R1237" s="12"/>
      <c r="S1237" s="28">
        <f>M1222</f>
        <v>0</v>
      </c>
      <c r="T1237" s="11"/>
      <c r="U1237" s="12" t="s">
        <v>292</v>
      </c>
      <c r="V1237" s="28">
        <f t="shared" si="561"/>
        <v>0</v>
      </c>
      <c r="W1237" s="28">
        <f>VLOOKUP(U1237,Sheet1!$B$6:$C$45,2,FALSE)*V1237</f>
        <v>0</v>
      </c>
      <c r="X1237" s="59"/>
      <c r="Y1237" s="12" t="s">
        <v>292</v>
      </c>
      <c r="Z1237" s="68">
        <f>VLOOKUP(Takeoffs!Y1237,Sheet1!$B$6:$C$124,2,FALSE)</f>
        <v>0</v>
      </c>
      <c r="AA1237" s="68">
        <f t="shared" si="562"/>
        <v>0</v>
      </c>
      <c r="AB1237" s="63">
        <f t="shared" si="563"/>
        <v>0</v>
      </c>
      <c r="AC1237" s="28">
        <f t="shared" si="569"/>
        <v>0</v>
      </c>
      <c r="AD1237" s="61">
        <v>1</v>
      </c>
      <c r="AE1237" s="59"/>
      <c r="AF1237" s="12" t="s">
        <v>292</v>
      </c>
      <c r="AG1237" s="68">
        <f>VLOOKUP(Takeoffs!AF1237,Sheet1!$B$6:$C$124,2,FALSE)</f>
        <v>0</v>
      </c>
      <c r="AH1237" s="68">
        <f t="shared" si="564"/>
        <v>0</v>
      </c>
      <c r="AI1237" s="63">
        <f t="shared" si="565"/>
        <v>0</v>
      </c>
      <c r="AJ1237" s="28">
        <f t="shared" si="566"/>
        <v>0</v>
      </c>
      <c r="AK1237" s="61">
        <f t="shared" si="568"/>
        <v>0</v>
      </c>
      <c r="AL1237" s="59"/>
      <c r="AO1237" s="286"/>
      <c r="AP1237" s="284">
        <f t="shared" si="570"/>
        <v>0</v>
      </c>
      <c r="AQ1237" s="281">
        <f t="shared" si="571"/>
        <v>0</v>
      </c>
      <c r="AR1237" s="284">
        <f t="shared" si="572"/>
        <v>0</v>
      </c>
      <c r="AS1237" s="281">
        <f t="shared" si="573"/>
        <v>0</v>
      </c>
      <c r="AT1237" s="284">
        <f t="shared" si="574"/>
        <v>0</v>
      </c>
    </row>
    <row r="1238" spans="1:97" s="32" customFormat="1" ht="30.9" x14ac:dyDescent="0.8">
      <c r="A1238" s="262">
        <f>ROW()</f>
        <v>1238</v>
      </c>
      <c r="B1238" s="114"/>
      <c r="C1238" s="208"/>
      <c r="D1238" s="208"/>
      <c r="E1238" s="208"/>
      <c r="F1238" s="208"/>
      <c r="G1238" s="208"/>
      <c r="H1238" s="208"/>
      <c r="I1238" s="114"/>
      <c r="J1238" s="32" t="str">
        <f t="shared" si="567"/>
        <v/>
      </c>
      <c r="K1238" s="32" t="str">
        <f>IF(COUNTBLANK(R1238)&gt;0,"",CONCATENATE(R1238," for ",N1222))</f>
        <v/>
      </c>
      <c r="N1238" s="15" t="s">
        <v>128</v>
      </c>
      <c r="O1238" s="66"/>
      <c r="P1238" s="12"/>
      <c r="Q1238" s="12"/>
      <c r="R1238" s="12"/>
      <c r="S1238" s="28">
        <f>M1222</f>
        <v>0</v>
      </c>
      <c r="T1238" s="11"/>
      <c r="U1238" s="12" t="s">
        <v>292</v>
      </c>
      <c r="V1238" s="28">
        <f t="shared" si="561"/>
        <v>0</v>
      </c>
      <c r="W1238" s="28">
        <f>VLOOKUP(U1238,Sheet1!$B$6:$C$45,2,FALSE)*V1238</f>
        <v>0</v>
      </c>
      <c r="X1238" s="59"/>
      <c r="Y1238" s="12" t="s">
        <v>292</v>
      </c>
      <c r="Z1238" s="68">
        <f>VLOOKUP(Takeoffs!Y1238,Sheet1!$B$6:$C$124,2,FALSE)</f>
        <v>0</v>
      </c>
      <c r="AA1238" s="68">
        <f t="shared" si="562"/>
        <v>0</v>
      </c>
      <c r="AB1238" s="63">
        <f t="shared" si="563"/>
        <v>0</v>
      </c>
      <c r="AC1238" s="28">
        <f t="shared" si="569"/>
        <v>0</v>
      </c>
      <c r="AD1238" s="61">
        <v>1</v>
      </c>
      <c r="AE1238" s="59"/>
      <c r="AF1238" s="12" t="s">
        <v>292</v>
      </c>
      <c r="AG1238" s="68">
        <f>VLOOKUP(Takeoffs!AF1238,Sheet1!$B$6:$C$124,2,FALSE)</f>
        <v>0</v>
      </c>
      <c r="AH1238" s="68">
        <f t="shared" si="564"/>
        <v>0</v>
      </c>
      <c r="AI1238" s="63">
        <f t="shared" si="565"/>
        <v>0</v>
      </c>
      <c r="AJ1238" s="28">
        <f t="shared" si="566"/>
        <v>0</v>
      </c>
      <c r="AK1238" s="61">
        <f t="shared" si="568"/>
        <v>0</v>
      </c>
      <c r="AL1238" s="59"/>
      <c r="AO1238" s="286"/>
      <c r="AP1238" s="284">
        <f t="shared" si="570"/>
        <v>0</v>
      </c>
      <c r="AQ1238" s="281">
        <f t="shared" si="571"/>
        <v>0</v>
      </c>
      <c r="AR1238" s="284">
        <f t="shared" si="572"/>
        <v>0</v>
      </c>
      <c r="AS1238" s="281">
        <f t="shared" si="573"/>
        <v>0</v>
      </c>
      <c r="AT1238" s="284">
        <f t="shared" si="574"/>
        <v>0</v>
      </c>
    </row>
    <row r="1239" spans="1:97" s="32" customFormat="1" ht="30.9" x14ac:dyDescent="0.8">
      <c r="A1239" s="262">
        <f>ROW()</f>
        <v>1239</v>
      </c>
      <c r="B1239" s="114"/>
      <c r="C1239" s="208"/>
      <c r="D1239" s="208"/>
      <c r="E1239" s="208"/>
      <c r="F1239" s="208"/>
      <c r="G1239" s="208"/>
      <c r="H1239" s="208"/>
      <c r="I1239" s="114"/>
      <c r="J1239" s="32" t="str">
        <f t="shared" si="567"/>
        <v/>
      </c>
      <c r="K1239" s="32" t="str">
        <f>IF(COUNTBLANK(R1239)&gt;0,"",CONCATENATE(R1239," for ",N1222))</f>
        <v/>
      </c>
      <c r="N1239" s="15" t="s">
        <v>129</v>
      </c>
      <c r="O1239" s="66"/>
      <c r="P1239" s="12"/>
      <c r="Q1239" s="12"/>
      <c r="R1239" s="12"/>
      <c r="S1239" s="28">
        <f>M1222</f>
        <v>0</v>
      </c>
      <c r="T1239" s="11"/>
      <c r="U1239" s="12" t="s">
        <v>292</v>
      </c>
      <c r="V1239" s="28">
        <f t="shared" si="561"/>
        <v>0</v>
      </c>
      <c r="W1239" s="28">
        <f>VLOOKUP(U1239,Sheet1!$B$6:$C$45,2,FALSE)*V1239</f>
        <v>0</v>
      </c>
      <c r="X1239" s="59"/>
      <c r="Y1239" s="12" t="s">
        <v>292</v>
      </c>
      <c r="Z1239" s="68">
        <f>VLOOKUP(Takeoffs!Y1239,Sheet1!$B$6:$C$124,2,FALSE)</f>
        <v>0</v>
      </c>
      <c r="AA1239" s="68">
        <f t="shared" si="562"/>
        <v>0</v>
      </c>
      <c r="AB1239" s="63">
        <f t="shared" si="563"/>
        <v>0</v>
      </c>
      <c r="AC1239" s="28">
        <f t="shared" si="569"/>
        <v>0</v>
      </c>
      <c r="AD1239" s="61">
        <v>1</v>
      </c>
      <c r="AE1239" s="59"/>
      <c r="AF1239" s="12" t="s">
        <v>292</v>
      </c>
      <c r="AG1239" s="68">
        <f>VLOOKUP(Takeoffs!AF1239,Sheet1!$B$6:$C$124,2,FALSE)</f>
        <v>0</v>
      </c>
      <c r="AH1239" s="68">
        <f t="shared" si="564"/>
        <v>0</v>
      </c>
      <c r="AI1239" s="63">
        <f t="shared" si="565"/>
        <v>0</v>
      </c>
      <c r="AJ1239" s="28">
        <f t="shared" si="566"/>
        <v>0</v>
      </c>
      <c r="AK1239" s="61">
        <f t="shared" si="568"/>
        <v>0</v>
      </c>
      <c r="AL1239" s="59"/>
      <c r="AO1239" s="286"/>
      <c r="AP1239" s="284">
        <f t="shared" si="570"/>
        <v>0</v>
      </c>
      <c r="AQ1239" s="281">
        <f t="shared" si="571"/>
        <v>0</v>
      </c>
      <c r="AR1239" s="284">
        <f t="shared" si="572"/>
        <v>0</v>
      </c>
      <c r="AS1239" s="281">
        <f t="shared" si="573"/>
        <v>0</v>
      </c>
      <c r="AT1239" s="284">
        <f t="shared" si="574"/>
        <v>0</v>
      </c>
    </row>
    <row r="1240" spans="1:97" s="32" customFormat="1" ht="30.9" x14ac:dyDescent="0.8">
      <c r="A1240" s="262">
        <f>ROW()</f>
        <v>1240</v>
      </c>
      <c r="B1240" s="114"/>
      <c r="C1240" s="208"/>
      <c r="D1240" s="208"/>
      <c r="E1240" s="208"/>
      <c r="F1240" s="208"/>
      <c r="G1240" s="208"/>
      <c r="H1240" s="208"/>
      <c r="I1240" s="114"/>
      <c r="J1240" s="32" t="str">
        <f t="shared" si="567"/>
        <v/>
      </c>
      <c r="K1240" s="32" t="str">
        <f>IF(COUNTBLANK(R1240)&gt;0,"",CONCATENATE(R1240," for ",N1222))</f>
        <v/>
      </c>
      <c r="N1240" s="15" t="s">
        <v>130</v>
      </c>
      <c r="O1240" s="66"/>
      <c r="P1240" s="12"/>
      <c r="Q1240" s="12"/>
      <c r="R1240" s="12"/>
      <c r="S1240" s="28">
        <f>M1222</f>
        <v>0</v>
      </c>
      <c r="T1240" s="11"/>
      <c r="U1240" s="12" t="s">
        <v>292</v>
      </c>
      <c r="V1240" s="28">
        <f t="shared" si="561"/>
        <v>0</v>
      </c>
      <c r="W1240" s="28">
        <f>VLOOKUP(U1240,Sheet1!$B$6:$C$45,2,FALSE)*V1240</f>
        <v>0</v>
      </c>
      <c r="X1240" s="59"/>
      <c r="Y1240" s="12" t="s">
        <v>292</v>
      </c>
      <c r="Z1240" s="68">
        <f>VLOOKUP(Takeoffs!Y1240,Sheet1!$B$6:$C$124,2,FALSE)</f>
        <v>0</v>
      </c>
      <c r="AA1240" s="68">
        <f t="shared" si="562"/>
        <v>0</v>
      </c>
      <c r="AB1240" s="63">
        <f t="shared" si="563"/>
        <v>0</v>
      </c>
      <c r="AC1240" s="28">
        <f t="shared" si="569"/>
        <v>0</v>
      </c>
      <c r="AD1240" s="61">
        <v>1</v>
      </c>
      <c r="AE1240" s="59"/>
      <c r="AF1240" s="12" t="s">
        <v>292</v>
      </c>
      <c r="AG1240" s="68">
        <f>VLOOKUP(Takeoffs!AF1240,Sheet1!$B$6:$C$124,2,FALSE)</f>
        <v>0</v>
      </c>
      <c r="AH1240" s="68">
        <f t="shared" si="564"/>
        <v>0</v>
      </c>
      <c r="AI1240" s="63">
        <f t="shared" si="565"/>
        <v>0</v>
      </c>
      <c r="AJ1240" s="28">
        <f t="shared" si="566"/>
        <v>0</v>
      </c>
      <c r="AK1240" s="61">
        <f t="shared" si="568"/>
        <v>0</v>
      </c>
      <c r="AL1240" s="59"/>
      <c r="AO1240" s="286"/>
      <c r="AP1240" s="284">
        <f t="shared" si="570"/>
        <v>0</v>
      </c>
      <c r="AQ1240" s="281">
        <f t="shared" si="571"/>
        <v>0</v>
      </c>
      <c r="AR1240" s="284">
        <f t="shared" si="572"/>
        <v>0</v>
      </c>
      <c r="AS1240" s="281">
        <f t="shared" si="573"/>
        <v>0</v>
      </c>
      <c r="AT1240" s="284">
        <f t="shared" si="574"/>
        <v>0</v>
      </c>
    </row>
    <row r="1241" spans="1:97" s="32" customFormat="1" ht="30.9" x14ac:dyDescent="0.8">
      <c r="A1241" s="262">
        <f>ROW()</f>
        <v>1241</v>
      </c>
      <c r="B1241" s="114"/>
      <c r="C1241" s="208"/>
      <c r="D1241" s="208"/>
      <c r="E1241" s="208"/>
      <c r="F1241" s="208"/>
      <c r="G1241" s="208"/>
      <c r="H1241" s="208"/>
      <c r="I1241" s="114"/>
      <c r="J1241" s="32" t="str">
        <f t="shared" si="567"/>
        <v/>
      </c>
      <c r="K1241" s="32" t="str">
        <f>IF(COUNTBLANK(R1241)&gt;0,"",CONCATENATE(R1241," for ",N1222))</f>
        <v/>
      </c>
      <c r="N1241" s="15" t="s">
        <v>131</v>
      </c>
      <c r="O1241" s="66"/>
      <c r="P1241" s="12"/>
      <c r="Q1241" s="12"/>
      <c r="R1241" s="12"/>
      <c r="S1241" s="28">
        <f>M1222</f>
        <v>0</v>
      </c>
      <c r="T1241" s="11"/>
      <c r="U1241" s="12" t="s">
        <v>292</v>
      </c>
      <c r="V1241" s="28">
        <f t="shared" si="561"/>
        <v>0</v>
      </c>
      <c r="W1241" s="28">
        <f>VLOOKUP(U1241,Sheet1!$B$6:$C$45,2,FALSE)*V1241</f>
        <v>0</v>
      </c>
      <c r="X1241" s="59"/>
      <c r="Y1241" s="12" t="s">
        <v>292</v>
      </c>
      <c r="Z1241" s="68">
        <f>VLOOKUP(Takeoffs!Y1241,Sheet1!$B$6:$C$124,2,FALSE)</f>
        <v>0</v>
      </c>
      <c r="AA1241" s="68">
        <f t="shared" si="562"/>
        <v>0</v>
      </c>
      <c r="AB1241" s="63">
        <f t="shared" si="563"/>
        <v>0</v>
      </c>
      <c r="AC1241" s="28">
        <f t="shared" si="569"/>
        <v>0</v>
      </c>
      <c r="AD1241" s="61">
        <v>1</v>
      </c>
      <c r="AE1241" s="59"/>
      <c r="AF1241" s="12" t="s">
        <v>292</v>
      </c>
      <c r="AG1241" s="68">
        <f>VLOOKUP(Takeoffs!AF1241,Sheet1!$B$6:$C$124,2,FALSE)</f>
        <v>0</v>
      </c>
      <c r="AH1241" s="68">
        <f t="shared" si="564"/>
        <v>0</v>
      </c>
      <c r="AI1241" s="63">
        <f t="shared" si="565"/>
        <v>0</v>
      </c>
      <c r="AJ1241" s="28">
        <f t="shared" si="566"/>
        <v>0</v>
      </c>
      <c r="AK1241" s="61">
        <f t="shared" si="568"/>
        <v>0</v>
      </c>
      <c r="AL1241" s="59"/>
      <c r="AO1241" s="286"/>
      <c r="AP1241" s="284">
        <f t="shared" si="570"/>
        <v>0</v>
      </c>
      <c r="AQ1241" s="281">
        <f t="shared" si="571"/>
        <v>0</v>
      </c>
      <c r="AR1241" s="284">
        <f t="shared" si="572"/>
        <v>0</v>
      </c>
      <c r="AS1241" s="281">
        <f t="shared" si="573"/>
        <v>0</v>
      </c>
      <c r="AT1241" s="284">
        <f t="shared" si="574"/>
        <v>0</v>
      </c>
    </row>
    <row r="1242" spans="1:97" s="32" customFormat="1" ht="30.9" x14ac:dyDescent="0.8">
      <c r="A1242" s="262">
        <f>ROW()</f>
        <v>1242</v>
      </c>
      <c r="B1242" s="114"/>
      <c r="C1242" s="208"/>
      <c r="D1242" s="208"/>
      <c r="E1242" s="208"/>
      <c r="F1242" s="208"/>
      <c r="G1242" s="208"/>
      <c r="H1242" s="208"/>
      <c r="I1242" s="114"/>
      <c r="J1242" s="32" t="str">
        <f t="shared" si="567"/>
        <v/>
      </c>
      <c r="K1242" s="32" t="str">
        <f>IF(COUNTBLANK(R1242)&gt;0,"",CONCATENATE(R1242," for ",N1222))</f>
        <v/>
      </c>
      <c r="N1242" s="15" t="s">
        <v>132</v>
      </c>
      <c r="O1242" s="66"/>
      <c r="P1242" s="12"/>
      <c r="Q1242" s="12"/>
      <c r="R1242" s="12"/>
      <c r="S1242" s="28">
        <f>M1222</f>
        <v>0</v>
      </c>
      <c r="T1242" s="11"/>
      <c r="U1242" s="12" t="s">
        <v>292</v>
      </c>
      <c r="V1242" s="28">
        <f t="shared" si="561"/>
        <v>0</v>
      </c>
      <c r="W1242" s="28">
        <f>VLOOKUP(U1242,Sheet1!$B$6:$C$45,2,FALSE)*V1242</f>
        <v>0</v>
      </c>
      <c r="X1242" s="59"/>
      <c r="Y1242" s="12" t="s">
        <v>292</v>
      </c>
      <c r="Z1242" s="68">
        <f>VLOOKUP(Takeoffs!Y1242,Sheet1!$B$6:$C$124,2,FALSE)</f>
        <v>0</v>
      </c>
      <c r="AA1242" s="68">
        <f t="shared" si="562"/>
        <v>0</v>
      </c>
      <c r="AB1242" s="63">
        <f t="shared" si="563"/>
        <v>0</v>
      </c>
      <c r="AC1242" s="28">
        <f t="shared" si="569"/>
        <v>0</v>
      </c>
      <c r="AD1242" s="61">
        <v>1</v>
      </c>
      <c r="AE1242" s="59"/>
      <c r="AF1242" s="12" t="s">
        <v>292</v>
      </c>
      <c r="AG1242" s="68">
        <f>VLOOKUP(Takeoffs!AF1242,Sheet1!$B$6:$C$124,2,FALSE)</f>
        <v>0</v>
      </c>
      <c r="AH1242" s="68">
        <f t="shared" si="564"/>
        <v>0</v>
      </c>
      <c r="AI1242" s="63">
        <f t="shared" si="565"/>
        <v>0</v>
      </c>
      <c r="AJ1242" s="28">
        <f t="shared" si="566"/>
        <v>0</v>
      </c>
      <c r="AK1242" s="61">
        <f t="shared" si="568"/>
        <v>0</v>
      </c>
      <c r="AL1242" s="59"/>
      <c r="AO1242" s="286"/>
      <c r="AP1242" s="284">
        <f t="shared" si="570"/>
        <v>0</v>
      </c>
      <c r="AQ1242" s="281">
        <f t="shared" si="571"/>
        <v>0</v>
      </c>
      <c r="AR1242" s="284">
        <f t="shared" si="572"/>
        <v>0</v>
      </c>
      <c r="AS1242" s="281">
        <f t="shared" si="573"/>
        <v>0</v>
      </c>
      <c r="AT1242" s="284">
        <f t="shared" si="574"/>
        <v>0</v>
      </c>
    </row>
    <row r="1243" spans="1:97" s="21" customFormat="1" ht="31.5" customHeight="1" x14ac:dyDescent="0.8">
      <c r="A1243" s="262">
        <f>ROW()</f>
        <v>1243</v>
      </c>
      <c r="B1243" s="128"/>
      <c r="C1243" s="212"/>
      <c r="D1243" s="212"/>
      <c r="E1243" s="212"/>
      <c r="F1243" s="212"/>
      <c r="G1243" s="212"/>
      <c r="H1243" s="212"/>
      <c r="I1243" s="128"/>
      <c r="J1243" s="21" t="s">
        <v>377</v>
      </c>
      <c r="L1243" s="21" t="s">
        <v>378</v>
      </c>
      <c r="N1243" s="22"/>
      <c r="O1243" s="23" t="s">
        <v>357</v>
      </c>
      <c r="P1243" s="82">
        <f>V1243+AA1243+AH1243</f>
        <v>0</v>
      </c>
      <c r="Q1243" s="24"/>
      <c r="R1243" s="24"/>
      <c r="S1243" s="23"/>
      <c r="T1243" s="20"/>
      <c r="U1243" s="19" t="s">
        <v>351</v>
      </c>
      <c r="V1243" s="20">
        <f>W1243*80</f>
        <v>0</v>
      </c>
      <c r="W1243" s="69">
        <f>SUM(W1222:W1242)</f>
        <v>0</v>
      </c>
      <c r="X1243" s="70"/>
      <c r="Y1243" s="20" t="s">
        <v>352</v>
      </c>
      <c r="Z1243" s="2"/>
      <c r="AA1243" s="2">
        <f>SUM(AA1222:AA1242)</f>
        <v>0</v>
      </c>
      <c r="AB1243" s="71"/>
      <c r="AC1243" s="71"/>
      <c r="AD1243" s="71"/>
      <c r="AE1243" s="71"/>
      <c r="AF1243" s="20" t="s">
        <v>356</v>
      </c>
      <c r="AG1243" s="2"/>
      <c r="AH1243" s="2">
        <f>SUM(AH1222:AH1242)</f>
        <v>0</v>
      </c>
      <c r="AI1243" s="71"/>
      <c r="AJ1243" s="71"/>
      <c r="AK1243" s="71"/>
      <c r="AL1243" s="71"/>
      <c r="AM1243" s="150">
        <f>P1243</f>
        <v>0</v>
      </c>
      <c r="AO1243" s="286"/>
      <c r="AP1243" s="284">
        <f t="shared" si="570"/>
        <v>0</v>
      </c>
      <c r="AQ1243" s="281">
        <f t="shared" si="571"/>
        <v>0</v>
      </c>
      <c r="AR1243" s="284">
        <f t="shared" si="572"/>
        <v>0</v>
      </c>
      <c r="AS1243" s="281">
        <f t="shared" si="573"/>
        <v>0</v>
      </c>
      <c r="AT1243" s="284">
        <f t="shared" si="574"/>
        <v>0</v>
      </c>
    </row>
    <row r="1244" spans="1:97" s="234" customFormat="1" ht="92.6" x14ac:dyDescent="0.8">
      <c r="A1244" s="262">
        <f>ROW()</f>
        <v>1244</v>
      </c>
      <c r="B1244" s="234" t="s">
        <v>491</v>
      </c>
      <c r="C1244" s="217" t="str">
        <f>N1222</f>
        <v>VRF outdoor units</v>
      </c>
      <c r="D1244" s="260" t="s">
        <v>679</v>
      </c>
      <c r="E1244" s="238"/>
      <c r="F1244" s="217"/>
      <c r="G1244" s="217"/>
      <c r="H1244" s="245"/>
      <c r="I1244" s="270"/>
      <c r="J1244" s="241" t="str">
        <f>CONCATENATE(O1222," ",L1222, " (",M1222,") ",N1222,".", IF(M1222&gt;1," Each "," This "),"includes supply and install of ",O1223,O1224,O1225,O1226,O1227,O1228,O1229,O1230,O1231,O1232,O1233,O1234,O1235,O1236,O1237,O1238,O1239,O1240,O1241,O1242,J1223,J1224,J1225,J1226,J1227,J1228,J1229,J1230,J1231,J1232,J1233,J1234,J1235,J1236,J1237,J1238,J1239,J1240,J1241,J1242)</f>
        <v xml:space="preserve">Electrical power supply to Zero (0) VRF outdoor units. This includes supply and install of cabling from electricians isolator to unit. Coordination Note: - Builder's Electrician : Please refer to our exclusions relating to local power supply and isolator for apartment condenser units. </v>
      </c>
      <c r="K1244" s="246">
        <f>P1243</f>
        <v>0</v>
      </c>
      <c r="L1244" s="234" t="str">
        <f>CONCATENATE(Q1223,Q1224,Q1225,Q1226,Q1227,Q1228,Q1229,Q1230,Q1231,Q1232,Q1233,Q1234,Q1235,Q1236,Q1237,Q1238,Q1239,Q1240,Q1241,Q1242,)</f>
        <v xml:space="preserve">local power supply and isolator for apartment condenser units. </v>
      </c>
      <c r="M1244" s="91" t="s">
        <v>367</v>
      </c>
      <c r="N1244" s="83" t="str">
        <f>N1222</f>
        <v>VRF outdoor units</v>
      </c>
      <c r="O1244" s="83" t="s">
        <v>365</v>
      </c>
      <c r="P1244" s="84" t="e">
        <f>P1243/M1222</f>
        <v>#DIV/0!</v>
      </c>
      <c r="Q1244" s="84"/>
      <c r="R1244" s="84"/>
      <c r="S1244" s="83"/>
      <c r="T1244" s="84"/>
      <c r="U1244" s="503" t="s">
        <v>366</v>
      </c>
      <c r="V1244" s="503"/>
      <c r="W1244" s="85" t="e">
        <f>W1243/M1222</f>
        <v>#DIV/0!</v>
      </c>
      <c r="X1244" s="86"/>
      <c r="Y1244" s="501" t="s">
        <v>365</v>
      </c>
      <c r="Z1244" s="501"/>
      <c r="AA1244" s="87" t="e">
        <f>AA1243/M1222</f>
        <v>#DIV/0!</v>
      </c>
      <c r="AB1244" s="84"/>
      <c r="AC1244" s="84"/>
      <c r="AD1244" s="84"/>
      <c r="AE1244" s="84"/>
      <c r="AF1244" s="501" t="s">
        <v>365</v>
      </c>
      <c r="AG1244" s="501"/>
      <c r="AH1244" s="87" t="e">
        <f>AH1243/M1222</f>
        <v>#DIV/0!</v>
      </c>
      <c r="AI1244" s="84"/>
      <c r="AJ1244" s="84"/>
      <c r="AK1244" s="84"/>
      <c r="AL1244" s="247"/>
      <c r="AM1244" s="257"/>
      <c r="AN1244" s="236">
        <f>K1244*1.25</f>
        <v>0</v>
      </c>
      <c r="AO1244" s="286"/>
      <c r="AP1244" s="284">
        <f t="shared" si="570"/>
        <v>0</v>
      </c>
      <c r="AQ1244" s="281">
        <f t="shared" si="571"/>
        <v>0</v>
      </c>
      <c r="AR1244" s="284">
        <f t="shared" si="572"/>
        <v>0</v>
      </c>
      <c r="AS1244" s="281">
        <f t="shared" si="573"/>
        <v>0</v>
      </c>
      <c r="AT1244" s="284">
        <f t="shared" si="574"/>
        <v>0</v>
      </c>
      <c r="AU1244" s="117"/>
      <c r="AV1244" s="117"/>
      <c r="AW1244" s="117"/>
      <c r="AX1244" s="117"/>
      <c r="AY1244" s="117"/>
      <c r="AZ1244" s="117"/>
      <c r="BA1244" s="117"/>
      <c r="BB1244" s="117"/>
      <c r="BC1244" s="117"/>
      <c r="BD1244" s="117"/>
      <c r="BE1244" s="117"/>
      <c r="BF1244" s="117"/>
      <c r="BG1244" s="117"/>
      <c r="BH1244" s="117"/>
      <c r="BI1244" s="117"/>
      <c r="BJ1244" s="117"/>
      <c r="BK1244" s="117"/>
      <c r="BL1244" s="117"/>
      <c r="BM1244" s="117"/>
      <c r="BN1244" s="117"/>
      <c r="BO1244" s="117"/>
      <c r="BP1244" s="117"/>
      <c r="BQ1244" s="117"/>
      <c r="BR1244" s="117"/>
      <c r="BS1244" s="117"/>
      <c r="BT1244" s="117"/>
      <c r="BU1244" s="117"/>
      <c r="BV1244" s="117"/>
      <c r="BW1244" s="117"/>
      <c r="BX1244" s="117"/>
      <c r="BY1244" s="117"/>
      <c r="BZ1244" s="117"/>
      <c r="CA1244" s="117"/>
      <c r="CB1244" s="117"/>
      <c r="CC1244" s="117"/>
      <c r="CD1244" s="117"/>
      <c r="CE1244" s="117"/>
      <c r="CF1244" s="117"/>
      <c r="CG1244" s="117"/>
      <c r="CH1244" s="117"/>
      <c r="CI1244" s="117"/>
      <c r="CJ1244" s="117"/>
      <c r="CK1244" s="117"/>
      <c r="CL1244" s="117"/>
      <c r="CM1244" s="117"/>
      <c r="CN1244" s="117"/>
      <c r="CO1244" s="117"/>
      <c r="CP1244" s="117"/>
      <c r="CQ1244" s="117"/>
      <c r="CR1244" s="117"/>
      <c r="CS1244" s="117"/>
    </row>
    <row r="1245" spans="1:97" s="116" customFormat="1" ht="192.75" customHeight="1" x14ac:dyDescent="0.8">
      <c r="A1245" s="262">
        <f>ROW()</f>
        <v>1245</v>
      </c>
      <c r="C1245" s="211"/>
      <c r="D1245" s="211"/>
      <c r="E1245" s="211"/>
      <c r="F1245" s="211"/>
      <c r="G1245" s="211"/>
      <c r="H1245" s="211"/>
      <c r="K1245" s="116" t="s">
        <v>452</v>
      </c>
      <c r="M1245" s="116" t="s">
        <v>298</v>
      </c>
      <c r="N1245" s="116" t="s">
        <v>108</v>
      </c>
      <c r="O1245" s="170" t="s">
        <v>386</v>
      </c>
      <c r="P1245" s="502" t="s">
        <v>375</v>
      </c>
      <c r="Q1245" s="502"/>
      <c r="R1245" s="101" t="s">
        <v>452</v>
      </c>
      <c r="S1245" s="116" t="s">
        <v>0</v>
      </c>
      <c r="T1245" s="118"/>
      <c r="U1245" s="116" t="s">
        <v>287</v>
      </c>
      <c r="V1245" s="116" t="s">
        <v>288</v>
      </c>
      <c r="W1245" s="116" t="s">
        <v>291</v>
      </c>
      <c r="X1245" s="140"/>
      <c r="Y1245" s="116" t="s">
        <v>289</v>
      </c>
      <c r="Z1245" s="116" t="s">
        <v>354</v>
      </c>
      <c r="AA1245" s="116" t="s">
        <v>355</v>
      </c>
      <c r="AB1245" s="116" t="s">
        <v>317</v>
      </c>
      <c r="AC1245" s="116" t="s">
        <v>318</v>
      </c>
      <c r="AD1245" s="116" t="s">
        <v>316</v>
      </c>
      <c r="AE1245" s="140"/>
      <c r="AF1245" s="116" t="s">
        <v>293</v>
      </c>
      <c r="AG1245" s="116" t="s">
        <v>354</v>
      </c>
      <c r="AH1245" s="116" t="s">
        <v>355</v>
      </c>
      <c r="AI1245" s="116" t="s">
        <v>296</v>
      </c>
      <c r="AJ1245" s="116" t="s">
        <v>294</v>
      </c>
      <c r="AK1245" s="116" t="s">
        <v>295</v>
      </c>
      <c r="AL1245" s="140"/>
      <c r="AO1245" s="288"/>
      <c r="AP1245" s="284">
        <f t="shared" si="570"/>
        <v>0</v>
      </c>
      <c r="AQ1245" s="281">
        <f t="shared" si="571"/>
        <v>0</v>
      </c>
      <c r="AR1245" s="284">
        <f t="shared" si="572"/>
        <v>0</v>
      </c>
      <c r="AS1245" s="281">
        <f t="shared" si="573"/>
        <v>0</v>
      </c>
      <c r="AT1245" s="284">
        <f t="shared" si="574"/>
        <v>0</v>
      </c>
    </row>
    <row r="1246" spans="1:97" s="114" customFormat="1" ht="59.25" customHeight="1" x14ac:dyDescent="0.8">
      <c r="A1246" s="262">
        <f>ROW()</f>
        <v>1246</v>
      </c>
      <c r="C1246" s="208"/>
      <c r="D1246" s="208"/>
      <c r="E1246" s="208"/>
      <c r="F1246" s="208"/>
      <c r="G1246" s="208"/>
      <c r="H1246" s="208"/>
      <c r="L1246" s="124" t="str">
        <f>VLOOKUP(M1246,Sheet2!$D$2:$E$1024,2,FALSE)</f>
        <v>Zero</v>
      </c>
      <c r="M1246" s="121">
        <f>I1268</f>
        <v>0</v>
      </c>
      <c r="N1246" s="132" t="s">
        <v>592</v>
      </c>
      <c r="O1246" s="121" t="s">
        <v>138</v>
      </c>
      <c r="P1246" s="169" t="s">
        <v>379</v>
      </c>
      <c r="Q1246" s="169" t="s">
        <v>375</v>
      </c>
      <c r="R1246" s="169"/>
      <c r="S1246" s="133">
        <f>M1246</f>
        <v>0</v>
      </c>
      <c r="T1246" s="119"/>
      <c r="U1246" s="121" t="s">
        <v>292</v>
      </c>
      <c r="V1246" s="133">
        <f>S1246</f>
        <v>0</v>
      </c>
      <c r="W1246" s="133">
        <f>VLOOKUP(U1246,Sheet1!$B$6:$C$45,2,FALSE)*V1246</f>
        <v>0</v>
      </c>
      <c r="X1246" s="141"/>
      <c r="Y1246" s="121" t="s">
        <v>292</v>
      </c>
      <c r="Z1246" s="146">
        <f>VLOOKUP(Takeoffs!Y1246,Sheet1!$B$6:$C$124,2,FALSE)</f>
        <v>0</v>
      </c>
      <c r="AA1246" s="146">
        <f>Z1246*AB1246</f>
        <v>0</v>
      </c>
      <c r="AB1246" s="143">
        <f>AD1246*AC1246</f>
        <v>0</v>
      </c>
      <c r="AC1246" s="133">
        <f>S1246</f>
        <v>0</v>
      </c>
      <c r="AD1246" s="142">
        <v>1</v>
      </c>
      <c r="AE1246" s="141"/>
      <c r="AF1246" s="121" t="s">
        <v>292</v>
      </c>
      <c r="AG1246" s="146">
        <f>VLOOKUP(Takeoffs!AF1246,Sheet1!$B$6:$C$124,2,FALSE)</f>
        <v>0</v>
      </c>
      <c r="AH1246" s="146">
        <f>AG1246*AI1246</f>
        <v>0</v>
      </c>
      <c r="AI1246" s="143">
        <f>AK1246*AJ1246</f>
        <v>0</v>
      </c>
      <c r="AJ1246" s="133">
        <f>S1246</f>
        <v>0</v>
      </c>
      <c r="AK1246" s="142">
        <f>T1246</f>
        <v>0</v>
      </c>
      <c r="AL1246" s="141"/>
      <c r="AO1246" s="286"/>
      <c r="AP1246" s="284">
        <f t="shared" si="570"/>
        <v>0</v>
      </c>
      <c r="AQ1246" s="281">
        <f t="shared" si="571"/>
        <v>0</v>
      </c>
      <c r="AR1246" s="284">
        <f t="shared" si="572"/>
        <v>0</v>
      </c>
      <c r="AS1246" s="281">
        <f t="shared" si="573"/>
        <v>0</v>
      </c>
      <c r="AT1246" s="284">
        <f t="shared" si="574"/>
        <v>0</v>
      </c>
    </row>
    <row r="1247" spans="1:97" s="114" customFormat="1" ht="30.9" x14ac:dyDescent="0.8">
      <c r="A1247" s="262">
        <f>ROW()</f>
        <v>1247</v>
      </c>
      <c r="C1247" s="208"/>
      <c r="D1247" s="208"/>
      <c r="E1247" s="208"/>
      <c r="F1247" s="208"/>
      <c r="G1247" s="208"/>
      <c r="H1247" s="208"/>
      <c r="J1247" s="114" t="str">
        <f>IF(COUNTBLANK(Q1247)&gt;0,"",CONCATENATE("Coordination Note: - ",P1247,": Please refer to our exclusions relating to ",Q1247))</f>
        <v xml:space="preserve">Coordination Note: - Customers in-house electrician: Please refer to our exclusions relating to interconnect cabling, </v>
      </c>
      <c r="K1247" s="114" t="str">
        <f>IF(COUNTBLANK(R1247)&gt;0,"",CONCATENATE(R1247," for ",N1246))</f>
        <v/>
      </c>
      <c r="M1247" s="117"/>
      <c r="N1247" s="123" t="s">
        <v>113</v>
      </c>
      <c r="O1247" s="66"/>
      <c r="P1247" s="121" t="s">
        <v>593</v>
      </c>
      <c r="Q1247" s="66" t="s">
        <v>426</v>
      </c>
      <c r="R1247" s="121"/>
      <c r="S1247" s="133">
        <f>M1246</f>
        <v>0</v>
      </c>
      <c r="T1247" s="120"/>
      <c r="U1247" s="121" t="s">
        <v>292</v>
      </c>
      <c r="V1247" s="133">
        <f t="shared" ref="V1247:V1266" si="575">S1247</f>
        <v>0</v>
      </c>
      <c r="W1247" s="133">
        <f>VLOOKUP(U1247,Sheet1!$B$6:$C$45,2,FALSE)*V1247</f>
        <v>0</v>
      </c>
      <c r="X1247" s="141"/>
      <c r="Y1247" s="121" t="s">
        <v>292</v>
      </c>
      <c r="Z1247" s="146">
        <f>VLOOKUP(Takeoffs!Y1247,Sheet1!$B$6:$C$124,2,FALSE)</f>
        <v>0</v>
      </c>
      <c r="AA1247" s="146">
        <f t="shared" ref="AA1247:AA1266" si="576">Z1247*AB1247</f>
        <v>0</v>
      </c>
      <c r="AB1247" s="143">
        <f t="shared" ref="AB1247:AB1266" si="577">AD1247*AC1247</f>
        <v>0</v>
      </c>
      <c r="AC1247" s="133">
        <f t="shared" ref="AC1247:AC1266" si="578">S1247</f>
        <v>0</v>
      </c>
      <c r="AD1247" s="142">
        <v>1</v>
      </c>
      <c r="AE1247" s="141"/>
      <c r="AF1247" s="121" t="s">
        <v>292</v>
      </c>
      <c r="AG1247" s="146">
        <f>VLOOKUP(Takeoffs!AF1247,Sheet1!$B$6:$C$124,2,FALSE)</f>
        <v>0</v>
      </c>
      <c r="AH1247" s="146">
        <f t="shared" ref="AH1247:AH1266" si="579">AG1247*AI1247</f>
        <v>0</v>
      </c>
      <c r="AI1247" s="143">
        <f t="shared" ref="AI1247:AI1266" si="580">AK1247*AJ1247</f>
        <v>0</v>
      </c>
      <c r="AJ1247" s="133">
        <f t="shared" ref="AJ1247:AJ1266" si="581">S1247</f>
        <v>0</v>
      </c>
      <c r="AK1247" s="142">
        <f t="shared" ref="AK1247:AK1266" si="582">T1247</f>
        <v>0</v>
      </c>
      <c r="AL1247" s="141"/>
      <c r="AO1247" s="286"/>
      <c r="AP1247" s="284">
        <f t="shared" si="570"/>
        <v>0</v>
      </c>
      <c r="AQ1247" s="281">
        <f t="shared" si="571"/>
        <v>0</v>
      </c>
      <c r="AR1247" s="284">
        <f t="shared" si="572"/>
        <v>0</v>
      </c>
      <c r="AS1247" s="281">
        <f t="shared" si="573"/>
        <v>0</v>
      </c>
      <c r="AT1247" s="284">
        <f t="shared" si="574"/>
        <v>0</v>
      </c>
    </row>
    <row r="1248" spans="1:97" s="114" customFormat="1" ht="30.9" x14ac:dyDescent="0.8">
      <c r="A1248" s="262">
        <f>ROW()</f>
        <v>1248</v>
      </c>
      <c r="C1248" s="208"/>
      <c r="D1248" s="208"/>
      <c r="E1248" s="208"/>
      <c r="F1248" s="208"/>
      <c r="G1248" s="208"/>
      <c r="H1248" s="208"/>
      <c r="J1248" s="114" t="str">
        <f t="shared" ref="J1248:J1266" si="583">IF(COUNTBLANK(Q1248)&gt;0,"",CONCATENATE("Coordination Note: - ",P1248,": Please refer to our exclusions relating to ",Q1248))</f>
        <v/>
      </c>
      <c r="K1248" s="114" t="str">
        <f>IF(COUNTBLANK(R1248)&gt;0,"",CONCATENATE(R1248," for ",N1246))</f>
        <v/>
      </c>
      <c r="M1248" s="117"/>
      <c r="N1248" s="123" t="s">
        <v>114</v>
      </c>
      <c r="O1248" s="66"/>
      <c r="P1248" s="121"/>
      <c r="Q1248" s="66"/>
      <c r="R1248" s="121"/>
      <c r="S1248" s="133">
        <f>M1246</f>
        <v>0</v>
      </c>
      <c r="T1248" s="120"/>
      <c r="U1248" s="121" t="s">
        <v>292</v>
      </c>
      <c r="V1248" s="133">
        <f t="shared" si="575"/>
        <v>0</v>
      </c>
      <c r="W1248" s="133">
        <f>VLOOKUP(U1248,Sheet1!$B$6:$C$45,2,FALSE)*V1248</f>
        <v>0</v>
      </c>
      <c r="X1248" s="141"/>
      <c r="Y1248" s="121" t="s">
        <v>292</v>
      </c>
      <c r="Z1248" s="146">
        <f>VLOOKUP(Takeoffs!Y1248,Sheet1!$B$6:$C$124,2,FALSE)</f>
        <v>0</v>
      </c>
      <c r="AA1248" s="146">
        <f t="shared" si="576"/>
        <v>0</v>
      </c>
      <c r="AB1248" s="143">
        <f t="shared" si="577"/>
        <v>0</v>
      </c>
      <c r="AC1248" s="133">
        <f t="shared" si="578"/>
        <v>0</v>
      </c>
      <c r="AD1248" s="142">
        <v>1</v>
      </c>
      <c r="AE1248" s="141"/>
      <c r="AF1248" s="121" t="s">
        <v>292</v>
      </c>
      <c r="AG1248" s="146">
        <f>VLOOKUP(Takeoffs!AF1248,Sheet1!$B$6:$C$124,2,FALSE)</f>
        <v>0</v>
      </c>
      <c r="AH1248" s="146">
        <f t="shared" si="579"/>
        <v>0</v>
      </c>
      <c r="AI1248" s="143">
        <f t="shared" si="580"/>
        <v>0</v>
      </c>
      <c r="AJ1248" s="133">
        <f t="shared" si="581"/>
        <v>0</v>
      </c>
      <c r="AK1248" s="142">
        <f t="shared" si="582"/>
        <v>0</v>
      </c>
      <c r="AL1248" s="141"/>
      <c r="AO1248" s="286"/>
      <c r="AP1248" s="284">
        <f t="shared" si="570"/>
        <v>0</v>
      </c>
      <c r="AQ1248" s="281">
        <f t="shared" si="571"/>
        <v>0</v>
      </c>
      <c r="AR1248" s="284">
        <f t="shared" si="572"/>
        <v>0</v>
      </c>
      <c r="AS1248" s="281">
        <f t="shared" si="573"/>
        <v>0</v>
      </c>
      <c r="AT1248" s="284">
        <f t="shared" si="574"/>
        <v>0</v>
      </c>
    </row>
    <row r="1249" spans="1:46" s="114" customFormat="1" ht="30.9" x14ac:dyDescent="0.8">
      <c r="A1249" s="262">
        <f>ROW()</f>
        <v>1249</v>
      </c>
      <c r="C1249" s="208"/>
      <c r="D1249" s="208"/>
      <c r="E1249" s="208"/>
      <c r="F1249" s="208"/>
      <c r="G1249" s="208"/>
      <c r="H1249" s="208"/>
      <c r="J1249" s="114" t="str">
        <f t="shared" si="583"/>
        <v xml:space="preserve">Coordination Note: - Customers in-house electrician: Please refer to our exclusions relating to and local power isolator ( for Indoor unit). </v>
      </c>
      <c r="K1249" s="114" t="str">
        <f>IF(COUNTBLANK(R1249)&gt;0,"",CONCATENATE(R1249," for ",N1246))</f>
        <v/>
      </c>
      <c r="M1249" s="117"/>
      <c r="N1249" s="123" t="s">
        <v>115</v>
      </c>
      <c r="O1249" s="66"/>
      <c r="P1249" s="121" t="s">
        <v>593</v>
      </c>
      <c r="Q1249" s="66" t="s">
        <v>413</v>
      </c>
      <c r="R1249" s="121"/>
      <c r="S1249" s="133">
        <f>M1246</f>
        <v>0</v>
      </c>
      <c r="T1249" s="120"/>
      <c r="U1249" s="121" t="s">
        <v>292</v>
      </c>
      <c r="V1249" s="133">
        <f t="shared" si="575"/>
        <v>0</v>
      </c>
      <c r="W1249" s="133">
        <f>VLOOKUP(U1249,Sheet1!$B$6:$C$45,2,FALSE)*V1249</f>
        <v>0</v>
      </c>
      <c r="X1249" s="141"/>
      <c r="Y1249" s="121" t="s">
        <v>292</v>
      </c>
      <c r="Z1249" s="146">
        <f>VLOOKUP(Takeoffs!Y1249,Sheet1!$B$6:$C$124,2,FALSE)</f>
        <v>0</v>
      </c>
      <c r="AA1249" s="146">
        <f t="shared" si="576"/>
        <v>0</v>
      </c>
      <c r="AB1249" s="143">
        <f t="shared" si="577"/>
        <v>0</v>
      </c>
      <c r="AC1249" s="133">
        <f t="shared" si="578"/>
        <v>0</v>
      </c>
      <c r="AD1249" s="142">
        <v>1</v>
      </c>
      <c r="AE1249" s="141"/>
      <c r="AF1249" s="121" t="s">
        <v>292</v>
      </c>
      <c r="AG1249" s="146">
        <f>VLOOKUP(Takeoffs!AF1249,Sheet1!$B$6:$C$124,2,FALSE)</f>
        <v>0</v>
      </c>
      <c r="AH1249" s="146">
        <f t="shared" si="579"/>
        <v>0</v>
      </c>
      <c r="AI1249" s="143">
        <f t="shared" si="580"/>
        <v>0</v>
      </c>
      <c r="AJ1249" s="133">
        <f t="shared" si="581"/>
        <v>0</v>
      </c>
      <c r="AK1249" s="142">
        <f t="shared" si="582"/>
        <v>0</v>
      </c>
      <c r="AL1249" s="141"/>
      <c r="AO1249" s="286"/>
      <c r="AP1249" s="284">
        <f t="shared" si="570"/>
        <v>0</v>
      </c>
      <c r="AQ1249" s="281">
        <f t="shared" si="571"/>
        <v>0</v>
      </c>
      <c r="AR1249" s="284">
        <f t="shared" si="572"/>
        <v>0</v>
      </c>
      <c r="AS1249" s="281">
        <f t="shared" si="573"/>
        <v>0</v>
      </c>
      <c r="AT1249" s="284">
        <f t="shared" si="574"/>
        <v>0</v>
      </c>
    </row>
    <row r="1250" spans="1:46" s="114" customFormat="1" ht="30.9" x14ac:dyDescent="0.8">
      <c r="A1250" s="262">
        <f>ROW()</f>
        <v>1250</v>
      </c>
      <c r="C1250" s="208"/>
      <c r="D1250" s="208"/>
      <c r="E1250" s="208"/>
      <c r="F1250" s="208"/>
      <c r="G1250" s="208"/>
      <c r="H1250" s="208"/>
      <c r="J1250" s="114" t="str">
        <f t="shared" si="583"/>
        <v xml:space="preserve">Coordination Note: - Customers in-house electrician: Please refer to our exclusions relating to proprietary air-conditioning controllers supply and installation. </v>
      </c>
      <c r="K1250" s="114" t="str">
        <f>IF(COUNTBLANK(R1250)&gt;0,"",CONCATENATE(R1250," for ",N1246))</f>
        <v/>
      </c>
      <c r="M1250" s="117"/>
      <c r="N1250" s="123" t="s">
        <v>116</v>
      </c>
      <c r="O1250" s="66"/>
      <c r="P1250" s="121" t="s">
        <v>593</v>
      </c>
      <c r="Q1250" s="121" t="s">
        <v>594</v>
      </c>
      <c r="R1250" s="121"/>
      <c r="S1250" s="133">
        <f>M1246</f>
        <v>0</v>
      </c>
      <c r="T1250" s="120"/>
      <c r="U1250" s="121" t="s">
        <v>292</v>
      </c>
      <c r="V1250" s="133">
        <f t="shared" si="575"/>
        <v>0</v>
      </c>
      <c r="W1250" s="133">
        <f>VLOOKUP(U1250,Sheet1!$B$6:$C$45,2,FALSE)*V1250</f>
        <v>0</v>
      </c>
      <c r="X1250" s="141"/>
      <c r="Y1250" s="121" t="s">
        <v>292</v>
      </c>
      <c r="Z1250" s="146">
        <f>VLOOKUP(Takeoffs!Y1250,Sheet1!$B$6:$C$124,2,FALSE)</f>
        <v>0</v>
      </c>
      <c r="AA1250" s="146">
        <f t="shared" si="576"/>
        <v>0</v>
      </c>
      <c r="AB1250" s="143">
        <f t="shared" si="577"/>
        <v>0</v>
      </c>
      <c r="AC1250" s="133">
        <f t="shared" si="578"/>
        <v>0</v>
      </c>
      <c r="AD1250" s="142">
        <v>1</v>
      </c>
      <c r="AE1250" s="141"/>
      <c r="AF1250" s="121" t="s">
        <v>292</v>
      </c>
      <c r="AG1250" s="146">
        <f>VLOOKUP(Takeoffs!AF1250,Sheet1!$B$6:$C$124,2,FALSE)</f>
        <v>0</v>
      </c>
      <c r="AH1250" s="146">
        <f t="shared" si="579"/>
        <v>0</v>
      </c>
      <c r="AI1250" s="143">
        <f t="shared" si="580"/>
        <v>0</v>
      </c>
      <c r="AJ1250" s="133">
        <f t="shared" si="581"/>
        <v>0</v>
      </c>
      <c r="AK1250" s="142">
        <f t="shared" si="582"/>
        <v>0</v>
      </c>
      <c r="AL1250" s="141"/>
      <c r="AO1250" s="286"/>
      <c r="AP1250" s="284">
        <f t="shared" si="570"/>
        <v>0</v>
      </c>
      <c r="AQ1250" s="281">
        <f t="shared" si="571"/>
        <v>0</v>
      </c>
      <c r="AR1250" s="284">
        <f t="shared" si="572"/>
        <v>0</v>
      </c>
      <c r="AS1250" s="281">
        <f t="shared" si="573"/>
        <v>0</v>
      </c>
      <c r="AT1250" s="284">
        <f t="shared" si="574"/>
        <v>0</v>
      </c>
    </row>
    <row r="1251" spans="1:46" s="114" customFormat="1" ht="30.9" x14ac:dyDescent="0.8">
      <c r="A1251" s="262">
        <f>ROW()</f>
        <v>1251</v>
      </c>
      <c r="C1251" s="208"/>
      <c r="D1251" s="208"/>
      <c r="E1251" s="208"/>
      <c r="F1251" s="208"/>
      <c r="G1251" s="208"/>
      <c r="H1251" s="208"/>
      <c r="J1251" s="114" t="str">
        <f t="shared" si="583"/>
        <v/>
      </c>
      <c r="K1251" s="114" t="str">
        <f>IF(COUNTBLANK(R1251)&gt;0,"",CONCATENATE(R1251," for ",N1246))</f>
        <v/>
      </c>
      <c r="M1251" s="117"/>
      <c r="N1251" s="123" t="s">
        <v>117</v>
      </c>
      <c r="O1251" s="66" t="s">
        <v>151</v>
      </c>
      <c r="P1251" s="121"/>
      <c r="Q1251" s="121"/>
      <c r="R1251" s="121"/>
      <c r="S1251" s="133">
        <f>M1246</f>
        <v>0</v>
      </c>
      <c r="T1251" s="120"/>
      <c r="U1251" s="121" t="s">
        <v>292</v>
      </c>
      <c r="V1251" s="133">
        <f t="shared" si="575"/>
        <v>0</v>
      </c>
      <c r="W1251" s="133">
        <f>VLOOKUP(U1251,Sheet1!$B$6:$C$45,2,FALSE)*V1251</f>
        <v>0</v>
      </c>
      <c r="X1251" s="141"/>
      <c r="Y1251" s="52" t="s">
        <v>253</v>
      </c>
      <c r="Z1251" s="146">
        <f>VLOOKUP(Takeoffs!Y1251,Sheet1!$B$6:$C$124,2,FALSE)</f>
        <v>10.139999999999999</v>
      </c>
      <c r="AA1251" s="146">
        <f t="shared" si="576"/>
        <v>0</v>
      </c>
      <c r="AB1251" s="143">
        <f t="shared" si="577"/>
        <v>0</v>
      </c>
      <c r="AC1251" s="133">
        <f t="shared" si="578"/>
        <v>0</v>
      </c>
      <c r="AD1251" s="142">
        <v>1</v>
      </c>
      <c r="AE1251" s="141"/>
      <c r="AF1251" s="121" t="s">
        <v>292</v>
      </c>
      <c r="AG1251" s="146">
        <f>VLOOKUP(Takeoffs!AF1251,Sheet1!$B$6:$C$124,2,FALSE)</f>
        <v>0</v>
      </c>
      <c r="AH1251" s="146">
        <f t="shared" si="579"/>
        <v>0</v>
      </c>
      <c r="AI1251" s="143">
        <f t="shared" si="580"/>
        <v>0</v>
      </c>
      <c r="AJ1251" s="133">
        <f t="shared" si="581"/>
        <v>0</v>
      </c>
      <c r="AK1251" s="142">
        <f t="shared" si="582"/>
        <v>0</v>
      </c>
      <c r="AL1251" s="141"/>
      <c r="AO1251" s="286"/>
      <c r="AP1251" s="284">
        <f t="shared" si="570"/>
        <v>0</v>
      </c>
      <c r="AQ1251" s="281">
        <f t="shared" si="571"/>
        <v>0</v>
      </c>
      <c r="AR1251" s="284">
        <f t="shared" si="572"/>
        <v>0</v>
      </c>
      <c r="AS1251" s="281">
        <f t="shared" si="573"/>
        <v>0</v>
      </c>
      <c r="AT1251" s="284">
        <f t="shared" si="574"/>
        <v>0</v>
      </c>
    </row>
    <row r="1252" spans="1:46" s="114" customFormat="1" ht="30.9" x14ac:dyDescent="0.8">
      <c r="A1252" s="262">
        <f>ROW()</f>
        <v>1252</v>
      </c>
      <c r="C1252" s="208"/>
      <c r="D1252" s="208"/>
      <c r="E1252" s="208"/>
      <c r="F1252" s="208"/>
      <c r="G1252" s="208"/>
      <c r="H1252" s="208"/>
      <c r="J1252" s="114" t="str">
        <f t="shared" si="583"/>
        <v>Coordination Note: - Customers in-house electrician: Please refer to our exclusions relating to Run signal controls cabling from each AC system adjacent to MSSB for run lights. Customers electrician to leave tails adjacent MSSB for Controlworks to connect.</v>
      </c>
      <c r="K1252" s="114" t="str">
        <f>IF(COUNTBLANK(R1252)&gt;0,"",CONCATENATE(R1252," for ",N1246))</f>
        <v/>
      </c>
      <c r="M1252" s="117"/>
      <c r="N1252" s="123" t="s">
        <v>118</v>
      </c>
      <c r="O1252" s="66" t="s">
        <v>604</v>
      </c>
      <c r="P1252" s="121" t="s">
        <v>593</v>
      </c>
      <c r="Q1252" s="121" t="s">
        <v>603</v>
      </c>
      <c r="R1252" s="121"/>
      <c r="S1252" s="133">
        <f>M1246</f>
        <v>0</v>
      </c>
      <c r="T1252" s="120"/>
      <c r="U1252" s="121" t="s">
        <v>292</v>
      </c>
      <c r="V1252" s="133">
        <f t="shared" si="575"/>
        <v>0</v>
      </c>
      <c r="W1252" s="133">
        <f>VLOOKUP(U1252,Sheet1!$B$6:$C$45,2,FALSE)*V1252</f>
        <v>0</v>
      </c>
      <c r="X1252" s="141"/>
      <c r="Y1252" s="121" t="s">
        <v>422</v>
      </c>
      <c r="Z1252" s="146">
        <f>VLOOKUP(Takeoffs!Y1252,Sheet1!$B$6:$C$124,2,FALSE)</f>
        <v>23.4</v>
      </c>
      <c r="AA1252" s="146">
        <f t="shared" si="576"/>
        <v>0</v>
      </c>
      <c r="AB1252" s="143">
        <f t="shared" si="577"/>
        <v>0</v>
      </c>
      <c r="AC1252" s="133">
        <f t="shared" si="578"/>
        <v>0</v>
      </c>
      <c r="AD1252" s="142">
        <v>1</v>
      </c>
      <c r="AE1252" s="141"/>
      <c r="AF1252" s="121" t="s">
        <v>292</v>
      </c>
      <c r="AG1252" s="146">
        <f>VLOOKUP(Takeoffs!AF1252,Sheet1!$B$6:$C$124,2,FALSE)</f>
        <v>0</v>
      </c>
      <c r="AH1252" s="146">
        <f t="shared" si="579"/>
        <v>0</v>
      </c>
      <c r="AI1252" s="143">
        <f t="shared" si="580"/>
        <v>0</v>
      </c>
      <c r="AJ1252" s="133">
        <f t="shared" si="581"/>
        <v>0</v>
      </c>
      <c r="AK1252" s="142">
        <f t="shared" si="582"/>
        <v>0</v>
      </c>
      <c r="AL1252" s="141"/>
      <c r="AO1252" s="286"/>
      <c r="AP1252" s="284">
        <f t="shared" si="570"/>
        <v>0</v>
      </c>
      <c r="AQ1252" s="281">
        <f t="shared" si="571"/>
        <v>0</v>
      </c>
      <c r="AR1252" s="284">
        <f t="shared" si="572"/>
        <v>0</v>
      </c>
      <c r="AS1252" s="281">
        <f t="shared" si="573"/>
        <v>0</v>
      </c>
      <c r="AT1252" s="284">
        <f t="shared" si="574"/>
        <v>0</v>
      </c>
    </row>
    <row r="1253" spans="1:46" s="114" customFormat="1" ht="30.9" x14ac:dyDescent="0.8">
      <c r="A1253" s="262">
        <f>ROW()</f>
        <v>1253</v>
      </c>
      <c r="C1253" s="208"/>
      <c r="D1253" s="208"/>
      <c r="E1253" s="208"/>
      <c r="F1253" s="208"/>
      <c r="G1253" s="208"/>
      <c r="H1253" s="208"/>
      <c r="J1253" s="114" t="str">
        <f t="shared" si="583"/>
        <v>Coordination Note: - Customers in-house electrician: Please refer to our exclusions relating to Fault signal controls cabling from each AC system adjacent to MSSB for fault lights. Customers electrician to leave tails adjacent MSSB for Controlworks to connect.</v>
      </c>
      <c r="K1253" s="114" t="str">
        <f>IF(COUNTBLANK(R1253)&gt;0,"",CONCATENATE(R1253," for ",N1246))</f>
        <v/>
      </c>
      <c r="N1253" s="123" t="s">
        <v>119</v>
      </c>
      <c r="O1253" s="66" t="s">
        <v>598</v>
      </c>
      <c r="P1253" s="121" t="s">
        <v>593</v>
      </c>
      <c r="Q1253" s="121" t="s">
        <v>602</v>
      </c>
      <c r="R1253" s="121"/>
      <c r="S1253" s="133">
        <f>M1246</f>
        <v>0</v>
      </c>
      <c r="T1253" s="120"/>
      <c r="U1253" s="121" t="s">
        <v>292</v>
      </c>
      <c r="V1253" s="133">
        <f t="shared" si="575"/>
        <v>0</v>
      </c>
      <c r="W1253" s="133">
        <f>VLOOKUP(U1253,Sheet1!$B$6:$C$45,2,FALSE)*V1253</f>
        <v>0</v>
      </c>
      <c r="X1253" s="141"/>
      <c r="Y1253" s="121" t="s">
        <v>292</v>
      </c>
      <c r="Z1253" s="146">
        <f>VLOOKUP(Takeoffs!Y1253,Sheet1!$B$6:$C$124,2,FALSE)</f>
        <v>0</v>
      </c>
      <c r="AA1253" s="146">
        <f t="shared" si="576"/>
        <v>0</v>
      </c>
      <c r="AB1253" s="143">
        <f t="shared" si="577"/>
        <v>0</v>
      </c>
      <c r="AC1253" s="133">
        <f t="shared" si="578"/>
        <v>0</v>
      </c>
      <c r="AD1253" s="142">
        <v>1</v>
      </c>
      <c r="AE1253" s="141"/>
      <c r="AF1253" s="121" t="s">
        <v>292</v>
      </c>
      <c r="AG1253" s="146">
        <f>VLOOKUP(Takeoffs!AF1253,Sheet1!$B$6:$C$124,2,FALSE)</f>
        <v>0</v>
      </c>
      <c r="AH1253" s="146">
        <f t="shared" si="579"/>
        <v>0</v>
      </c>
      <c r="AI1253" s="143">
        <f t="shared" si="580"/>
        <v>0</v>
      </c>
      <c r="AJ1253" s="133">
        <f t="shared" si="581"/>
        <v>0</v>
      </c>
      <c r="AK1253" s="142">
        <f t="shared" si="582"/>
        <v>0</v>
      </c>
      <c r="AL1253" s="141"/>
      <c r="AO1253" s="286"/>
      <c r="AP1253" s="284">
        <f t="shared" si="570"/>
        <v>0</v>
      </c>
      <c r="AQ1253" s="281">
        <f t="shared" si="571"/>
        <v>0</v>
      </c>
      <c r="AR1253" s="284">
        <f t="shared" si="572"/>
        <v>0</v>
      </c>
      <c r="AS1253" s="281">
        <f t="shared" si="573"/>
        <v>0</v>
      </c>
      <c r="AT1253" s="284">
        <f t="shared" si="574"/>
        <v>0</v>
      </c>
    </row>
    <row r="1254" spans="1:46" s="114" customFormat="1" ht="30.9" x14ac:dyDescent="0.8">
      <c r="A1254" s="262">
        <f>ROW()</f>
        <v>1254</v>
      </c>
      <c r="C1254" s="208"/>
      <c r="D1254" s="208"/>
      <c r="E1254" s="208"/>
      <c r="F1254" s="208"/>
      <c r="G1254" s="208"/>
      <c r="H1254" s="208"/>
      <c r="J1254" s="114" t="str">
        <f t="shared" si="583"/>
        <v xml:space="preserve">Coordination Note: - AC system supplier : Please refer to our exclusions relating to interface card for air-conditioning controllers for both run and fault indication. </v>
      </c>
      <c r="K1254" s="114" t="str">
        <f>IF(COUNTBLANK(R1254)&gt;0,"",CONCATENATE(R1254," for ",N1246))</f>
        <v/>
      </c>
      <c r="N1254" s="123" t="s">
        <v>120</v>
      </c>
      <c r="O1254" s="66" t="s">
        <v>595</v>
      </c>
      <c r="P1254" s="121" t="s">
        <v>447</v>
      </c>
      <c r="Q1254" s="121" t="s">
        <v>601</v>
      </c>
      <c r="R1254" s="121"/>
      <c r="S1254" s="133">
        <f>M1246</f>
        <v>0</v>
      </c>
      <c r="T1254" s="120"/>
      <c r="U1254" s="117" t="s">
        <v>363</v>
      </c>
      <c r="V1254" s="133">
        <f t="shared" si="575"/>
        <v>0</v>
      </c>
      <c r="W1254" s="133">
        <f>VLOOKUP(U1254,Sheet1!$B$6:$C$45,2,FALSE)*V1254</f>
        <v>0</v>
      </c>
      <c r="X1254" s="141"/>
      <c r="Y1254" s="135" t="s">
        <v>280</v>
      </c>
      <c r="Z1254" s="146">
        <f>VLOOKUP(Takeoffs!Y1254,Sheet1!$B$6:$C$124,2,FALSE)</f>
        <v>19.2</v>
      </c>
      <c r="AA1254" s="146">
        <f t="shared" si="576"/>
        <v>0</v>
      </c>
      <c r="AB1254" s="143">
        <f t="shared" si="577"/>
        <v>0</v>
      </c>
      <c r="AC1254" s="133">
        <f t="shared" si="578"/>
        <v>0</v>
      </c>
      <c r="AD1254" s="142">
        <v>1</v>
      </c>
      <c r="AE1254" s="141"/>
      <c r="AF1254" s="121" t="s">
        <v>292</v>
      </c>
      <c r="AG1254" s="146">
        <f>VLOOKUP(Takeoffs!AF1254,Sheet1!$B$6:$C$124,2,FALSE)</f>
        <v>0</v>
      </c>
      <c r="AH1254" s="146">
        <f t="shared" si="579"/>
        <v>0</v>
      </c>
      <c r="AI1254" s="143">
        <f t="shared" si="580"/>
        <v>0</v>
      </c>
      <c r="AJ1254" s="133">
        <f t="shared" si="581"/>
        <v>0</v>
      </c>
      <c r="AK1254" s="142">
        <f t="shared" si="582"/>
        <v>0</v>
      </c>
      <c r="AL1254" s="141"/>
      <c r="AO1254" s="286"/>
      <c r="AP1254" s="284">
        <f t="shared" si="570"/>
        <v>0</v>
      </c>
      <c r="AQ1254" s="281">
        <f t="shared" si="571"/>
        <v>0</v>
      </c>
      <c r="AR1254" s="284">
        <f t="shared" si="572"/>
        <v>0</v>
      </c>
      <c r="AS1254" s="281">
        <f t="shared" si="573"/>
        <v>0</v>
      </c>
      <c r="AT1254" s="284">
        <f t="shared" si="574"/>
        <v>0</v>
      </c>
    </row>
    <row r="1255" spans="1:46" s="114" customFormat="1" ht="30.9" x14ac:dyDescent="0.8">
      <c r="A1255" s="262">
        <f>ROW()</f>
        <v>1255</v>
      </c>
      <c r="C1255" s="208"/>
      <c r="D1255" s="208"/>
      <c r="E1255" s="208"/>
      <c r="F1255" s="208"/>
      <c r="G1255" s="208"/>
      <c r="H1255" s="208"/>
      <c r="J1255" s="114" t="str">
        <f t="shared" si="583"/>
        <v/>
      </c>
      <c r="K1255" s="114" t="str">
        <f>IF(COUNTBLANK(R1255)&gt;0,"",CONCATENATE(R1255," for ",N1246))</f>
        <v/>
      </c>
      <c r="N1255" s="123" t="s">
        <v>121</v>
      </c>
      <c r="O1255" s="66" t="s">
        <v>596</v>
      </c>
      <c r="P1255" s="121"/>
      <c r="Q1255" s="121"/>
      <c r="R1255" s="121"/>
      <c r="S1255" s="133">
        <f>M1246</f>
        <v>0</v>
      </c>
      <c r="T1255" s="120"/>
      <c r="U1255" s="121" t="s">
        <v>292</v>
      </c>
      <c r="V1255" s="133">
        <f t="shared" si="575"/>
        <v>0</v>
      </c>
      <c r="W1255" s="133">
        <f>VLOOKUP(U1255,Sheet1!$B$6:$C$45,2,FALSE)*V1255</f>
        <v>0</v>
      </c>
      <c r="X1255" s="141"/>
      <c r="Y1255" s="121" t="s">
        <v>292</v>
      </c>
      <c r="Z1255" s="146">
        <f>VLOOKUP(Takeoffs!Y1255,Sheet1!$B$6:$C$124,2,FALSE)</f>
        <v>0</v>
      </c>
      <c r="AA1255" s="146">
        <f t="shared" si="576"/>
        <v>0</v>
      </c>
      <c r="AB1255" s="143">
        <f t="shared" si="577"/>
        <v>0</v>
      </c>
      <c r="AC1255" s="133">
        <f t="shared" si="578"/>
        <v>0</v>
      </c>
      <c r="AD1255" s="142">
        <v>1</v>
      </c>
      <c r="AE1255" s="141"/>
      <c r="AF1255" s="121" t="s">
        <v>292</v>
      </c>
      <c r="AG1255" s="146">
        <f>VLOOKUP(Takeoffs!AF1255,Sheet1!$B$6:$C$124,2,FALSE)</f>
        <v>0</v>
      </c>
      <c r="AH1255" s="146">
        <f t="shared" si="579"/>
        <v>0</v>
      </c>
      <c r="AI1255" s="143">
        <f t="shared" si="580"/>
        <v>0</v>
      </c>
      <c r="AJ1255" s="133">
        <f t="shared" si="581"/>
        <v>0</v>
      </c>
      <c r="AK1255" s="142">
        <f t="shared" si="582"/>
        <v>0</v>
      </c>
      <c r="AL1255" s="141"/>
      <c r="AO1255" s="286"/>
      <c r="AP1255" s="284">
        <f t="shared" si="570"/>
        <v>0</v>
      </c>
      <c r="AQ1255" s="281">
        <f t="shared" si="571"/>
        <v>0</v>
      </c>
      <c r="AR1255" s="284">
        <f t="shared" si="572"/>
        <v>0</v>
      </c>
      <c r="AS1255" s="281">
        <f t="shared" si="573"/>
        <v>0</v>
      </c>
      <c r="AT1255" s="284">
        <f t="shared" si="574"/>
        <v>0</v>
      </c>
    </row>
    <row r="1256" spans="1:46" s="114" customFormat="1" ht="30.9" x14ac:dyDescent="0.8">
      <c r="A1256" s="262">
        <f>ROW()</f>
        <v>1256</v>
      </c>
      <c r="C1256" s="208"/>
      <c r="D1256" s="208"/>
      <c r="E1256" s="208"/>
      <c r="F1256" s="208"/>
      <c r="G1256" s="208"/>
      <c r="H1256" s="208"/>
      <c r="J1256" s="114" t="str">
        <f t="shared" si="583"/>
        <v/>
      </c>
      <c r="K1256" s="114" t="str">
        <f>IF(COUNTBLANK(R1256)&gt;0,"",CONCATENATE(R1256," for ",N1246))</f>
        <v/>
      </c>
      <c r="N1256" s="123" t="s">
        <v>122</v>
      </c>
      <c r="O1256" s="66" t="s">
        <v>597</v>
      </c>
      <c r="P1256" s="121"/>
      <c r="Q1256" s="121"/>
      <c r="R1256" s="121"/>
      <c r="S1256" s="133">
        <f>M1246</f>
        <v>0</v>
      </c>
      <c r="T1256" s="120"/>
      <c r="U1256" s="121" t="s">
        <v>292</v>
      </c>
      <c r="V1256" s="133">
        <f t="shared" si="575"/>
        <v>0</v>
      </c>
      <c r="W1256" s="133">
        <f>VLOOKUP(U1256,Sheet1!$B$6:$C$45,2,FALSE)*V1256</f>
        <v>0</v>
      </c>
      <c r="X1256" s="141"/>
      <c r="Y1256" s="121" t="s">
        <v>292</v>
      </c>
      <c r="Z1256" s="146">
        <f>VLOOKUP(Takeoffs!Y1256,Sheet1!$B$6:$C$124,2,FALSE)</f>
        <v>0</v>
      </c>
      <c r="AA1256" s="146">
        <f t="shared" si="576"/>
        <v>0</v>
      </c>
      <c r="AB1256" s="143">
        <f t="shared" si="577"/>
        <v>0</v>
      </c>
      <c r="AC1256" s="133">
        <f t="shared" si="578"/>
        <v>0</v>
      </c>
      <c r="AD1256" s="142">
        <v>1</v>
      </c>
      <c r="AE1256" s="141"/>
      <c r="AF1256" s="121" t="s">
        <v>292</v>
      </c>
      <c r="AG1256" s="146">
        <f>VLOOKUP(Takeoffs!AF1256,Sheet1!$B$6:$C$124,2,FALSE)</f>
        <v>0</v>
      </c>
      <c r="AH1256" s="146">
        <f t="shared" si="579"/>
        <v>0</v>
      </c>
      <c r="AI1256" s="143">
        <f t="shared" si="580"/>
        <v>0</v>
      </c>
      <c r="AJ1256" s="133">
        <f t="shared" si="581"/>
        <v>0</v>
      </c>
      <c r="AK1256" s="142">
        <f t="shared" si="582"/>
        <v>0</v>
      </c>
      <c r="AL1256" s="141"/>
      <c r="AO1256" s="286"/>
      <c r="AP1256" s="284">
        <f t="shared" si="570"/>
        <v>0</v>
      </c>
      <c r="AQ1256" s="281">
        <f t="shared" si="571"/>
        <v>0</v>
      </c>
      <c r="AR1256" s="284">
        <f t="shared" si="572"/>
        <v>0</v>
      </c>
      <c r="AS1256" s="281">
        <f t="shared" si="573"/>
        <v>0</v>
      </c>
      <c r="AT1256" s="284">
        <f t="shared" si="574"/>
        <v>0</v>
      </c>
    </row>
    <row r="1257" spans="1:46" s="114" customFormat="1" ht="30.9" x14ac:dyDescent="0.8">
      <c r="A1257" s="262">
        <f>ROW()</f>
        <v>1257</v>
      </c>
      <c r="C1257" s="208"/>
      <c r="D1257" s="208"/>
      <c r="E1257" s="208"/>
      <c r="F1257" s="208"/>
      <c r="G1257" s="208"/>
      <c r="H1257" s="208"/>
      <c r="J1257" s="114" t="str">
        <f t="shared" si="583"/>
        <v/>
      </c>
      <c r="K1257" s="114" t="str">
        <f>IF(COUNTBLANK(R1257)&gt;0,"",CONCATENATE(R1257," for ",N1246))</f>
        <v/>
      </c>
      <c r="N1257" s="123" t="s">
        <v>123</v>
      </c>
      <c r="O1257" s="66"/>
      <c r="P1257" s="121"/>
      <c r="Q1257" s="121"/>
      <c r="R1257" s="121"/>
      <c r="S1257" s="133">
        <f>M1246</f>
        <v>0</v>
      </c>
      <c r="T1257" s="120"/>
      <c r="U1257" s="121" t="s">
        <v>292</v>
      </c>
      <c r="V1257" s="133">
        <f t="shared" si="575"/>
        <v>0</v>
      </c>
      <c r="W1257" s="133">
        <f>VLOOKUP(U1257,Sheet1!$B$6:$C$45,2,FALSE)*V1257</f>
        <v>0</v>
      </c>
      <c r="X1257" s="141"/>
      <c r="Y1257" s="121" t="s">
        <v>292</v>
      </c>
      <c r="Z1257" s="146">
        <f>VLOOKUP(Takeoffs!Y1257,Sheet1!$B$6:$C$124,2,FALSE)</f>
        <v>0</v>
      </c>
      <c r="AA1257" s="146">
        <f t="shared" si="576"/>
        <v>0</v>
      </c>
      <c r="AB1257" s="143">
        <f t="shared" si="577"/>
        <v>0</v>
      </c>
      <c r="AC1257" s="133">
        <f t="shared" si="578"/>
        <v>0</v>
      </c>
      <c r="AD1257" s="142">
        <v>1</v>
      </c>
      <c r="AE1257" s="141"/>
      <c r="AF1257" s="121" t="s">
        <v>292</v>
      </c>
      <c r="AG1257" s="146">
        <f>VLOOKUP(Takeoffs!AF1257,Sheet1!$B$6:$C$124,2,FALSE)</f>
        <v>0</v>
      </c>
      <c r="AH1257" s="146">
        <f t="shared" si="579"/>
        <v>0</v>
      </c>
      <c r="AI1257" s="143">
        <f t="shared" si="580"/>
        <v>0</v>
      </c>
      <c r="AJ1257" s="133">
        <f t="shared" si="581"/>
        <v>0</v>
      </c>
      <c r="AK1257" s="142">
        <f t="shared" si="582"/>
        <v>0</v>
      </c>
      <c r="AL1257" s="141"/>
      <c r="AO1257" s="286"/>
      <c r="AP1257" s="284">
        <f t="shared" si="570"/>
        <v>0</v>
      </c>
      <c r="AQ1257" s="281">
        <f t="shared" si="571"/>
        <v>0</v>
      </c>
      <c r="AR1257" s="284">
        <f t="shared" si="572"/>
        <v>0</v>
      </c>
      <c r="AS1257" s="281">
        <f t="shared" si="573"/>
        <v>0</v>
      </c>
      <c r="AT1257" s="284">
        <f t="shared" si="574"/>
        <v>0</v>
      </c>
    </row>
    <row r="1258" spans="1:46" s="114" customFormat="1" ht="30.9" x14ac:dyDescent="0.8">
      <c r="A1258" s="262">
        <f>ROW()</f>
        <v>1258</v>
      </c>
      <c r="C1258" s="208"/>
      <c r="D1258" s="208"/>
      <c r="E1258" s="208"/>
      <c r="F1258" s="208"/>
      <c r="G1258" s="208"/>
      <c r="H1258" s="208"/>
      <c r="J1258" s="114" t="str">
        <f t="shared" si="583"/>
        <v>Coordination Note: - Customers in-house electrician: Please refer to our exclusions relating to Power cabling from MSSB to outdoor unit. Customers electrician to leave tails adjacent MSSB for Controlworks to connect.</v>
      </c>
      <c r="K1258" s="114" t="str">
        <f>IF(COUNTBLANK(R1258)&gt;0,"",CONCATENATE(R1258," for ",N1246))</f>
        <v/>
      </c>
      <c r="N1258" s="123" t="s">
        <v>124</v>
      </c>
      <c r="O1258" s="66"/>
      <c r="P1258" s="121" t="s">
        <v>593</v>
      </c>
      <c r="Q1258" s="121" t="s">
        <v>599</v>
      </c>
      <c r="R1258" s="121"/>
      <c r="S1258" s="133">
        <f>M1246</f>
        <v>0</v>
      </c>
      <c r="T1258" s="120"/>
      <c r="U1258" s="121" t="s">
        <v>292</v>
      </c>
      <c r="V1258" s="133">
        <f t="shared" si="575"/>
        <v>0</v>
      </c>
      <c r="W1258" s="133">
        <f>VLOOKUP(U1258,Sheet1!$B$6:$C$45,2,FALSE)*V1258</f>
        <v>0</v>
      </c>
      <c r="X1258" s="141"/>
      <c r="Y1258" s="121" t="s">
        <v>292</v>
      </c>
      <c r="Z1258" s="146">
        <f>VLOOKUP(Takeoffs!Y1258,Sheet1!$B$6:$C$124,2,FALSE)</f>
        <v>0</v>
      </c>
      <c r="AA1258" s="146">
        <f t="shared" si="576"/>
        <v>0</v>
      </c>
      <c r="AB1258" s="143">
        <f t="shared" si="577"/>
        <v>0</v>
      </c>
      <c r="AC1258" s="133">
        <f t="shared" si="578"/>
        <v>0</v>
      </c>
      <c r="AD1258" s="142">
        <v>1</v>
      </c>
      <c r="AE1258" s="141"/>
      <c r="AF1258" s="121" t="s">
        <v>292</v>
      </c>
      <c r="AG1258" s="146">
        <f>VLOOKUP(Takeoffs!AF1258,Sheet1!$B$6:$C$124,2,FALSE)</f>
        <v>0</v>
      </c>
      <c r="AH1258" s="146">
        <f t="shared" si="579"/>
        <v>0</v>
      </c>
      <c r="AI1258" s="143">
        <f t="shared" si="580"/>
        <v>0</v>
      </c>
      <c r="AJ1258" s="133">
        <f t="shared" si="581"/>
        <v>0</v>
      </c>
      <c r="AK1258" s="142">
        <f t="shared" si="582"/>
        <v>0</v>
      </c>
      <c r="AL1258" s="141"/>
      <c r="AO1258" s="286"/>
      <c r="AP1258" s="284">
        <f t="shared" si="570"/>
        <v>0</v>
      </c>
      <c r="AQ1258" s="281">
        <f t="shared" si="571"/>
        <v>0</v>
      </c>
      <c r="AR1258" s="284">
        <f t="shared" si="572"/>
        <v>0</v>
      </c>
      <c r="AS1258" s="281">
        <f t="shared" si="573"/>
        <v>0</v>
      </c>
      <c r="AT1258" s="284">
        <f t="shared" si="574"/>
        <v>0</v>
      </c>
    </row>
    <row r="1259" spans="1:46" s="114" customFormat="1" ht="30.9" x14ac:dyDescent="0.8">
      <c r="A1259" s="262">
        <f>ROW()</f>
        <v>1259</v>
      </c>
      <c r="C1259" s="208"/>
      <c r="D1259" s="208"/>
      <c r="E1259" s="208"/>
      <c r="F1259" s="208"/>
      <c r="G1259" s="208"/>
      <c r="H1259" s="208"/>
      <c r="J1259" s="114" t="str">
        <f t="shared" si="583"/>
        <v/>
      </c>
      <c r="K1259" s="114" t="str">
        <f>IF(COUNTBLANK(R1259)&gt;0,"",CONCATENATE(R1259," for ",N1246))</f>
        <v/>
      </c>
      <c r="N1259" s="123" t="s">
        <v>125</v>
      </c>
      <c r="O1259" s="66"/>
      <c r="P1259" s="121"/>
      <c r="Q1259" s="121"/>
      <c r="R1259" s="121"/>
      <c r="S1259" s="133">
        <f>M1246</f>
        <v>0</v>
      </c>
      <c r="T1259" s="120"/>
      <c r="U1259" s="121" t="s">
        <v>292</v>
      </c>
      <c r="V1259" s="133">
        <f t="shared" si="575"/>
        <v>0</v>
      </c>
      <c r="W1259" s="133">
        <f>VLOOKUP(U1259,Sheet1!$B$6:$C$45,2,FALSE)*V1259</f>
        <v>0</v>
      </c>
      <c r="X1259" s="141"/>
      <c r="Y1259" s="121" t="s">
        <v>292</v>
      </c>
      <c r="Z1259" s="146">
        <f>VLOOKUP(Takeoffs!Y1259,Sheet1!$B$6:$C$124,2,FALSE)</f>
        <v>0</v>
      </c>
      <c r="AA1259" s="146">
        <f t="shared" si="576"/>
        <v>0</v>
      </c>
      <c r="AB1259" s="143">
        <f t="shared" si="577"/>
        <v>0</v>
      </c>
      <c r="AC1259" s="133">
        <f t="shared" si="578"/>
        <v>0</v>
      </c>
      <c r="AD1259" s="142">
        <v>1</v>
      </c>
      <c r="AE1259" s="141"/>
      <c r="AF1259" s="121" t="s">
        <v>292</v>
      </c>
      <c r="AG1259" s="146">
        <f>VLOOKUP(Takeoffs!AF1259,Sheet1!$B$6:$C$124,2,FALSE)</f>
        <v>0</v>
      </c>
      <c r="AH1259" s="146">
        <f t="shared" si="579"/>
        <v>0</v>
      </c>
      <c r="AI1259" s="143">
        <f t="shared" si="580"/>
        <v>0</v>
      </c>
      <c r="AJ1259" s="133">
        <f t="shared" si="581"/>
        <v>0</v>
      </c>
      <c r="AK1259" s="142">
        <f t="shared" si="582"/>
        <v>0</v>
      </c>
      <c r="AL1259" s="141"/>
      <c r="AO1259" s="286"/>
      <c r="AP1259" s="284">
        <f t="shared" si="570"/>
        <v>0</v>
      </c>
      <c r="AQ1259" s="281">
        <f t="shared" si="571"/>
        <v>0</v>
      </c>
      <c r="AR1259" s="284">
        <f t="shared" si="572"/>
        <v>0</v>
      </c>
      <c r="AS1259" s="281">
        <f t="shared" si="573"/>
        <v>0</v>
      </c>
      <c r="AT1259" s="284">
        <f t="shared" si="574"/>
        <v>0</v>
      </c>
    </row>
    <row r="1260" spans="1:46" s="114" customFormat="1" ht="30.9" x14ac:dyDescent="0.8">
      <c r="A1260" s="262">
        <f>ROW()</f>
        <v>1260</v>
      </c>
      <c r="C1260" s="208"/>
      <c r="D1260" s="208"/>
      <c r="E1260" s="208"/>
      <c r="F1260" s="208"/>
      <c r="G1260" s="208"/>
      <c r="H1260" s="208"/>
      <c r="J1260" s="114" t="str">
        <f t="shared" si="583"/>
        <v/>
      </c>
      <c r="K1260" s="114" t="str">
        <f>IF(COUNTBLANK(R1260)&gt;0,"",CONCATENATE(R1260," for ",N1246))</f>
        <v/>
      </c>
      <c r="N1260" s="123" t="s">
        <v>126</v>
      </c>
      <c r="O1260" s="66"/>
      <c r="P1260" s="121"/>
      <c r="Q1260" s="121"/>
      <c r="R1260" s="121"/>
      <c r="S1260" s="133">
        <f>M1246</f>
        <v>0</v>
      </c>
      <c r="T1260" s="120"/>
      <c r="U1260" s="121" t="s">
        <v>292</v>
      </c>
      <c r="V1260" s="133">
        <f t="shared" si="575"/>
        <v>0</v>
      </c>
      <c r="W1260" s="133">
        <f>VLOOKUP(U1260,Sheet1!$B$6:$C$45,2,FALSE)*V1260</f>
        <v>0</v>
      </c>
      <c r="X1260" s="141"/>
      <c r="Y1260" s="121" t="s">
        <v>292</v>
      </c>
      <c r="Z1260" s="146">
        <f>VLOOKUP(Takeoffs!Y1260,Sheet1!$B$6:$C$124,2,FALSE)</f>
        <v>0</v>
      </c>
      <c r="AA1260" s="146">
        <f t="shared" si="576"/>
        <v>0</v>
      </c>
      <c r="AB1260" s="143">
        <f t="shared" si="577"/>
        <v>0</v>
      </c>
      <c r="AC1260" s="133">
        <f t="shared" si="578"/>
        <v>0</v>
      </c>
      <c r="AD1260" s="142">
        <v>1</v>
      </c>
      <c r="AE1260" s="141"/>
      <c r="AF1260" s="121" t="s">
        <v>292</v>
      </c>
      <c r="AG1260" s="146">
        <f>VLOOKUP(Takeoffs!AF1260,Sheet1!$B$6:$C$124,2,FALSE)</f>
        <v>0</v>
      </c>
      <c r="AH1260" s="146">
        <f t="shared" si="579"/>
        <v>0</v>
      </c>
      <c r="AI1260" s="143">
        <f t="shared" si="580"/>
        <v>0</v>
      </c>
      <c r="AJ1260" s="133">
        <f t="shared" si="581"/>
        <v>0</v>
      </c>
      <c r="AK1260" s="142">
        <f t="shared" si="582"/>
        <v>0</v>
      </c>
      <c r="AL1260" s="141"/>
      <c r="AO1260" s="286"/>
      <c r="AP1260" s="284">
        <f t="shared" si="570"/>
        <v>0</v>
      </c>
      <c r="AQ1260" s="281">
        <f t="shared" si="571"/>
        <v>0</v>
      </c>
      <c r="AR1260" s="284">
        <f t="shared" si="572"/>
        <v>0</v>
      </c>
      <c r="AS1260" s="281">
        <f t="shared" si="573"/>
        <v>0</v>
      </c>
      <c r="AT1260" s="284">
        <f t="shared" si="574"/>
        <v>0</v>
      </c>
    </row>
    <row r="1261" spans="1:46" s="114" customFormat="1" ht="30.9" x14ac:dyDescent="0.8">
      <c r="A1261" s="262">
        <f>ROW()</f>
        <v>1261</v>
      </c>
      <c r="C1261" s="208"/>
      <c r="D1261" s="208"/>
      <c r="E1261" s="208"/>
      <c r="F1261" s="208"/>
      <c r="G1261" s="208"/>
      <c r="H1261" s="208"/>
      <c r="J1261" s="114" t="str">
        <f t="shared" si="583"/>
        <v/>
      </c>
      <c r="K1261" s="114" t="str">
        <f>IF(COUNTBLANK(R1261)&gt;0,"",CONCATENATE(R1261," for ",N1246))</f>
        <v/>
      </c>
      <c r="N1261" s="123" t="s">
        <v>127</v>
      </c>
      <c r="O1261" s="66"/>
      <c r="P1261" s="121"/>
      <c r="Q1261" s="121"/>
      <c r="R1261" s="121"/>
      <c r="S1261" s="133">
        <f>M1246</f>
        <v>0</v>
      </c>
      <c r="T1261" s="120"/>
      <c r="U1261" s="121" t="s">
        <v>292</v>
      </c>
      <c r="V1261" s="133">
        <f t="shared" si="575"/>
        <v>0</v>
      </c>
      <c r="W1261" s="133">
        <f>VLOOKUP(U1261,Sheet1!$B$6:$C$45,2,FALSE)*V1261</f>
        <v>0</v>
      </c>
      <c r="X1261" s="141"/>
      <c r="Y1261" s="121" t="s">
        <v>292</v>
      </c>
      <c r="Z1261" s="146">
        <f>VLOOKUP(Takeoffs!Y1261,Sheet1!$B$6:$C$124,2,FALSE)</f>
        <v>0</v>
      </c>
      <c r="AA1261" s="146">
        <f t="shared" si="576"/>
        <v>0</v>
      </c>
      <c r="AB1261" s="143">
        <f t="shared" si="577"/>
        <v>0</v>
      </c>
      <c r="AC1261" s="133">
        <f t="shared" si="578"/>
        <v>0</v>
      </c>
      <c r="AD1261" s="142">
        <v>1</v>
      </c>
      <c r="AE1261" s="141"/>
      <c r="AF1261" s="121" t="s">
        <v>292</v>
      </c>
      <c r="AG1261" s="146">
        <f>VLOOKUP(Takeoffs!AF1261,Sheet1!$B$6:$C$124,2,FALSE)</f>
        <v>0</v>
      </c>
      <c r="AH1261" s="146">
        <f t="shared" si="579"/>
        <v>0</v>
      </c>
      <c r="AI1261" s="143">
        <f t="shared" si="580"/>
        <v>0</v>
      </c>
      <c r="AJ1261" s="133">
        <f t="shared" si="581"/>
        <v>0</v>
      </c>
      <c r="AK1261" s="142">
        <f t="shared" si="582"/>
        <v>0</v>
      </c>
      <c r="AL1261" s="141"/>
      <c r="AO1261" s="286"/>
      <c r="AP1261" s="284">
        <f t="shared" si="570"/>
        <v>0</v>
      </c>
      <c r="AQ1261" s="281">
        <f t="shared" si="571"/>
        <v>0</v>
      </c>
      <c r="AR1261" s="284">
        <f t="shared" si="572"/>
        <v>0</v>
      </c>
      <c r="AS1261" s="281">
        <f t="shared" si="573"/>
        <v>0</v>
      </c>
      <c r="AT1261" s="284">
        <f t="shared" si="574"/>
        <v>0</v>
      </c>
    </row>
    <row r="1262" spans="1:46" s="114" customFormat="1" ht="30.9" x14ac:dyDescent="0.8">
      <c r="A1262" s="262">
        <f>ROW()</f>
        <v>1262</v>
      </c>
      <c r="C1262" s="208"/>
      <c r="D1262" s="208"/>
      <c r="E1262" s="208"/>
      <c r="F1262" s="208"/>
      <c r="G1262" s="208"/>
      <c r="H1262" s="208"/>
      <c r="J1262" s="114" t="str">
        <f t="shared" si="583"/>
        <v/>
      </c>
      <c r="K1262" s="114" t="str">
        <f>IF(COUNTBLANK(R1262)&gt;0,"",CONCATENATE(R1262," for ",N1246))</f>
        <v/>
      </c>
      <c r="N1262" s="123" t="s">
        <v>128</v>
      </c>
      <c r="O1262" s="66"/>
      <c r="P1262" s="121">
        <v>0</v>
      </c>
      <c r="Q1262" s="121"/>
      <c r="R1262" s="121"/>
      <c r="S1262" s="133">
        <f>M1246</f>
        <v>0</v>
      </c>
      <c r="T1262" s="120"/>
      <c r="U1262" s="121" t="s">
        <v>292</v>
      </c>
      <c r="V1262" s="133">
        <f t="shared" si="575"/>
        <v>0</v>
      </c>
      <c r="W1262" s="133">
        <f>VLOOKUP(U1262,Sheet1!$B$6:$C$45,2,FALSE)*V1262</f>
        <v>0</v>
      </c>
      <c r="X1262" s="141"/>
      <c r="Y1262" s="121" t="s">
        <v>292</v>
      </c>
      <c r="Z1262" s="146">
        <f>VLOOKUP(Takeoffs!Y1262,Sheet1!$B$6:$C$124,2,FALSE)</f>
        <v>0</v>
      </c>
      <c r="AA1262" s="146">
        <f t="shared" si="576"/>
        <v>0</v>
      </c>
      <c r="AB1262" s="143">
        <f t="shared" si="577"/>
        <v>0</v>
      </c>
      <c r="AC1262" s="133">
        <f t="shared" si="578"/>
        <v>0</v>
      </c>
      <c r="AD1262" s="142">
        <v>1</v>
      </c>
      <c r="AE1262" s="141"/>
      <c r="AF1262" s="121" t="s">
        <v>292</v>
      </c>
      <c r="AG1262" s="146">
        <f>VLOOKUP(Takeoffs!AF1262,Sheet1!$B$6:$C$124,2,FALSE)</f>
        <v>0</v>
      </c>
      <c r="AH1262" s="146">
        <f t="shared" si="579"/>
        <v>0</v>
      </c>
      <c r="AI1262" s="143">
        <f t="shared" si="580"/>
        <v>0</v>
      </c>
      <c r="AJ1262" s="133">
        <f t="shared" si="581"/>
        <v>0</v>
      </c>
      <c r="AK1262" s="142">
        <f t="shared" si="582"/>
        <v>0</v>
      </c>
      <c r="AL1262" s="141"/>
      <c r="AO1262" s="286"/>
      <c r="AP1262" s="284">
        <f t="shared" si="570"/>
        <v>0</v>
      </c>
      <c r="AQ1262" s="281">
        <f t="shared" si="571"/>
        <v>0</v>
      </c>
      <c r="AR1262" s="284">
        <f t="shared" si="572"/>
        <v>0</v>
      </c>
      <c r="AS1262" s="281">
        <f t="shared" si="573"/>
        <v>0</v>
      </c>
      <c r="AT1262" s="284">
        <f t="shared" si="574"/>
        <v>0</v>
      </c>
    </row>
    <row r="1263" spans="1:46" s="114" customFormat="1" ht="30.9" x14ac:dyDescent="0.8">
      <c r="A1263" s="262">
        <f>ROW()</f>
        <v>1263</v>
      </c>
      <c r="C1263" s="208"/>
      <c r="D1263" s="208"/>
      <c r="E1263" s="208"/>
      <c r="F1263" s="208"/>
      <c r="G1263" s="208"/>
      <c r="H1263" s="208"/>
      <c r="J1263" s="114" t="str">
        <f t="shared" si="583"/>
        <v/>
      </c>
      <c r="K1263" s="114" t="str">
        <f>IF(COUNTBLANK(R1263)&gt;0,"",CONCATENATE(R1263," for ",N1246))</f>
        <v/>
      </c>
      <c r="N1263" s="123" t="s">
        <v>129</v>
      </c>
      <c r="O1263" s="66"/>
      <c r="P1263" s="121"/>
      <c r="Q1263" s="121"/>
      <c r="R1263" s="121"/>
      <c r="S1263" s="133">
        <f>M1246</f>
        <v>0</v>
      </c>
      <c r="T1263" s="120"/>
      <c r="U1263" s="121" t="s">
        <v>292</v>
      </c>
      <c r="V1263" s="133">
        <f t="shared" si="575"/>
        <v>0</v>
      </c>
      <c r="W1263" s="133">
        <f>VLOOKUP(U1263,Sheet1!$B$6:$C$45,2,FALSE)*V1263</f>
        <v>0</v>
      </c>
      <c r="X1263" s="141"/>
      <c r="Y1263" s="121" t="s">
        <v>292</v>
      </c>
      <c r="Z1263" s="146">
        <f>VLOOKUP(Takeoffs!Y1263,Sheet1!$B$6:$C$124,2,FALSE)</f>
        <v>0</v>
      </c>
      <c r="AA1263" s="146">
        <f t="shared" si="576"/>
        <v>0</v>
      </c>
      <c r="AB1263" s="143">
        <f t="shared" si="577"/>
        <v>0</v>
      </c>
      <c r="AC1263" s="133">
        <f t="shared" si="578"/>
        <v>0</v>
      </c>
      <c r="AD1263" s="142">
        <v>1</v>
      </c>
      <c r="AE1263" s="141"/>
      <c r="AF1263" s="121" t="s">
        <v>292</v>
      </c>
      <c r="AG1263" s="146">
        <f>VLOOKUP(Takeoffs!AF1263,Sheet1!$B$6:$C$124,2,FALSE)</f>
        <v>0</v>
      </c>
      <c r="AH1263" s="146">
        <f t="shared" si="579"/>
        <v>0</v>
      </c>
      <c r="AI1263" s="143">
        <f t="shared" si="580"/>
        <v>0</v>
      </c>
      <c r="AJ1263" s="133">
        <f t="shared" si="581"/>
        <v>0</v>
      </c>
      <c r="AK1263" s="142">
        <f t="shared" si="582"/>
        <v>0</v>
      </c>
      <c r="AL1263" s="141"/>
      <c r="AO1263" s="286"/>
      <c r="AP1263" s="284">
        <f t="shared" si="570"/>
        <v>0</v>
      </c>
      <c r="AQ1263" s="281">
        <f t="shared" si="571"/>
        <v>0</v>
      </c>
      <c r="AR1263" s="284">
        <f t="shared" si="572"/>
        <v>0</v>
      </c>
      <c r="AS1263" s="281">
        <f t="shared" si="573"/>
        <v>0</v>
      </c>
      <c r="AT1263" s="284">
        <f t="shared" si="574"/>
        <v>0</v>
      </c>
    </row>
    <row r="1264" spans="1:46" s="114" customFormat="1" ht="30.9" x14ac:dyDescent="0.8">
      <c r="A1264" s="262">
        <f>ROW()</f>
        <v>1264</v>
      </c>
      <c r="C1264" s="208"/>
      <c r="D1264" s="208"/>
      <c r="E1264" s="208"/>
      <c r="F1264" s="208"/>
      <c r="G1264" s="208"/>
      <c r="H1264" s="208"/>
      <c r="J1264" s="114" t="str">
        <f t="shared" si="583"/>
        <v/>
      </c>
      <c r="K1264" s="114" t="str">
        <f>IF(COUNTBLANK(R1264)&gt;0,"",CONCATENATE(R1264," for ",N1246))</f>
        <v/>
      </c>
      <c r="N1264" s="123" t="s">
        <v>130</v>
      </c>
      <c r="O1264" s="66"/>
      <c r="P1264" s="121"/>
      <c r="Q1264" s="121"/>
      <c r="R1264" s="121"/>
      <c r="S1264" s="133">
        <f>M1246</f>
        <v>0</v>
      </c>
      <c r="T1264" s="120"/>
      <c r="U1264" s="121" t="s">
        <v>292</v>
      </c>
      <c r="V1264" s="133">
        <f t="shared" si="575"/>
        <v>0</v>
      </c>
      <c r="W1264" s="133">
        <f>VLOOKUP(U1264,Sheet1!$B$6:$C$45,2,FALSE)*V1264</f>
        <v>0</v>
      </c>
      <c r="X1264" s="141"/>
      <c r="Y1264" s="121" t="s">
        <v>292</v>
      </c>
      <c r="Z1264" s="146">
        <f>VLOOKUP(Takeoffs!Y1264,Sheet1!$B$6:$C$124,2,FALSE)</f>
        <v>0</v>
      </c>
      <c r="AA1264" s="146">
        <f t="shared" si="576"/>
        <v>0</v>
      </c>
      <c r="AB1264" s="143">
        <f t="shared" si="577"/>
        <v>0</v>
      </c>
      <c r="AC1264" s="133">
        <f t="shared" si="578"/>
        <v>0</v>
      </c>
      <c r="AD1264" s="142">
        <v>1</v>
      </c>
      <c r="AE1264" s="141"/>
      <c r="AF1264" s="121" t="s">
        <v>292</v>
      </c>
      <c r="AG1264" s="146">
        <f>VLOOKUP(Takeoffs!AF1264,Sheet1!$B$6:$C$124,2,FALSE)</f>
        <v>0</v>
      </c>
      <c r="AH1264" s="146">
        <f t="shared" si="579"/>
        <v>0</v>
      </c>
      <c r="AI1264" s="143">
        <f t="shared" si="580"/>
        <v>0</v>
      </c>
      <c r="AJ1264" s="133">
        <f t="shared" si="581"/>
        <v>0</v>
      </c>
      <c r="AK1264" s="142">
        <f t="shared" si="582"/>
        <v>0</v>
      </c>
      <c r="AL1264" s="141"/>
      <c r="AO1264" s="286"/>
      <c r="AP1264" s="284">
        <f t="shared" si="570"/>
        <v>0</v>
      </c>
      <c r="AQ1264" s="281">
        <f t="shared" si="571"/>
        <v>0</v>
      </c>
      <c r="AR1264" s="284">
        <f t="shared" si="572"/>
        <v>0</v>
      </c>
      <c r="AS1264" s="281">
        <f t="shared" si="573"/>
        <v>0</v>
      </c>
      <c r="AT1264" s="284">
        <f t="shared" si="574"/>
        <v>0</v>
      </c>
    </row>
    <row r="1265" spans="1:97" s="114" customFormat="1" ht="30.9" x14ac:dyDescent="0.8">
      <c r="A1265" s="262">
        <f>ROW()</f>
        <v>1265</v>
      </c>
      <c r="C1265" s="208"/>
      <c r="D1265" s="208"/>
      <c r="E1265" s="208"/>
      <c r="F1265" s="208"/>
      <c r="G1265" s="208"/>
      <c r="H1265" s="208"/>
      <c r="J1265" s="114" t="str">
        <f t="shared" si="583"/>
        <v/>
      </c>
      <c r="K1265" s="114" t="str">
        <f>IF(COUNTBLANK(R1265)&gt;0,"",CONCATENATE(R1265," for ",N1246))</f>
        <v/>
      </c>
      <c r="N1265" s="123" t="s">
        <v>131</v>
      </c>
      <c r="O1265" s="66"/>
      <c r="P1265" s="121"/>
      <c r="Q1265" s="121"/>
      <c r="R1265" s="121"/>
      <c r="S1265" s="133">
        <f>M1246</f>
        <v>0</v>
      </c>
      <c r="T1265" s="120"/>
      <c r="U1265" s="121" t="s">
        <v>292</v>
      </c>
      <c r="V1265" s="133">
        <f t="shared" si="575"/>
        <v>0</v>
      </c>
      <c r="W1265" s="133">
        <f>VLOOKUP(U1265,Sheet1!$B$6:$C$45,2,FALSE)*V1265</f>
        <v>0</v>
      </c>
      <c r="X1265" s="141"/>
      <c r="Y1265" s="121" t="s">
        <v>292</v>
      </c>
      <c r="Z1265" s="146">
        <f>VLOOKUP(Takeoffs!Y1265,Sheet1!$B$6:$C$124,2,FALSE)</f>
        <v>0</v>
      </c>
      <c r="AA1265" s="146">
        <f t="shared" si="576"/>
        <v>0</v>
      </c>
      <c r="AB1265" s="143">
        <f t="shared" si="577"/>
        <v>0</v>
      </c>
      <c r="AC1265" s="133">
        <f t="shared" si="578"/>
        <v>0</v>
      </c>
      <c r="AD1265" s="142">
        <v>1</v>
      </c>
      <c r="AE1265" s="141"/>
      <c r="AF1265" s="121" t="s">
        <v>292</v>
      </c>
      <c r="AG1265" s="146">
        <f>VLOOKUP(Takeoffs!AF1265,Sheet1!$B$6:$C$124,2,FALSE)</f>
        <v>0</v>
      </c>
      <c r="AH1265" s="146">
        <f t="shared" si="579"/>
        <v>0</v>
      </c>
      <c r="AI1265" s="143">
        <f t="shared" si="580"/>
        <v>0</v>
      </c>
      <c r="AJ1265" s="133">
        <f t="shared" si="581"/>
        <v>0</v>
      </c>
      <c r="AK1265" s="142">
        <f t="shared" si="582"/>
        <v>0</v>
      </c>
      <c r="AL1265" s="141"/>
      <c r="AO1265" s="286"/>
      <c r="AP1265" s="284">
        <f t="shared" si="570"/>
        <v>0</v>
      </c>
      <c r="AQ1265" s="281">
        <f t="shared" si="571"/>
        <v>0</v>
      </c>
      <c r="AR1265" s="284">
        <f t="shared" si="572"/>
        <v>0</v>
      </c>
      <c r="AS1265" s="281">
        <f t="shared" si="573"/>
        <v>0</v>
      </c>
      <c r="AT1265" s="284">
        <f t="shared" si="574"/>
        <v>0</v>
      </c>
    </row>
    <row r="1266" spans="1:97" s="114" customFormat="1" ht="30.9" x14ac:dyDescent="0.8">
      <c r="A1266" s="262">
        <f>ROW()</f>
        <v>1266</v>
      </c>
      <c r="C1266" s="208"/>
      <c r="D1266" s="208"/>
      <c r="E1266" s="208"/>
      <c r="F1266" s="208"/>
      <c r="G1266" s="208"/>
      <c r="H1266" s="208"/>
      <c r="J1266" s="114" t="str">
        <f t="shared" si="583"/>
        <v/>
      </c>
      <c r="K1266" s="114" t="str">
        <f>IF(COUNTBLANK(R1266)&gt;0,"",CONCATENATE(R1266," for ",N1246))</f>
        <v/>
      </c>
      <c r="N1266" s="123" t="s">
        <v>132</v>
      </c>
      <c r="O1266" s="66"/>
      <c r="P1266" s="121"/>
      <c r="Q1266" s="121"/>
      <c r="R1266" s="121"/>
      <c r="S1266" s="133">
        <f>M1246</f>
        <v>0</v>
      </c>
      <c r="T1266" s="120"/>
      <c r="U1266" s="121" t="s">
        <v>292</v>
      </c>
      <c r="V1266" s="133">
        <f t="shared" si="575"/>
        <v>0</v>
      </c>
      <c r="W1266" s="133">
        <f>VLOOKUP(U1266,Sheet1!$B$6:$C$45,2,FALSE)*V1266</f>
        <v>0</v>
      </c>
      <c r="X1266" s="141"/>
      <c r="Y1266" s="121" t="s">
        <v>292</v>
      </c>
      <c r="Z1266" s="146">
        <f>VLOOKUP(Takeoffs!Y1266,Sheet1!$B$6:$C$124,2,FALSE)</f>
        <v>0</v>
      </c>
      <c r="AA1266" s="146">
        <f t="shared" si="576"/>
        <v>0</v>
      </c>
      <c r="AB1266" s="143">
        <f t="shared" si="577"/>
        <v>0</v>
      </c>
      <c r="AC1266" s="133">
        <f t="shared" si="578"/>
        <v>0</v>
      </c>
      <c r="AD1266" s="142">
        <v>1</v>
      </c>
      <c r="AE1266" s="141"/>
      <c r="AF1266" s="121" t="s">
        <v>292</v>
      </c>
      <c r="AG1266" s="146">
        <f>VLOOKUP(Takeoffs!AF1266,Sheet1!$B$6:$C$124,2,FALSE)</f>
        <v>0</v>
      </c>
      <c r="AH1266" s="146">
        <f t="shared" si="579"/>
        <v>0</v>
      </c>
      <c r="AI1266" s="143">
        <f t="shared" si="580"/>
        <v>0</v>
      </c>
      <c r="AJ1266" s="133">
        <f t="shared" si="581"/>
        <v>0</v>
      </c>
      <c r="AK1266" s="142">
        <f t="shared" si="582"/>
        <v>0</v>
      </c>
      <c r="AL1266" s="141"/>
      <c r="AO1266" s="286"/>
      <c r="AP1266" s="284">
        <f t="shared" si="570"/>
        <v>0</v>
      </c>
      <c r="AQ1266" s="281">
        <f t="shared" si="571"/>
        <v>0</v>
      </c>
      <c r="AR1266" s="284">
        <f t="shared" si="572"/>
        <v>0</v>
      </c>
      <c r="AS1266" s="281">
        <f t="shared" si="573"/>
        <v>0</v>
      </c>
      <c r="AT1266" s="284">
        <f t="shared" si="574"/>
        <v>0</v>
      </c>
    </row>
    <row r="1267" spans="1:97" s="128" customFormat="1" ht="31.5" customHeight="1" x14ac:dyDescent="0.8">
      <c r="A1267" s="262">
        <f>ROW()</f>
        <v>1267</v>
      </c>
      <c r="C1267" s="212"/>
      <c r="D1267" s="212"/>
      <c r="E1267" s="212"/>
      <c r="F1267" s="212"/>
      <c r="G1267" s="212"/>
      <c r="H1267" s="212"/>
      <c r="J1267" s="128" t="s">
        <v>377</v>
      </c>
      <c r="L1267" s="128" t="s">
        <v>378</v>
      </c>
      <c r="N1267" s="129"/>
      <c r="O1267" s="130" t="s">
        <v>357</v>
      </c>
      <c r="P1267" s="131">
        <f>V1267+AA1267+AH1267</f>
        <v>0</v>
      </c>
      <c r="Q1267" s="131"/>
      <c r="R1267" s="131"/>
      <c r="S1267" s="130"/>
      <c r="T1267" s="127"/>
      <c r="U1267" s="126" t="s">
        <v>351</v>
      </c>
      <c r="V1267" s="127">
        <f>W1267*80</f>
        <v>0</v>
      </c>
      <c r="W1267" s="147">
        <f>SUM(W1246:W1266)</f>
        <v>0</v>
      </c>
      <c r="X1267" s="148"/>
      <c r="Y1267" s="127" t="s">
        <v>352</v>
      </c>
      <c r="Z1267" s="116"/>
      <c r="AA1267" s="116">
        <f>SUM(AA1246:AA1266)</f>
        <v>0</v>
      </c>
      <c r="AB1267" s="149"/>
      <c r="AC1267" s="149"/>
      <c r="AD1267" s="149"/>
      <c r="AE1267" s="149"/>
      <c r="AF1267" s="127" t="s">
        <v>356</v>
      </c>
      <c r="AG1267" s="116"/>
      <c r="AH1267" s="116">
        <f>SUM(AH1246:AH1266)</f>
        <v>0</v>
      </c>
      <c r="AI1267" s="149"/>
      <c r="AJ1267" s="149"/>
      <c r="AK1267" s="149"/>
      <c r="AL1267" s="149"/>
      <c r="AM1267" s="150">
        <f>P1267</f>
        <v>0</v>
      </c>
      <c r="AO1267" s="286"/>
      <c r="AP1267" s="284">
        <f t="shared" si="570"/>
        <v>0</v>
      </c>
      <c r="AQ1267" s="281">
        <f t="shared" si="571"/>
        <v>0</v>
      </c>
      <c r="AR1267" s="284">
        <f t="shared" si="572"/>
        <v>0</v>
      </c>
      <c r="AS1267" s="281">
        <f t="shared" si="573"/>
        <v>0</v>
      </c>
      <c r="AT1267" s="284">
        <f t="shared" si="574"/>
        <v>0</v>
      </c>
    </row>
    <row r="1268" spans="1:97" s="234" customFormat="1" ht="409.6" x14ac:dyDescent="0.8">
      <c r="A1268" s="262">
        <f>ROW()</f>
        <v>1268</v>
      </c>
      <c r="B1268" s="234" t="s">
        <v>491</v>
      </c>
      <c r="C1268" s="217" t="str">
        <f>N1246</f>
        <v>split AC systems - MSSB powered with run and fault lights ( Excluding field wiring option)</v>
      </c>
      <c r="D1268" s="260" t="str">
        <f>IF(B1268="Shopping List",IF(ISNUMBER(SEARCH("MSSB",C1268)),"MSSB",IF(ISNUMBER(SEARCH("local",C1268)),"LOCAL","")))</f>
        <v>MSSB</v>
      </c>
      <c r="E1268" s="238">
        <v>4</v>
      </c>
      <c r="F1268" s="217"/>
      <c r="G1268" s="217">
        <v>6</v>
      </c>
      <c r="H1268" s="245">
        <v>10</v>
      </c>
      <c r="I1268" s="270"/>
      <c r="J1268" s="241" t="str">
        <f>CONCATENATE(O1246," ",L1246, " (",M1246,") ",N1246,".", IF(M1246&gt;1," Each "," This "),"includes supply and install of ",O1247,O1248,O1249,O1250,O1251,O1252,O1253,O1254,O1255,O1256,O1257,O1258,O1259,O1260,O1261,O1262,O1263,O1264,O1265,O1266,J1247,J1248,J1249,J1250,J1251,J1252,J1253,J1254,J1255,J1256,J1257,J1258,J1259,J1260,J1261,J1262,J1263,J1264,J1265,J1266)</f>
        <v>Electrical power supply and controls cabling to Zero (0) split AC systems - MSSB powered with run and fault lights ( Excluding field wiring option). This includes supply and install of circuit breaker, Run light and relay, fault light and relay, connections of both controls and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Run signal controls cabling from each AC system adjacent to MSSB for run lights. Customers electrician to leave tails adjacent MSSB for Controlworks to connect.Coordination Note: - Customers in-house electrician: Please refer to our exclusions relating to Fault signal controls cabling from each AC system adjacent to MSSB for fault lights. Customers electrician to leave tails adjacent MSSB for Controlworks to connect.Coordination Note: - AC system supplier : Please refer to our exclusions relating to interface card for air-conditioning controllers for both run and fault indication. Coordination Note: - Customers in-house electrician: Please refer to our exclusions relating to Power cabling from MSSB to outdoor unit. Customers electrician to leave tails adjacent MSSB for Controlworks to connect.</v>
      </c>
      <c r="K1268" s="246">
        <f>P1267</f>
        <v>0</v>
      </c>
      <c r="L1268" s="235" t="str">
        <f>CONCATENATE(Q1247,Q1248,Q1249,Q1250,Q1251,Q1252,Q1253,Q1254,Q1255,Q1256,Q1257,Q1258,Q1259,Q1260,Q1261,Q1262,Q1263,Q1264,Q1265,Q1266,)</f>
        <v>interconnect cabling, and local power isolator ( for Indoor unit). proprietary air-conditioning controllers supply and installation. Run signal controls cabling from each AC system adjacent to MSSB for run lights. Customers electrician to leave tails adjacent MSSB for Controlworks to connect.Fault signal controls cabling from each AC system adjacent to MSSB for fault lights. Customers electrician to leave tails adjacent MSSB for Controlworks to connect.interface card for air-conditioning controllers for both run and fault indication. Power cabling from MSSB to outdoor unit. Customers electrician to leave tails adjacent MSSB for Controlworks to connect.</v>
      </c>
      <c r="M1268" s="166" t="s">
        <v>367</v>
      </c>
      <c r="N1268" s="160" t="str">
        <f>N1246</f>
        <v>split AC systems - MSSB powered with run and fault lights ( Excluding field wiring option)</v>
      </c>
      <c r="O1268" s="160" t="s">
        <v>365</v>
      </c>
      <c r="P1268" s="64" t="e">
        <f>P1267/M1246</f>
        <v>#DIV/0!</v>
      </c>
      <c r="Q1268" s="161"/>
      <c r="R1268" s="161"/>
      <c r="S1268" s="160"/>
      <c r="T1268" s="161"/>
      <c r="U1268" s="503" t="s">
        <v>366</v>
      </c>
      <c r="V1268" s="503"/>
      <c r="W1268" s="162" t="e">
        <f>W1267/M1246</f>
        <v>#DIV/0!</v>
      </c>
      <c r="X1268" s="163"/>
      <c r="Y1268" s="501" t="s">
        <v>365</v>
      </c>
      <c r="Z1268" s="501"/>
      <c r="AA1268" s="164" t="e">
        <f>AA1267/M1246</f>
        <v>#DIV/0!</v>
      </c>
      <c r="AB1268" s="161"/>
      <c r="AC1268" s="161"/>
      <c r="AD1268" s="161"/>
      <c r="AE1268" s="161"/>
      <c r="AF1268" s="501" t="s">
        <v>365</v>
      </c>
      <c r="AG1268" s="501"/>
      <c r="AH1268" s="164" t="e">
        <f>AH1267/M1246</f>
        <v>#DIV/0!</v>
      </c>
      <c r="AI1268" s="161"/>
      <c r="AJ1268" s="161"/>
      <c r="AK1268" s="161"/>
      <c r="AL1268" s="247"/>
      <c r="AM1268" s="257"/>
      <c r="AN1268" s="230">
        <f>K1268*1.25</f>
        <v>0</v>
      </c>
      <c r="AO1268" s="286"/>
      <c r="AP1268" s="284">
        <f t="shared" si="570"/>
        <v>0</v>
      </c>
      <c r="AQ1268" s="281">
        <f t="shared" si="571"/>
        <v>0</v>
      </c>
      <c r="AR1268" s="284">
        <f t="shared" si="572"/>
        <v>0</v>
      </c>
      <c r="AS1268" s="281">
        <f t="shared" si="573"/>
        <v>0</v>
      </c>
      <c r="AT1268" s="284">
        <f t="shared" si="574"/>
        <v>0</v>
      </c>
      <c r="AU1268" s="117"/>
      <c r="AV1268" s="117"/>
      <c r="AW1268" s="117"/>
      <c r="AX1268" s="117"/>
      <c r="AY1268" s="117"/>
      <c r="AZ1268" s="117"/>
      <c r="BA1268" s="117"/>
      <c r="BB1268" s="117"/>
      <c r="BC1268" s="117"/>
      <c r="BD1268" s="117"/>
      <c r="BE1268" s="117"/>
      <c r="BF1268" s="117"/>
      <c r="BG1268" s="117"/>
      <c r="BH1268" s="117"/>
      <c r="BI1268" s="117"/>
      <c r="BJ1268" s="117"/>
      <c r="BK1268" s="117"/>
      <c r="BL1268" s="117"/>
      <c r="BM1268" s="117"/>
      <c r="BN1268" s="117"/>
      <c r="BO1268" s="117"/>
      <c r="BP1268" s="117"/>
      <c r="BQ1268" s="117"/>
      <c r="BR1268" s="117"/>
      <c r="BS1268" s="117"/>
      <c r="BT1268" s="117"/>
      <c r="BU1268" s="117"/>
      <c r="BV1268" s="117"/>
      <c r="BW1268" s="117"/>
      <c r="BX1268" s="117"/>
      <c r="BY1268" s="117"/>
      <c r="BZ1268" s="117"/>
      <c r="CA1268" s="117"/>
      <c r="CB1268" s="117"/>
      <c r="CC1268" s="117"/>
      <c r="CD1268" s="117"/>
      <c r="CE1268" s="117"/>
      <c r="CF1268" s="117"/>
      <c r="CG1268" s="117"/>
      <c r="CH1268" s="117"/>
      <c r="CI1268" s="117"/>
      <c r="CJ1268" s="117"/>
      <c r="CK1268" s="117"/>
      <c r="CL1268" s="117"/>
      <c r="CM1268" s="117"/>
      <c r="CN1268" s="117"/>
      <c r="CO1268" s="117"/>
      <c r="CP1268" s="117"/>
      <c r="CQ1268" s="117"/>
      <c r="CR1268" s="117"/>
      <c r="CS1268" s="117"/>
    </row>
    <row r="1269" spans="1:97" s="116" customFormat="1" ht="192.75" customHeight="1" x14ac:dyDescent="0.8">
      <c r="A1269" s="262">
        <f>ROW()</f>
        <v>1269</v>
      </c>
      <c r="C1269" s="211"/>
      <c r="D1269" s="211"/>
      <c r="E1269" s="211"/>
      <c r="F1269" s="211"/>
      <c r="G1269" s="211"/>
      <c r="H1269" s="211"/>
      <c r="K1269" s="116" t="s">
        <v>452</v>
      </c>
      <c r="M1269" s="116" t="s">
        <v>298</v>
      </c>
      <c r="N1269" s="116" t="s">
        <v>108</v>
      </c>
      <c r="O1269" s="170" t="s">
        <v>386</v>
      </c>
      <c r="P1269" s="502" t="s">
        <v>375</v>
      </c>
      <c r="Q1269" s="502"/>
      <c r="R1269" s="101" t="s">
        <v>452</v>
      </c>
      <c r="S1269" s="116" t="s">
        <v>0</v>
      </c>
      <c r="T1269" s="118"/>
      <c r="U1269" s="116" t="s">
        <v>287</v>
      </c>
      <c r="V1269" s="116" t="s">
        <v>288</v>
      </c>
      <c r="W1269" s="116" t="s">
        <v>291</v>
      </c>
      <c r="X1269" s="140"/>
      <c r="Y1269" s="116" t="s">
        <v>289</v>
      </c>
      <c r="Z1269" s="116" t="s">
        <v>354</v>
      </c>
      <c r="AA1269" s="116" t="s">
        <v>355</v>
      </c>
      <c r="AB1269" s="116" t="s">
        <v>317</v>
      </c>
      <c r="AC1269" s="116" t="s">
        <v>318</v>
      </c>
      <c r="AD1269" s="116" t="s">
        <v>316</v>
      </c>
      <c r="AE1269" s="140"/>
      <c r="AF1269" s="116" t="s">
        <v>293</v>
      </c>
      <c r="AG1269" s="116" t="s">
        <v>354</v>
      </c>
      <c r="AH1269" s="116" t="s">
        <v>355</v>
      </c>
      <c r="AI1269" s="116" t="s">
        <v>296</v>
      </c>
      <c r="AJ1269" s="116" t="s">
        <v>294</v>
      </c>
      <c r="AK1269" s="116" t="s">
        <v>295</v>
      </c>
      <c r="AL1269" s="140"/>
      <c r="AO1269" s="288"/>
      <c r="AP1269" s="284">
        <f t="shared" si="570"/>
        <v>0</v>
      </c>
      <c r="AQ1269" s="281">
        <f t="shared" si="571"/>
        <v>0</v>
      </c>
      <c r="AR1269" s="284">
        <f t="shared" si="572"/>
        <v>0</v>
      </c>
      <c r="AS1269" s="281">
        <f t="shared" si="573"/>
        <v>0</v>
      </c>
      <c r="AT1269" s="284">
        <f t="shared" si="574"/>
        <v>0</v>
      </c>
    </row>
    <row r="1270" spans="1:97" s="114" customFormat="1" ht="59.25" customHeight="1" x14ac:dyDescent="0.8">
      <c r="A1270" s="262">
        <f>ROW()</f>
        <v>1270</v>
      </c>
      <c r="C1270" s="208"/>
      <c r="D1270" s="208"/>
      <c r="E1270" s="208"/>
      <c r="F1270" s="208"/>
      <c r="G1270" s="208"/>
      <c r="H1270" s="208"/>
      <c r="L1270" s="124" t="str">
        <f>VLOOKUP(M1270,Sheet2!$D$2:$E$1024,2,FALSE)</f>
        <v>Zero</v>
      </c>
      <c r="M1270" s="121">
        <f>I1292</f>
        <v>0</v>
      </c>
      <c r="N1270" s="132" t="s">
        <v>618</v>
      </c>
      <c r="O1270" s="121" t="s">
        <v>138</v>
      </c>
      <c r="P1270" s="169" t="s">
        <v>379</v>
      </c>
      <c r="Q1270" s="169" t="s">
        <v>375</v>
      </c>
      <c r="R1270" s="169"/>
      <c r="S1270" s="133">
        <f>M1270</f>
        <v>0</v>
      </c>
      <c r="T1270" s="119"/>
      <c r="U1270" s="121" t="s">
        <v>292</v>
      </c>
      <c r="V1270" s="133">
        <f>S1270</f>
        <v>0</v>
      </c>
      <c r="W1270" s="133">
        <f>VLOOKUP(U1270,Sheet1!$B$6:$C$45,2,FALSE)*V1270</f>
        <v>0</v>
      </c>
      <c r="X1270" s="141"/>
      <c r="Y1270" s="121" t="s">
        <v>292</v>
      </c>
      <c r="Z1270" s="146">
        <f>VLOOKUP(Takeoffs!Y1270,Sheet1!$B$6:$C$124,2,FALSE)</f>
        <v>0</v>
      </c>
      <c r="AA1270" s="146">
        <f>Z1270*AB1270</f>
        <v>0</v>
      </c>
      <c r="AB1270" s="143">
        <f>AD1270*AC1270</f>
        <v>0</v>
      </c>
      <c r="AC1270" s="133">
        <f>S1270</f>
        <v>0</v>
      </c>
      <c r="AD1270" s="142">
        <v>1</v>
      </c>
      <c r="AE1270" s="141"/>
      <c r="AF1270" s="121" t="s">
        <v>292</v>
      </c>
      <c r="AG1270" s="146">
        <f>VLOOKUP(Takeoffs!AF1270,Sheet1!$B$6:$C$124,2,FALSE)</f>
        <v>0</v>
      </c>
      <c r="AH1270" s="146">
        <f>AG1270*AI1270</f>
        <v>0</v>
      </c>
      <c r="AI1270" s="143">
        <f>AK1270*AJ1270</f>
        <v>0</v>
      </c>
      <c r="AJ1270" s="133">
        <f>S1270</f>
        <v>0</v>
      </c>
      <c r="AK1270" s="142">
        <f>T1270</f>
        <v>0</v>
      </c>
      <c r="AL1270" s="141"/>
      <c r="AO1270" s="286"/>
      <c r="AP1270" s="284">
        <f t="shared" si="570"/>
        <v>0</v>
      </c>
      <c r="AQ1270" s="281">
        <f t="shared" si="571"/>
        <v>0</v>
      </c>
      <c r="AR1270" s="284">
        <f t="shared" si="572"/>
        <v>0</v>
      </c>
      <c r="AS1270" s="281">
        <f t="shared" si="573"/>
        <v>0</v>
      </c>
      <c r="AT1270" s="284">
        <f t="shared" si="574"/>
        <v>0</v>
      </c>
    </row>
    <row r="1271" spans="1:97" s="114" customFormat="1" ht="30.9" x14ac:dyDescent="0.8">
      <c r="A1271" s="262">
        <f>ROW()</f>
        <v>1271</v>
      </c>
      <c r="C1271" s="208"/>
      <c r="D1271" s="208"/>
      <c r="E1271" s="208"/>
      <c r="F1271" s="208"/>
      <c r="G1271" s="208"/>
      <c r="H1271" s="208"/>
      <c r="J1271" s="114" t="str">
        <f>IF(COUNTBLANK(Q1271)&gt;0,"",CONCATENATE("Coordination Note: - ",P1271,": Please refer to our exclusions relating to ",Q1271))</f>
        <v xml:space="preserve">Coordination Note: - Customers in-house electrician: Please refer to our exclusions relating to interconnect cabling, </v>
      </c>
      <c r="K1271" s="114" t="str">
        <f>IF(COUNTBLANK(R1271)&gt;0,"",CONCATENATE(R1271," for ",N1270))</f>
        <v/>
      </c>
      <c r="M1271" s="117"/>
      <c r="N1271" s="123" t="s">
        <v>113</v>
      </c>
      <c r="O1271" s="66"/>
      <c r="P1271" s="121" t="s">
        <v>593</v>
      </c>
      <c r="Q1271" s="66" t="s">
        <v>426</v>
      </c>
      <c r="R1271" s="121"/>
      <c r="S1271" s="133">
        <f>M1270</f>
        <v>0</v>
      </c>
      <c r="T1271" s="120"/>
      <c r="U1271" s="121" t="s">
        <v>292</v>
      </c>
      <c r="V1271" s="133">
        <f t="shared" ref="V1271:V1290" si="584">S1271</f>
        <v>0</v>
      </c>
      <c r="W1271" s="133">
        <f>VLOOKUP(U1271,Sheet1!$B$6:$C$45,2,FALSE)*V1271</f>
        <v>0</v>
      </c>
      <c r="X1271" s="141"/>
      <c r="Y1271" s="121" t="s">
        <v>292</v>
      </c>
      <c r="Z1271" s="146">
        <f>VLOOKUP(Takeoffs!Y1271,Sheet1!$B$6:$C$124,2,FALSE)</f>
        <v>0</v>
      </c>
      <c r="AA1271" s="146">
        <f t="shared" ref="AA1271:AA1290" si="585">Z1271*AB1271</f>
        <v>0</v>
      </c>
      <c r="AB1271" s="143">
        <f t="shared" ref="AB1271:AB1290" si="586">AD1271*AC1271</f>
        <v>0</v>
      </c>
      <c r="AC1271" s="133">
        <f t="shared" ref="AC1271:AC1290" si="587">S1271</f>
        <v>0</v>
      </c>
      <c r="AD1271" s="142">
        <v>1</v>
      </c>
      <c r="AE1271" s="141"/>
      <c r="AF1271" s="121" t="s">
        <v>292</v>
      </c>
      <c r="AG1271" s="146">
        <f>VLOOKUP(Takeoffs!AF1271,Sheet1!$B$6:$C$124,2,FALSE)</f>
        <v>0</v>
      </c>
      <c r="AH1271" s="146">
        <f t="shared" ref="AH1271:AH1290" si="588">AG1271*AI1271</f>
        <v>0</v>
      </c>
      <c r="AI1271" s="143">
        <f t="shared" ref="AI1271:AI1290" si="589">AK1271*AJ1271</f>
        <v>0</v>
      </c>
      <c r="AJ1271" s="133">
        <f t="shared" ref="AJ1271:AJ1290" si="590">S1271</f>
        <v>0</v>
      </c>
      <c r="AK1271" s="142">
        <f t="shared" ref="AK1271:AK1282" si="591">T1271</f>
        <v>0</v>
      </c>
      <c r="AL1271" s="141"/>
      <c r="AO1271" s="286"/>
      <c r="AP1271" s="284">
        <f t="shared" si="570"/>
        <v>0</v>
      </c>
      <c r="AQ1271" s="281">
        <f t="shared" si="571"/>
        <v>0</v>
      </c>
      <c r="AR1271" s="284">
        <f t="shared" si="572"/>
        <v>0</v>
      </c>
      <c r="AS1271" s="281">
        <f t="shared" si="573"/>
        <v>0</v>
      </c>
      <c r="AT1271" s="284">
        <f t="shared" si="574"/>
        <v>0</v>
      </c>
    </row>
    <row r="1272" spans="1:97" s="114" customFormat="1" ht="30.9" x14ac:dyDescent="0.8">
      <c r="A1272" s="262">
        <f>ROW()</f>
        <v>1272</v>
      </c>
      <c r="C1272" s="208"/>
      <c r="D1272" s="208"/>
      <c r="E1272" s="208"/>
      <c r="F1272" s="208"/>
      <c r="G1272" s="208"/>
      <c r="H1272" s="208"/>
      <c r="J1272" s="114" t="str">
        <f t="shared" ref="J1272:J1290" si="592">IF(COUNTBLANK(Q1272)&gt;0,"",CONCATENATE("Coordination Note: - ",P1272,": Please refer to our exclusions relating to ",Q1272))</f>
        <v/>
      </c>
      <c r="K1272" s="114" t="str">
        <f>IF(COUNTBLANK(R1272)&gt;0,"",CONCATENATE(R1272," for ",N1270))</f>
        <v/>
      </c>
      <c r="M1272" s="117"/>
      <c r="N1272" s="123" t="s">
        <v>114</v>
      </c>
      <c r="O1272" s="66"/>
      <c r="P1272" s="121"/>
      <c r="Q1272" s="66"/>
      <c r="R1272" s="121"/>
      <c r="S1272" s="133">
        <f>M1270</f>
        <v>0</v>
      </c>
      <c r="T1272" s="120"/>
      <c r="U1272" s="121" t="s">
        <v>292</v>
      </c>
      <c r="V1272" s="133">
        <f t="shared" si="584"/>
        <v>0</v>
      </c>
      <c r="W1272" s="133">
        <f>VLOOKUP(U1272,Sheet1!$B$6:$C$45,2,FALSE)*V1272</f>
        <v>0</v>
      </c>
      <c r="X1272" s="141"/>
      <c r="Y1272" s="121" t="s">
        <v>292</v>
      </c>
      <c r="Z1272" s="146">
        <f>VLOOKUP(Takeoffs!Y1272,Sheet1!$B$6:$C$124,2,FALSE)</f>
        <v>0</v>
      </c>
      <c r="AA1272" s="146">
        <f t="shared" si="585"/>
        <v>0</v>
      </c>
      <c r="AB1272" s="143">
        <f t="shared" si="586"/>
        <v>0</v>
      </c>
      <c r="AC1272" s="133">
        <f t="shared" si="587"/>
        <v>0</v>
      </c>
      <c r="AD1272" s="142">
        <v>1</v>
      </c>
      <c r="AE1272" s="141"/>
      <c r="AF1272" s="121" t="s">
        <v>292</v>
      </c>
      <c r="AG1272" s="146">
        <f>VLOOKUP(Takeoffs!AF1272,Sheet1!$B$6:$C$124,2,FALSE)</f>
        <v>0</v>
      </c>
      <c r="AH1272" s="146">
        <f t="shared" si="588"/>
        <v>0</v>
      </c>
      <c r="AI1272" s="143">
        <f t="shared" si="589"/>
        <v>0</v>
      </c>
      <c r="AJ1272" s="133">
        <f t="shared" si="590"/>
        <v>0</v>
      </c>
      <c r="AK1272" s="142">
        <f t="shared" si="591"/>
        <v>0</v>
      </c>
      <c r="AL1272" s="141"/>
      <c r="AO1272" s="286"/>
      <c r="AP1272" s="284">
        <f t="shared" si="570"/>
        <v>0</v>
      </c>
      <c r="AQ1272" s="281">
        <f t="shared" si="571"/>
        <v>0</v>
      </c>
      <c r="AR1272" s="284">
        <f t="shared" si="572"/>
        <v>0</v>
      </c>
      <c r="AS1272" s="281">
        <f t="shared" si="573"/>
        <v>0</v>
      </c>
      <c r="AT1272" s="284">
        <f t="shared" si="574"/>
        <v>0</v>
      </c>
    </row>
    <row r="1273" spans="1:97" s="114" customFormat="1" ht="30.9" x14ac:dyDescent="0.8">
      <c r="A1273" s="262">
        <f>ROW()</f>
        <v>1273</v>
      </c>
      <c r="C1273" s="208"/>
      <c r="D1273" s="208"/>
      <c r="E1273" s="208"/>
      <c r="F1273" s="208"/>
      <c r="G1273" s="208"/>
      <c r="H1273" s="208"/>
      <c r="J1273" s="114" t="str">
        <f t="shared" si="592"/>
        <v xml:space="preserve">Coordination Note: - Customers in-house electrician: Please refer to our exclusions relating to and local power isolator ( for Indoor unit). </v>
      </c>
      <c r="K1273" s="114" t="str">
        <f>IF(COUNTBLANK(R1273)&gt;0,"",CONCATENATE(R1273," for ",N1270))</f>
        <v/>
      </c>
      <c r="M1273" s="117"/>
      <c r="N1273" s="123" t="s">
        <v>115</v>
      </c>
      <c r="O1273" s="66"/>
      <c r="P1273" s="121" t="s">
        <v>593</v>
      </c>
      <c r="Q1273" s="66" t="s">
        <v>413</v>
      </c>
      <c r="R1273" s="121"/>
      <c r="S1273" s="133">
        <f>M1270</f>
        <v>0</v>
      </c>
      <c r="T1273" s="120"/>
      <c r="U1273" s="121" t="s">
        <v>292</v>
      </c>
      <c r="V1273" s="133">
        <f t="shared" si="584"/>
        <v>0</v>
      </c>
      <c r="W1273" s="133">
        <f>VLOOKUP(U1273,Sheet1!$B$6:$C$45,2,FALSE)*V1273</f>
        <v>0</v>
      </c>
      <c r="X1273" s="141"/>
      <c r="Y1273" s="121" t="s">
        <v>292</v>
      </c>
      <c r="Z1273" s="146">
        <f>VLOOKUP(Takeoffs!Y1273,Sheet1!$B$6:$C$124,2,FALSE)</f>
        <v>0</v>
      </c>
      <c r="AA1273" s="146">
        <f t="shared" si="585"/>
        <v>0</v>
      </c>
      <c r="AB1273" s="143">
        <f t="shared" si="586"/>
        <v>0</v>
      </c>
      <c r="AC1273" s="133">
        <f t="shared" si="587"/>
        <v>0</v>
      </c>
      <c r="AD1273" s="142">
        <v>1</v>
      </c>
      <c r="AE1273" s="141"/>
      <c r="AF1273" s="121" t="s">
        <v>292</v>
      </c>
      <c r="AG1273" s="146">
        <f>VLOOKUP(Takeoffs!AF1273,Sheet1!$B$6:$C$124,2,FALSE)</f>
        <v>0</v>
      </c>
      <c r="AH1273" s="146">
        <f t="shared" si="588"/>
        <v>0</v>
      </c>
      <c r="AI1273" s="143">
        <f t="shared" si="589"/>
        <v>0</v>
      </c>
      <c r="AJ1273" s="133">
        <f t="shared" si="590"/>
        <v>0</v>
      </c>
      <c r="AK1273" s="142">
        <f t="shared" si="591"/>
        <v>0</v>
      </c>
      <c r="AL1273" s="141"/>
      <c r="AO1273" s="286"/>
      <c r="AP1273" s="284">
        <f t="shared" si="570"/>
        <v>0</v>
      </c>
      <c r="AQ1273" s="281">
        <f t="shared" si="571"/>
        <v>0</v>
      </c>
      <c r="AR1273" s="284">
        <f t="shared" si="572"/>
        <v>0</v>
      </c>
      <c r="AS1273" s="281">
        <f t="shared" si="573"/>
        <v>0</v>
      </c>
      <c r="AT1273" s="284">
        <f t="shared" si="574"/>
        <v>0</v>
      </c>
    </row>
    <row r="1274" spans="1:97" s="114" customFormat="1" ht="30.9" x14ac:dyDescent="0.8">
      <c r="A1274" s="262">
        <f>ROW()</f>
        <v>1274</v>
      </c>
      <c r="C1274" s="208"/>
      <c r="D1274" s="208"/>
      <c r="E1274" s="208"/>
      <c r="F1274" s="208"/>
      <c r="G1274" s="208"/>
      <c r="H1274" s="208"/>
      <c r="J1274" s="114" t="str">
        <f t="shared" si="592"/>
        <v xml:space="preserve">Coordination Note: - Customers in-house electrician: Please refer to our exclusions relating to proprietary air-conditioning controllers supply and installation. </v>
      </c>
      <c r="K1274" s="114" t="str">
        <f>IF(COUNTBLANK(R1274)&gt;0,"",CONCATENATE(R1274," for ",N1270))</f>
        <v/>
      </c>
      <c r="M1274" s="117"/>
      <c r="N1274" s="123" t="s">
        <v>116</v>
      </c>
      <c r="O1274" s="66"/>
      <c r="P1274" s="121" t="s">
        <v>593</v>
      </c>
      <c r="Q1274" s="121" t="s">
        <v>594</v>
      </c>
      <c r="R1274" s="121"/>
      <c r="S1274" s="133">
        <f>M1270</f>
        <v>0</v>
      </c>
      <c r="T1274" s="120"/>
      <c r="U1274" s="121" t="s">
        <v>292</v>
      </c>
      <c r="V1274" s="133">
        <f t="shared" si="584"/>
        <v>0</v>
      </c>
      <c r="W1274" s="133">
        <f>VLOOKUP(U1274,Sheet1!$B$6:$C$45,2,FALSE)*V1274</f>
        <v>0</v>
      </c>
      <c r="X1274" s="141"/>
      <c r="Y1274" s="121" t="s">
        <v>292</v>
      </c>
      <c r="Z1274" s="146">
        <f>VLOOKUP(Takeoffs!Y1274,Sheet1!$B$6:$C$124,2,FALSE)</f>
        <v>0</v>
      </c>
      <c r="AA1274" s="146">
        <f t="shared" si="585"/>
        <v>0</v>
      </c>
      <c r="AB1274" s="143">
        <f t="shared" si="586"/>
        <v>0</v>
      </c>
      <c r="AC1274" s="133">
        <f t="shared" si="587"/>
        <v>0</v>
      </c>
      <c r="AD1274" s="142">
        <v>1</v>
      </c>
      <c r="AE1274" s="141"/>
      <c r="AF1274" s="121" t="s">
        <v>292</v>
      </c>
      <c r="AG1274" s="146">
        <f>VLOOKUP(Takeoffs!AF1274,Sheet1!$B$6:$C$124,2,FALSE)</f>
        <v>0</v>
      </c>
      <c r="AH1274" s="146">
        <f t="shared" si="588"/>
        <v>0</v>
      </c>
      <c r="AI1274" s="143">
        <f t="shared" si="589"/>
        <v>0</v>
      </c>
      <c r="AJ1274" s="133">
        <f t="shared" si="590"/>
        <v>0</v>
      </c>
      <c r="AK1274" s="142">
        <f t="shared" si="591"/>
        <v>0</v>
      </c>
      <c r="AL1274" s="141"/>
      <c r="AO1274" s="286"/>
      <c r="AP1274" s="284">
        <f t="shared" si="570"/>
        <v>0</v>
      </c>
      <c r="AQ1274" s="281">
        <f t="shared" si="571"/>
        <v>0</v>
      </c>
      <c r="AR1274" s="284">
        <f t="shared" si="572"/>
        <v>0</v>
      </c>
      <c r="AS1274" s="281">
        <f t="shared" si="573"/>
        <v>0</v>
      </c>
      <c r="AT1274" s="284">
        <f t="shared" si="574"/>
        <v>0</v>
      </c>
    </row>
    <row r="1275" spans="1:97" s="114" customFormat="1" ht="30.9" x14ac:dyDescent="0.8">
      <c r="A1275" s="262">
        <f>ROW()</f>
        <v>1275</v>
      </c>
      <c r="C1275" s="208"/>
      <c r="D1275" s="208"/>
      <c r="E1275" s="208"/>
      <c r="F1275" s="208"/>
      <c r="G1275" s="208"/>
      <c r="H1275" s="208"/>
      <c r="J1275" s="114" t="str">
        <f t="shared" si="592"/>
        <v/>
      </c>
      <c r="K1275" s="114" t="str">
        <f>IF(COUNTBLANK(R1275)&gt;0,"",CONCATENATE(R1275," for ",N1270))</f>
        <v/>
      </c>
      <c r="M1275" s="117"/>
      <c r="N1275" s="123" t="s">
        <v>117</v>
      </c>
      <c r="O1275" s="66" t="s">
        <v>151</v>
      </c>
      <c r="P1275" s="121"/>
      <c r="Q1275" s="121"/>
      <c r="R1275" s="121"/>
      <c r="S1275" s="133">
        <f>M1270</f>
        <v>0</v>
      </c>
      <c r="T1275" s="120"/>
      <c r="U1275" s="121" t="s">
        <v>292</v>
      </c>
      <c r="V1275" s="133">
        <f t="shared" si="584"/>
        <v>0</v>
      </c>
      <c r="W1275" s="133">
        <f>VLOOKUP(U1275,Sheet1!$B$6:$C$45,2,FALSE)*V1275</f>
        <v>0</v>
      </c>
      <c r="X1275" s="141"/>
      <c r="Y1275" s="52" t="s">
        <v>253</v>
      </c>
      <c r="Z1275" s="146">
        <f>VLOOKUP(Takeoffs!Y1275,Sheet1!$B$6:$C$124,2,FALSE)</f>
        <v>10.139999999999999</v>
      </c>
      <c r="AA1275" s="146">
        <f t="shared" si="585"/>
        <v>0</v>
      </c>
      <c r="AB1275" s="143">
        <f t="shared" si="586"/>
        <v>0</v>
      </c>
      <c r="AC1275" s="133">
        <f t="shared" si="587"/>
        <v>0</v>
      </c>
      <c r="AD1275" s="142">
        <v>1</v>
      </c>
      <c r="AE1275" s="141"/>
      <c r="AF1275" s="121" t="s">
        <v>292</v>
      </c>
      <c r="AG1275" s="146">
        <f>VLOOKUP(Takeoffs!AF1275,Sheet1!$B$6:$C$124,2,FALSE)</f>
        <v>0</v>
      </c>
      <c r="AH1275" s="146">
        <f t="shared" si="588"/>
        <v>0</v>
      </c>
      <c r="AI1275" s="143">
        <f t="shared" si="589"/>
        <v>0</v>
      </c>
      <c r="AJ1275" s="133">
        <f t="shared" si="590"/>
        <v>0</v>
      </c>
      <c r="AK1275" s="142">
        <f t="shared" si="591"/>
        <v>0</v>
      </c>
      <c r="AL1275" s="141"/>
      <c r="AO1275" s="286"/>
      <c r="AP1275" s="284">
        <f t="shared" si="570"/>
        <v>0</v>
      </c>
      <c r="AQ1275" s="281">
        <f t="shared" si="571"/>
        <v>0</v>
      </c>
      <c r="AR1275" s="284">
        <f t="shared" si="572"/>
        <v>0</v>
      </c>
      <c r="AS1275" s="281">
        <f t="shared" si="573"/>
        <v>0</v>
      </c>
      <c r="AT1275" s="284">
        <f t="shared" si="574"/>
        <v>0</v>
      </c>
    </row>
    <row r="1276" spans="1:97" s="114" customFormat="1" ht="30.9" x14ac:dyDescent="0.8">
      <c r="A1276" s="262">
        <f>ROW()</f>
        <v>1276</v>
      </c>
      <c r="C1276" s="208"/>
      <c r="D1276" s="208"/>
      <c r="E1276" s="208"/>
      <c r="F1276" s="208"/>
      <c r="G1276" s="208"/>
      <c r="H1276" s="208"/>
      <c r="J1276" s="114" t="str">
        <f t="shared" si="592"/>
        <v/>
      </c>
      <c r="K1276" s="114" t="str">
        <f>IF(COUNTBLANK(R1276)&gt;0,"",CONCATENATE(R1276," for ",N1270))</f>
        <v/>
      </c>
      <c r="M1276" s="117"/>
      <c r="N1276" s="123" t="s">
        <v>118</v>
      </c>
      <c r="O1276" s="66" t="s">
        <v>617</v>
      </c>
      <c r="P1276" s="121"/>
      <c r="Q1276" s="121"/>
      <c r="R1276" s="121"/>
      <c r="S1276" s="133">
        <f>M1270</f>
        <v>0</v>
      </c>
      <c r="T1276" s="120"/>
      <c r="U1276" s="121" t="s">
        <v>292</v>
      </c>
      <c r="V1276" s="133">
        <f t="shared" si="584"/>
        <v>0</v>
      </c>
      <c r="W1276" s="133">
        <f>VLOOKUP(U1276,Sheet1!$B$6:$C$45,2,FALSE)*V1276</f>
        <v>0</v>
      </c>
      <c r="X1276" s="141"/>
      <c r="Y1276" s="121" t="s">
        <v>422</v>
      </c>
      <c r="Z1276" s="146">
        <f>VLOOKUP(Takeoffs!Y1276,Sheet1!$B$6:$C$124,2,FALSE)</f>
        <v>23.4</v>
      </c>
      <c r="AA1276" s="146">
        <f t="shared" si="585"/>
        <v>0</v>
      </c>
      <c r="AB1276" s="143">
        <f t="shared" si="586"/>
        <v>0</v>
      </c>
      <c r="AC1276" s="133">
        <f t="shared" si="587"/>
        <v>0</v>
      </c>
      <c r="AD1276" s="142">
        <v>1</v>
      </c>
      <c r="AE1276" s="141"/>
      <c r="AF1276" s="121" t="s">
        <v>292</v>
      </c>
      <c r="AG1276" s="146">
        <f>VLOOKUP(Takeoffs!AF1276,Sheet1!$B$6:$C$124,2,FALSE)</f>
        <v>0</v>
      </c>
      <c r="AH1276" s="146">
        <f t="shared" si="588"/>
        <v>0</v>
      </c>
      <c r="AI1276" s="143">
        <f t="shared" si="589"/>
        <v>0</v>
      </c>
      <c r="AJ1276" s="133">
        <f t="shared" si="590"/>
        <v>0</v>
      </c>
      <c r="AK1276" s="142">
        <f t="shared" si="591"/>
        <v>0</v>
      </c>
      <c r="AL1276" s="141"/>
      <c r="AO1276" s="286"/>
      <c r="AP1276" s="284">
        <f t="shared" si="570"/>
        <v>0</v>
      </c>
      <c r="AQ1276" s="281">
        <f t="shared" si="571"/>
        <v>0</v>
      </c>
      <c r="AR1276" s="284">
        <f t="shared" si="572"/>
        <v>0</v>
      </c>
      <c r="AS1276" s="281">
        <f t="shared" si="573"/>
        <v>0</v>
      </c>
      <c r="AT1276" s="284">
        <f t="shared" si="574"/>
        <v>0</v>
      </c>
    </row>
    <row r="1277" spans="1:97" s="114" customFormat="1" ht="30.9" x14ac:dyDescent="0.8">
      <c r="A1277" s="262">
        <f>ROW()</f>
        <v>1277</v>
      </c>
      <c r="C1277" s="208"/>
      <c r="D1277" s="208"/>
      <c r="E1277" s="208"/>
      <c r="F1277" s="208"/>
      <c r="G1277" s="208"/>
      <c r="H1277" s="208"/>
      <c r="J1277" s="114" t="str">
        <f t="shared" si="592"/>
        <v/>
      </c>
      <c r="K1277" s="114" t="str">
        <f>IF(COUNTBLANK(R1277)&gt;0,"",CONCATENATE(R1277," for ",N1270))</f>
        <v/>
      </c>
      <c r="N1277" s="123" t="s">
        <v>119</v>
      </c>
      <c r="O1277" s="66"/>
      <c r="P1277" s="121"/>
      <c r="Q1277" s="121"/>
      <c r="R1277" s="121"/>
      <c r="S1277" s="133">
        <f>M1270</f>
        <v>0</v>
      </c>
      <c r="T1277" s="120"/>
      <c r="U1277" s="121" t="s">
        <v>292</v>
      </c>
      <c r="V1277" s="133">
        <f t="shared" si="584"/>
        <v>0</v>
      </c>
      <c r="W1277" s="133">
        <f>VLOOKUP(U1277,Sheet1!$B$6:$C$45,2,FALSE)*V1277</f>
        <v>0</v>
      </c>
      <c r="X1277" s="141"/>
      <c r="Y1277" s="121" t="s">
        <v>292</v>
      </c>
      <c r="Z1277" s="146">
        <f>VLOOKUP(Takeoffs!Y1277,Sheet1!$B$6:$C$124,2,FALSE)</f>
        <v>0</v>
      </c>
      <c r="AA1277" s="146">
        <f t="shared" si="585"/>
        <v>0</v>
      </c>
      <c r="AB1277" s="143">
        <f t="shared" si="586"/>
        <v>0</v>
      </c>
      <c r="AC1277" s="133">
        <f t="shared" si="587"/>
        <v>0</v>
      </c>
      <c r="AD1277" s="142">
        <v>1</v>
      </c>
      <c r="AE1277" s="141"/>
      <c r="AF1277" s="121" t="s">
        <v>292</v>
      </c>
      <c r="AG1277" s="146">
        <f>VLOOKUP(Takeoffs!AF1277,Sheet1!$B$6:$C$124,2,FALSE)</f>
        <v>0</v>
      </c>
      <c r="AH1277" s="146">
        <f t="shared" si="588"/>
        <v>0</v>
      </c>
      <c r="AI1277" s="143">
        <f t="shared" si="589"/>
        <v>0</v>
      </c>
      <c r="AJ1277" s="133">
        <f t="shared" si="590"/>
        <v>0</v>
      </c>
      <c r="AK1277" s="142">
        <f t="shared" si="591"/>
        <v>0</v>
      </c>
      <c r="AL1277" s="141"/>
      <c r="AO1277" s="286"/>
      <c r="AP1277" s="284">
        <f t="shared" si="570"/>
        <v>0</v>
      </c>
      <c r="AQ1277" s="281">
        <f t="shared" si="571"/>
        <v>0</v>
      </c>
      <c r="AR1277" s="284">
        <f t="shared" si="572"/>
        <v>0</v>
      </c>
      <c r="AS1277" s="281">
        <f t="shared" si="573"/>
        <v>0</v>
      </c>
      <c r="AT1277" s="284">
        <f t="shared" si="574"/>
        <v>0</v>
      </c>
    </row>
    <row r="1278" spans="1:97" s="114" customFormat="1" ht="30.9" x14ac:dyDescent="0.8">
      <c r="A1278" s="262">
        <f>ROW()</f>
        <v>1278</v>
      </c>
      <c r="C1278" s="208"/>
      <c r="D1278" s="208"/>
      <c r="E1278" s="208"/>
      <c r="F1278" s="208"/>
      <c r="G1278" s="208"/>
      <c r="H1278" s="208"/>
      <c r="J1278" s="114" t="str">
        <f t="shared" si="592"/>
        <v/>
      </c>
      <c r="K1278" s="114" t="str">
        <f>IF(COUNTBLANK(R1278)&gt;0,"",CONCATENATE(R1278," for ",N1270))</f>
        <v/>
      </c>
      <c r="N1278" s="123" t="s">
        <v>120</v>
      </c>
      <c r="O1278" s="66" t="s">
        <v>611</v>
      </c>
      <c r="P1278" s="121"/>
      <c r="Q1278" s="121"/>
      <c r="R1278" s="121"/>
      <c r="S1278" s="133">
        <f>M1270</f>
        <v>0</v>
      </c>
      <c r="T1278" s="120"/>
      <c r="U1278" s="117" t="s">
        <v>363</v>
      </c>
      <c r="V1278" s="133">
        <f t="shared" si="584"/>
        <v>0</v>
      </c>
      <c r="W1278" s="133">
        <f>VLOOKUP(U1278,Sheet1!$B$6:$C$45,2,FALSE)*V1278</f>
        <v>0</v>
      </c>
      <c r="X1278" s="141"/>
      <c r="Y1278" s="135" t="s">
        <v>280</v>
      </c>
      <c r="Z1278" s="146">
        <f>VLOOKUP(Takeoffs!Y1278,Sheet1!$B$6:$C$124,2,FALSE)</f>
        <v>19.2</v>
      </c>
      <c r="AA1278" s="146">
        <f t="shared" si="585"/>
        <v>0</v>
      </c>
      <c r="AB1278" s="143">
        <f t="shared" si="586"/>
        <v>0</v>
      </c>
      <c r="AC1278" s="133">
        <f t="shared" si="587"/>
        <v>0</v>
      </c>
      <c r="AD1278" s="142">
        <v>1</v>
      </c>
      <c r="AE1278" s="141"/>
      <c r="AF1278" s="121" t="s">
        <v>292</v>
      </c>
      <c r="AG1278" s="146">
        <f>VLOOKUP(Takeoffs!AF1278,Sheet1!$B$6:$C$124,2,FALSE)</f>
        <v>0</v>
      </c>
      <c r="AH1278" s="146">
        <f t="shared" si="588"/>
        <v>0</v>
      </c>
      <c r="AI1278" s="143">
        <f t="shared" si="589"/>
        <v>0</v>
      </c>
      <c r="AJ1278" s="133">
        <f t="shared" si="590"/>
        <v>0</v>
      </c>
      <c r="AK1278" s="142">
        <f t="shared" si="591"/>
        <v>0</v>
      </c>
      <c r="AL1278" s="141"/>
      <c r="AO1278" s="286"/>
      <c r="AP1278" s="284">
        <f t="shared" si="570"/>
        <v>0</v>
      </c>
      <c r="AQ1278" s="281">
        <f t="shared" si="571"/>
        <v>0</v>
      </c>
      <c r="AR1278" s="284">
        <f t="shared" si="572"/>
        <v>0</v>
      </c>
      <c r="AS1278" s="281">
        <f t="shared" si="573"/>
        <v>0</v>
      </c>
      <c r="AT1278" s="284">
        <f t="shared" si="574"/>
        <v>0</v>
      </c>
    </row>
    <row r="1279" spans="1:97" s="114" customFormat="1" ht="30.9" x14ac:dyDescent="0.8">
      <c r="A1279" s="262">
        <f>ROW()</f>
        <v>1279</v>
      </c>
      <c r="C1279" s="208"/>
      <c r="D1279" s="208"/>
      <c r="E1279" s="208"/>
      <c r="F1279" s="208"/>
      <c r="G1279" s="208"/>
      <c r="H1279" s="208"/>
      <c r="J1279" s="114" t="str">
        <f t="shared" si="592"/>
        <v/>
      </c>
      <c r="K1279" s="114" t="str">
        <f>IF(COUNTBLANK(R1279)&gt;0,"",CONCATENATE(R1279," for ",N1270))</f>
        <v/>
      </c>
      <c r="N1279" s="123" t="s">
        <v>121</v>
      </c>
      <c r="O1279" s="66" t="s">
        <v>596</v>
      </c>
      <c r="P1279" s="121"/>
      <c r="Q1279" s="121"/>
      <c r="R1279" s="121"/>
      <c r="S1279" s="133">
        <f>M1270</f>
        <v>0</v>
      </c>
      <c r="T1279" s="120"/>
      <c r="U1279" s="121" t="s">
        <v>292</v>
      </c>
      <c r="V1279" s="133">
        <f t="shared" si="584"/>
        <v>0</v>
      </c>
      <c r="W1279" s="133">
        <f>VLOOKUP(U1279,Sheet1!$B$6:$C$45,2,FALSE)*V1279</f>
        <v>0</v>
      </c>
      <c r="X1279" s="141"/>
      <c r="Y1279" s="121" t="s">
        <v>292</v>
      </c>
      <c r="Z1279" s="146">
        <f>VLOOKUP(Takeoffs!Y1279,Sheet1!$B$6:$C$124,2,FALSE)</f>
        <v>0</v>
      </c>
      <c r="AA1279" s="146">
        <f t="shared" si="585"/>
        <v>0</v>
      </c>
      <c r="AB1279" s="143">
        <f t="shared" si="586"/>
        <v>0</v>
      </c>
      <c r="AC1279" s="133">
        <f t="shared" si="587"/>
        <v>0</v>
      </c>
      <c r="AD1279" s="142">
        <v>1</v>
      </c>
      <c r="AE1279" s="141"/>
      <c r="AF1279" s="121" t="s">
        <v>292</v>
      </c>
      <c r="AG1279" s="146">
        <f>VLOOKUP(Takeoffs!AF1279,Sheet1!$B$6:$C$124,2,FALSE)</f>
        <v>0</v>
      </c>
      <c r="AH1279" s="146">
        <f t="shared" si="588"/>
        <v>0</v>
      </c>
      <c r="AI1279" s="143">
        <f t="shared" si="589"/>
        <v>0</v>
      </c>
      <c r="AJ1279" s="133">
        <f t="shared" si="590"/>
        <v>0</v>
      </c>
      <c r="AK1279" s="142">
        <f t="shared" si="591"/>
        <v>0</v>
      </c>
      <c r="AL1279" s="141"/>
      <c r="AO1279" s="286"/>
      <c r="AP1279" s="284">
        <f t="shared" si="570"/>
        <v>0</v>
      </c>
      <c r="AQ1279" s="281">
        <f t="shared" si="571"/>
        <v>0</v>
      </c>
      <c r="AR1279" s="284">
        <f t="shared" si="572"/>
        <v>0</v>
      </c>
      <c r="AS1279" s="281">
        <f t="shared" si="573"/>
        <v>0</v>
      </c>
      <c r="AT1279" s="284">
        <f t="shared" si="574"/>
        <v>0</v>
      </c>
    </row>
    <row r="1280" spans="1:97" s="114" customFormat="1" ht="30.9" x14ac:dyDescent="0.8">
      <c r="A1280" s="262">
        <f>ROW()</f>
        <v>1280</v>
      </c>
      <c r="C1280" s="208"/>
      <c r="D1280" s="208"/>
      <c r="E1280" s="208"/>
      <c r="F1280" s="208"/>
      <c r="G1280" s="208"/>
      <c r="H1280" s="208"/>
      <c r="J1280" s="114" t="str">
        <f t="shared" si="592"/>
        <v/>
      </c>
      <c r="K1280" s="114" t="str">
        <f>IF(COUNTBLANK(R1280)&gt;0,"",CONCATENATE(R1280," for ",N1270))</f>
        <v/>
      </c>
      <c r="N1280" s="123" t="s">
        <v>122</v>
      </c>
      <c r="O1280" s="66" t="s">
        <v>597</v>
      </c>
      <c r="P1280" s="121"/>
      <c r="Q1280" s="121"/>
      <c r="R1280" s="121"/>
      <c r="S1280" s="133">
        <f>M1270</f>
        <v>0</v>
      </c>
      <c r="T1280" s="120"/>
      <c r="U1280" s="121" t="s">
        <v>292</v>
      </c>
      <c r="V1280" s="133">
        <f t="shared" si="584"/>
        <v>0</v>
      </c>
      <c r="W1280" s="133">
        <f>VLOOKUP(U1280,Sheet1!$B$6:$C$45,2,FALSE)*V1280</f>
        <v>0</v>
      </c>
      <c r="X1280" s="141"/>
      <c r="Y1280" s="121" t="s">
        <v>292</v>
      </c>
      <c r="Z1280" s="146">
        <f>VLOOKUP(Takeoffs!Y1280,Sheet1!$B$6:$C$124,2,FALSE)</f>
        <v>0</v>
      </c>
      <c r="AA1280" s="146">
        <f t="shared" si="585"/>
        <v>0</v>
      </c>
      <c r="AB1280" s="143">
        <f t="shared" si="586"/>
        <v>0</v>
      </c>
      <c r="AC1280" s="133">
        <f t="shared" si="587"/>
        <v>0</v>
      </c>
      <c r="AD1280" s="142">
        <v>1</v>
      </c>
      <c r="AE1280" s="141"/>
      <c r="AF1280" s="121" t="s">
        <v>292</v>
      </c>
      <c r="AG1280" s="146">
        <f>VLOOKUP(Takeoffs!AF1280,Sheet1!$B$6:$C$124,2,FALSE)</f>
        <v>0</v>
      </c>
      <c r="AH1280" s="146">
        <f t="shared" si="588"/>
        <v>0</v>
      </c>
      <c r="AI1280" s="143">
        <f t="shared" si="589"/>
        <v>0</v>
      </c>
      <c r="AJ1280" s="133">
        <f t="shared" si="590"/>
        <v>0</v>
      </c>
      <c r="AK1280" s="142">
        <f t="shared" si="591"/>
        <v>0</v>
      </c>
      <c r="AL1280" s="141"/>
      <c r="AO1280" s="286"/>
      <c r="AP1280" s="284">
        <f t="shared" si="570"/>
        <v>0</v>
      </c>
      <c r="AQ1280" s="281">
        <f t="shared" si="571"/>
        <v>0</v>
      </c>
      <c r="AR1280" s="284">
        <f t="shared" si="572"/>
        <v>0</v>
      </c>
      <c r="AS1280" s="281">
        <f t="shared" si="573"/>
        <v>0</v>
      </c>
      <c r="AT1280" s="284">
        <f t="shared" si="574"/>
        <v>0</v>
      </c>
    </row>
    <row r="1281" spans="1:97" s="114" customFormat="1" ht="30.9" x14ac:dyDescent="0.8">
      <c r="A1281" s="262">
        <f>ROW()</f>
        <v>1281</v>
      </c>
      <c r="C1281" s="208"/>
      <c r="D1281" s="208"/>
      <c r="E1281" s="208"/>
      <c r="F1281" s="208"/>
      <c r="G1281" s="208"/>
      <c r="H1281" s="208"/>
      <c r="J1281" s="114" t="str">
        <f t="shared" si="592"/>
        <v/>
      </c>
      <c r="K1281" s="114" t="str">
        <f>IF(COUNTBLANK(R1281)&gt;0,"",CONCATENATE(R1281," for ",N1270))</f>
        <v/>
      </c>
      <c r="N1281" s="123" t="s">
        <v>123</v>
      </c>
      <c r="O1281" s="66"/>
      <c r="P1281" s="121"/>
      <c r="Q1281" s="121"/>
      <c r="R1281" s="121"/>
      <c r="S1281" s="133">
        <f>M1270</f>
        <v>0</v>
      </c>
      <c r="T1281" s="120"/>
      <c r="U1281" s="121" t="s">
        <v>292</v>
      </c>
      <c r="V1281" s="133">
        <f t="shared" si="584"/>
        <v>0</v>
      </c>
      <c r="W1281" s="133">
        <f>VLOOKUP(U1281,Sheet1!$B$6:$C$45,2,FALSE)*V1281</f>
        <v>0</v>
      </c>
      <c r="X1281" s="141"/>
      <c r="Y1281" s="121" t="s">
        <v>292</v>
      </c>
      <c r="Z1281" s="146">
        <f>VLOOKUP(Takeoffs!Y1281,Sheet1!$B$6:$C$124,2,FALSE)</f>
        <v>0</v>
      </c>
      <c r="AA1281" s="146">
        <f t="shared" si="585"/>
        <v>0</v>
      </c>
      <c r="AB1281" s="143">
        <f t="shared" si="586"/>
        <v>0</v>
      </c>
      <c r="AC1281" s="133">
        <f t="shared" si="587"/>
        <v>0</v>
      </c>
      <c r="AD1281" s="142">
        <v>1</v>
      </c>
      <c r="AE1281" s="141"/>
      <c r="AF1281" s="121" t="s">
        <v>292</v>
      </c>
      <c r="AG1281" s="146">
        <f>VLOOKUP(Takeoffs!AF1281,Sheet1!$B$6:$C$124,2,FALSE)</f>
        <v>0</v>
      </c>
      <c r="AH1281" s="146">
        <f t="shared" si="588"/>
        <v>0</v>
      </c>
      <c r="AI1281" s="143">
        <f t="shared" si="589"/>
        <v>0</v>
      </c>
      <c r="AJ1281" s="133">
        <f t="shared" si="590"/>
        <v>0</v>
      </c>
      <c r="AK1281" s="142">
        <f t="shared" si="591"/>
        <v>0</v>
      </c>
      <c r="AL1281" s="141"/>
      <c r="AO1281" s="286"/>
      <c r="AP1281" s="284">
        <f t="shared" si="570"/>
        <v>0</v>
      </c>
      <c r="AQ1281" s="281">
        <f t="shared" si="571"/>
        <v>0</v>
      </c>
      <c r="AR1281" s="284">
        <f t="shared" si="572"/>
        <v>0</v>
      </c>
      <c r="AS1281" s="281">
        <f t="shared" si="573"/>
        <v>0</v>
      </c>
      <c r="AT1281" s="284">
        <f t="shared" si="574"/>
        <v>0</v>
      </c>
    </row>
    <row r="1282" spans="1:97" s="114" customFormat="1" ht="30.9" x14ac:dyDescent="0.8">
      <c r="A1282" s="262">
        <f>ROW()</f>
        <v>1282</v>
      </c>
      <c r="C1282" s="208"/>
      <c r="D1282" s="208"/>
      <c r="E1282" s="208"/>
      <c r="F1282" s="208"/>
      <c r="G1282" s="208"/>
      <c r="H1282" s="208"/>
      <c r="J1282" s="114" t="str">
        <f t="shared" si="592"/>
        <v>Coordination Note: - Customers in-house electrician: Please refer to our exclusions relating to Power cabling from MSSB to outdoor unit. Customers electrician to leave tails adjacent MSSB for Controlworks to connect.</v>
      </c>
      <c r="K1282" s="114" t="str">
        <f>IF(COUNTBLANK(R1282)&gt;0,"",CONCATENATE(R1282," for ",N1270))</f>
        <v/>
      </c>
      <c r="N1282" s="123" t="s">
        <v>124</v>
      </c>
      <c r="O1282" s="66"/>
      <c r="P1282" s="121" t="s">
        <v>593</v>
      </c>
      <c r="Q1282" s="121" t="s">
        <v>599</v>
      </c>
      <c r="R1282" s="121"/>
      <c r="S1282" s="133">
        <f>M1270</f>
        <v>0</v>
      </c>
      <c r="T1282" s="120"/>
      <c r="U1282" s="121" t="s">
        <v>292</v>
      </c>
      <c r="V1282" s="133">
        <f t="shared" si="584"/>
        <v>0</v>
      </c>
      <c r="W1282" s="133">
        <f>VLOOKUP(U1282,Sheet1!$B$6:$C$45,2,FALSE)*V1282</f>
        <v>0</v>
      </c>
      <c r="X1282" s="141"/>
      <c r="Y1282" s="121" t="s">
        <v>292</v>
      </c>
      <c r="Z1282" s="146">
        <f>VLOOKUP(Takeoffs!Y1282,Sheet1!$B$6:$C$124,2,FALSE)</f>
        <v>0</v>
      </c>
      <c r="AA1282" s="146">
        <f t="shared" si="585"/>
        <v>0</v>
      </c>
      <c r="AB1282" s="143">
        <f t="shared" si="586"/>
        <v>0</v>
      </c>
      <c r="AC1282" s="133">
        <f t="shared" si="587"/>
        <v>0</v>
      </c>
      <c r="AD1282" s="142">
        <v>1</v>
      </c>
      <c r="AE1282" s="141"/>
      <c r="AF1282" s="121" t="s">
        <v>292</v>
      </c>
      <c r="AG1282" s="146">
        <f>VLOOKUP(Takeoffs!AF1282,Sheet1!$B$6:$C$124,2,FALSE)</f>
        <v>0</v>
      </c>
      <c r="AH1282" s="146">
        <f t="shared" si="588"/>
        <v>0</v>
      </c>
      <c r="AI1282" s="143">
        <f t="shared" si="589"/>
        <v>0</v>
      </c>
      <c r="AJ1282" s="133">
        <f t="shared" si="590"/>
        <v>0</v>
      </c>
      <c r="AK1282" s="142">
        <f t="shared" si="591"/>
        <v>0</v>
      </c>
      <c r="AL1282" s="141"/>
      <c r="AO1282" s="286"/>
      <c r="AP1282" s="284">
        <f t="shared" si="570"/>
        <v>0</v>
      </c>
      <c r="AQ1282" s="281">
        <f t="shared" si="571"/>
        <v>0</v>
      </c>
      <c r="AR1282" s="284">
        <f t="shared" si="572"/>
        <v>0</v>
      </c>
      <c r="AS1282" s="281">
        <f t="shared" si="573"/>
        <v>0</v>
      </c>
      <c r="AT1282" s="284">
        <f t="shared" si="574"/>
        <v>0</v>
      </c>
    </row>
    <row r="1283" spans="1:97" s="114" customFormat="1" ht="30.9" x14ac:dyDescent="0.8">
      <c r="A1283" s="262">
        <f>ROW()</f>
        <v>1283</v>
      </c>
      <c r="C1283" s="208"/>
      <c r="D1283" s="208"/>
      <c r="E1283" s="208"/>
      <c r="F1283" s="208"/>
      <c r="G1283" s="208"/>
      <c r="H1283" s="208"/>
      <c r="J1283" s="114" t="str">
        <f t="shared" si="592"/>
        <v/>
      </c>
      <c r="K1283" s="114" t="str">
        <f>IF(COUNTBLANK(R1283)&gt;0,"",CONCATENATE(R1283," for ",N1270))</f>
        <v/>
      </c>
      <c r="N1283" s="123" t="s">
        <v>125</v>
      </c>
      <c r="O1283" s="66"/>
      <c r="P1283" s="121"/>
      <c r="Q1283" s="121"/>
      <c r="R1283" s="121"/>
      <c r="S1283" s="133">
        <f>M1270</f>
        <v>0</v>
      </c>
      <c r="T1283" s="120"/>
      <c r="U1283" s="121" t="s">
        <v>292</v>
      </c>
      <c r="V1283" s="133">
        <f t="shared" si="584"/>
        <v>0</v>
      </c>
      <c r="W1283" s="133">
        <f>VLOOKUP(U1283,Sheet1!$B$6:$C$45,2,FALSE)*V1283</f>
        <v>0</v>
      </c>
      <c r="X1283" s="141"/>
      <c r="Y1283" s="121" t="s">
        <v>292</v>
      </c>
      <c r="Z1283" s="146">
        <f>VLOOKUP(Takeoffs!Y1283,Sheet1!$B$6:$C$124,2,FALSE)</f>
        <v>0</v>
      </c>
      <c r="AA1283" s="146">
        <f t="shared" si="585"/>
        <v>0</v>
      </c>
      <c r="AB1283" s="143">
        <f t="shared" si="586"/>
        <v>0</v>
      </c>
      <c r="AC1283" s="133">
        <f t="shared" si="587"/>
        <v>0</v>
      </c>
      <c r="AD1283" s="142">
        <v>1</v>
      </c>
      <c r="AE1283" s="141"/>
      <c r="AF1283" s="121" t="s">
        <v>292</v>
      </c>
      <c r="AG1283" s="146">
        <f>VLOOKUP(Takeoffs!AF1283,Sheet1!$B$6:$C$124,2,FALSE)</f>
        <v>0</v>
      </c>
      <c r="AH1283" s="146">
        <f t="shared" si="588"/>
        <v>0</v>
      </c>
      <c r="AI1283" s="143">
        <f t="shared" si="589"/>
        <v>0</v>
      </c>
      <c r="AJ1283" s="133">
        <f t="shared" si="590"/>
        <v>0</v>
      </c>
      <c r="AK1283" s="142">
        <f t="shared" ref="AK1283:AK1290" si="593">T1283</f>
        <v>0</v>
      </c>
      <c r="AL1283" s="141"/>
      <c r="AO1283" s="286"/>
      <c r="AP1283" s="284">
        <f t="shared" si="570"/>
        <v>0</v>
      </c>
      <c r="AQ1283" s="281">
        <f t="shared" si="571"/>
        <v>0</v>
      </c>
      <c r="AR1283" s="284">
        <f t="shared" si="572"/>
        <v>0</v>
      </c>
      <c r="AS1283" s="281">
        <f t="shared" si="573"/>
        <v>0</v>
      </c>
      <c r="AT1283" s="284">
        <f t="shared" si="574"/>
        <v>0</v>
      </c>
    </row>
    <row r="1284" spans="1:97" s="114" customFormat="1" ht="30.9" x14ac:dyDescent="0.8">
      <c r="A1284" s="262">
        <f>ROW()</f>
        <v>1284</v>
      </c>
      <c r="C1284" s="208"/>
      <c r="D1284" s="208"/>
      <c r="E1284" s="208"/>
      <c r="F1284" s="208"/>
      <c r="G1284" s="208"/>
      <c r="H1284" s="208"/>
      <c r="J1284" s="114" t="str">
        <f t="shared" si="592"/>
        <v/>
      </c>
      <c r="K1284" s="114" t="str">
        <f>IF(COUNTBLANK(R1284)&gt;0,"",CONCATENATE(R1284," for ",N1270))</f>
        <v/>
      </c>
      <c r="N1284" s="123" t="s">
        <v>126</v>
      </c>
      <c r="O1284" s="66"/>
      <c r="P1284" s="121"/>
      <c r="Q1284" s="121"/>
      <c r="R1284" s="121"/>
      <c r="S1284" s="133">
        <f>M1270</f>
        <v>0</v>
      </c>
      <c r="T1284" s="120"/>
      <c r="U1284" s="121" t="s">
        <v>292</v>
      </c>
      <c r="V1284" s="133">
        <f t="shared" si="584"/>
        <v>0</v>
      </c>
      <c r="W1284" s="133">
        <f>VLOOKUP(U1284,Sheet1!$B$6:$C$45,2,FALSE)*V1284</f>
        <v>0</v>
      </c>
      <c r="X1284" s="141"/>
      <c r="Y1284" s="121" t="s">
        <v>292</v>
      </c>
      <c r="Z1284" s="146">
        <f>VLOOKUP(Takeoffs!Y1284,Sheet1!$B$6:$C$124,2,FALSE)</f>
        <v>0</v>
      </c>
      <c r="AA1284" s="146">
        <f t="shared" si="585"/>
        <v>0</v>
      </c>
      <c r="AB1284" s="143">
        <f t="shared" si="586"/>
        <v>0</v>
      </c>
      <c r="AC1284" s="133">
        <f t="shared" si="587"/>
        <v>0</v>
      </c>
      <c r="AD1284" s="142">
        <v>1</v>
      </c>
      <c r="AE1284" s="141"/>
      <c r="AF1284" s="121" t="s">
        <v>292</v>
      </c>
      <c r="AG1284" s="146">
        <f>VLOOKUP(Takeoffs!AF1284,Sheet1!$B$6:$C$124,2,FALSE)</f>
        <v>0</v>
      </c>
      <c r="AH1284" s="146">
        <f t="shared" si="588"/>
        <v>0</v>
      </c>
      <c r="AI1284" s="143">
        <f t="shared" si="589"/>
        <v>0</v>
      </c>
      <c r="AJ1284" s="133">
        <f t="shared" si="590"/>
        <v>0</v>
      </c>
      <c r="AK1284" s="142">
        <f t="shared" si="593"/>
        <v>0</v>
      </c>
      <c r="AL1284" s="141"/>
      <c r="AO1284" s="286"/>
      <c r="AP1284" s="284">
        <f t="shared" si="570"/>
        <v>0</v>
      </c>
      <c r="AQ1284" s="281">
        <f t="shared" si="571"/>
        <v>0</v>
      </c>
      <c r="AR1284" s="284">
        <f t="shared" si="572"/>
        <v>0</v>
      </c>
      <c r="AS1284" s="281">
        <f t="shared" si="573"/>
        <v>0</v>
      </c>
      <c r="AT1284" s="284">
        <f t="shared" si="574"/>
        <v>0</v>
      </c>
    </row>
    <row r="1285" spans="1:97" s="114" customFormat="1" ht="30.9" x14ac:dyDescent="0.8">
      <c r="A1285" s="262">
        <f>ROW()</f>
        <v>1285</v>
      </c>
      <c r="C1285" s="208"/>
      <c r="D1285" s="208"/>
      <c r="E1285" s="208"/>
      <c r="F1285" s="208"/>
      <c r="G1285" s="208"/>
      <c r="H1285" s="208"/>
      <c r="J1285" s="114" t="str">
        <f t="shared" si="592"/>
        <v/>
      </c>
      <c r="K1285" s="114" t="str">
        <f>IF(COUNTBLANK(R1285)&gt;0,"",CONCATENATE(R1285," for ",N1270))</f>
        <v/>
      </c>
      <c r="N1285" s="123" t="s">
        <v>127</v>
      </c>
      <c r="O1285" s="66"/>
      <c r="P1285" s="121"/>
      <c r="Q1285" s="121"/>
      <c r="R1285" s="121"/>
      <c r="S1285" s="133">
        <f>M1270</f>
        <v>0</v>
      </c>
      <c r="T1285" s="120"/>
      <c r="U1285" s="121" t="s">
        <v>292</v>
      </c>
      <c r="V1285" s="133">
        <f t="shared" si="584"/>
        <v>0</v>
      </c>
      <c r="W1285" s="133">
        <f>VLOOKUP(U1285,Sheet1!$B$6:$C$45,2,FALSE)*V1285</f>
        <v>0</v>
      </c>
      <c r="X1285" s="141"/>
      <c r="Y1285" s="121" t="s">
        <v>292</v>
      </c>
      <c r="Z1285" s="146">
        <f>VLOOKUP(Takeoffs!Y1285,Sheet1!$B$6:$C$124,2,FALSE)</f>
        <v>0</v>
      </c>
      <c r="AA1285" s="146">
        <f t="shared" si="585"/>
        <v>0</v>
      </c>
      <c r="AB1285" s="143">
        <f t="shared" si="586"/>
        <v>0</v>
      </c>
      <c r="AC1285" s="133">
        <f t="shared" si="587"/>
        <v>0</v>
      </c>
      <c r="AD1285" s="142">
        <v>1</v>
      </c>
      <c r="AE1285" s="141"/>
      <c r="AF1285" s="121" t="s">
        <v>292</v>
      </c>
      <c r="AG1285" s="146">
        <f>VLOOKUP(Takeoffs!AF1285,Sheet1!$B$6:$C$124,2,FALSE)</f>
        <v>0</v>
      </c>
      <c r="AH1285" s="146">
        <f t="shared" si="588"/>
        <v>0</v>
      </c>
      <c r="AI1285" s="143">
        <f t="shared" si="589"/>
        <v>0</v>
      </c>
      <c r="AJ1285" s="133">
        <f t="shared" si="590"/>
        <v>0</v>
      </c>
      <c r="AK1285" s="142">
        <f t="shared" si="593"/>
        <v>0</v>
      </c>
      <c r="AL1285" s="141"/>
      <c r="AO1285" s="286"/>
      <c r="AP1285" s="284">
        <f t="shared" si="570"/>
        <v>0</v>
      </c>
      <c r="AQ1285" s="281">
        <f t="shared" si="571"/>
        <v>0</v>
      </c>
      <c r="AR1285" s="284">
        <f t="shared" si="572"/>
        <v>0</v>
      </c>
      <c r="AS1285" s="281">
        <f t="shared" si="573"/>
        <v>0</v>
      </c>
      <c r="AT1285" s="284">
        <f t="shared" si="574"/>
        <v>0</v>
      </c>
    </row>
    <row r="1286" spans="1:97" s="114" customFormat="1" ht="30.9" x14ac:dyDescent="0.8">
      <c r="A1286" s="262">
        <f>ROW()</f>
        <v>1286</v>
      </c>
      <c r="C1286" s="208"/>
      <c r="D1286" s="208"/>
      <c r="E1286" s="208"/>
      <c r="F1286" s="208"/>
      <c r="G1286" s="208"/>
      <c r="H1286" s="208"/>
      <c r="J1286" s="114" t="str">
        <f t="shared" si="592"/>
        <v/>
      </c>
      <c r="K1286" s="114" t="str">
        <f>IF(COUNTBLANK(R1286)&gt;0,"",CONCATENATE(R1286," for ",N1270))</f>
        <v/>
      </c>
      <c r="N1286" s="123" t="s">
        <v>128</v>
      </c>
      <c r="O1286" s="66"/>
      <c r="P1286" s="121">
        <v>0</v>
      </c>
      <c r="Q1286" s="121"/>
      <c r="R1286" s="121"/>
      <c r="S1286" s="133">
        <f>M1270</f>
        <v>0</v>
      </c>
      <c r="T1286" s="120"/>
      <c r="U1286" s="121" t="s">
        <v>292</v>
      </c>
      <c r="V1286" s="133">
        <f t="shared" si="584"/>
        <v>0</v>
      </c>
      <c r="W1286" s="133">
        <f>VLOOKUP(U1286,Sheet1!$B$6:$C$45,2,FALSE)*V1286</f>
        <v>0</v>
      </c>
      <c r="X1286" s="141"/>
      <c r="Y1286" s="121" t="s">
        <v>292</v>
      </c>
      <c r="Z1286" s="146">
        <f>VLOOKUP(Takeoffs!Y1286,Sheet1!$B$6:$C$124,2,FALSE)</f>
        <v>0</v>
      </c>
      <c r="AA1286" s="146">
        <f t="shared" si="585"/>
        <v>0</v>
      </c>
      <c r="AB1286" s="143">
        <f t="shared" si="586"/>
        <v>0</v>
      </c>
      <c r="AC1286" s="133">
        <f t="shared" si="587"/>
        <v>0</v>
      </c>
      <c r="AD1286" s="142">
        <v>1</v>
      </c>
      <c r="AE1286" s="141"/>
      <c r="AF1286" s="121" t="s">
        <v>292</v>
      </c>
      <c r="AG1286" s="146">
        <f>VLOOKUP(Takeoffs!AF1286,Sheet1!$B$6:$C$124,2,FALSE)</f>
        <v>0</v>
      </c>
      <c r="AH1286" s="146">
        <f t="shared" si="588"/>
        <v>0</v>
      </c>
      <c r="AI1286" s="143">
        <f t="shared" si="589"/>
        <v>0</v>
      </c>
      <c r="AJ1286" s="133">
        <f t="shared" si="590"/>
        <v>0</v>
      </c>
      <c r="AK1286" s="142">
        <f t="shared" si="593"/>
        <v>0</v>
      </c>
      <c r="AL1286" s="141"/>
      <c r="AO1286" s="286"/>
      <c r="AP1286" s="284">
        <f t="shared" si="570"/>
        <v>0</v>
      </c>
      <c r="AQ1286" s="281">
        <f t="shared" si="571"/>
        <v>0</v>
      </c>
      <c r="AR1286" s="284">
        <f t="shared" si="572"/>
        <v>0</v>
      </c>
      <c r="AS1286" s="281">
        <f t="shared" si="573"/>
        <v>0</v>
      </c>
      <c r="AT1286" s="284">
        <f t="shared" si="574"/>
        <v>0</v>
      </c>
    </row>
    <row r="1287" spans="1:97" s="114" customFormat="1" ht="30.9" x14ac:dyDescent="0.8">
      <c r="A1287" s="262">
        <f>ROW()</f>
        <v>1287</v>
      </c>
      <c r="C1287" s="208"/>
      <c r="D1287" s="208"/>
      <c r="E1287" s="208"/>
      <c r="F1287" s="208"/>
      <c r="G1287" s="208"/>
      <c r="H1287" s="208"/>
      <c r="J1287" s="114" t="str">
        <f t="shared" si="592"/>
        <v/>
      </c>
      <c r="K1287" s="114" t="str">
        <f>IF(COUNTBLANK(R1287)&gt;0,"",CONCATENATE(R1287," for ",N1270))</f>
        <v/>
      </c>
      <c r="N1287" s="123" t="s">
        <v>129</v>
      </c>
      <c r="O1287" s="66"/>
      <c r="P1287" s="121"/>
      <c r="Q1287" s="121"/>
      <c r="R1287" s="121"/>
      <c r="S1287" s="133">
        <f>M1270</f>
        <v>0</v>
      </c>
      <c r="T1287" s="120"/>
      <c r="U1287" s="121" t="s">
        <v>292</v>
      </c>
      <c r="V1287" s="133">
        <f t="shared" si="584"/>
        <v>0</v>
      </c>
      <c r="W1287" s="133">
        <f>VLOOKUP(U1287,Sheet1!$B$6:$C$45,2,FALSE)*V1287</f>
        <v>0</v>
      </c>
      <c r="X1287" s="141"/>
      <c r="Y1287" s="121" t="s">
        <v>292</v>
      </c>
      <c r="Z1287" s="146">
        <f>VLOOKUP(Takeoffs!Y1287,Sheet1!$B$6:$C$124,2,FALSE)</f>
        <v>0</v>
      </c>
      <c r="AA1287" s="146">
        <f t="shared" si="585"/>
        <v>0</v>
      </c>
      <c r="AB1287" s="143">
        <f t="shared" si="586"/>
        <v>0</v>
      </c>
      <c r="AC1287" s="133">
        <f t="shared" si="587"/>
        <v>0</v>
      </c>
      <c r="AD1287" s="142">
        <v>1</v>
      </c>
      <c r="AE1287" s="141"/>
      <c r="AF1287" s="121" t="s">
        <v>292</v>
      </c>
      <c r="AG1287" s="146">
        <f>VLOOKUP(Takeoffs!AF1287,Sheet1!$B$6:$C$124,2,FALSE)</f>
        <v>0</v>
      </c>
      <c r="AH1287" s="146">
        <f t="shared" si="588"/>
        <v>0</v>
      </c>
      <c r="AI1287" s="143">
        <f t="shared" si="589"/>
        <v>0</v>
      </c>
      <c r="AJ1287" s="133">
        <f t="shared" si="590"/>
        <v>0</v>
      </c>
      <c r="AK1287" s="142">
        <f t="shared" si="593"/>
        <v>0</v>
      </c>
      <c r="AL1287" s="141"/>
      <c r="AO1287" s="286"/>
      <c r="AP1287" s="284">
        <f t="shared" si="570"/>
        <v>0</v>
      </c>
      <c r="AQ1287" s="281">
        <f t="shared" si="571"/>
        <v>0</v>
      </c>
      <c r="AR1287" s="284">
        <f t="shared" si="572"/>
        <v>0</v>
      </c>
      <c r="AS1287" s="281">
        <f t="shared" si="573"/>
        <v>0</v>
      </c>
      <c r="AT1287" s="284">
        <f t="shared" si="574"/>
        <v>0</v>
      </c>
    </row>
    <row r="1288" spans="1:97" s="114" customFormat="1" ht="30.9" x14ac:dyDescent="0.8">
      <c r="A1288" s="262">
        <f>ROW()</f>
        <v>1288</v>
      </c>
      <c r="C1288" s="208"/>
      <c r="D1288" s="208"/>
      <c r="E1288" s="208"/>
      <c r="F1288" s="208"/>
      <c r="G1288" s="208"/>
      <c r="H1288" s="208"/>
      <c r="J1288" s="114" t="str">
        <f t="shared" si="592"/>
        <v/>
      </c>
      <c r="K1288" s="114" t="str">
        <f>IF(COUNTBLANK(R1288)&gt;0,"",CONCATENATE(R1288," for ",N1270))</f>
        <v/>
      </c>
      <c r="N1288" s="123" t="s">
        <v>130</v>
      </c>
      <c r="O1288" s="66"/>
      <c r="P1288" s="121"/>
      <c r="Q1288" s="121"/>
      <c r="R1288" s="121"/>
      <c r="S1288" s="133">
        <f>M1270</f>
        <v>0</v>
      </c>
      <c r="T1288" s="120"/>
      <c r="U1288" s="121" t="s">
        <v>292</v>
      </c>
      <c r="V1288" s="133">
        <f t="shared" si="584"/>
        <v>0</v>
      </c>
      <c r="W1288" s="133">
        <f>VLOOKUP(U1288,Sheet1!$B$6:$C$45,2,FALSE)*V1288</f>
        <v>0</v>
      </c>
      <c r="X1288" s="141"/>
      <c r="Y1288" s="121" t="s">
        <v>292</v>
      </c>
      <c r="Z1288" s="146">
        <f>VLOOKUP(Takeoffs!Y1288,Sheet1!$B$6:$C$124,2,FALSE)</f>
        <v>0</v>
      </c>
      <c r="AA1288" s="146">
        <f t="shared" si="585"/>
        <v>0</v>
      </c>
      <c r="AB1288" s="143">
        <f t="shared" si="586"/>
        <v>0</v>
      </c>
      <c r="AC1288" s="133">
        <f t="shared" si="587"/>
        <v>0</v>
      </c>
      <c r="AD1288" s="142">
        <v>1</v>
      </c>
      <c r="AE1288" s="141"/>
      <c r="AF1288" s="121" t="s">
        <v>292</v>
      </c>
      <c r="AG1288" s="146">
        <f>VLOOKUP(Takeoffs!AF1288,Sheet1!$B$6:$C$124,2,FALSE)</f>
        <v>0</v>
      </c>
      <c r="AH1288" s="146">
        <f t="shared" si="588"/>
        <v>0</v>
      </c>
      <c r="AI1288" s="143">
        <f t="shared" si="589"/>
        <v>0</v>
      </c>
      <c r="AJ1288" s="133">
        <f t="shared" si="590"/>
        <v>0</v>
      </c>
      <c r="AK1288" s="142">
        <f t="shared" si="593"/>
        <v>0</v>
      </c>
      <c r="AL1288" s="141"/>
      <c r="AO1288" s="286"/>
      <c r="AP1288" s="284">
        <f t="shared" si="570"/>
        <v>0</v>
      </c>
      <c r="AQ1288" s="281">
        <f t="shared" si="571"/>
        <v>0</v>
      </c>
      <c r="AR1288" s="284">
        <f t="shared" si="572"/>
        <v>0</v>
      </c>
      <c r="AS1288" s="281">
        <f t="shared" si="573"/>
        <v>0</v>
      </c>
      <c r="AT1288" s="284">
        <f t="shared" si="574"/>
        <v>0</v>
      </c>
    </row>
    <row r="1289" spans="1:97" s="114" customFormat="1" ht="30.9" x14ac:dyDescent="0.8">
      <c r="A1289" s="262">
        <f>ROW()</f>
        <v>1289</v>
      </c>
      <c r="C1289" s="208"/>
      <c r="D1289" s="208"/>
      <c r="E1289" s="208"/>
      <c r="F1289" s="208"/>
      <c r="G1289" s="208"/>
      <c r="H1289" s="208"/>
      <c r="J1289" s="114" t="str">
        <f t="shared" si="592"/>
        <v/>
      </c>
      <c r="K1289" s="114" t="str">
        <f>IF(COUNTBLANK(R1289)&gt;0,"",CONCATENATE(R1289," for ",N1270))</f>
        <v/>
      </c>
      <c r="N1289" s="123" t="s">
        <v>131</v>
      </c>
      <c r="O1289" s="66"/>
      <c r="P1289" s="121"/>
      <c r="Q1289" s="121"/>
      <c r="R1289" s="121"/>
      <c r="S1289" s="133">
        <f>M1270</f>
        <v>0</v>
      </c>
      <c r="T1289" s="120"/>
      <c r="U1289" s="121" t="s">
        <v>292</v>
      </c>
      <c r="V1289" s="133">
        <f t="shared" si="584"/>
        <v>0</v>
      </c>
      <c r="W1289" s="133">
        <f>VLOOKUP(U1289,Sheet1!$B$6:$C$45,2,FALSE)*V1289</f>
        <v>0</v>
      </c>
      <c r="X1289" s="141"/>
      <c r="Y1289" s="121" t="s">
        <v>292</v>
      </c>
      <c r="Z1289" s="146">
        <f>VLOOKUP(Takeoffs!Y1289,Sheet1!$B$6:$C$124,2,FALSE)</f>
        <v>0</v>
      </c>
      <c r="AA1289" s="146">
        <f t="shared" si="585"/>
        <v>0</v>
      </c>
      <c r="AB1289" s="143">
        <f t="shared" si="586"/>
        <v>0</v>
      </c>
      <c r="AC1289" s="133">
        <f t="shared" si="587"/>
        <v>0</v>
      </c>
      <c r="AD1289" s="142">
        <v>1</v>
      </c>
      <c r="AE1289" s="141"/>
      <c r="AF1289" s="121" t="s">
        <v>292</v>
      </c>
      <c r="AG1289" s="146">
        <f>VLOOKUP(Takeoffs!AF1289,Sheet1!$B$6:$C$124,2,FALSE)</f>
        <v>0</v>
      </c>
      <c r="AH1289" s="146">
        <f t="shared" si="588"/>
        <v>0</v>
      </c>
      <c r="AI1289" s="143">
        <f t="shared" si="589"/>
        <v>0</v>
      </c>
      <c r="AJ1289" s="133">
        <f t="shared" si="590"/>
        <v>0</v>
      </c>
      <c r="AK1289" s="142">
        <f t="shared" si="593"/>
        <v>0</v>
      </c>
      <c r="AL1289" s="141"/>
      <c r="AO1289" s="286"/>
      <c r="AP1289" s="284">
        <f t="shared" si="570"/>
        <v>0</v>
      </c>
      <c r="AQ1289" s="281">
        <f t="shared" si="571"/>
        <v>0</v>
      </c>
      <c r="AR1289" s="284">
        <f t="shared" si="572"/>
        <v>0</v>
      </c>
      <c r="AS1289" s="281">
        <f t="shared" si="573"/>
        <v>0</v>
      </c>
      <c r="AT1289" s="284">
        <f t="shared" si="574"/>
        <v>0</v>
      </c>
    </row>
    <row r="1290" spans="1:97" s="114" customFormat="1" ht="30.9" x14ac:dyDescent="0.8">
      <c r="A1290" s="262">
        <f>ROW()</f>
        <v>1290</v>
      </c>
      <c r="C1290" s="208"/>
      <c r="D1290" s="208"/>
      <c r="E1290" s="208"/>
      <c r="F1290" s="208"/>
      <c r="G1290" s="208"/>
      <c r="H1290" s="208"/>
      <c r="J1290" s="114" t="str">
        <f t="shared" si="592"/>
        <v/>
      </c>
      <c r="K1290" s="114" t="str">
        <f>IF(COUNTBLANK(R1290)&gt;0,"",CONCATENATE(R1290," for ",N1270))</f>
        <v/>
      </c>
      <c r="N1290" s="123" t="s">
        <v>132</v>
      </c>
      <c r="O1290" s="66"/>
      <c r="P1290" s="121"/>
      <c r="Q1290" s="121"/>
      <c r="R1290" s="121"/>
      <c r="S1290" s="133">
        <f>M1270</f>
        <v>0</v>
      </c>
      <c r="T1290" s="120"/>
      <c r="U1290" s="121" t="s">
        <v>292</v>
      </c>
      <c r="V1290" s="133">
        <f t="shared" si="584"/>
        <v>0</v>
      </c>
      <c r="W1290" s="133">
        <f>VLOOKUP(U1290,Sheet1!$B$6:$C$45,2,FALSE)*V1290</f>
        <v>0</v>
      </c>
      <c r="X1290" s="141"/>
      <c r="Y1290" s="121" t="s">
        <v>292</v>
      </c>
      <c r="Z1290" s="146">
        <f>VLOOKUP(Takeoffs!Y1290,Sheet1!$B$6:$C$124,2,FALSE)</f>
        <v>0</v>
      </c>
      <c r="AA1290" s="146">
        <f t="shared" si="585"/>
        <v>0</v>
      </c>
      <c r="AB1290" s="143">
        <f t="shared" si="586"/>
        <v>0</v>
      </c>
      <c r="AC1290" s="133">
        <f t="shared" si="587"/>
        <v>0</v>
      </c>
      <c r="AD1290" s="142">
        <v>1</v>
      </c>
      <c r="AE1290" s="141"/>
      <c r="AF1290" s="121" t="s">
        <v>292</v>
      </c>
      <c r="AG1290" s="146">
        <f>VLOOKUP(Takeoffs!AF1290,Sheet1!$B$6:$C$124,2,FALSE)</f>
        <v>0</v>
      </c>
      <c r="AH1290" s="146">
        <f t="shared" si="588"/>
        <v>0</v>
      </c>
      <c r="AI1290" s="143">
        <f t="shared" si="589"/>
        <v>0</v>
      </c>
      <c r="AJ1290" s="133">
        <f t="shared" si="590"/>
        <v>0</v>
      </c>
      <c r="AK1290" s="142">
        <f t="shared" si="593"/>
        <v>0</v>
      </c>
      <c r="AL1290" s="141"/>
      <c r="AO1290" s="286"/>
      <c r="AP1290" s="284">
        <f t="shared" si="570"/>
        <v>0</v>
      </c>
      <c r="AQ1290" s="281">
        <f t="shared" si="571"/>
        <v>0</v>
      </c>
      <c r="AR1290" s="284">
        <f t="shared" si="572"/>
        <v>0</v>
      </c>
      <c r="AS1290" s="281">
        <f t="shared" si="573"/>
        <v>0</v>
      </c>
      <c r="AT1290" s="284">
        <f t="shared" si="574"/>
        <v>0</v>
      </c>
    </row>
    <row r="1291" spans="1:97" s="128" customFormat="1" ht="31.5" customHeight="1" x14ac:dyDescent="0.8">
      <c r="A1291" s="262">
        <f>ROW()</f>
        <v>1291</v>
      </c>
      <c r="C1291" s="212"/>
      <c r="D1291" s="212"/>
      <c r="E1291" s="212"/>
      <c r="F1291" s="212"/>
      <c r="G1291" s="212"/>
      <c r="H1291" s="212"/>
      <c r="J1291" s="128" t="s">
        <v>377</v>
      </c>
      <c r="L1291" s="128" t="s">
        <v>378</v>
      </c>
      <c r="N1291" s="129"/>
      <c r="O1291" s="130" t="s">
        <v>357</v>
      </c>
      <c r="P1291" s="131">
        <f>V1291+AA1291+AH1291</f>
        <v>0</v>
      </c>
      <c r="Q1291" s="131"/>
      <c r="R1291" s="131"/>
      <c r="S1291" s="130"/>
      <c r="T1291" s="127"/>
      <c r="U1291" s="126" t="s">
        <v>351</v>
      </c>
      <c r="V1291" s="127">
        <f>W1291*80</f>
        <v>0</v>
      </c>
      <c r="W1291" s="147">
        <f>SUM(W1270:W1290)</f>
        <v>0</v>
      </c>
      <c r="X1291" s="148"/>
      <c r="Y1291" s="127" t="s">
        <v>352</v>
      </c>
      <c r="Z1291" s="116"/>
      <c r="AA1291" s="116">
        <f>SUM(AA1270:AA1290)</f>
        <v>0</v>
      </c>
      <c r="AB1291" s="149"/>
      <c r="AC1291" s="149"/>
      <c r="AD1291" s="149"/>
      <c r="AE1291" s="149"/>
      <c r="AF1291" s="127" t="s">
        <v>356</v>
      </c>
      <c r="AG1291" s="116"/>
      <c r="AH1291" s="116">
        <f>SUM(AH1270:AH1290)</f>
        <v>0</v>
      </c>
      <c r="AI1291" s="149"/>
      <c r="AJ1291" s="149"/>
      <c r="AK1291" s="149"/>
      <c r="AL1291" s="149"/>
      <c r="AM1291" s="150">
        <f>P1291</f>
        <v>0</v>
      </c>
      <c r="AO1291" s="286"/>
      <c r="AP1291" s="284">
        <f t="shared" si="570"/>
        <v>0</v>
      </c>
      <c r="AQ1291" s="281">
        <f t="shared" si="571"/>
        <v>0</v>
      </c>
      <c r="AR1291" s="284">
        <f t="shared" si="572"/>
        <v>0</v>
      </c>
      <c r="AS1291" s="281">
        <f t="shared" si="573"/>
        <v>0</v>
      </c>
      <c r="AT1291" s="284">
        <f t="shared" si="574"/>
        <v>0</v>
      </c>
    </row>
    <row r="1292" spans="1:97" s="234" customFormat="1" ht="308.60000000000002" x14ac:dyDescent="0.8">
      <c r="A1292" s="262">
        <f>ROW()</f>
        <v>1292</v>
      </c>
      <c r="B1292" s="234" t="s">
        <v>491</v>
      </c>
      <c r="C1292" s="217" t="str">
        <f>N1270</f>
        <v>split AC systems - MSSB powered with run lights ( Excluding field wiring option)</v>
      </c>
      <c r="D1292" s="260" t="str">
        <f>IF(B1292="Shopping List",IF(ISNUMBER(SEARCH("MSSB",C1292)),"MSSB",IF(ISNUMBER(SEARCH("local",C1292)),"LOCAL","")))</f>
        <v>MSSB</v>
      </c>
      <c r="E1292" s="238">
        <v>4</v>
      </c>
      <c r="F1292" s="217"/>
      <c r="G1292" s="217">
        <v>6</v>
      </c>
      <c r="H1292" s="245"/>
      <c r="I1292" s="270"/>
      <c r="J1292" s="241" t="str">
        <f>CONCATENATE(O1270," ",L1270, " (",M1270,") ",N1270,".", IF(M1270&gt;1," Each "," This "),"includes supply and install of ",O1271,O1272,O1273,O1274,O1275,O1276,O1277,O1278,O1279,O1280,O1281,O1282,O1283,O1284,O1285,O1286,O1287,O1288,O1289,O1290,J1271,J1272,J1273,J1274,J1275,J1276,J1277,J1278,J1279,J1280,J1281,J1282,J1283,J1284,J1285,J1286,J1287,J1288,J1289,J1290)</f>
        <v>Electrical power supply and controls cabling to Zero (0) split AC systems - MSSB powered with run lights ( Excluding field wiring option). This includes supply and install of circuit breaker, Run light and current switch,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interconnect cabling, Coordination Note: - Customers in-house electrician: Please refer to our exclusions relating to and local power isolator ( for Indoor unit). Coordination Note: - Customers in-house electrician: Please refer to our exclusions relating to proprietary air-conditioning controllers supply and installation. Coordination Note: - Customers in-house electrician: Please refer to our exclusions relating to Power cabling from MSSB to outdoor unit. Customers electrician to leave tails adjacent MSSB for Controlworks to connect.</v>
      </c>
      <c r="K1292" s="246">
        <f>P1291</f>
        <v>0</v>
      </c>
      <c r="L1292" s="235" t="str">
        <f>CONCATENATE(Q1271,Q1272,Q1273,Q1274,Q1275,Q1276,Q1277,Q1278,Q1279,Q1280,Q1281,Q1282,Q1283,Q1284,Q1285,Q1286,Q1287,Q1288,Q1289,Q1290,)</f>
        <v>interconnect cabling, and local power isolator ( for Indoor unit). proprietary air-conditioning controllers supply and installation. Power cabling from MSSB to outdoor unit. Customers electrician to leave tails adjacent MSSB for Controlworks to connect.</v>
      </c>
      <c r="M1292" s="166" t="s">
        <v>367</v>
      </c>
      <c r="N1292" s="160" t="str">
        <f>N1270</f>
        <v>split AC systems - MSSB powered with run lights ( Excluding field wiring option)</v>
      </c>
      <c r="O1292" s="160" t="s">
        <v>365</v>
      </c>
      <c r="P1292" s="64" t="e">
        <f>P1291/M1270</f>
        <v>#DIV/0!</v>
      </c>
      <c r="Q1292" s="161"/>
      <c r="R1292" s="161"/>
      <c r="S1292" s="160"/>
      <c r="T1292" s="161"/>
      <c r="U1292" s="503" t="s">
        <v>366</v>
      </c>
      <c r="V1292" s="503"/>
      <c r="W1292" s="162" t="e">
        <f>W1291/M1270</f>
        <v>#DIV/0!</v>
      </c>
      <c r="X1292" s="163"/>
      <c r="Y1292" s="501" t="s">
        <v>365</v>
      </c>
      <c r="Z1292" s="501"/>
      <c r="AA1292" s="164" t="e">
        <f>AA1291/M1270</f>
        <v>#DIV/0!</v>
      </c>
      <c r="AB1292" s="161"/>
      <c r="AC1292" s="161"/>
      <c r="AD1292" s="161"/>
      <c r="AE1292" s="161"/>
      <c r="AF1292" s="501" t="s">
        <v>365</v>
      </c>
      <c r="AG1292" s="501"/>
      <c r="AH1292" s="164" t="e">
        <f>AH1291/M1270</f>
        <v>#DIV/0!</v>
      </c>
      <c r="AI1292" s="161"/>
      <c r="AJ1292" s="161"/>
      <c r="AK1292" s="161"/>
      <c r="AL1292" s="247"/>
      <c r="AM1292" s="257"/>
      <c r="AN1292" s="230">
        <f>K1292*1.25</f>
        <v>0</v>
      </c>
      <c r="AO1292" s="286"/>
      <c r="AP1292" s="284">
        <f t="shared" si="570"/>
        <v>0</v>
      </c>
      <c r="AQ1292" s="281">
        <f t="shared" si="571"/>
        <v>0</v>
      </c>
      <c r="AR1292" s="284">
        <f t="shared" si="572"/>
        <v>0</v>
      </c>
      <c r="AS1292" s="281">
        <f t="shared" si="573"/>
        <v>0</v>
      </c>
      <c r="AT1292" s="284">
        <f t="shared" si="574"/>
        <v>0</v>
      </c>
      <c r="AU1292" s="117"/>
      <c r="AV1292" s="117"/>
      <c r="AW1292" s="117"/>
      <c r="AX1292" s="117"/>
      <c r="AY1292" s="117"/>
      <c r="AZ1292" s="117"/>
      <c r="BA1292" s="117"/>
      <c r="BB1292" s="117"/>
      <c r="BC1292" s="117"/>
      <c r="BD1292" s="117"/>
      <c r="BE1292" s="117"/>
      <c r="BF1292" s="117"/>
      <c r="BG1292" s="117"/>
      <c r="BH1292" s="117"/>
      <c r="BI1292" s="117"/>
      <c r="BJ1292" s="117"/>
      <c r="BK1292" s="117"/>
      <c r="BL1292" s="117"/>
      <c r="BM1292" s="117"/>
      <c r="BN1292" s="117"/>
      <c r="BO1292" s="117"/>
      <c r="BP1292" s="117"/>
      <c r="BQ1292" s="117"/>
      <c r="BR1292" s="117"/>
      <c r="BS1292" s="117"/>
      <c r="BT1292" s="117"/>
      <c r="BU1292" s="117"/>
      <c r="BV1292" s="117"/>
      <c r="BW1292" s="117"/>
      <c r="BX1292" s="117"/>
      <c r="BY1292" s="117"/>
      <c r="BZ1292" s="117"/>
      <c r="CA1292" s="117"/>
      <c r="CB1292" s="117"/>
      <c r="CC1292" s="117"/>
      <c r="CD1292" s="117"/>
      <c r="CE1292" s="117"/>
      <c r="CF1292" s="117"/>
      <c r="CG1292" s="117"/>
      <c r="CH1292" s="117"/>
      <c r="CI1292" s="117"/>
      <c r="CJ1292" s="117"/>
      <c r="CK1292" s="117"/>
      <c r="CL1292" s="117"/>
      <c r="CM1292" s="117"/>
      <c r="CN1292" s="117"/>
      <c r="CO1292" s="117"/>
      <c r="CP1292" s="117"/>
      <c r="CQ1292" s="117"/>
      <c r="CR1292" s="117"/>
      <c r="CS1292" s="117"/>
    </row>
    <row r="1293" spans="1:97" s="116" customFormat="1" ht="192.75" customHeight="1" x14ac:dyDescent="0.8">
      <c r="A1293" s="262">
        <f>ROW()</f>
        <v>1293</v>
      </c>
      <c r="C1293" s="211"/>
      <c r="D1293" s="211"/>
      <c r="E1293" s="211"/>
      <c r="F1293" s="211"/>
      <c r="G1293" s="211"/>
      <c r="H1293" s="211"/>
      <c r="K1293" s="116" t="s">
        <v>452</v>
      </c>
      <c r="M1293" s="116" t="s">
        <v>298</v>
      </c>
      <c r="N1293" s="116" t="s">
        <v>108</v>
      </c>
      <c r="O1293" s="170" t="s">
        <v>386</v>
      </c>
      <c r="P1293" s="502" t="s">
        <v>375</v>
      </c>
      <c r="Q1293" s="502"/>
      <c r="R1293" s="101" t="s">
        <v>452</v>
      </c>
      <c r="S1293" s="116" t="s">
        <v>0</v>
      </c>
      <c r="T1293" s="118"/>
      <c r="U1293" s="116" t="s">
        <v>287</v>
      </c>
      <c r="V1293" s="116" t="s">
        <v>288</v>
      </c>
      <c r="W1293" s="116" t="s">
        <v>291</v>
      </c>
      <c r="X1293" s="140"/>
      <c r="Y1293" s="116" t="s">
        <v>289</v>
      </c>
      <c r="Z1293" s="116" t="s">
        <v>354</v>
      </c>
      <c r="AA1293" s="116" t="s">
        <v>355</v>
      </c>
      <c r="AB1293" s="116" t="s">
        <v>317</v>
      </c>
      <c r="AC1293" s="116" t="s">
        <v>318</v>
      </c>
      <c r="AD1293" s="116" t="s">
        <v>316</v>
      </c>
      <c r="AE1293" s="140"/>
      <c r="AF1293" s="116" t="s">
        <v>293</v>
      </c>
      <c r="AG1293" s="116" t="s">
        <v>354</v>
      </c>
      <c r="AH1293" s="116" t="s">
        <v>355</v>
      </c>
      <c r="AI1293" s="116" t="s">
        <v>296</v>
      </c>
      <c r="AJ1293" s="116" t="s">
        <v>294</v>
      </c>
      <c r="AK1293" s="116" t="s">
        <v>295</v>
      </c>
      <c r="AL1293" s="140"/>
      <c r="AO1293" s="288"/>
      <c r="AP1293" s="284">
        <f t="shared" si="570"/>
        <v>0</v>
      </c>
      <c r="AQ1293" s="281">
        <f t="shared" si="571"/>
        <v>0</v>
      </c>
      <c r="AR1293" s="284">
        <f t="shared" si="572"/>
        <v>0</v>
      </c>
      <c r="AS1293" s="281">
        <f t="shared" si="573"/>
        <v>0</v>
      </c>
      <c r="AT1293" s="284">
        <f t="shared" si="574"/>
        <v>0</v>
      </c>
    </row>
    <row r="1294" spans="1:97" s="114" customFormat="1" ht="40.5" customHeight="1" x14ac:dyDescent="0.8">
      <c r="A1294" s="262">
        <f>ROW()</f>
        <v>1294</v>
      </c>
      <c r="C1294" s="208"/>
      <c r="D1294" s="208"/>
      <c r="E1294" s="208"/>
      <c r="F1294" s="208"/>
      <c r="G1294" s="208"/>
      <c r="H1294" s="208"/>
      <c r="L1294" s="124" t="str">
        <f>VLOOKUP(M1294,Sheet2!$D$2:$E$1024,2,FALSE)</f>
        <v>Zero</v>
      </c>
      <c r="M1294" s="121">
        <f>I1316</f>
        <v>0</v>
      </c>
      <c r="N1294" s="132" t="s">
        <v>638</v>
      </c>
      <c r="O1294" s="121" t="s">
        <v>138</v>
      </c>
      <c r="P1294" s="169" t="s">
        <v>379</v>
      </c>
      <c r="Q1294" s="169" t="s">
        <v>375</v>
      </c>
      <c r="R1294" s="169"/>
      <c r="S1294" s="133">
        <f>M1294</f>
        <v>0</v>
      </c>
      <c r="T1294" s="119"/>
      <c r="U1294" s="121" t="s">
        <v>292</v>
      </c>
      <c r="V1294" s="133">
        <f>S1294</f>
        <v>0</v>
      </c>
      <c r="W1294" s="133">
        <f>VLOOKUP(U1294,Sheet1!$B$6:$C$45,2,FALSE)*V1294</f>
        <v>0</v>
      </c>
      <c r="X1294" s="141"/>
      <c r="Y1294" s="121" t="s">
        <v>292</v>
      </c>
      <c r="Z1294" s="146">
        <f>VLOOKUP(Takeoffs!Y1294,Sheet1!$B$6:$C$124,2,FALSE)</f>
        <v>0</v>
      </c>
      <c r="AA1294" s="146">
        <f>Z1294*AB1294</f>
        <v>0</v>
      </c>
      <c r="AB1294" s="143">
        <f>AD1294*AC1294</f>
        <v>0</v>
      </c>
      <c r="AC1294" s="133">
        <f>S1294</f>
        <v>0</v>
      </c>
      <c r="AD1294" s="142">
        <v>1</v>
      </c>
      <c r="AE1294" s="141"/>
      <c r="AF1294" s="121" t="s">
        <v>292</v>
      </c>
      <c r="AG1294" s="146">
        <f>VLOOKUP(Takeoffs!AF1294,Sheet1!$B$6:$C$124,2,FALSE)</f>
        <v>0</v>
      </c>
      <c r="AH1294" s="146">
        <f>AG1294*AI1294</f>
        <v>0</v>
      </c>
      <c r="AI1294" s="143">
        <f>AK1294*AJ1294</f>
        <v>0</v>
      </c>
      <c r="AJ1294" s="133">
        <f>S1294</f>
        <v>0</v>
      </c>
      <c r="AK1294" s="142">
        <f>T1294</f>
        <v>0</v>
      </c>
      <c r="AL1294" s="141"/>
      <c r="AO1294" s="286"/>
      <c r="AP1294" s="284">
        <f t="shared" si="570"/>
        <v>0</v>
      </c>
      <c r="AQ1294" s="281">
        <f t="shared" si="571"/>
        <v>0</v>
      </c>
      <c r="AR1294" s="284">
        <f t="shared" si="572"/>
        <v>0</v>
      </c>
      <c r="AS1294" s="281">
        <f t="shared" si="573"/>
        <v>0</v>
      </c>
      <c r="AT1294" s="284">
        <f t="shared" si="574"/>
        <v>0</v>
      </c>
    </row>
    <row r="1295" spans="1:97" s="114" customFormat="1" ht="30.9" x14ac:dyDescent="0.8">
      <c r="A1295" s="262">
        <f>ROW()</f>
        <v>1295</v>
      </c>
      <c r="C1295" s="208"/>
      <c r="D1295" s="208"/>
      <c r="E1295" s="208"/>
      <c r="F1295" s="208"/>
      <c r="G1295" s="208"/>
      <c r="H1295" s="208"/>
      <c r="J1295" s="114" t="str">
        <f>IF(COUNTBLANK(Q1295)&gt;0,"",CONCATENATE("Coordination Note: - ",P1295,": Please refer to our exclusions relating to ",Q1295))</f>
        <v/>
      </c>
      <c r="K1295" s="114" t="str">
        <f>IF(COUNTBLANK(R1295)&gt;0,"",CONCATENATE(R1295," for ",N1294))</f>
        <v/>
      </c>
      <c r="M1295" s="117"/>
      <c r="N1295" s="123" t="s">
        <v>113</v>
      </c>
      <c r="O1295" s="66" t="s">
        <v>426</v>
      </c>
      <c r="P1295" s="121"/>
      <c r="Q1295" s="121"/>
      <c r="R1295" s="121"/>
      <c r="S1295" s="133">
        <f>M1294</f>
        <v>0</v>
      </c>
      <c r="T1295" s="120"/>
      <c r="U1295" s="121" t="s">
        <v>292</v>
      </c>
      <c r="V1295" s="133">
        <f t="shared" ref="V1295:V1314" si="594">S1295</f>
        <v>0</v>
      </c>
      <c r="W1295" s="133">
        <f>VLOOKUP(U1295,Sheet1!$B$6:$C$45,2,FALSE)*V1295</f>
        <v>0</v>
      </c>
      <c r="X1295" s="141"/>
      <c r="Y1295" s="121" t="s">
        <v>292</v>
      </c>
      <c r="Z1295" s="146">
        <f>VLOOKUP(Takeoffs!Y1295,Sheet1!$B$6:$C$124,2,FALSE)</f>
        <v>0</v>
      </c>
      <c r="AA1295" s="146">
        <f t="shared" ref="AA1295:AA1314" si="595">Z1295*AB1295</f>
        <v>0</v>
      </c>
      <c r="AB1295" s="143">
        <f t="shared" ref="AB1295:AB1314" si="596">AD1295*AC1295</f>
        <v>0</v>
      </c>
      <c r="AC1295" s="133">
        <f t="shared" ref="AC1295:AC1314" si="597">S1295</f>
        <v>0</v>
      </c>
      <c r="AD1295" s="142">
        <v>1</v>
      </c>
      <c r="AE1295" s="141"/>
      <c r="AF1295" s="122" t="s">
        <v>269</v>
      </c>
      <c r="AG1295" s="146">
        <f>VLOOKUP(Takeoffs!AF1295,Sheet1!$B$6:$C$124,2,FALSE)</f>
        <v>1.056</v>
      </c>
      <c r="AH1295" s="146">
        <f t="shared" ref="AH1295:AH1314" si="598">AG1295*AI1295</f>
        <v>0</v>
      </c>
      <c r="AI1295" s="143">
        <f t="shared" ref="AI1295:AI1314" si="599">AK1295*AJ1295</f>
        <v>0</v>
      </c>
      <c r="AJ1295" s="133">
        <f t="shared" ref="AJ1295:AJ1314" si="600">S1295</f>
        <v>0</v>
      </c>
      <c r="AK1295" s="142">
        <v>10</v>
      </c>
      <c r="AL1295" s="141"/>
      <c r="AO1295" s="286"/>
      <c r="AP1295" s="284">
        <f t="shared" si="570"/>
        <v>0</v>
      </c>
      <c r="AQ1295" s="281">
        <f t="shared" si="571"/>
        <v>0</v>
      </c>
      <c r="AR1295" s="284">
        <f t="shared" si="572"/>
        <v>0</v>
      </c>
      <c r="AS1295" s="281">
        <f t="shared" si="573"/>
        <v>0</v>
      </c>
      <c r="AT1295" s="284">
        <f t="shared" si="574"/>
        <v>0</v>
      </c>
    </row>
    <row r="1296" spans="1:97" s="114" customFormat="1" ht="30.9" x14ac:dyDescent="0.8">
      <c r="A1296" s="262">
        <f>ROW()</f>
        <v>1296</v>
      </c>
      <c r="C1296" s="208"/>
      <c r="D1296" s="208"/>
      <c r="E1296" s="208"/>
      <c r="F1296" s="208"/>
      <c r="G1296" s="208"/>
      <c r="H1296" s="208"/>
      <c r="J1296" s="114" t="str">
        <f t="shared" ref="J1296:J1314" si="601">IF(COUNTBLANK(Q1296)&gt;0,"",CONCATENATE("Coordination Note: - ",P1296,": Please refer to our exclusions relating to ",Q1296))</f>
        <v/>
      </c>
      <c r="K1296" s="114" t="str">
        <f>IF(COUNTBLANK(R1296)&gt;0,"",CONCATENATE(R1296," for ",N1294))</f>
        <v/>
      </c>
      <c r="M1296" s="117"/>
      <c r="N1296" s="123" t="s">
        <v>114</v>
      </c>
      <c r="O1296" s="66" t="s">
        <v>392</v>
      </c>
      <c r="P1296" s="121"/>
      <c r="Q1296" s="121"/>
      <c r="R1296" s="121"/>
      <c r="S1296" s="133">
        <f>M1294</f>
        <v>0</v>
      </c>
      <c r="T1296" s="120"/>
      <c r="U1296" s="121" t="s">
        <v>286</v>
      </c>
      <c r="V1296" s="133">
        <f t="shared" si="594"/>
        <v>0</v>
      </c>
      <c r="W1296" s="133">
        <f>VLOOKUP(U1296,Sheet1!$B$6:$C$45,2,FALSE)*V1296</f>
        <v>0</v>
      </c>
      <c r="X1296" s="141"/>
      <c r="Y1296" s="121" t="s">
        <v>292</v>
      </c>
      <c r="Z1296" s="146">
        <f>VLOOKUP(Takeoffs!Y1296,Sheet1!$B$6:$C$124,2,FALSE)</f>
        <v>0</v>
      </c>
      <c r="AA1296" s="146">
        <f t="shared" si="595"/>
        <v>0</v>
      </c>
      <c r="AB1296" s="143">
        <f t="shared" si="596"/>
        <v>0</v>
      </c>
      <c r="AC1296" s="133">
        <f t="shared" si="597"/>
        <v>0</v>
      </c>
      <c r="AD1296" s="142">
        <v>1</v>
      </c>
      <c r="AE1296" s="141"/>
      <c r="AF1296" s="52" t="s">
        <v>267</v>
      </c>
      <c r="AG1296" s="146">
        <f>VLOOKUP(Takeoffs!AF1296,Sheet1!$B$6:$C$124,2,FALSE)</f>
        <v>3.48</v>
      </c>
      <c r="AH1296" s="146">
        <f t="shared" si="598"/>
        <v>0</v>
      </c>
      <c r="AI1296" s="143">
        <f t="shared" si="599"/>
        <v>0</v>
      </c>
      <c r="AJ1296" s="133">
        <f t="shared" si="600"/>
        <v>0</v>
      </c>
      <c r="AK1296" s="142">
        <v>20</v>
      </c>
      <c r="AL1296" s="141"/>
      <c r="AO1296" s="286"/>
      <c r="AP1296" s="284">
        <f t="shared" si="570"/>
        <v>0</v>
      </c>
      <c r="AQ1296" s="281">
        <f t="shared" si="571"/>
        <v>0</v>
      </c>
      <c r="AR1296" s="284">
        <f t="shared" si="572"/>
        <v>0</v>
      </c>
      <c r="AS1296" s="281">
        <f t="shared" si="573"/>
        <v>0</v>
      </c>
      <c r="AT1296" s="284">
        <f t="shared" si="574"/>
        <v>0</v>
      </c>
    </row>
    <row r="1297" spans="1:46" s="114" customFormat="1" ht="30.9" x14ac:dyDescent="0.8">
      <c r="A1297" s="262">
        <f>ROW()</f>
        <v>1297</v>
      </c>
      <c r="C1297" s="208"/>
      <c r="D1297" s="208"/>
      <c r="E1297" s="208"/>
      <c r="F1297" s="208"/>
      <c r="G1297" s="208"/>
      <c r="H1297" s="208"/>
      <c r="J1297" s="114" t="str">
        <f t="shared" si="601"/>
        <v/>
      </c>
      <c r="K1297" s="114" t="str">
        <f>IF(COUNTBLANK(R1297)&gt;0,"",CONCATENATE(R1297," for ",N1294))</f>
        <v/>
      </c>
      <c r="M1297" s="117"/>
      <c r="N1297" s="123" t="s">
        <v>115</v>
      </c>
      <c r="O1297" s="66" t="s">
        <v>413</v>
      </c>
      <c r="P1297" s="121"/>
      <c r="Q1297" s="121"/>
      <c r="R1297" s="121"/>
      <c r="S1297" s="133">
        <f>M1294</f>
        <v>0</v>
      </c>
      <c r="T1297" s="120"/>
      <c r="U1297" s="121" t="s">
        <v>292</v>
      </c>
      <c r="V1297" s="133">
        <f t="shared" si="594"/>
        <v>0</v>
      </c>
      <c r="W1297" s="133">
        <f>VLOOKUP(U1297,Sheet1!$B$6:$C$45,2,FALSE)*V1297</f>
        <v>0</v>
      </c>
      <c r="X1297" s="141"/>
      <c r="Y1297" s="135" t="s">
        <v>245</v>
      </c>
      <c r="Z1297" s="146">
        <f>VLOOKUP(Takeoffs!Y1297,Sheet1!$B$6:$C$124,2,FALSE)</f>
        <v>46.463999999999999</v>
      </c>
      <c r="AA1297" s="146">
        <f t="shared" si="595"/>
        <v>0</v>
      </c>
      <c r="AB1297" s="143">
        <f t="shared" si="596"/>
        <v>0</v>
      </c>
      <c r="AC1297" s="133">
        <f t="shared" si="597"/>
        <v>0</v>
      </c>
      <c r="AD1297" s="142">
        <v>1</v>
      </c>
      <c r="AE1297" s="141"/>
      <c r="AF1297" s="121" t="s">
        <v>292</v>
      </c>
      <c r="AG1297" s="146">
        <f>VLOOKUP(Takeoffs!AF1297,Sheet1!$B$6:$C$124,2,FALSE)</f>
        <v>0</v>
      </c>
      <c r="AH1297" s="146">
        <f t="shared" si="598"/>
        <v>0</v>
      </c>
      <c r="AI1297" s="143">
        <f t="shared" si="599"/>
        <v>0</v>
      </c>
      <c r="AJ1297" s="133">
        <f t="shared" si="600"/>
        <v>0</v>
      </c>
      <c r="AK1297" s="142">
        <f>T1297</f>
        <v>0</v>
      </c>
      <c r="AL1297" s="141"/>
      <c r="AO1297" s="286"/>
      <c r="AP1297" s="284">
        <f t="shared" si="570"/>
        <v>0</v>
      </c>
      <c r="AQ1297" s="281">
        <f t="shared" si="571"/>
        <v>0</v>
      </c>
      <c r="AR1297" s="284">
        <f t="shared" si="572"/>
        <v>0</v>
      </c>
      <c r="AS1297" s="281">
        <f t="shared" si="573"/>
        <v>0</v>
      </c>
      <c r="AT1297" s="284">
        <f t="shared" si="574"/>
        <v>0</v>
      </c>
    </row>
    <row r="1298" spans="1:46" s="114" customFormat="1" ht="30.9" x14ac:dyDescent="0.8">
      <c r="A1298" s="262">
        <f>ROW()</f>
        <v>1298</v>
      </c>
      <c r="C1298" s="208"/>
      <c r="D1298" s="208"/>
      <c r="E1298" s="208"/>
      <c r="F1298" s="208"/>
      <c r="G1298" s="208"/>
      <c r="H1298" s="208"/>
      <c r="J1298" s="114" t="str">
        <f t="shared" si="601"/>
        <v xml:space="preserve">Coordination Note: - AC system supplier : Please refer to our exclusions relating to proprietary air-conditioning controllers. </v>
      </c>
      <c r="K1298" s="114" t="str">
        <f>IF(COUNTBLANK(R1298)&gt;0,"",CONCATENATE(R1298," for ",N1294))</f>
        <v/>
      </c>
      <c r="M1298" s="117"/>
      <c r="N1298" s="123" t="s">
        <v>116</v>
      </c>
      <c r="O1298" s="66" t="s">
        <v>414</v>
      </c>
      <c r="P1298" s="121" t="s">
        <v>447</v>
      </c>
      <c r="Q1298" s="121" t="s">
        <v>449</v>
      </c>
      <c r="R1298" s="121"/>
      <c r="S1298" s="133">
        <f>M1294</f>
        <v>0</v>
      </c>
      <c r="T1298" s="120"/>
      <c r="U1298" s="121" t="s">
        <v>292</v>
      </c>
      <c r="V1298" s="133">
        <f t="shared" si="594"/>
        <v>0</v>
      </c>
      <c r="W1298" s="133">
        <f>VLOOKUP(U1298,Sheet1!$B$6:$C$45,2,FALSE)*V1298</f>
        <v>0</v>
      </c>
      <c r="X1298" s="141"/>
      <c r="Y1298" s="121" t="s">
        <v>292</v>
      </c>
      <c r="Z1298" s="146">
        <f>VLOOKUP(Takeoffs!Y1298,Sheet1!$B$6:$C$124,2,FALSE)</f>
        <v>0</v>
      </c>
      <c r="AA1298" s="146">
        <f t="shared" si="595"/>
        <v>0</v>
      </c>
      <c r="AB1298" s="143">
        <f t="shared" si="596"/>
        <v>0</v>
      </c>
      <c r="AC1298" s="133">
        <f t="shared" si="597"/>
        <v>0</v>
      </c>
      <c r="AD1298" s="142">
        <v>1</v>
      </c>
      <c r="AE1298" s="141"/>
      <c r="AF1298" s="121" t="s">
        <v>292</v>
      </c>
      <c r="AG1298" s="146">
        <f>VLOOKUP(Takeoffs!AF1298,Sheet1!$B$6:$C$124,2,FALSE)</f>
        <v>0</v>
      </c>
      <c r="AH1298" s="146">
        <f t="shared" si="598"/>
        <v>0</v>
      </c>
      <c r="AI1298" s="143">
        <f t="shared" si="599"/>
        <v>0</v>
      </c>
      <c r="AJ1298" s="133">
        <f t="shared" si="600"/>
        <v>0</v>
      </c>
      <c r="AK1298" s="142">
        <f>T1298</f>
        <v>0</v>
      </c>
      <c r="AL1298" s="141"/>
      <c r="AO1298" s="286"/>
      <c r="AP1298" s="284">
        <f t="shared" si="570"/>
        <v>0</v>
      </c>
      <c r="AQ1298" s="281">
        <f t="shared" si="571"/>
        <v>0</v>
      </c>
      <c r="AR1298" s="284">
        <f t="shared" si="572"/>
        <v>0</v>
      </c>
      <c r="AS1298" s="281">
        <f t="shared" si="573"/>
        <v>0</v>
      </c>
      <c r="AT1298" s="284">
        <f t="shared" si="574"/>
        <v>0</v>
      </c>
    </row>
    <row r="1299" spans="1:46" s="114" customFormat="1" ht="30.9" x14ac:dyDescent="0.8">
      <c r="A1299" s="262">
        <f>ROW()</f>
        <v>1299</v>
      </c>
      <c r="C1299" s="208"/>
      <c r="D1299" s="208"/>
      <c r="E1299" s="208"/>
      <c r="F1299" s="208"/>
      <c r="G1299" s="208"/>
      <c r="H1299" s="208"/>
      <c r="J1299" s="114" t="str">
        <f t="shared" si="601"/>
        <v/>
      </c>
      <c r="K1299" s="114" t="str">
        <f>IF(COUNTBLANK(R1299)&gt;0,"",CONCATENATE(R1299," for ",N1294))</f>
        <v/>
      </c>
      <c r="M1299" s="117"/>
      <c r="N1299" s="123" t="s">
        <v>117</v>
      </c>
      <c r="O1299" s="66" t="s">
        <v>584</v>
      </c>
      <c r="P1299" s="121"/>
      <c r="Q1299" s="121"/>
      <c r="R1299" s="121"/>
      <c r="S1299" s="133">
        <f>M1294</f>
        <v>0</v>
      </c>
      <c r="T1299" s="120"/>
      <c r="U1299" s="117" t="s">
        <v>478</v>
      </c>
      <c r="V1299" s="133">
        <f t="shared" si="594"/>
        <v>0</v>
      </c>
      <c r="W1299" s="133">
        <f>VLOOKUP(U1299,Sheet1!$B$6:$C$45,2,FALSE)*V1299</f>
        <v>0</v>
      </c>
      <c r="X1299" s="141"/>
      <c r="Y1299" s="52" t="s">
        <v>252</v>
      </c>
      <c r="Z1299" s="146">
        <f>VLOOKUP(Takeoffs!Y1299,Sheet1!$B$6:$C$124,2,FALSE)</f>
        <v>43.440000000000005</v>
      </c>
      <c r="AA1299" s="146">
        <f t="shared" si="595"/>
        <v>0</v>
      </c>
      <c r="AB1299" s="143">
        <f t="shared" si="596"/>
        <v>0</v>
      </c>
      <c r="AC1299" s="133">
        <f t="shared" si="597"/>
        <v>0</v>
      </c>
      <c r="AD1299" s="142">
        <v>1</v>
      </c>
      <c r="AE1299" s="141"/>
      <c r="AF1299" s="52" t="s">
        <v>267</v>
      </c>
      <c r="AG1299" s="146">
        <f>VLOOKUP(Takeoffs!AF1299,Sheet1!$B$6:$C$124,2,FALSE)</f>
        <v>3.48</v>
      </c>
      <c r="AH1299" s="146">
        <f t="shared" si="598"/>
        <v>0</v>
      </c>
      <c r="AI1299" s="143">
        <f t="shared" si="599"/>
        <v>0</v>
      </c>
      <c r="AJ1299" s="133">
        <f t="shared" si="600"/>
        <v>0</v>
      </c>
      <c r="AK1299" s="142">
        <v>10</v>
      </c>
      <c r="AL1299" s="141"/>
      <c r="AO1299" s="286"/>
      <c r="AP1299" s="284">
        <f t="shared" si="570"/>
        <v>0</v>
      </c>
      <c r="AQ1299" s="281">
        <f t="shared" si="571"/>
        <v>0</v>
      </c>
      <c r="AR1299" s="284">
        <f t="shared" si="572"/>
        <v>0</v>
      </c>
      <c r="AS1299" s="281">
        <f t="shared" si="573"/>
        <v>0</v>
      </c>
      <c r="AT1299" s="284">
        <f t="shared" si="574"/>
        <v>0</v>
      </c>
    </row>
    <row r="1300" spans="1:46" s="114" customFormat="1" ht="30.9" x14ac:dyDescent="0.8">
      <c r="A1300" s="262">
        <f>ROW()</f>
        <v>1300</v>
      </c>
      <c r="C1300" s="208"/>
      <c r="D1300" s="208"/>
      <c r="E1300" s="208"/>
      <c r="F1300" s="208"/>
      <c r="G1300" s="208"/>
      <c r="H1300" s="208"/>
      <c r="J1300" s="114" t="str">
        <f t="shared" si="601"/>
        <v/>
      </c>
      <c r="K1300" s="114" t="str">
        <f>IF(COUNTBLANK(R1300)&gt;0,"",CONCATENATE(R1300," for ",N1294))</f>
        <v/>
      </c>
      <c r="M1300" s="117"/>
      <c r="N1300" s="123" t="s">
        <v>118</v>
      </c>
      <c r="O1300" s="66" t="s">
        <v>585</v>
      </c>
      <c r="P1300" s="121"/>
      <c r="Q1300" s="121"/>
      <c r="R1300" s="121"/>
      <c r="S1300" s="133">
        <f>M1294</f>
        <v>0</v>
      </c>
      <c r="T1300" s="120"/>
      <c r="U1300" s="121" t="s">
        <v>292</v>
      </c>
      <c r="V1300" s="133">
        <f t="shared" si="594"/>
        <v>0</v>
      </c>
      <c r="W1300" s="133">
        <f>VLOOKUP(U1300,Sheet1!$B$6:$C$45,2,FALSE)*V1300</f>
        <v>0</v>
      </c>
      <c r="X1300" s="141"/>
      <c r="Y1300" s="121" t="s">
        <v>292</v>
      </c>
      <c r="Z1300" s="146">
        <f>VLOOKUP(Takeoffs!Y1300,Sheet1!$B$6:$C$124,2,FALSE)</f>
        <v>0</v>
      </c>
      <c r="AA1300" s="146">
        <f t="shared" si="595"/>
        <v>0</v>
      </c>
      <c r="AB1300" s="143">
        <f t="shared" si="596"/>
        <v>0</v>
      </c>
      <c r="AC1300" s="133">
        <f t="shared" si="597"/>
        <v>0</v>
      </c>
      <c r="AD1300" s="142">
        <v>1</v>
      </c>
      <c r="AE1300" s="141"/>
      <c r="AF1300" s="121" t="s">
        <v>292</v>
      </c>
      <c r="AG1300" s="146">
        <f>VLOOKUP(Takeoffs!AF1300,Sheet1!$B$6:$C$124,2,FALSE)</f>
        <v>0</v>
      </c>
      <c r="AH1300" s="146">
        <f t="shared" si="598"/>
        <v>0</v>
      </c>
      <c r="AI1300" s="143">
        <f t="shared" si="599"/>
        <v>0</v>
      </c>
      <c r="AJ1300" s="133">
        <f t="shared" si="600"/>
        <v>0</v>
      </c>
      <c r="AK1300" s="142">
        <f>T1300</f>
        <v>0</v>
      </c>
      <c r="AL1300" s="141"/>
      <c r="AO1300" s="286"/>
      <c r="AP1300" s="284">
        <f t="shared" ref="AP1300:AP1363" si="602">IF(AND(I1300&gt;0, ISNUMBER(I1300)),I1300*P1300,0)</f>
        <v>0</v>
      </c>
      <c r="AQ1300" s="281">
        <f t="shared" ref="AQ1300:AQ1363" si="603">IF(AND(I1300&gt;0, ISNUMBER(I1300)),I1300*W1300*80,0)</f>
        <v>0</v>
      </c>
      <c r="AR1300" s="284">
        <f t="shared" ref="AR1300:AR1363" si="604">IF(AND(I1300&gt;0, ISNUMBER(I1300)),I1300*AA1300,0)</f>
        <v>0</v>
      </c>
      <c r="AS1300" s="281">
        <f t="shared" ref="AS1300:AS1363" si="605">IF(AND(I1300&gt;0, ISNUMBER(I1300)),I1300*AH1300,0)</f>
        <v>0</v>
      </c>
      <c r="AT1300" s="284">
        <f t="shared" ref="AT1300:AT1363" si="606">IF(AND(I1300&gt;0, ISNUMBER(I1300)),I1300*(AP1300-(AQ1300+AR1300+AS1300)),0)</f>
        <v>0</v>
      </c>
    </row>
    <row r="1301" spans="1:46" s="114" customFormat="1" ht="30.9" x14ac:dyDescent="0.8">
      <c r="A1301" s="262">
        <f>ROW()</f>
        <v>1301</v>
      </c>
      <c r="C1301" s="208"/>
      <c r="D1301" s="208"/>
      <c r="E1301" s="208"/>
      <c r="F1301" s="208"/>
      <c r="G1301" s="208"/>
      <c r="H1301" s="208"/>
      <c r="J1301" s="114" t="str">
        <f t="shared" si="601"/>
        <v/>
      </c>
      <c r="K1301" s="114" t="str">
        <f>IF(COUNTBLANK(R1301)&gt;0,"",CONCATENATE(R1301," for ",N1294))</f>
        <v/>
      </c>
      <c r="N1301" s="123" t="s">
        <v>119</v>
      </c>
      <c r="O1301" s="66" t="s">
        <v>315</v>
      </c>
      <c r="P1301" s="121"/>
      <c r="Q1301" s="121"/>
      <c r="R1301" s="121"/>
      <c r="S1301" s="133">
        <f>M1294</f>
        <v>0</v>
      </c>
      <c r="T1301" s="120"/>
      <c r="U1301" s="121" t="s">
        <v>292</v>
      </c>
      <c r="V1301" s="133">
        <f t="shared" si="594"/>
        <v>0</v>
      </c>
      <c r="W1301" s="133">
        <f>VLOOKUP(U1301,Sheet1!$B$6:$C$45,2,FALSE)*V1301</f>
        <v>0</v>
      </c>
      <c r="X1301" s="141"/>
      <c r="Y1301" s="121" t="s">
        <v>292</v>
      </c>
      <c r="Z1301" s="146">
        <f>VLOOKUP(Takeoffs!Y1301,Sheet1!$B$6:$C$124,2,FALSE)</f>
        <v>0</v>
      </c>
      <c r="AA1301" s="146">
        <f t="shared" si="595"/>
        <v>0</v>
      </c>
      <c r="AB1301" s="143">
        <f t="shared" si="596"/>
        <v>0</v>
      </c>
      <c r="AC1301" s="133">
        <f t="shared" si="597"/>
        <v>0</v>
      </c>
      <c r="AD1301" s="142">
        <v>1</v>
      </c>
      <c r="AE1301" s="141"/>
      <c r="AF1301" s="121" t="s">
        <v>292</v>
      </c>
      <c r="AG1301" s="146">
        <f>VLOOKUP(Takeoffs!AF1301,Sheet1!$B$6:$C$124,2,FALSE)</f>
        <v>0</v>
      </c>
      <c r="AH1301" s="146">
        <f t="shared" si="598"/>
        <v>0</v>
      </c>
      <c r="AI1301" s="143">
        <f t="shared" si="599"/>
        <v>0</v>
      </c>
      <c r="AJ1301" s="133">
        <f t="shared" si="600"/>
        <v>0</v>
      </c>
      <c r="AK1301" s="142">
        <f>T1301</f>
        <v>0</v>
      </c>
      <c r="AL1301" s="141"/>
      <c r="AO1301" s="286"/>
      <c r="AP1301" s="284">
        <f t="shared" si="602"/>
        <v>0</v>
      </c>
      <c r="AQ1301" s="281">
        <f t="shared" si="603"/>
        <v>0</v>
      </c>
      <c r="AR1301" s="284">
        <f t="shared" si="604"/>
        <v>0</v>
      </c>
      <c r="AS1301" s="281">
        <f t="shared" si="605"/>
        <v>0</v>
      </c>
      <c r="AT1301" s="284">
        <f t="shared" si="606"/>
        <v>0</v>
      </c>
    </row>
    <row r="1302" spans="1:46" s="114" customFormat="1" ht="30.9" x14ac:dyDescent="0.8">
      <c r="A1302" s="262">
        <f>ROW()</f>
        <v>1302</v>
      </c>
      <c r="C1302" s="208"/>
      <c r="D1302" s="208"/>
      <c r="E1302" s="208"/>
      <c r="F1302" s="208"/>
      <c r="G1302" s="208"/>
      <c r="H1302" s="208"/>
      <c r="J1302" s="114" t="str">
        <f t="shared" si="601"/>
        <v xml:space="preserve">Coordination Note: - AC system supplier : Please refer to our exclusions relating to interface card for air-conditioning controllers. </v>
      </c>
      <c r="K1302" s="114" t="str">
        <f>IF(COUNTBLANK(R1302)&gt;0,"",CONCATENATE(R1302," for ",N1294))</f>
        <v/>
      </c>
      <c r="N1302" s="123" t="s">
        <v>120</v>
      </c>
      <c r="O1302" s="66" t="s">
        <v>586</v>
      </c>
      <c r="P1302" s="121" t="s">
        <v>447</v>
      </c>
      <c r="Q1302" s="121" t="s">
        <v>587</v>
      </c>
      <c r="R1302" s="121"/>
      <c r="S1302" s="133">
        <f>M1294</f>
        <v>0</v>
      </c>
      <c r="T1302" s="120"/>
      <c r="U1302" s="117" t="s">
        <v>363</v>
      </c>
      <c r="V1302" s="133">
        <f t="shared" si="594"/>
        <v>0</v>
      </c>
      <c r="W1302" s="133">
        <f>VLOOKUP(U1302,Sheet1!$B$6:$C$45,2,FALSE)*V1302</f>
        <v>0</v>
      </c>
      <c r="X1302" s="141"/>
      <c r="Y1302" s="135" t="s">
        <v>280</v>
      </c>
      <c r="Z1302" s="146">
        <f>VLOOKUP(Takeoffs!Y1302,Sheet1!$B$6:$C$124,2,FALSE)</f>
        <v>19.2</v>
      </c>
      <c r="AA1302" s="146">
        <f t="shared" si="595"/>
        <v>0</v>
      </c>
      <c r="AB1302" s="143">
        <f t="shared" si="596"/>
        <v>0</v>
      </c>
      <c r="AC1302" s="133">
        <f t="shared" si="597"/>
        <v>0</v>
      </c>
      <c r="AD1302" s="142">
        <v>1</v>
      </c>
      <c r="AE1302" s="141"/>
      <c r="AF1302" s="122" t="s">
        <v>269</v>
      </c>
      <c r="AG1302" s="146">
        <f>VLOOKUP(Takeoffs!AF1302,Sheet1!$B$6:$C$124,2,FALSE)</f>
        <v>1.056</v>
      </c>
      <c r="AH1302" s="146">
        <f t="shared" si="598"/>
        <v>0</v>
      </c>
      <c r="AI1302" s="143">
        <f t="shared" si="599"/>
        <v>0</v>
      </c>
      <c r="AJ1302" s="133">
        <f t="shared" si="600"/>
        <v>0</v>
      </c>
      <c r="AK1302" s="142">
        <v>10</v>
      </c>
      <c r="AL1302" s="141"/>
      <c r="AO1302" s="286"/>
      <c r="AP1302" s="284">
        <f t="shared" si="602"/>
        <v>0</v>
      </c>
      <c r="AQ1302" s="281">
        <f t="shared" si="603"/>
        <v>0</v>
      </c>
      <c r="AR1302" s="284">
        <f t="shared" si="604"/>
        <v>0</v>
      </c>
      <c r="AS1302" s="281">
        <f t="shared" si="605"/>
        <v>0</v>
      </c>
      <c r="AT1302" s="284">
        <f t="shared" si="606"/>
        <v>0</v>
      </c>
    </row>
    <row r="1303" spans="1:46" s="114" customFormat="1" ht="30.9" x14ac:dyDescent="0.8">
      <c r="A1303" s="262">
        <f>ROW()</f>
        <v>1303</v>
      </c>
      <c r="C1303" s="208"/>
      <c r="D1303" s="208"/>
      <c r="E1303" s="208"/>
      <c r="F1303" s="208"/>
      <c r="G1303" s="208"/>
      <c r="H1303" s="208"/>
      <c r="J1303" s="114" t="str">
        <f t="shared" si="601"/>
        <v/>
      </c>
      <c r="K1303" s="114" t="str">
        <f>IF(COUNTBLANK(R1303)&gt;0,"",CONCATENATE(R1303," for ",N1294))</f>
        <v/>
      </c>
      <c r="N1303" s="123" t="s">
        <v>121</v>
      </c>
      <c r="O1303" s="66"/>
      <c r="P1303" s="121"/>
      <c r="Q1303" s="121"/>
      <c r="R1303" s="121"/>
      <c r="S1303" s="133">
        <f>M1294</f>
        <v>0</v>
      </c>
      <c r="T1303" s="120"/>
      <c r="U1303" s="121" t="s">
        <v>292</v>
      </c>
      <c r="V1303" s="133">
        <f t="shared" si="594"/>
        <v>0</v>
      </c>
      <c r="W1303" s="133">
        <f>VLOOKUP(U1303,Sheet1!$B$6:$C$45,2,FALSE)*V1303</f>
        <v>0</v>
      </c>
      <c r="X1303" s="141"/>
      <c r="Y1303" s="121" t="s">
        <v>292</v>
      </c>
      <c r="Z1303" s="146">
        <f>VLOOKUP(Takeoffs!Y1303,Sheet1!$B$6:$C$124,2,FALSE)</f>
        <v>0</v>
      </c>
      <c r="AA1303" s="146">
        <f t="shared" si="595"/>
        <v>0</v>
      </c>
      <c r="AB1303" s="143">
        <f t="shared" si="596"/>
        <v>0</v>
      </c>
      <c r="AC1303" s="133">
        <f t="shared" si="597"/>
        <v>0</v>
      </c>
      <c r="AD1303" s="142">
        <v>1</v>
      </c>
      <c r="AE1303" s="141"/>
      <c r="AF1303" s="121" t="s">
        <v>292</v>
      </c>
      <c r="AG1303" s="146">
        <f>VLOOKUP(Takeoffs!AF1303,Sheet1!$B$6:$C$124,2,FALSE)</f>
        <v>0</v>
      </c>
      <c r="AH1303" s="146">
        <f t="shared" si="598"/>
        <v>0</v>
      </c>
      <c r="AI1303" s="143">
        <f t="shared" si="599"/>
        <v>0</v>
      </c>
      <c r="AJ1303" s="133">
        <f t="shared" si="600"/>
        <v>0</v>
      </c>
      <c r="AK1303" s="142">
        <f t="shared" ref="AK1303:AK1314" si="607">T1303</f>
        <v>0</v>
      </c>
      <c r="AL1303" s="141"/>
      <c r="AO1303" s="286"/>
      <c r="AP1303" s="284">
        <f t="shared" si="602"/>
        <v>0</v>
      </c>
      <c r="AQ1303" s="281">
        <f t="shared" si="603"/>
        <v>0</v>
      </c>
      <c r="AR1303" s="284">
        <f t="shared" si="604"/>
        <v>0</v>
      </c>
      <c r="AS1303" s="281">
        <f t="shared" si="605"/>
        <v>0</v>
      </c>
      <c r="AT1303" s="284">
        <f t="shared" si="606"/>
        <v>0</v>
      </c>
    </row>
    <row r="1304" spans="1:46" s="114" customFormat="1" ht="30.9" x14ac:dyDescent="0.8">
      <c r="A1304" s="262">
        <f>ROW()</f>
        <v>1304</v>
      </c>
      <c r="C1304" s="208"/>
      <c r="D1304" s="208"/>
      <c r="E1304" s="208"/>
      <c r="F1304" s="208"/>
      <c r="G1304" s="208"/>
      <c r="H1304" s="208"/>
      <c r="J1304" s="114" t="str">
        <f t="shared" si="601"/>
        <v/>
      </c>
      <c r="K1304" s="114" t="str">
        <f>IF(COUNTBLANK(R1304)&gt;0,"",CONCATENATE(R1304," for ",N1294))</f>
        <v/>
      </c>
      <c r="N1304" s="123" t="s">
        <v>122</v>
      </c>
      <c r="O1304" s="66"/>
      <c r="P1304" s="121"/>
      <c r="Q1304" s="121"/>
      <c r="R1304" s="121"/>
      <c r="S1304" s="133">
        <f>M1294</f>
        <v>0</v>
      </c>
      <c r="T1304" s="120"/>
      <c r="U1304" s="117" t="s">
        <v>363</v>
      </c>
      <c r="V1304" s="133">
        <f t="shared" si="594"/>
        <v>0</v>
      </c>
      <c r="W1304" s="133">
        <f>VLOOKUP(U1304,Sheet1!$B$6:$C$45,2,FALSE)*V1304</f>
        <v>0</v>
      </c>
      <c r="X1304" s="141"/>
      <c r="Y1304" s="121" t="s">
        <v>292</v>
      </c>
      <c r="Z1304" s="146">
        <f>VLOOKUP(Takeoffs!Y1304,Sheet1!$B$6:$C$124,2,FALSE)</f>
        <v>0</v>
      </c>
      <c r="AA1304" s="146">
        <f t="shared" si="595"/>
        <v>0</v>
      </c>
      <c r="AB1304" s="143">
        <f t="shared" si="596"/>
        <v>0</v>
      </c>
      <c r="AC1304" s="133">
        <f t="shared" si="597"/>
        <v>0</v>
      </c>
      <c r="AD1304" s="142">
        <v>1</v>
      </c>
      <c r="AE1304" s="141"/>
      <c r="AF1304" s="121" t="s">
        <v>292</v>
      </c>
      <c r="AG1304" s="146">
        <f>VLOOKUP(Takeoffs!AF1304,Sheet1!$B$6:$C$124,2,FALSE)</f>
        <v>0</v>
      </c>
      <c r="AH1304" s="146">
        <f t="shared" si="598"/>
        <v>0</v>
      </c>
      <c r="AI1304" s="143">
        <f t="shared" si="599"/>
        <v>0</v>
      </c>
      <c r="AJ1304" s="133">
        <f t="shared" si="600"/>
        <v>0</v>
      </c>
      <c r="AK1304" s="142">
        <f t="shared" si="607"/>
        <v>0</v>
      </c>
      <c r="AL1304" s="141"/>
      <c r="AO1304" s="286"/>
      <c r="AP1304" s="284">
        <f t="shared" si="602"/>
        <v>0</v>
      </c>
      <c r="AQ1304" s="281">
        <f t="shared" si="603"/>
        <v>0</v>
      </c>
      <c r="AR1304" s="284">
        <f t="shared" si="604"/>
        <v>0</v>
      </c>
      <c r="AS1304" s="281">
        <f t="shared" si="605"/>
        <v>0</v>
      </c>
      <c r="AT1304" s="284">
        <f t="shared" si="606"/>
        <v>0</v>
      </c>
    </row>
    <row r="1305" spans="1:46" s="114" customFormat="1" ht="30.9" x14ac:dyDescent="0.8">
      <c r="A1305" s="262">
        <f>ROW()</f>
        <v>1305</v>
      </c>
      <c r="C1305" s="208"/>
      <c r="D1305" s="208"/>
      <c r="E1305" s="208"/>
      <c r="F1305" s="208"/>
      <c r="G1305" s="208"/>
      <c r="H1305" s="208"/>
      <c r="J1305" s="114" t="str">
        <f t="shared" si="601"/>
        <v/>
      </c>
      <c r="K1305" s="114" t="str">
        <f>IF(COUNTBLANK(R1305)&gt;0,"",CONCATENATE(R1305," for ",N1294))</f>
        <v/>
      </c>
      <c r="N1305" s="123" t="s">
        <v>123</v>
      </c>
      <c r="O1305" s="66"/>
      <c r="P1305" s="121"/>
      <c r="Q1305" s="121"/>
      <c r="R1305" s="121"/>
      <c r="S1305" s="133">
        <f>M1294</f>
        <v>0</v>
      </c>
      <c r="T1305" s="120"/>
      <c r="U1305" s="117" t="s">
        <v>363</v>
      </c>
      <c r="V1305" s="133">
        <f t="shared" si="594"/>
        <v>0</v>
      </c>
      <c r="W1305" s="133">
        <f>VLOOKUP(U1305,Sheet1!$B$6:$C$45,2,FALSE)*V1305</f>
        <v>0</v>
      </c>
      <c r="X1305" s="141"/>
      <c r="Y1305" s="121" t="s">
        <v>292</v>
      </c>
      <c r="Z1305" s="146">
        <f>VLOOKUP(Takeoffs!Y1305,Sheet1!$B$6:$C$124,2,FALSE)</f>
        <v>0</v>
      </c>
      <c r="AA1305" s="146">
        <f t="shared" si="595"/>
        <v>0</v>
      </c>
      <c r="AB1305" s="143">
        <f t="shared" si="596"/>
        <v>0</v>
      </c>
      <c r="AC1305" s="133">
        <f t="shared" si="597"/>
        <v>0</v>
      </c>
      <c r="AD1305" s="142">
        <v>1</v>
      </c>
      <c r="AE1305" s="141"/>
      <c r="AF1305" s="121" t="s">
        <v>292</v>
      </c>
      <c r="AG1305" s="146">
        <f>VLOOKUP(Takeoffs!AF1305,Sheet1!$B$6:$C$124,2,FALSE)</f>
        <v>0</v>
      </c>
      <c r="AH1305" s="146">
        <f t="shared" si="598"/>
        <v>0</v>
      </c>
      <c r="AI1305" s="143">
        <f t="shared" si="599"/>
        <v>0</v>
      </c>
      <c r="AJ1305" s="133">
        <f t="shared" si="600"/>
        <v>0</v>
      </c>
      <c r="AK1305" s="142">
        <f t="shared" si="607"/>
        <v>0</v>
      </c>
      <c r="AL1305" s="141"/>
      <c r="AO1305" s="286"/>
      <c r="AP1305" s="284">
        <f t="shared" si="602"/>
        <v>0</v>
      </c>
      <c r="AQ1305" s="281">
        <f t="shared" si="603"/>
        <v>0</v>
      </c>
      <c r="AR1305" s="284">
        <f t="shared" si="604"/>
        <v>0</v>
      </c>
      <c r="AS1305" s="281">
        <f t="shared" si="605"/>
        <v>0</v>
      </c>
      <c r="AT1305" s="284">
        <f t="shared" si="606"/>
        <v>0</v>
      </c>
    </row>
    <row r="1306" spans="1:46" s="114" customFormat="1" ht="30.9" x14ac:dyDescent="0.8">
      <c r="A1306" s="262">
        <f>ROW()</f>
        <v>1306</v>
      </c>
      <c r="C1306" s="208"/>
      <c r="D1306" s="208"/>
      <c r="E1306" s="208"/>
      <c r="F1306" s="208"/>
      <c r="G1306" s="208"/>
      <c r="H1306" s="208"/>
      <c r="J1306" s="114" t="str">
        <f t="shared" si="601"/>
        <v/>
      </c>
      <c r="K1306" s="114" t="str">
        <f>IF(COUNTBLANK(R1306)&gt;0,"",CONCATENATE(R1306," for ",N1294))</f>
        <v/>
      </c>
      <c r="N1306" s="123" t="s">
        <v>124</v>
      </c>
      <c r="O1306" s="66"/>
      <c r="P1306" s="121"/>
      <c r="Q1306" s="121"/>
      <c r="R1306" s="121"/>
      <c r="S1306" s="133">
        <f>M1294</f>
        <v>0</v>
      </c>
      <c r="T1306" s="120"/>
      <c r="U1306" s="121" t="s">
        <v>292</v>
      </c>
      <c r="V1306" s="133">
        <f t="shared" si="594"/>
        <v>0</v>
      </c>
      <c r="W1306" s="133">
        <f>VLOOKUP(U1306,Sheet1!$B$6:$C$45,2,FALSE)*V1306</f>
        <v>0</v>
      </c>
      <c r="X1306" s="141"/>
      <c r="Y1306" s="121" t="s">
        <v>292</v>
      </c>
      <c r="Z1306" s="146">
        <f>VLOOKUP(Takeoffs!Y1306,Sheet1!$B$6:$C$124,2,FALSE)</f>
        <v>0</v>
      </c>
      <c r="AA1306" s="146">
        <f t="shared" si="595"/>
        <v>0</v>
      </c>
      <c r="AB1306" s="143">
        <f t="shared" si="596"/>
        <v>0</v>
      </c>
      <c r="AC1306" s="133">
        <f t="shared" si="597"/>
        <v>0</v>
      </c>
      <c r="AD1306" s="142">
        <v>1</v>
      </c>
      <c r="AE1306" s="141"/>
      <c r="AF1306" s="121" t="s">
        <v>292</v>
      </c>
      <c r="AG1306" s="146">
        <f>VLOOKUP(Takeoffs!AF1306,Sheet1!$B$6:$C$124,2,FALSE)</f>
        <v>0</v>
      </c>
      <c r="AH1306" s="146">
        <f t="shared" si="598"/>
        <v>0</v>
      </c>
      <c r="AI1306" s="143">
        <f t="shared" si="599"/>
        <v>0</v>
      </c>
      <c r="AJ1306" s="133">
        <f t="shared" si="600"/>
        <v>0</v>
      </c>
      <c r="AK1306" s="142">
        <f t="shared" si="607"/>
        <v>0</v>
      </c>
      <c r="AL1306" s="141"/>
      <c r="AO1306" s="286"/>
      <c r="AP1306" s="284">
        <f t="shared" si="602"/>
        <v>0</v>
      </c>
      <c r="AQ1306" s="281">
        <f t="shared" si="603"/>
        <v>0</v>
      </c>
      <c r="AR1306" s="284">
        <f t="shared" si="604"/>
        <v>0</v>
      </c>
      <c r="AS1306" s="281">
        <f t="shared" si="605"/>
        <v>0</v>
      </c>
      <c r="AT1306" s="284">
        <f t="shared" si="606"/>
        <v>0</v>
      </c>
    </row>
    <row r="1307" spans="1:46" s="114" customFormat="1" ht="30.9" x14ac:dyDescent="0.8">
      <c r="A1307" s="262">
        <f>ROW()</f>
        <v>1307</v>
      </c>
      <c r="C1307" s="208"/>
      <c r="D1307" s="208"/>
      <c r="E1307" s="208"/>
      <c r="F1307" s="208"/>
      <c r="G1307" s="208"/>
      <c r="H1307" s="208"/>
      <c r="J1307" s="114" t="str">
        <f t="shared" si="601"/>
        <v/>
      </c>
      <c r="K1307" s="114" t="str">
        <f>IF(COUNTBLANK(R1307)&gt;0,"",CONCATENATE(R1307," for ",N1294))</f>
        <v/>
      </c>
      <c r="N1307" s="123" t="s">
        <v>125</v>
      </c>
      <c r="O1307" s="66"/>
      <c r="P1307" s="121"/>
      <c r="Q1307" s="121"/>
      <c r="R1307" s="121"/>
      <c r="S1307" s="133">
        <f>M1294</f>
        <v>0</v>
      </c>
      <c r="T1307" s="120"/>
      <c r="U1307" s="121" t="s">
        <v>292</v>
      </c>
      <c r="V1307" s="133">
        <f t="shared" si="594"/>
        <v>0</v>
      </c>
      <c r="W1307" s="133">
        <f>VLOOKUP(U1307,Sheet1!$B$6:$C$45,2,FALSE)*V1307</f>
        <v>0</v>
      </c>
      <c r="X1307" s="141"/>
      <c r="Y1307" s="121" t="s">
        <v>292</v>
      </c>
      <c r="Z1307" s="146">
        <f>VLOOKUP(Takeoffs!Y1307,Sheet1!$B$6:$C$124,2,FALSE)</f>
        <v>0</v>
      </c>
      <c r="AA1307" s="146">
        <f t="shared" si="595"/>
        <v>0</v>
      </c>
      <c r="AB1307" s="143">
        <f t="shared" si="596"/>
        <v>0</v>
      </c>
      <c r="AC1307" s="133">
        <f t="shared" si="597"/>
        <v>0</v>
      </c>
      <c r="AD1307" s="142">
        <v>1</v>
      </c>
      <c r="AE1307" s="141"/>
      <c r="AF1307" s="121" t="s">
        <v>292</v>
      </c>
      <c r="AG1307" s="146">
        <f>VLOOKUP(Takeoffs!AF1307,Sheet1!$B$6:$C$124,2,FALSE)</f>
        <v>0</v>
      </c>
      <c r="AH1307" s="146">
        <f t="shared" si="598"/>
        <v>0</v>
      </c>
      <c r="AI1307" s="143">
        <f t="shared" si="599"/>
        <v>0</v>
      </c>
      <c r="AJ1307" s="133">
        <f t="shared" si="600"/>
        <v>0</v>
      </c>
      <c r="AK1307" s="142">
        <f t="shared" si="607"/>
        <v>0</v>
      </c>
      <c r="AL1307" s="141"/>
      <c r="AO1307" s="286"/>
      <c r="AP1307" s="284">
        <f t="shared" si="602"/>
        <v>0</v>
      </c>
      <c r="AQ1307" s="281">
        <f t="shared" si="603"/>
        <v>0</v>
      </c>
      <c r="AR1307" s="284">
        <f t="shared" si="604"/>
        <v>0</v>
      </c>
      <c r="AS1307" s="281">
        <f t="shared" si="605"/>
        <v>0</v>
      </c>
      <c r="AT1307" s="284">
        <f t="shared" si="606"/>
        <v>0</v>
      </c>
    </row>
    <row r="1308" spans="1:46" s="114" customFormat="1" ht="30.9" x14ac:dyDescent="0.8">
      <c r="A1308" s="262">
        <f>ROW()</f>
        <v>1308</v>
      </c>
      <c r="C1308" s="208"/>
      <c r="D1308" s="208"/>
      <c r="E1308" s="208"/>
      <c r="F1308" s="208"/>
      <c r="G1308" s="208"/>
      <c r="H1308" s="208"/>
      <c r="J1308" s="114" t="str">
        <f t="shared" si="601"/>
        <v/>
      </c>
      <c r="K1308" s="114" t="str">
        <f>IF(COUNTBLANK(R1308)&gt;0,"",CONCATENATE(R1308," for ",N1294))</f>
        <v/>
      </c>
      <c r="N1308" s="123" t="s">
        <v>126</v>
      </c>
      <c r="O1308" s="66"/>
      <c r="P1308" s="121"/>
      <c r="Q1308" s="121"/>
      <c r="R1308" s="121"/>
      <c r="S1308" s="133">
        <f>M1294</f>
        <v>0</v>
      </c>
      <c r="T1308" s="120"/>
      <c r="U1308" s="121" t="s">
        <v>292</v>
      </c>
      <c r="V1308" s="133">
        <f t="shared" si="594"/>
        <v>0</v>
      </c>
      <c r="W1308" s="133">
        <f>VLOOKUP(U1308,Sheet1!$B$6:$C$45,2,FALSE)*V1308</f>
        <v>0</v>
      </c>
      <c r="X1308" s="141"/>
      <c r="Y1308" s="121" t="s">
        <v>292</v>
      </c>
      <c r="Z1308" s="146">
        <f>VLOOKUP(Takeoffs!Y1308,Sheet1!$B$6:$C$124,2,FALSE)</f>
        <v>0</v>
      </c>
      <c r="AA1308" s="146">
        <f t="shared" si="595"/>
        <v>0</v>
      </c>
      <c r="AB1308" s="143">
        <f t="shared" si="596"/>
        <v>0</v>
      </c>
      <c r="AC1308" s="133">
        <f t="shared" si="597"/>
        <v>0</v>
      </c>
      <c r="AD1308" s="142">
        <v>1</v>
      </c>
      <c r="AE1308" s="141"/>
      <c r="AF1308" s="121" t="s">
        <v>292</v>
      </c>
      <c r="AG1308" s="146">
        <f>VLOOKUP(Takeoffs!AF1308,Sheet1!$B$6:$C$124,2,FALSE)</f>
        <v>0</v>
      </c>
      <c r="AH1308" s="146">
        <f t="shared" si="598"/>
        <v>0</v>
      </c>
      <c r="AI1308" s="143">
        <f t="shared" si="599"/>
        <v>0</v>
      </c>
      <c r="AJ1308" s="133">
        <f t="shared" si="600"/>
        <v>0</v>
      </c>
      <c r="AK1308" s="142">
        <f t="shared" si="607"/>
        <v>0</v>
      </c>
      <c r="AL1308" s="141"/>
      <c r="AO1308" s="286"/>
      <c r="AP1308" s="284">
        <f t="shared" si="602"/>
        <v>0</v>
      </c>
      <c r="AQ1308" s="281">
        <f t="shared" si="603"/>
        <v>0</v>
      </c>
      <c r="AR1308" s="284">
        <f t="shared" si="604"/>
        <v>0</v>
      </c>
      <c r="AS1308" s="281">
        <f t="shared" si="605"/>
        <v>0</v>
      </c>
      <c r="AT1308" s="284">
        <f t="shared" si="606"/>
        <v>0</v>
      </c>
    </row>
    <row r="1309" spans="1:46" s="114" customFormat="1" ht="30.9" x14ac:dyDescent="0.8">
      <c r="A1309" s="262">
        <f>ROW()</f>
        <v>1309</v>
      </c>
      <c r="C1309" s="208"/>
      <c r="D1309" s="208"/>
      <c r="E1309" s="208"/>
      <c r="F1309" s="208"/>
      <c r="G1309" s="208"/>
      <c r="H1309" s="208"/>
      <c r="J1309" s="114" t="str">
        <f t="shared" si="601"/>
        <v/>
      </c>
      <c r="K1309" s="114" t="str">
        <f>IF(COUNTBLANK(R1309)&gt;0,"",CONCATENATE(R1309," for ",N1294))</f>
        <v/>
      </c>
      <c r="N1309" s="123" t="s">
        <v>127</v>
      </c>
      <c r="O1309" s="66"/>
      <c r="P1309" s="121"/>
      <c r="Q1309" s="121"/>
      <c r="R1309" s="121"/>
      <c r="S1309" s="133">
        <f>M1294</f>
        <v>0</v>
      </c>
      <c r="T1309" s="120"/>
      <c r="U1309" s="121" t="s">
        <v>292</v>
      </c>
      <c r="V1309" s="133">
        <f t="shared" si="594"/>
        <v>0</v>
      </c>
      <c r="W1309" s="133">
        <f>VLOOKUP(U1309,Sheet1!$B$6:$C$45,2,FALSE)*V1309</f>
        <v>0</v>
      </c>
      <c r="X1309" s="141"/>
      <c r="Y1309" s="121" t="s">
        <v>292</v>
      </c>
      <c r="Z1309" s="146">
        <f>VLOOKUP(Takeoffs!Y1309,Sheet1!$B$6:$C$124,2,FALSE)</f>
        <v>0</v>
      </c>
      <c r="AA1309" s="146">
        <f t="shared" si="595"/>
        <v>0</v>
      </c>
      <c r="AB1309" s="143">
        <f t="shared" si="596"/>
        <v>0</v>
      </c>
      <c r="AC1309" s="133">
        <f t="shared" si="597"/>
        <v>0</v>
      </c>
      <c r="AD1309" s="142">
        <v>1</v>
      </c>
      <c r="AE1309" s="141"/>
      <c r="AF1309" s="121" t="s">
        <v>292</v>
      </c>
      <c r="AG1309" s="146">
        <f>VLOOKUP(Takeoffs!AF1309,Sheet1!$B$6:$C$124,2,FALSE)</f>
        <v>0</v>
      </c>
      <c r="AH1309" s="146">
        <f t="shared" si="598"/>
        <v>0</v>
      </c>
      <c r="AI1309" s="143">
        <f t="shared" si="599"/>
        <v>0</v>
      </c>
      <c r="AJ1309" s="133">
        <f t="shared" si="600"/>
        <v>0</v>
      </c>
      <c r="AK1309" s="142">
        <f t="shared" si="607"/>
        <v>0</v>
      </c>
      <c r="AL1309" s="141"/>
      <c r="AO1309" s="286"/>
      <c r="AP1309" s="284">
        <f t="shared" si="602"/>
        <v>0</v>
      </c>
      <c r="AQ1309" s="281">
        <f t="shared" si="603"/>
        <v>0</v>
      </c>
      <c r="AR1309" s="284">
        <f t="shared" si="604"/>
        <v>0</v>
      </c>
      <c r="AS1309" s="281">
        <f t="shared" si="605"/>
        <v>0</v>
      </c>
      <c r="AT1309" s="284">
        <f t="shared" si="606"/>
        <v>0</v>
      </c>
    </row>
    <row r="1310" spans="1:46" s="114" customFormat="1" ht="30.9" x14ac:dyDescent="0.8">
      <c r="A1310" s="262">
        <f>ROW()</f>
        <v>1310</v>
      </c>
      <c r="C1310" s="208"/>
      <c r="D1310" s="208"/>
      <c r="E1310" s="208"/>
      <c r="F1310" s="208"/>
      <c r="G1310" s="208"/>
      <c r="H1310" s="208"/>
      <c r="J1310" s="114" t="str">
        <f t="shared" si="601"/>
        <v/>
      </c>
      <c r="K1310" s="114" t="str">
        <f>IF(COUNTBLANK(R1310)&gt;0,"",CONCATENATE(R1310," for ",N1294))</f>
        <v/>
      </c>
      <c r="N1310" s="123" t="s">
        <v>128</v>
      </c>
      <c r="O1310" s="66"/>
      <c r="P1310" s="121"/>
      <c r="Q1310" s="121"/>
      <c r="R1310" s="121"/>
      <c r="S1310" s="133">
        <f>M1294</f>
        <v>0</v>
      </c>
      <c r="T1310" s="120"/>
      <c r="U1310" s="121" t="s">
        <v>292</v>
      </c>
      <c r="V1310" s="133">
        <f t="shared" si="594"/>
        <v>0</v>
      </c>
      <c r="W1310" s="133">
        <f>VLOOKUP(U1310,Sheet1!$B$6:$C$45,2,FALSE)*V1310</f>
        <v>0</v>
      </c>
      <c r="X1310" s="141"/>
      <c r="Y1310" s="121" t="s">
        <v>292</v>
      </c>
      <c r="Z1310" s="146">
        <f>VLOOKUP(Takeoffs!Y1310,Sheet1!$B$6:$C$124,2,FALSE)</f>
        <v>0</v>
      </c>
      <c r="AA1310" s="146">
        <f t="shared" si="595"/>
        <v>0</v>
      </c>
      <c r="AB1310" s="143">
        <f t="shared" si="596"/>
        <v>0</v>
      </c>
      <c r="AC1310" s="133">
        <f t="shared" si="597"/>
        <v>0</v>
      </c>
      <c r="AD1310" s="142">
        <v>1</v>
      </c>
      <c r="AE1310" s="141"/>
      <c r="AF1310" s="121" t="s">
        <v>292</v>
      </c>
      <c r="AG1310" s="146">
        <f>VLOOKUP(Takeoffs!AF1310,Sheet1!$B$6:$C$124,2,FALSE)</f>
        <v>0</v>
      </c>
      <c r="AH1310" s="146">
        <f t="shared" si="598"/>
        <v>0</v>
      </c>
      <c r="AI1310" s="143">
        <f t="shared" si="599"/>
        <v>0</v>
      </c>
      <c r="AJ1310" s="133">
        <f t="shared" si="600"/>
        <v>0</v>
      </c>
      <c r="AK1310" s="142">
        <f t="shared" si="607"/>
        <v>0</v>
      </c>
      <c r="AL1310" s="141"/>
      <c r="AO1310" s="286"/>
      <c r="AP1310" s="284">
        <f t="shared" si="602"/>
        <v>0</v>
      </c>
      <c r="AQ1310" s="281">
        <f t="shared" si="603"/>
        <v>0</v>
      </c>
      <c r="AR1310" s="284">
        <f t="shared" si="604"/>
        <v>0</v>
      </c>
      <c r="AS1310" s="281">
        <f t="shared" si="605"/>
        <v>0</v>
      </c>
      <c r="AT1310" s="284">
        <f t="shared" si="606"/>
        <v>0</v>
      </c>
    </row>
    <row r="1311" spans="1:46" s="114" customFormat="1" ht="30.9" x14ac:dyDescent="0.8">
      <c r="A1311" s="262">
        <f>ROW()</f>
        <v>1311</v>
      </c>
      <c r="C1311" s="208"/>
      <c r="D1311" s="208"/>
      <c r="E1311" s="208"/>
      <c r="F1311" s="208"/>
      <c r="G1311" s="208"/>
      <c r="H1311" s="208"/>
      <c r="J1311" s="114" t="str">
        <f t="shared" si="601"/>
        <v/>
      </c>
      <c r="K1311" s="114" t="str">
        <f>IF(COUNTBLANK(R1311)&gt;0,"",CONCATENATE(R1311," for ",N1294))</f>
        <v/>
      </c>
      <c r="N1311" s="123" t="s">
        <v>129</v>
      </c>
      <c r="O1311" s="66"/>
      <c r="P1311" s="121"/>
      <c r="Q1311" s="121"/>
      <c r="R1311" s="121"/>
      <c r="S1311" s="133">
        <f>M1294</f>
        <v>0</v>
      </c>
      <c r="T1311" s="120"/>
      <c r="U1311" s="121" t="s">
        <v>292</v>
      </c>
      <c r="V1311" s="133">
        <f t="shared" si="594"/>
        <v>0</v>
      </c>
      <c r="W1311" s="133">
        <f>VLOOKUP(U1311,Sheet1!$B$6:$C$45,2,FALSE)*V1311</f>
        <v>0</v>
      </c>
      <c r="X1311" s="141"/>
      <c r="Y1311" s="121" t="s">
        <v>292</v>
      </c>
      <c r="Z1311" s="146">
        <f>VLOOKUP(Takeoffs!Y1311,Sheet1!$B$6:$C$124,2,FALSE)</f>
        <v>0</v>
      </c>
      <c r="AA1311" s="146">
        <f t="shared" si="595"/>
        <v>0</v>
      </c>
      <c r="AB1311" s="143">
        <f t="shared" si="596"/>
        <v>0</v>
      </c>
      <c r="AC1311" s="133">
        <f t="shared" si="597"/>
        <v>0</v>
      </c>
      <c r="AD1311" s="142">
        <v>1</v>
      </c>
      <c r="AE1311" s="141"/>
      <c r="AF1311" s="121" t="s">
        <v>292</v>
      </c>
      <c r="AG1311" s="146">
        <f>VLOOKUP(Takeoffs!AF1311,Sheet1!$B$6:$C$124,2,FALSE)</f>
        <v>0</v>
      </c>
      <c r="AH1311" s="146">
        <f t="shared" si="598"/>
        <v>0</v>
      </c>
      <c r="AI1311" s="143">
        <f t="shared" si="599"/>
        <v>0</v>
      </c>
      <c r="AJ1311" s="133">
        <f t="shared" si="600"/>
        <v>0</v>
      </c>
      <c r="AK1311" s="142">
        <f t="shared" si="607"/>
        <v>0</v>
      </c>
      <c r="AL1311" s="141"/>
      <c r="AO1311" s="286"/>
      <c r="AP1311" s="284">
        <f t="shared" si="602"/>
        <v>0</v>
      </c>
      <c r="AQ1311" s="281">
        <f t="shared" si="603"/>
        <v>0</v>
      </c>
      <c r="AR1311" s="284">
        <f t="shared" si="604"/>
        <v>0</v>
      </c>
      <c r="AS1311" s="281">
        <f t="shared" si="605"/>
        <v>0</v>
      </c>
      <c r="AT1311" s="284">
        <f t="shared" si="606"/>
        <v>0</v>
      </c>
    </row>
    <row r="1312" spans="1:46" s="114" customFormat="1" ht="30.9" x14ac:dyDescent="0.8">
      <c r="A1312" s="262">
        <f>ROW()</f>
        <v>1312</v>
      </c>
      <c r="C1312" s="208"/>
      <c r="D1312" s="208"/>
      <c r="E1312" s="208"/>
      <c r="F1312" s="208"/>
      <c r="G1312" s="208"/>
      <c r="H1312" s="208"/>
      <c r="J1312" s="114" t="str">
        <f t="shared" si="601"/>
        <v/>
      </c>
      <c r="K1312" s="114" t="str">
        <f>IF(COUNTBLANK(R1312)&gt;0,"",CONCATENATE(R1312," for ",N1294))</f>
        <v/>
      </c>
      <c r="N1312" s="123" t="s">
        <v>130</v>
      </c>
      <c r="O1312" s="66"/>
      <c r="P1312" s="121"/>
      <c r="Q1312" s="121"/>
      <c r="R1312" s="121"/>
      <c r="S1312" s="133">
        <f>M1294</f>
        <v>0</v>
      </c>
      <c r="T1312" s="120"/>
      <c r="U1312" s="121" t="s">
        <v>292</v>
      </c>
      <c r="V1312" s="133">
        <f t="shared" si="594"/>
        <v>0</v>
      </c>
      <c r="W1312" s="133">
        <f>VLOOKUP(U1312,Sheet1!$B$6:$C$45,2,FALSE)*V1312</f>
        <v>0</v>
      </c>
      <c r="X1312" s="141"/>
      <c r="Y1312" s="121" t="s">
        <v>292</v>
      </c>
      <c r="Z1312" s="146">
        <f>VLOOKUP(Takeoffs!Y1312,Sheet1!$B$6:$C$124,2,FALSE)</f>
        <v>0</v>
      </c>
      <c r="AA1312" s="146">
        <f t="shared" si="595"/>
        <v>0</v>
      </c>
      <c r="AB1312" s="143">
        <f t="shared" si="596"/>
        <v>0</v>
      </c>
      <c r="AC1312" s="133">
        <f t="shared" si="597"/>
        <v>0</v>
      </c>
      <c r="AD1312" s="142">
        <v>1</v>
      </c>
      <c r="AE1312" s="141"/>
      <c r="AF1312" s="121" t="s">
        <v>292</v>
      </c>
      <c r="AG1312" s="146">
        <f>VLOOKUP(Takeoffs!AF1312,Sheet1!$B$6:$C$124,2,FALSE)</f>
        <v>0</v>
      </c>
      <c r="AH1312" s="146">
        <f t="shared" si="598"/>
        <v>0</v>
      </c>
      <c r="AI1312" s="143">
        <f t="shared" si="599"/>
        <v>0</v>
      </c>
      <c r="AJ1312" s="133">
        <f t="shared" si="600"/>
        <v>0</v>
      </c>
      <c r="AK1312" s="142">
        <f t="shared" si="607"/>
        <v>0</v>
      </c>
      <c r="AL1312" s="141"/>
      <c r="AO1312" s="286"/>
      <c r="AP1312" s="284">
        <f t="shared" si="602"/>
        <v>0</v>
      </c>
      <c r="AQ1312" s="281">
        <f t="shared" si="603"/>
        <v>0</v>
      </c>
      <c r="AR1312" s="284">
        <f t="shared" si="604"/>
        <v>0</v>
      </c>
      <c r="AS1312" s="281">
        <f t="shared" si="605"/>
        <v>0</v>
      </c>
      <c r="AT1312" s="284">
        <f t="shared" si="606"/>
        <v>0</v>
      </c>
    </row>
    <row r="1313" spans="1:97" s="114" customFormat="1" ht="30.9" x14ac:dyDescent="0.8">
      <c r="A1313" s="262">
        <f>ROW()</f>
        <v>1313</v>
      </c>
      <c r="C1313" s="208"/>
      <c r="D1313" s="208"/>
      <c r="E1313" s="208"/>
      <c r="F1313" s="208"/>
      <c r="G1313" s="208"/>
      <c r="H1313" s="208"/>
      <c r="J1313" s="114" t="str">
        <f t="shared" si="601"/>
        <v/>
      </c>
      <c r="K1313" s="114" t="str">
        <f>IF(COUNTBLANK(R1313)&gt;0,"",CONCATENATE(R1313," for ",N1294))</f>
        <v/>
      </c>
      <c r="N1313" s="123" t="s">
        <v>131</v>
      </c>
      <c r="O1313" s="66"/>
      <c r="P1313" s="121"/>
      <c r="Q1313" s="121"/>
      <c r="R1313" s="121"/>
      <c r="S1313" s="133">
        <f>M1294</f>
        <v>0</v>
      </c>
      <c r="T1313" s="120"/>
      <c r="U1313" s="121" t="s">
        <v>292</v>
      </c>
      <c r="V1313" s="133">
        <f t="shared" si="594"/>
        <v>0</v>
      </c>
      <c r="W1313" s="133">
        <f>VLOOKUP(U1313,Sheet1!$B$6:$C$45,2,FALSE)*V1313</f>
        <v>0</v>
      </c>
      <c r="X1313" s="141"/>
      <c r="Y1313" s="121" t="s">
        <v>292</v>
      </c>
      <c r="Z1313" s="146">
        <f>VLOOKUP(Takeoffs!Y1313,Sheet1!$B$6:$C$124,2,FALSE)</f>
        <v>0</v>
      </c>
      <c r="AA1313" s="146">
        <f t="shared" si="595"/>
        <v>0</v>
      </c>
      <c r="AB1313" s="143">
        <f t="shared" si="596"/>
        <v>0</v>
      </c>
      <c r="AC1313" s="133">
        <f t="shared" si="597"/>
        <v>0</v>
      </c>
      <c r="AD1313" s="142">
        <v>1</v>
      </c>
      <c r="AE1313" s="141"/>
      <c r="AF1313" s="121" t="s">
        <v>292</v>
      </c>
      <c r="AG1313" s="146">
        <f>VLOOKUP(Takeoffs!AF1313,Sheet1!$B$6:$C$124,2,FALSE)</f>
        <v>0</v>
      </c>
      <c r="AH1313" s="146">
        <f t="shared" si="598"/>
        <v>0</v>
      </c>
      <c r="AI1313" s="143">
        <f t="shared" si="599"/>
        <v>0</v>
      </c>
      <c r="AJ1313" s="133">
        <f t="shared" si="600"/>
        <v>0</v>
      </c>
      <c r="AK1313" s="142">
        <f t="shared" si="607"/>
        <v>0</v>
      </c>
      <c r="AL1313" s="141"/>
      <c r="AO1313" s="286"/>
      <c r="AP1313" s="284">
        <f t="shared" si="602"/>
        <v>0</v>
      </c>
      <c r="AQ1313" s="281">
        <f t="shared" si="603"/>
        <v>0</v>
      </c>
      <c r="AR1313" s="284">
        <f t="shared" si="604"/>
        <v>0</v>
      </c>
      <c r="AS1313" s="281">
        <f t="shared" si="605"/>
        <v>0</v>
      </c>
      <c r="AT1313" s="284">
        <f t="shared" si="606"/>
        <v>0</v>
      </c>
    </row>
    <row r="1314" spans="1:97" s="114" customFormat="1" ht="30.9" x14ac:dyDescent="0.8">
      <c r="A1314" s="262">
        <f>ROW()</f>
        <v>1314</v>
      </c>
      <c r="C1314" s="208"/>
      <c r="D1314" s="208"/>
      <c r="E1314" s="208"/>
      <c r="F1314" s="208"/>
      <c r="G1314" s="208"/>
      <c r="H1314" s="208"/>
      <c r="J1314" s="114" t="str">
        <f t="shared" si="601"/>
        <v/>
      </c>
      <c r="K1314" s="114" t="str">
        <f>IF(COUNTBLANK(R1314)&gt;0,"",CONCATENATE(R1314," for ",N1294))</f>
        <v/>
      </c>
      <c r="N1314" s="123" t="s">
        <v>132</v>
      </c>
      <c r="O1314" s="66"/>
      <c r="P1314" s="121"/>
      <c r="Q1314" s="121"/>
      <c r="R1314" s="121"/>
      <c r="S1314" s="133">
        <f>M1294</f>
        <v>0</v>
      </c>
      <c r="T1314" s="120"/>
      <c r="U1314" s="121" t="s">
        <v>292</v>
      </c>
      <c r="V1314" s="133">
        <f t="shared" si="594"/>
        <v>0</v>
      </c>
      <c r="W1314" s="133">
        <f>VLOOKUP(U1314,Sheet1!$B$6:$C$45,2,FALSE)*V1314</f>
        <v>0</v>
      </c>
      <c r="X1314" s="141"/>
      <c r="Y1314" s="121" t="s">
        <v>292</v>
      </c>
      <c r="Z1314" s="146">
        <f>VLOOKUP(Takeoffs!Y1314,Sheet1!$B$6:$C$124,2,FALSE)</f>
        <v>0</v>
      </c>
      <c r="AA1314" s="146">
        <f t="shared" si="595"/>
        <v>0</v>
      </c>
      <c r="AB1314" s="143">
        <f t="shared" si="596"/>
        <v>0</v>
      </c>
      <c r="AC1314" s="133">
        <f t="shared" si="597"/>
        <v>0</v>
      </c>
      <c r="AD1314" s="142">
        <v>1</v>
      </c>
      <c r="AE1314" s="141"/>
      <c r="AF1314" s="121" t="s">
        <v>292</v>
      </c>
      <c r="AG1314" s="146">
        <f>VLOOKUP(Takeoffs!AF1314,Sheet1!$B$6:$C$124,2,FALSE)</f>
        <v>0</v>
      </c>
      <c r="AH1314" s="146">
        <f t="shared" si="598"/>
        <v>0</v>
      </c>
      <c r="AI1314" s="143">
        <f t="shared" si="599"/>
        <v>0</v>
      </c>
      <c r="AJ1314" s="133">
        <f t="shared" si="600"/>
        <v>0</v>
      </c>
      <c r="AK1314" s="142">
        <f t="shared" si="607"/>
        <v>0</v>
      </c>
      <c r="AL1314" s="141"/>
      <c r="AO1314" s="286"/>
      <c r="AP1314" s="284">
        <f t="shared" si="602"/>
        <v>0</v>
      </c>
      <c r="AQ1314" s="281">
        <f t="shared" si="603"/>
        <v>0</v>
      </c>
      <c r="AR1314" s="284">
        <f t="shared" si="604"/>
        <v>0</v>
      </c>
      <c r="AS1314" s="281">
        <f t="shared" si="605"/>
        <v>0</v>
      </c>
      <c r="AT1314" s="284">
        <f t="shared" si="606"/>
        <v>0</v>
      </c>
    </row>
    <row r="1315" spans="1:97" s="128" customFormat="1" ht="31.5" customHeight="1" x14ac:dyDescent="0.8">
      <c r="A1315" s="262">
        <f>ROW()</f>
        <v>1315</v>
      </c>
      <c r="C1315" s="212"/>
      <c r="D1315" s="212"/>
      <c r="E1315" s="212"/>
      <c r="F1315" s="212"/>
      <c r="G1315" s="212"/>
      <c r="H1315" s="212"/>
      <c r="J1315" s="128" t="s">
        <v>377</v>
      </c>
      <c r="L1315" s="128" t="s">
        <v>378</v>
      </c>
      <c r="N1315" s="129"/>
      <c r="O1315" s="130" t="s">
        <v>357</v>
      </c>
      <c r="P1315" s="131">
        <f>V1315+AA1315+AH1315</f>
        <v>0</v>
      </c>
      <c r="Q1315" s="131"/>
      <c r="R1315" s="131"/>
      <c r="S1315" s="130"/>
      <c r="T1315" s="127"/>
      <c r="U1315" s="126" t="s">
        <v>351</v>
      </c>
      <c r="V1315" s="127">
        <f>W1315*80</f>
        <v>0</v>
      </c>
      <c r="W1315" s="147">
        <f>SUM(W1294:W1314)</f>
        <v>0</v>
      </c>
      <c r="X1315" s="148"/>
      <c r="Y1315" s="127" t="s">
        <v>352</v>
      </c>
      <c r="Z1315" s="116"/>
      <c r="AA1315" s="116">
        <f>SUM(AA1294:AA1314)</f>
        <v>0</v>
      </c>
      <c r="AB1315" s="149"/>
      <c r="AC1315" s="149"/>
      <c r="AD1315" s="149"/>
      <c r="AE1315" s="149"/>
      <c r="AF1315" s="127" t="s">
        <v>356</v>
      </c>
      <c r="AG1315" s="116"/>
      <c r="AH1315" s="116">
        <f>SUM(AH1294:AH1314)</f>
        <v>0</v>
      </c>
      <c r="AI1315" s="149"/>
      <c r="AJ1315" s="149"/>
      <c r="AK1315" s="149"/>
      <c r="AL1315" s="149"/>
      <c r="AM1315" s="150">
        <f>P1315</f>
        <v>0</v>
      </c>
      <c r="AO1315" s="286"/>
      <c r="AP1315" s="284">
        <f t="shared" si="602"/>
        <v>0</v>
      </c>
      <c r="AQ1315" s="281">
        <f t="shared" si="603"/>
        <v>0</v>
      </c>
      <c r="AR1315" s="284">
        <f t="shared" si="604"/>
        <v>0</v>
      </c>
      <c r="AS1315" s="281">
        <f t="shared" si="605"/>
        <v>0</v>
      </c>
      <c r="AT1315" s="284">
        <f t="shared" si="606"/>
        <v>0</v>
      </c>
    </row>
    <row r="1316" spans="1:97" s="234" customFormat="1" ht="185.15" x14ac:dyDescent="0.8">
      <c r="A1316" s="262">
        <f>ROW()</f>
        <v>1316</v>
      </c>
      <c r="B1316" s="234" t="s">
        <v>491</v>
      </c>
      <c r="C1316" s="217" t="str">
        <f>N1294</f>
        <v>DX CRAC Systems - MSSB powered with run and fault lights</v>
      </c>
      <c r="D1316" s="260" t="str">
        <f>IF(B1316="Shopping List",IF(ISNUMBER(SEARCH("MSSB",C1316)),"MSSB",IF(ISNUMBER(SEARCH("local",C1316)),"LOCAL","")))</f>
        <v>MSSB</v>
      </c>
      <c r="E1316" s="238">
        <v>4</v>
      </c>
      <c r="F1316" s="217"/>
      <c r="G1316" s="217">
        <v>6</v>
      </c>
      <c r="H1316" s="245">
        <v>10</v>
      </c>
      <c r="I1316" s="270"/>
      <c r="J1316" s="241" t="str">
        <f>CONCATENATE(O1294," ",L1294, " (",M1294,") ",N1294,".", IF(M1294&gt;1," Each "," This "),"includes supply and install of ",O1295,O1296,O1297,O1298,O1299,O1300,O1301,O1302,O1303,O1304,O1305,O1306,O1307,O1308,O1309,O1310,O1311,O1312,O1313,O1314,J1295,J1296,J1297,J1298,J1299,J1300,J1301,J1302,J1303,J1304,J1305,J1306,J1307,J1308,J1309,J1310,J1311,J1312,J1313,J1314)</f>
        <v xml:space="preserve">Electrical power supply and controls cabling to Zero (0) DX CRAC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16" s="246">
        <f>P1315</f>
        <v>0</v>
      </c>
      <c r="L1316" s="234" t="str">
        <f>CONCATENATE(Q1295,Q1296,Q1297,Q1298,Q1299,Q1300,Q1301,Q1302,Q1303,Q1304,Q1305,Q1306,Q1307,Q1308,Q1309,Q1310,Q1311,Q1312,Q1313,Q1314,)</f>
        <v xml:space="preserve">proprietary air-conditioning controllers. interface card for air-conditioning controllers. </v>
      </c>
      <c r="M1316" s="166" t="s">
        <v>367</v>
      </c>
      <c r="N1316" s="160" t="str">
        <f>N1294</f>
        <v>DX CRAC Systems - MSSB powered with run and fault lights</v>
      </c>
      <c r="O1316" s="160" t="s">
        <v>365</v>
      </c>
      <c r="P1316" s="64" t="e">
        <f>P1315/M1294</f>
        <v>#DIV/0!</v>
      </c>
      <c r="Q1316" s="161"/>
      <c r="R1316" s="161"/>
      <c r="S1316" s="160"/>
      <c r="T1316" s="161"/>
      <c r="U1316" s="503" t="s">
        <v>366</v>
      </c>
      <c r="V1316" s="503"/>
      <c r="W1316" s="162" t="e">
        <f>W1315/M1294</f>
        <v>#DIV/0!</v>
      </c>
      <c r="X1316" s="163"/>
      <c r="Y1316" s="501" t="s">
        <v>365</v>
      </c>
      <c r="Z1316" s="501"/>
      <c r="AA1316" s="164" t="e">
        <f>AA1315/M1294</f>
        <v>#DIV/0!</v>
      </c>
      <c r="AB1316" s="161"/>
      <c r="AC1316" s="161"/>
      <c r="AD1316" s="161"/>
      <c r="AE1316" s="161"/>
      <c r="AF1316" s="501" t="s">
        <v>365</v>
      </c>
      <c r="AG1316" s="501"/>
      <c r="AH1316" s="164" t="e">
        <f>AH1315/M1294</f>
        <v>#DIV/0!</v>
      </c>
      <c r="AI1316" s="161"/>
      <c r="AJ1316" s="161"/>
      <c r="AK1316" s="161"/>
      <c r="AL1316" s="247"/>
      <c r="AM1316" s="257"/>
      <c r="AN1316" s="230">
        <f>K1316*1.25</f>
        <v>0</v>
      </c>
      <c r="AO1316" s="286"/>
      <c r="AP1316" s="284">
        <f t="shared" si="602"/>
        <v>0</v>
      </c>
      <c r="AQ1316" s="281">
        <f t="shared" si="603"/>
        <v>0</v>
      </c>
      <c r="AR1316" s="284">
        <f t="shared" si="604"/>
        <v>0</v>
      </c>
      <c r="AS1316" s="281">
        <f t="shared" si="605"/>
        <v>0</v>
      </c>
      <c r="AT1316" s="284">
        <f t="shared" si="606"/>
        <v>0</v>
      </c>
      <c r="AU1316" s="117"/>
      <c r="AV1316" s="117"/>
      <c r="AW1316" s="117"/>
      <c r="AX1316" s="117"/>
      <c r="AY1316" s="117"/>
      <c r="AZ1316" s="117"/>
      <c r="BA1316" s="117"/>
      <c r="BB1316" s="117"/>
      <c r="BC1316" s="117"/>
      <c r="BD1316" s="117"/>
      <c r="BE1316" s="117"/>
      <c r="BF1316" s="117"/>
      <c r="BG1316" s="117"/>
      <c r="BH1316" s="117"/>
      <c r="BI1316" s="117"/>
      <c r="BJ1316" s="117"/>
      <c r="BK1316" s="117"/>
      <c r="BL1316" s="117"/>
      <c r="BM1316" s="117"/>
      <c r="BN1316" s="117"/>
      <c r="BO1316" s="117"/>
      <c r="BP1316" s="117"/>
      <c r="BQ1316" s="117"/>
      <c r="BR1316" s="117"/>
      <c r="BS1316" s="117"/>
      <c r="BT1316" s="117"/>
      <c r="BU1316" s="117"/>
      <c r="BV1316" s="117"/>
      <c r="BW1316" s="117"/>
      <c r="BX1316" s="117"/>
      <c r="BY1316" s="117"/>
      <c r="BZ1316" s="117"/>
      <c r="CA1316" s="117"/>
      <c r="CB1316" s="117"/>
      <c r="CC1316" s="117"/>
      <c r="CD1316" s="117"/>
      <c r="CE1316" s="117"/>
      <c r="CF1316" s="117"/>
      <c r="CG1316" s="117"/>
      <c r="CH1316" s="117"/>
      <c r="CI1316" s="117"/>
      <c r="CJ1316" s="117"/>
      <c r="CK1316" s="117"/>
      <c r="CL1316" s="117"/>
      <c r="CM1316" s="117"/>
      <c r="CN1316" s="117"/>
      <c r="CO1316" s="117"/>
      <c r="CP1316" s="117"/>
      <c r="CQ1316" s="117"/>
      <c r="CR1316" s="117"/>
      <c r="CS1316" s="117"/>
    </row>
    <row r="1317" spans="1:97" s="116" customFormat="1" ht="192.75" customHeight="1" x14ac:dyDescent="0.8">
      <c r="A1317" s="262">
        <f>ROW()</f>
        <v>1317</v>
      </c>
      <c r="C1317" s="211"/>
      <c r="D1317" s="211"/>
      <c r="E1317" s="211"/>
      <c r="F1317" s="211"/>
      <c r="G1317" s="211"/>
      <c r="H1317" s="211"/>
      <c r="K1317" s="116" t="s">
        <v>452</v>
      </c>
      <c r="M1317" s="116" t="s">
        <v>298</v>
      </c>
      <c r="N1317" s="116" t="s">
        <v>108</v>
      </c>
      <c r="O1317" s="170" t="s">
        <v>386</v>
      </c>
      <c r="P1317" s="502" t="s">
        <v>375</v>
      </c>
      <c r="Q1317" s="502"/>
      <c r="R1317" s="101" t="s">
        <v>452</v>
      </c>
      <c r="S1317" s="116" t="s">
        <v>0</v>
      </c>
      <c r="T1317" s="118"/>
      <c r="U1317" s="116" t="s">
        <v>287</v>
      </c>
      <c r="V1317" s="116" t="s">
        <v>288</v>
      </c>
      <c r="W1317" s="116" t="s">
        <v>291</v>
      </c>
      <c r="X1317" s="140"/>
      <c r="Y1317" s="116" t="s">
        <v>289</v>
      </c>
      <c r="Z1317" s="116" t="s">
        <v>354</v>
      </c>
      <c r="AA1317" s="116" t="s">
        <v>355</v>
      </c>
      <c r="AB1317" s="116" t="s">
        <v>317</v>
      </c>
      <c r="AC1317" s="116" t="s">
        <v>318</v>
      </c>
      <c r="AD1317" s="116" t="s">
        <v>316</v>
      </c>
      <c r="AE1317" s="140"/>
      <c r="AF1317" s="116" t="s">
        <v>293</v>
      </c>
      <c r="AG1317" s="116" t="s">
        <v>354</v>
      </c>
      <c r="AH1317" s="116" t="s">
        <v>355</v>
      </c>
      <c r="AI1317" s="116" t="s">
        <v>296</v>
      </c>
      <c r="AJ1317" s="116" t="s">
        <v>294</v>
      </c>
      <c r="AK1317" s="116" t="s">
        <v>295</v>
      </c>
      <c r="AL1317" s="140"/>
      <c r="AO1317" s="288"/>
      <c r="AP1317" s="284">
        <f t="shared" si="602"/>
        <v>0</v>
      </c>
      <c r="AQ1317" s="281">
        <f t="shared" si="603"/>
        <v>0</v>
      </c>
      <c r="AR1317" s="284">
        <f t="shared" si="604"/>
        <v>0</v>
      </c>
      <c r="AS1317" s="281">
        <f t="shared" si="605"/>
        <v>0</v>
      </c>
      <c r="AT1317" s="284">
        <f t="shared" si="606"/>
        <v>0</v>
      </c>
    </row>
    <row r="1318" spans="1:97" s="114" customFormat="1" ht="40.5" customHeight="1" x14ac:dyDescent="0.8">
      <c r="A1318" s="262">
        <f>ROW()</f>
        <v>1318</v>
      </c>
      <c r="C1318" s="208"/>
      <c r="D1318" s="208"/>
      <c r="E1318" s="208"/>
      <c r="F1318" s="208"/>
      <c r="G1318" s="208"/>
      <c r="H1318" s="208"/>
      <c r="L1318" s="124" t="str">
        <f>VLOOKUP(M1318,Sheet2!$D$2:$E$1024,2,FALSE)</f>
        <v>Zero</v>
      </c>
      <c r="M1318" s="121">
        <f>I1340</f>
        <v>0</v>
      </c>
      <c r="N1318" s="132" t="s">
        <v>583</v>
      </c>
      <c r="O1318" s="121" t="s">
        <v>138</v>
      </c>
      <c r="P1318" s="169" t="s">
        <v>379</v>
      </c>
      <c r="Q1318" s="169" t="s">
        <v>375</v>
      </c>
      <c r="R1318" s="169"/>
      <c r="S1318" s="133">
        <f>M1318</f>
        <v>0</v>
      </c>
      <c r="T1318" s="119"/>
      <c r="U1318" s="121" t="s">
        <v>292</v>
      </c>
      <c r="V1318" s="133">
        <f>S1318</f>
        <v>0</v>
      </c>
      <c r="W1318" s="133">
        <f>VLOOKUP(U1318,Sheet1!$B$6:$C$45,2,FALSE)*V1318</f>
        <v>0</v>
      </c>
      <c r="X1318" s="141"/>
      <c r="Y1318" s="121" t="s">
        <v>292</v>
      </c>
      <c r="Z1318" s="146">
        <f>VLOOKUP(Takeoffs!Y1318,Sheet1!$B$6:$C$124,2,FALSE)</f>
        <v>0</v>
      </c>
      <c r="AA1318" s="146">
        <f>Z1318*AB1318</f>
        <v>0</v>
      </c>
      <c r="AB1318" s="143">
        <f>AD1318*AC1318</f>
        <v>0</v>
      </c>
      <c r="AC1318" s="133">
        <f>S1318</f>
        <v>0</v>
      </c>
      <c r="AD1318" s="142">
        <v>1</v>
      </c>
      <c r="AE1318" s="141"/>
      <c r="AF1318" s="121" t="s">
        <v>292</v>
      </c>
      <c r="AG1318" s="146">
        <f>VLOOKUP(Takeoffs!AF1318,Sheet1!$B$6:$C$124,2,FALSE)</f>
        <v>0</v>
      </c>
      <c r="AH1318" s="146">
        <f>AG1318*AI1318</f>
        <v>0</v>
      </c>
      <c r="AI1318" s="143">
        <f>AK1318*AJ1318</f>
        <v>0</v>
      </c>
      <c r="AJ1318" s="133">
        <f>S1318</f>
        <v>0</v>
      </c>
      <c r="AK1318" s="142">
        <f>T1318</f>
        <v>0</v>
      </c>
      <c r="AL1318" s="141"/>
      <c r="AO1318" s="286"/>
      <c r="AP1318" s="284">
        <f t="shared" si="602"/>
        <v>0</v>
      </c>
      <c r="AQ1318" s="281">
        <f t="shared" si="603"/>
        <v>0</v>
      </c>
      <c r="AR1318" s="284">
        <f t="shared" si="604"/>
        <v>0</v>
      </c>
      <c r="AS1318" s="281">
        <f t="shared" si="605"/>
        <v>0</v>
      </c>
      <c r="AT1318" s="284">
        <f t="shared" si="606"/>
        <v>0</v>
      </c>
    </row>
    <row r="1319" spans="1:97" s="114" customFormat="1" ht="30.9" x14ac:dyDescent="0.8">
      <c r="A1319" s="262">
        <f>ROW()</f>
        <v>1319</v>
      </c>
      <c r="C1319" s="208"/>
      <c r="D1319" s="208"/>
      <c r="E1319" s="208"/>
      <c r="F1319" s="208"/>
      <c r="G1319" s="208"/>
      <c r="H1319" s="208"/>
      <c r="J1319" s="114" t="str">
        <f>IF(COUNTBLANK(Q1319)&gt;0,"",CONCATENATE("Coordination Note: - ",P1319,": Please refer to our exclusions relating to ",Q1319))</f>
        <v/>
      </c>
      <c r="K1319" s="114" t="str">
        <f>IF(COUNTBLANK(R1319)&gt;0,"",CONCATENATE(R1319," for ",N1318))</f>
        <v/>
      </c>
      <c r="M1319" s="117"/>
      <c r="N1319" s="123" t="s">
        <v>113</v>
      </c>
      <c r="O1319" s="66" t="s">
        <v>426</v>
      </c>
      <c r="P1319" s="121"/>
      <c r="Q1319" s="121"/>
      <c r="R1319" s="121"/>
      <c r="S1319" s="133">
        <f>M1318</f>
        <v>0</v>
      </c>
      <c r="T1319" s="120"/>
      <c r="U1319" s="121" t="s">
        <v>292</v>
      </c>
      <c r="V1319" s="133">
        <f t="shared" ref="V1319:V1338" si="608">S1319</f>
        <v>0</v>
      </c>
      <c r="W1319" s="133">
        <f>VLOOKUP(U1319,Sheet1!$B$6:$C$45,2,FALSE)*V1319</f>
        <v>0</v>
      </c>
      <c r="X1319" s="141"/>
      <c r="Y1319" s="121" t="s">
        <v>292</v>
      </c>
      <c r="Z1319" s="146">
        <f>VLOOKUP(Takeoffs!Y1319,Sheet1!$B$6:$C$124,2,FALSE)</f>
        <v>0</v>
      </c>
      <c r="AA1319" s="146">
        <f t="shared" ref="AA1319:AA1338" si="609">Z1319*AB1319</f>
        <v>0</v>
      </c>
      <c r="AB1319" s="143">
        <f t="shared" ref="AB1319:AB1338" si="610">AD1319*AC1319</f>
        <v>0</v>
      </c>
      <c r="AC1319" s="133">
        <f t="shared" ref="AC1319:AC1338" si="611">S1319</f>
        <v>0</v>
      </c>
      <c r="AD1319" s="142">
        <v>1</v>
      </c>
      <c r="AE1319" s="141"/>
      <c r="AF1319" s="122" t="s">
        <v>269</v>
      </c>
      <c r="AG1319" s="146">
        <f>VLOOKUP(Takeoffs!AF1319,Sheet1!$B$6:$C$124,2,FALSE)</f>
        <v>1.056</v>
      </c>
      <c r="AH1319" s="146">
        <f t="shared" ref="AH1319:AH1338" si="612">AG1319*AI1319</f>
        <v>0</v>
      </c>
      <c r="AI1319" s="143">
        <f t="shared" ref="AI1319:AI1338" si="613">AK1319*AJ1319</f>
        <v>0</v>
      </c>
      <c r="AJ1319" s="133">
        <f t="shared" ref="AJ1319:AJ1338" si="614">S1319</f>
        <v>0</v>
      </c>
      <c r="AK1319" s="142">
        <v>10</v>
      </c>
      <c r="AL1319" s="141"/>
      <c r="AO1319" s="286"/>
      <c r="AP1319" s="284">
        <f t="shared" si="602"/>
        <v>0</v>
      </c>
      <c r="AQ1319" s="281">
        <f t="shared" si="603"/>
        <v>0</v>
      </c>
      <c r="AR1319" s="284">
        <f t="shared" si="604"/>
        <v>0</v>
      </c>
      <c r="AS1319" s="281">
        <f t="shared" si="605"/>
        <v>0</v>
      </c>
      <c r="AT1319" s="284">
        <f t="shared" si="606"/>
        <v>0</v>
      </c>
    </row>
    <row r="1320" spans="1:97" s="114" customFormat="1" ht="30.9" x14ac:dyDescent="0.8">
      <c r="A1320" s="262">
        <f>ROW()</f>
        <v>1320</v>
      </c>
      <c r="C1320" s="208"/>
      <c r="D1320" s="208"/>
      <c r="E1320" s="208"/>
      <c r="F1320" s="208"/>
      <c r="G1320" s="208"/>
      <c r="H1320" s="208"/>
      <c r="J1320" s="114" t="str">
        <f t="shared" ref="J1320:J1338" si="615">IF(COUNTBLANK(Q1320)&gt;0,"",CONCATENATE("Coordination Note: - ",P1320,": Please refer to our exclusions relating to ",Q1320))</f>
        <v/>
      </c>
      <c r="K1320" s="114" t="str">
        <f>IF(COUNTBLANK(R1320)&gt;0,"",CONCATENATE(R1320," for ",N1318))</f>
        <v/>
      </c>
      <c r="M1320" s="117"/>
      <c r="N1320" s="123" t="s">
        <v>114</v>
      </c>
      <c r="O1320" s="66" t="s">
        <v>392</v>
      </c>
      <c r="P1320" s="121"/>
      <c r="Q1320" s="121"/>
      <c r="R1320" s="121"/>
      <c r="S1320" s="133">
        <f>M1318</f>
        <v>0</v>
      </c>
      <c r="T1320" s="120"/>
      <c r="U1320" s="121" t="s">
        <v>286</v>
      </c>
      <c r="V1320" s="133">
        <f t="shared" si="608"/>
        <v>0</v>
      </c>
      <c r="W1320" s="133">
        <f>VLOOKUP(U1320,Sheet1!$B$6:$C$45,2,FALSE)*V1320</f>
        <v>0</v>
      </c>
      <c r="X1320" s="141"/>
      <c r="Y1320" s="121" t="s">
        <v>292</v>
      </c>
      <c r="Z1320" s="146">
        <f>VLOOKUP(Takeoffs!Y1320,Sheet1!$B$6:$C$124,2,FALSE)</f>
        <v>0</v>
      </c>
      <c r="AA1320" s="146">
        <f t="shared" si="609"/>
        <v>0</v>
      </c>
      <c r="AB1320" s="143">
        <f t="shared" si="610"/>
        <v>0</v>
      </c>
      <c r="AC1320" s="133">
        <f t="shared" si="611"/>
        <v>0</v>
      </c>
      <c r="AD1320" s="142">
        <v>1</v>
      </c>
      <c r="AE1320" s="141"/>
      <c r="AF1320" s="122" t="s">
        <v>268</v>
      </c>
      <c r="AG1320" s="146">
        <f>VLOOKUP(Takeoffs!AF1320,Sheet1!$B$6:$C$124,2,FALSE)</f>
        <v>1.02</v>
      </c>
      <c r="AH1320" s="146">
        <f t="shared" si="612"/>
        <v>0</v>
      </c>
      <c r="AI1320" s="143">
        <f t="shared" si="613"/>
        <v>0</v>
      </c>
      <c r="AJ1320" s="133">
        <f t="shared" si="614"/>
        <v>0</v>
      </c>
      <c r="AK1320" s="142">
        <v>10</v>
      </c>
      <c r="AL1320" s="141"/>
      <c r="AO1320" s="286"/>
      <c r="AP1320" s="284">
        <f t="shared" si="602"/>
        <v>0</v>
      </c>
      <c r="AQ1320" s="281">
        <f t="shared" si="603"/>
        <v>0</v>
      </c>
      <c r="AR1320" s="284">
        <f t="shared" si="604"/>
        <v>0</v>
      </c>
      <c r="AS1320" s="281">
        <f t="shared" si="605"/>
        <v>0</v>
      </c>
      <c r="AT1320" s="284">
        <f t="shared" si="606"/>
        <v>0</v>
      </c>
    </row>
    <row r="1321" spans="1:97" s="114" customFormat="1" ht="30.9" x14ac:dyDescent="0.8">
      <c r="A1321" s="262">
        <f>ROW()</f>
        <v>1321</v>
      </c>
      <c r="C1321" s="208"/>
      <c r="D1321" s="208"/>
      <c r="E1321" s="208"/>
      <c r="F1321" s="208"/>
      <c r="G1321" s="208"/>
      <c r="H1321" s="208"/>
      <c r="J1321" s="114" t="str">
        <f t="shared" si="615"/>
        <v/>
      </c>
      <c r="K1321" s="114" t="str">
        <f>IF(COUNTBLANK(R1321)&gt;0,"",CONCATENATE(R1321," for ",N1318))</f>
        <v/>
      </c>
      <c r="M1321" s="117"/>
      <c r="N1321" s="123" t="s">
        <v>115</v>
      </c>
      <c r="O1321" s="66" t="s">
        <v>413</v>
      </c>
      <c r="P1321" s="121"/>
      <c r="Q1321" s="121"/>
      <c r="R1321" s="121"/>
      <c r="S1321" s="133">
        <f>M1318</f>
        <v>0</v>
      </c>
      <c r="T1321" s="120"/>
      <c r="U1321" s="121" t="s">
        <v>292</v>
      </c>
      <c r="V1321" s="133">
        <f t="shared" si="608"/>
        <v>0</v>
      </c>
      <c r="W1321" s="133">
        <f>VLOOKUP(U1321,Sheet1!$B$6:$C$45,2,FALSE)*V1321</f>
        <v>0</v>
      </c>
      <c r="X1321" s="141"/>
      <c r="Y1321" s="122" t="s">
        <v>247</v>
      </c>
      <c r="Z1321" s="146">
        <f>VLOOKUP(Takeoffs!Y1321,Sheet1!$B$6:$C$124,2,FALSE)</f>
        <v>23.76</v>
      </c>
      <c r="AA1321" s="146">
        <f t="shared" si="609"/>
        <v>0</v>
      </c>
      <c r="AB1321" s="143">
        <f t="shared" si="610"/>
        <v>0</v>
      </c>
      <c r="AC1321" s="133">
        <f t="shared" si="611"/>
        <v>0</v>
      </c>
      <c r="AD1321" s="142">
        <v>1</v>
      </c>
      <c r="AE1321" s="141"/>
      <c r="AF1321" s="121" t="s">
        <v>292</v>
      </c>
      <c r="AG1321" s="146">
        <f>VLOOKUP(Takeoffs!AF1321,Sheet1!$B$6:$C$124,2,FALSE)</f>
        <v>0</v>
      </c>
      <c r="AH1321" s="146">
        <f t="shared" si="612"/>
        <v>0</v>
      </c>
      <c r="AI1321" s="143">
        <f t="shared" si="613"/>
        <v>0</v>
      </c>
      <c r="AJ1321" s="133">
        <f t="shared" si="614"/>
        <v>0</v>
      </c>
      <c r="AK1321" s="142">
        <f>T1321</f>
        <v>0</v>
      </c>
      <c r="AL1321" s="141"/>
      <c r="AO1321" s="286"/>
      <c r="AP1321" s="284">
        <f t="shared" si="602"/>
        <v>0</v>
      </c>
      <c r="AQ1321" s="281">
        <f t="shared" si="603"/>
        <v>0</v>
      </c>
      <c r="AR1321" s="284">
        <f t="shared" si="604"/>
        <v>0</v>
      </c>
      <c r="AS1321" s="281">
        <f t="shared" si="605"/>
        <v>0</v>
      </c>
      <c r="AT1321" s="284">
        <f t="shared" si="606"/>
        <v>0</v>
      </c>
    </row>
    <row r="1322" spans="1:97" s="114" customFormat="1" ht="30.9" x14ac:dyDescent="0.8">
      <c r="A1322" s="262">
        <f>ROW()</f>
        <v>1322</v>
      </c>
      <c r="C1322" s="208"/>
      <c r="D1322" s="208"/>
      <c r="E1322" s="208"/>
      <c r="F1322" s="208"/>
      <c r="G1322" s="208"/>
      <c r="H1322" s="208"/>
      <c r="J1322" s="114" t="str">
        <f t="shared" si="615"/>
        <v xml:space="preserve">Coordination Note: - AC system supplier : Please refer to our exclusions relating to proprietary air-conditioning controllers. </v>
      </c>
      <c r="K1322" s="114" t="str">
        <f>IF(COUNTBLANK(R1322)&gt;0,"",CONCATENATE(R1322," for ",N1318))</f>
        <v/>
      </c>
      <c r="M1322" s="117"/>
      <c r="N1322" s="123" t="s">
        <v>116</v>
      </c>
      <c r="O1322" s="66" t="s">
        <v>414</v>
      </c>
      <c r="P1322" s="121" t="s">
        <v>447</v>
      </c>
      <c r="Q1322" s="121" t="s">
        <v>449</v>
      </c>
      <c r="R1322" s="121"/>
      <c r="S1322" s="133">
        <f>M1318</f>
        <v>0</v>
      </c>
      <c r="T1322" s="120"/>
      <c r="U1322" s="121" t="s">
        <v>292</v>
      </c>
      <c r="V1322" s="133">
        <f t="shared" si="608"/>
        <v>0</v>
      </c>
      <c r="W1322" s="133">
        <f>VLOOKUP(U1322,Sheet1!$B$6:$C$45,2,FALSE)*V1322</f>
        <v>0</v>
      </c>
      <c r="X1322" s="141"/>
      <c r="Y1322" s="121" t="s">
        <v>292</v>
      </c>
      <c r="Z1322" s="146">
        <f>VLOOKUP(Takeoffs!Y1322,Sheet1!$B$6:$C$124,2,FALSE)</f>
        <v>0</v>
      </c>
      <c r="AA1322" s="146">
        <f t="shared" si="609"/>
        <v>0</v>
      </c>
      <c r="AB1322" s="143">
        <f t="shared" si="610"/>
        <v>0</v>
      </c>
      <c r="AC1322" s="133">
        <f t="shared" si="611"/>
        <v>0</v>
      </c>
      <c r="AD1322" s="142">
        <v>1</v>
      </c>
      <c r="AE1322" s="141"/>
      <c r="AF1322" s="121" t="s">
        <v>292</v>
      </c>
      <c r="AG1322" s="146">
        <f>VLOOKUP(Takeoffs!AF1322,Sheet1!$B$6:$C$124,2,FALSE)</f>
        <v>0</v>
      </c>
      <c r="AH1322" s="146">
        <f t="shared" si="612"/>
        <v>0</v>
      </c>
      <c r="AI1322" s="143">
        <f t="shared" si="613"/>
        <v>0</v>
      </c>
      <c r="AJ1322" s="133">
        <f t="shared" si="614"/>
        <v>0</v>
      </c>
      <c r="AK1322" s="142">
        <f>T1322</f>
        <v>0</v>
      </c>
      <c r="AL1322" s="141"/>
      <c r="AO1322" s="286"/>
      <c r="AP1322" s="284">
        <f t="shared" si="602"/>
        <v>0</v>
      </c>
      <c r="AQ1322" s="281">
        <f t="shared" si="603"/>
        <v>0</v>
      </c>
      <c r="AR1322" s="284">
        <f t="shared" si="604"/>
        <v>0</v>
      </c>
      <c r="AS1322" s="281">
        <f t="shared" si="605"/>
        <v>0</v>
      </c>
      <c r="AT1322" s="284">
        <f t="shared" si="606"/>
        <v>0</v>
      </c>
    </row>
    <row r="1323" spans="1:97" s="114" customFormat="1" ht="30.9" x14ac:dyDescent="0.8">
      <c r="A1323" s="262">
        <f>ROW()</f>
        <v>1323</v>
      </c>
      <c r="C1323" s="208"/>
      <c r="D1323" s="208"/>
      <c r="E1323" s="208"/>
      <c r="F1323" s="208"/>
      <c r="G1323" s="208"/>
      <c r="H1323" s="208"/>
      <c r="J1323" s="114" t="str">
        <f t="shared" si="615"/>
        <v/>
      </c>
      <c r="K1323" s="114" t="str">
        <f>IF(COUNTBLANK(R1323)&gt;0,"",CONCATENATE(R1323," for ",N1318))</f>
        <v/>
      </c>
      <c r="M1323" s="117"/>
      <c r="N1323" s="123" t="s">
        <v>117</v>
      </c>
      <c r="O1323" s="66" t="s">
        <v>584</v>
      </c>
      <c r="P1323" s="121"/>
      <c r="Q1323" s="121"/>
      <c r="R1323" s="121"/>
      <c r="S1323" s="133">
        <f>M1318</f>
        <v>0</v>
      </c>
      <c r="T1323" s="120"/>
      <c r="U1323" s="117" t="s">
        <v>478</v>
      </c>
      <c r="V1323" s="133">
        <f t="shared" si="608"/>
        <v>0</v>
      </c>
      <c r="W1323" s="133">
        <f>VLOOKUP(U1323,Sheet1!$B$6:$C$45,2,FALSE)*V1323</f>
        <v>0</v>
      </c>
      <c r="X1323" s="141"/>
      <c r="Y1323" s="52" t="s">
        <v>253</v>
      </c>
      <c r="Z1323" s="146">
        <f>VLOOKUP(Takeoffs!Y1323,Sheet1!$B$6:$C$124,2,FALSE)</f>
        <v>10.139999999999999</v>
      </c>
      <c r="AA1323" s="146">
        <f t="shared" si="609"/>
        <v>0</v>
      </c>
      <c r="AB1323" s="143">
        <f t="shared" si="610"/>
        <v>0</v>
      </c>
      <c r="AC1323" s="133">
        <f t="shared" si="611"/>
        <v>0</v>
      </c>
      <c r="AD1323" s="142">
        <v>1</v>
      </c>
      <c r="AE1323" s="141"/>
      <c r="AF1323" s="122" t="s">
        <v>268</v>
      </c>
      <c r="AG1323" s="146">
        <f>VLOOKUP(Takeoffs!AF1323,Sheet1!$B$6:$C$124,2,FALSE)</f>
        <v>1.02</v>
      </c>
      <c r="AH1323" s="146">
        <f t="shared" si="612"/>
        <v>0</v>
      </c>
      <c r="AI1323" s="143">
        <f t="shared" si="613"/>
        <v>0</v>
      </c>
      <c r="AJ1323" s="133">
        <f t="shared" si="614"/>
        <v>0</v>
      </c>
      <c r="AK1323" s="142">
        <v>10</v>
      </c>
      <c r="AL1323" s="141"/>
      <c r="AO1323" s="286"/>
      <c r="AP1323" s="284">
        <f t="shared" si="602"/>
        <v>0</v>
      </c>
      <c r="AQ1323" s="281">
        <f t="shared" si="603"/>
        <v>0</v>
      </c>
      <c r="AR1323" s="284">
        <f t="shared" si="604"/>
        <v>0</v>
      </c>
      <c r="AS1323" s="281">
        <f t="shared" si="605"/>
        <v>0</v>
      </c>
      <c r="AT1323" s="284">
        <f t="shared" si="606"/>
        <v>0</v>
      </c>
    </row>
    <row r="1324" spans="1:97" s="114" customFormat="1" ht="30.9" x14ac:dyDescent="0.8">
      <c r="A1324" s="262">
        <f>ROW()</f>
        <v>1324</v>
      </c>
      <c r="C1324" s="208"/>
      <c r="D1324" s="208"/>
      <c r="E1324" s="208"/>
      <c r="F1324" s="208"/>
      <c r="G1324" s="208"/>
      <c r="H1324" s="208"/>
      <c r="J1324" s="114" t="str">
        <f t="shared" si="615"/>
        <v/>
      </c>
      <c r="K1324" s="114" t="str">
        <f>IF(COUNTBLANK(R1324)&gt;0,"",CONCATENATE(R1324," for ",N1318))</f>
        <v/>
      </c>
      <c r="M1324" s="117"/>
      <c r="N1324" s="123" t="s">
        <v>118</v>
      </c>
      <c r="O1324" s="66" t="s">
        <v>585</v>
      </c>
      <c r="P1324" s="121"/>
      <c r="Q1324" s="121"/>
      <c r="R1324" s="121"/>
      <c r="S1324" s="133">
        <f>M1318</f>
        <v>0</v>
      </c>
      <c r="T1324" s="120"/>
      <c r="U1324" s="121" t="s">
        <v>292</v>
      </c>
      <c r="V1324" s="133">
        <f t="shared" si="608"/>
        <v>0</v>
      </c>
      <c r="W1324" s="133">
        <f>VLOOKUP(U1324,Sheet1!$B$6:$C$45,2,FALSE)*V1324</f>
        <v>0</v>
      </c>
      <c r="X1324" s="141"/>
      <c r="Y1324" s="121" t="s">
        <v>292</v>
      </c>
      <c r="Z1324" s="146">
        <f>VLOOKUP(Takeoffs!Y1324,Sheet1!$B$6:$C$124,2,FALSE)</f>
        <v>0</v>
      </c>
      <c r="AA1324" s="146">
        <f t="shared" si="609"/>
        <v>0</v>
      </c>
      <c r="AB1324" s="143">
        <f t="shared" si="610"/>
        <v>0</v>
      </c>
      <c r="AC1324" s="133">
        <f t="shared" si="611"/>
        <v>0</v>
      </c>
      <c r="AD1324" s="142">
        <v>1</v>
      </c>
      <c r="AE1324" s="141"/>
      <c r="AF1324" s="121" t="s">
        <v>292</v>
      </c>
      <c r="AG1324" s="146">
        <f>VLOOKUP(Takeoffs!AF1324,Sheet1!$B$6:$C$124,2,FALSE)</f>
        <v>0</v>
      </c>
      <c r="AH1324" s="146">
        <f t="shared" si="612"/>
        <v>0</v>
      </c>
      <c r="AI1324" s="143">
        <f t="shared" si="613"/>
        <v>0</v>
      </c>
      <c r="AJ1324" s="133">
        <f t="shared" si="614"/>
        <v>0</v>
      </c>
      <c r="AK1324" s="142">
        <f t="shared" ref="AK1324:AK1338" si="616">T1324</f>
        <v>0</v>
      </c>
      <c r="AL1324" s="141"/>
      <c r="AO1324" s="286"/>
      <c r="AP1324" s="284">
        <f t="shared" si="602"/>
        <v>0</v>
      </c>
      <c r="AQ1324" s="281">
        <f t="shared" si="603"/>
        <v>0</v>
      </c>
      <c r="AR1324" s="284">
        <f t="shared" si="604"/>
        <v>0</v>
      </c>
      <c r="AS1324" s="281">
        <f t="shared" si="605"/>
        <v>0</v>
      </c>
      <c r="AT1324" s="284">
        <f t="shared" si="606"/>
        <v>0</v>
      </c>
    </row>
    <row r="1325" spans="1:97" s="114" customFormat="1" ht="30.9" x14ac:dyDescent="0.8">
      <c r="A1325" s="262">
        <f>ROW()</f>
        <v>1325</v>
      </c>
      <c r="C1325" s="208"/>
      <c r="D1325" s="208"/>
      <c r="E1325" s="208"/>
      <c r="F1325" s="208"/>
      <c r="G1325" s="208"/>
      <c r="H1325" s="208"/>
      <c r="J1325" s="114" t="str">
        <f t="shared" si="615"/>
        <v/>
      </c>
      <c r="K1325" s="114" t="str">
        <f>IF(COUNTBLANK(R1325)&gt;0,"",CONCATENATE(R1325," for ",N1318))</f>
        <v/>
      </c>
      <c r="N1325" s="123" t="s">
        <v>119</v>
      </c>
      <c r="O1325" s="66" t="s">
        <v>315</v>
      </c>
      <c r="P1325" s="121"/>
      <c r="Q1325" s="121"/>
      <c r="R1325" s="121"/>
      <c r="S1325" s="133">
        <f>M1318</f>
        <v>0</v>
      </c>
      <c r="T1325" s="120"/>
      <c r="U1325" s="121" t="s">
        <v>292</v>
      </c>
      <c r="V1325" s="133">
        <f t="shared" si="608"/>
        <v>0</v>
      </c>
      <c r="W1325" s="133">
        <f>VLOOKUP(U1325,Sheet1!$B$6:$C$45,2,FALSE)*V1325</f>
        <v>0</v>
      </c>
      <c r="X1325" s="141"/>
      <c r="Y1325" s="121" t="s">
        <v>292</v>
      </c>
      <c r="Z1325" s="146">
        <f>VLOOKUP(Takeoffs!Y1325,Sheet1!$B$6:$C$124,2,FALSE)</f>
        <v>0</v>
      </c>
      <c r="AA1325" s="146">
        <f t="shared" si="609"/>
        <v>0</v>
      </c>
      <c r="AB1325" s="143">
        <f t="shared" si="610"/>
        <v>0</v>
      </c>
      <c r="AC1325" s="133">
        <f t="shared" si="611"/>
        <v>0</v>
      </c>
      <c r="AD1325" s="142">
        <v>1</v>
      </c>
      <c r="AE1325" s="141"/>
      <c r="AF1325" s="121" t="s">
        <v>292</v>
      </c>
      <c r="AG1325" s="146">
        <f>VLOOKUP(Takeoffs!AF1325,Sheet1!$B$6:$C$124,2,FALSE)</f>
        <v>0</v>
      </c>
      <c r="AH1325" s="146">
        <f t="shared" si="612"/>
        <v>0</v>
      </c>
      <c r="AI1325" s="143">
        <f t="shared" si="613"/>
        <v>0</v>
      </c>
      <c r="AJ1325" s="133">
        <f t="shared" si="614"/>
        <v>0</v>
      </c>
      <c r="AK1325" s="142">
        <f t="shared" si="616"/>
        <v>0</v>
      </c>
      <c r="AL1325" s="141"/>
      <c r="AO1325" s="286"/>
      <c r="AP1325" s="284">
        <f t="shared" si="602"/>
        <v>0</v>
      </c>
      <c r="AQ1325" s="281">
        <f t="shared" si="603"/>
        <v>0</v>
      </c>
      <c r="AR1325" s="284">
        <f t="shared" si="604"/>
        <v>0</v>
      </c>
      <c r="AS1325" s="281">
        <f t="shared" si="605"/>
        <v>0</v>
      </c>
      <c r="AT1325" s="284">
        <f t="shared" si="606"/>
        <v>0</v>
      </c>
    </row>
    <row r="1326" spans="1:97" s="114" customFormat="1" ht="30.9" x14ac:dyDescent="0.8">
      <c r="A1326" s="262">
        <f>ROW()</f>
        <v>1326</v>
      </c>
      <c r="C1326" s="208"/>
      <c r="D1326" s="208"/>
      <c r="E1326" s="208"/>
      <c r="F1326" s="208"/>
      <c r="G1326" s="208"/>
      <c r="H1326" s="208"/>
      <c r="J1326" s="114" t="str">
        <f t="shared" si="615"/>
        <v xml:space="preserve">Coordination Note: - AC system supplier : Please refer to our exclusions relating to interface card for air-conditioning controllers. </v>
      </c>
      <c r="K1326" s="114" t="str">
        <f>IF(COUNTBLANK(R1326)&gt;0,"",CONCATENATE(R1326," for ",N1318))</f>
        <v/>
      </c>
      <c r="N1326" s="123" t="s">
        <v>120</v>
      </c>
      <c r="O1326" s="66" t="s">
        <v>586</v>
      </c>
      <c r="P1326" s="121" t="s">
        <v>447</v>
      </c>
      <c r="Q1326" s="121" t="s">
        <v>587</v>
      </c>
      <c r="R1326" s="121"/>
      <c r="S1326" s="133">
        <f>M1318</f>
        <v>0</v>
      </c>
      <c r="T1326" s="120"/>
      <c r="U1326" s="117" t="s">
        <v>363</v>
      </c>
      <c r="V1326" s="133">
        <f t="shared" si="608"/>
        <v>0</v>
      </c>
      <c r="W1326" s="133">
        <f>VLOOKUP(U1326,Sheet1!$B$6:$C$45,2,FALSE)*V1326</f>
        <v>0</v>
      </c>
      <c r="X1326" s="141"/>
      <c r="Y1326" s="135" t="s">
        <v>280</v>
      </c>
      <c r="Z1326" s="146">
        <f>VLOOKUP(Takeoffs!Y1326,Sheet1!$B$6:$C$124,2,FALSE)</f>
        <v>19.2</v>
      </c>
      <c r="AA1326" s="146">
        <f t="shared" si="609"/>
        <v>0</v>
      </c>
      <c r="AB1326" s="143">
        <f t="shared" si="610"/>
        <v>0</v>
      </c>
      <c r="AC1326" s="133">
        <f t="shared" si="611"/>
        <v>0</v>
      </c>
      <c r="AD1326" s="142">
        <v>1</v>
      </c>
      <c r="AE1326" s="141"/>
      <c r="AF1326" s="122" t="s">
        <v>269</v>
      </c>
      <c r="AG1326" s="146">
        <f>VLOOKUP(Takeoffs!AF1326,Sheet1!$B$6:$C$124,2,FALSE)</f>
        <v>1.056</v>
      </c>
      <c r="AH1326" s="146">
        <f t="shared" si="612"/>
        <v>0</v>
      </c>
      <c r="AI1326" s="143">
        <f t="shared" si="613"/>
        <v>0</v>
      </c>
      <c r="AJ1326" s="133">
        <f t="shared" si="614"/>
        <v>0</v>
      </c>
      <c r="AK1326" s="142">
        <v>10</v>
      </c>
      <c r="AL1326" s="141"/>
      <c r="AO1326" s="286"/>
      <c r="AP1326" s="284">
        <f t="shared" si="602"/>
        <v>0</v>
      </c>
      <c r="AQ1326" s="281">
        <f t="shared" si="603"/>
        <v>0</v>
      </c>
      <c r="AR1326" s="284">
        <f t="shared" si="604"/>
        <v>0</v>
      </c>
      <c r="AS1326" s="281">
        <f t="shared" si="605"/>
        <v>0</v>
      </c>
      <c r="AT1326" s="284">
        <f t="shared" si="606"/>
        <v>0</v>
      </c>
    </row>
    <row r="1327" spans="1:97" s="114" customFormat="1" ht="30.9" x14ac:dyDescent="0.8">
      <c r="A1327" s="262">
        <f>ROW()</f>
        <v>1327</v>
      </c>
      <c r="C1327" s="208"/>
      <c r="D1327" s="208"/>
      <c r="E1327" s="208"/>
      <c r="F1327" s="208"/>
      <c r="G1327" s="208"/>
      <c r="H1327" s="208"/>
      <c r="J1327" s="114" t="str">
        <f t="shared" si="615"/>
        <v/>
      </c>
      <c r="K1327" s="114" t="str">
        <f>IF(COUNTBLANK(R1327)&gt;0,"",CONCATENATE(R1327," for ",N1318))</f>
        <v/>
      </c>
      <c r="N1327" s="123" t="s">
        <v>121</v>
      </c>
      <c r="O1327" s="66"/>
      <c r="P1327" s="121"/>
      <c r="Q1327" s="121"/>
      <c r="R1327" s="121"/>
      <c r="S1327" s="133">
        <f>M1318</f>
        <v>0</v>
      </c>
      <c r="T1327" s="120"/>
      <c r="U1327" s="121" t="s">
        <v>292</v>
      </c>
      <c r="V1327" s="133">
        <f t="shared" si="608"/>
        <v>0</v>
      </c>
      <c r="W1327" s="133">
        <f>VLOOKUP(U1327,Sheet1!$B$6:$C$45,2,FALSE)*V1327</f>
        <v>0</v>
      </c>
      <c r="X1327" s="141"/>
      <c r="Y1327" s="121" t="s">
        <v>292</v>
      </c>
      <c r="Z1327" s="146">
        <f>VLOOKUP(Takeoffs!Y1327,Sheet1!$B$6:$C$124,2,FALSE)</f>
        <v>0</v>
      </c>
      <c r="AA1327" s="146">
        <f t="shared" si="609"/>
        <v>0</v>
      </c>
      <c r="AB1327" s="143">
        <f t="shared" si="610"/>
        <v>0</v>
      </c>
      <c r="AC1327" s="133">
        <f t="shared" si="611"/>
        <v>0</v>
      </c>
      <c r="AD1327" s="142">
        <v>1</v>
      </c>
      <c r="AE1327" s="141"/>
      <c r="AF1327" s="121" t="s">
        <v>292</v>
      </c>
      <c r="AG1327" s="146">
        <f>VLOOKUP(Takeoffs!AF1327,Sheet1!$B$6:$C$124,2,FALSE)</f>
        <v>0</v>
      </c>
      <c r="AH1327" s="146">
        <f t="shared" si="612"/>
        <v>0</v>
      </c>
      <c r="AI1327" s="143">
        <f t="shared" si="613"/>
        <v>0</v>
      </c>
      <c r="AJ1327" s="133">
        <f t="shared" si="614"/>
        <v>0</v>
      </c>
      <c r="AK1327" s="142">
        <f t="shared" si="616"/>
        <v>0</v>
      </c>
      <c r="AL1327" s="141"/>
      <c r="AO1327" s="286"/>
      <c r="AP1327" s="284">
        <f t="shared" si="602"/>
        <v>0</v>
      </c>
      <c r="AQ1327" s="281">
        <f t="shared" si="603"/>
        <v>0</v>
      </c>
      <c r="AR1327" s="284">
        <f t="shared" si="604"/>
        <v>0</v>
      </c>
      <c r="AS1327" s="281">
        <f t="shared" si="605"/>
        <v>0</v>
      </c>
      <c r="AT1327" s="284">
        <f t="shared" si="606"/>
        <v>0</v>
      </c>
    </row>
    <row r="1328" spans="1:97" s="114" customFormat="1" ht="30.9" x14ac:dyDescent="0.8">
      <c r="A1328" s="262">
        <f>ROW()</f>
        <v>1328</v>
      </c>
      <c r="C1328" s="208"/>
      <c r="D1328" s="208"/>
      <c r="E1328" s="208"/>
      <c r="F1328" s="208"/>
      <c r="G1328" s="208"/>
      <c r="H1328" s="208"/>
      <c r="J1328" s="114" t="str">
        <f t="shared" si="615"/>
        <v/>
      </c>
      <c r="K1328" s="114" t="str">
        <f>IF(COUNTBLANK(R1328)&gt;0,"",CONCATENATE(R1328," for ",N1318))</f>
        <v/>
      </c>
      <c r="N1328" s="123" t="s">
        <v>122</v>
      </c>
      <c r="O1328" s="66"/>
      <c r="P1328" s="121"/>
      <c r="Q1328" s="121"/>
      <c r="R1328" s="121"/>
      <c r="S1328" s="133">
        <f>M1318</f>
        <v>0</v>
      </c>
      <c r="T1328" s="120"/>
      <c r="U1328" s="121" t="s">
        <v>292</v>
      </c>
      <c r="V1328" s="133">
        <f t="shared" si="608"/>
        <v>0</v>
      </c>
      <c r="W1328" s="133">
        <f>VLOOKUP(U1328,Sheet1!$B$6:$C$45,2,FALSE)*V1328</f>
        <v>0</v>
      </c>
      <c r="X1328" s="141"/>
      <c r="Y1328" s="121" t="s">
        <v>292</v>
      </c>
      <c r="Z1328" s="146">
        <f>VLOOKUP(Takeoffs!Y1328,Sheet1!$B$6:$C$124,2,FALSE)</f>
        <v>0</v>
      </c>
      <c r="AA1328" s="146">
        <f t="shared" si="609"/>
        <v>0</v>
      </c>
      <c r="AB1328" s="143">
        <f t="shared" si="610"/>
        <v>0</v>
      </c>
      <c r="AC1328" s="133">
        <f t="shared" si="611"/>
        <v>0</v>
      </c>
      <c r="AD1328" s="142">
        <v>1</v>
      </c>
      <c r="AE1328" s="141"/>
      <c r="AF1328" s="121" t="s">
        <v>292</v>
      </c>
      <c r="AG1328" s="146">
        <f>VLOOKUP(Takeoffs!AF1328,Sheet1!$B$6:$C$124,2,FALSE)</f>
        <v>0</v>
      </c>
      <c r="AH1328" s="146">
        <f t="shared" si="612"/>
        <v>0</v>
      </c>
      <c r="AI1328" s="143">
        <f t="shared" si="613"/>
        <v>0</v>
      </c>
      <c r="AJ1328" s="133">
        <f t="shared" si="614"/>
        <v>0</v>
      </c>
      <c r="AK1328" s="142">
        <f t="shared" si="616"/>
        <v>0</v>
      </c>
      <c r="AL1328" s="141"/>
      <c r="AO1328" s="286"/>
      <c r="AP1328" s="284">
        <f t="shared" si="602"/>
        <v>0</v>
      </c>
      <c r="AQ1328" s="281">
        <f t="shared" si="603"/>
        <v>0</v>
      </c>
      <c r="AR1328" s="284">
        <f t="shared" si="604"/>
        <v>0</v>
      </c>
      <c r="AS1328" s="281">
        <f t="shared" si="605"/>
        <v>0</v>
      </c>
      <c r="AT1328" s="284">
        <f t="shared" si="606"/>
        <v>0</v>
      </c>
    </row>
    <row r="1329" spans="1:97" s="114" customFormat="1" ht="30.9" x14ac:dyDescent="0.8">
      <c r="A1329" s="262">
        <f>ROW()</f>
        <v>1329</v>
      </c>
      <c r="C1329" s="208"/>
      <c r="D1329" s="208"/>
      <c r="E1329" s="208"/>
      <c r="F1329" s="208"/>
      <c r="G1329" s="208"/>
      <c r="H1329" s="208"/>
      <c r="J1329" s="114" t="str">
        <f t="shared" si="615"/>
        <v/>
      </c>
      <c r="K1329" s="114" t="str">
        <f>IF(COUNTBLANK(R1329)&gt;0,"",CONCATENATE(R1329," for ",N1318))</f>
        <v/>
      </c>
      <c r="N1329" s="123" t="s">
        <v>123</v>
      </c>
      <c r="O1329" s="66"/>
      <c r="P1329" s="121"/>
      <c r="Q1329" s="121"/>
      <c r="R1329" s="121"/>
      <c r="S1329" s="133">
        <f>M1318</f>
        <v>0</v>
      </c>
      <c r="T1329" s="120"/>
      <c r="U1329" s="121" t="s">
        <v>292</v>
      </c>
      <c r="V1329" s="133">
        <f t="shared" si="608"/>
        <v>0</v>
      </c>
      <c r="W1329" s="133">
        <f>VLOOKUP(U1329,Sheet1!$B$6:$C$45,2,FALSE)*V1329</f>
        <v>0</v>
      </c>
      <c r="X1329" s="141"/>
      <c r="Y1329" s="121" t="s">
        <v>292</v>
      </c>
      <c r="Z1329" s="146">
        <f>VLOOKUP(Takeoffs!Y1329,Sheet1!$B$6:$C$124,2,FALSE)</f>
        <v>0</v>
      </c>
      <c r="AA1329" s="146">
        <f t="shared" si="609"/>
        <v>0</v>
      </c>
      <c r="AB1329" s="143">
        <f t="shared" si="610"/>
        <v>0</v>
      </c>
      <c r="AC1329" s="133">
        <f t="shared" si="611"/>
        <v>0</v>
      </c>
      <c r="AD1329" s="142">
        <v>1</v>
      </c>
      <c r="AE1329" s="141"/>
      <c r="AF1329" s="121" t="s">
        <v>292</v>
      </c>
      <c r="AG1329" s="146">
        <f>VLOOKUP(Takeoffs!AF1329,Sheet1!$B$6:$C$124,2,FALSE)</f>
        <v>0</v>
      </c>
      <c r="AH1329" s="146">
        <f t="shared" si="612"/>
        <v>0</v>
      </c>
      <c r="AI1329" s="143">
        <f t="shared" si="613"/>
        <v>0</v>
      </c>
      <c r="AJ1329" s="133">
        <f t="shared" si="614"/>
        <v>0</v>
      </c>
      <c r="AK1329" s="142">
        <f t="shared" si="616"/>
        <v>0</v>
      </c>
      <c r="AL1329" s="141"/>
      <c r="AO1329" s="286"/>
      <c r="AP1329" s="284">
        <f t="shared" si="602"/>
        <v>0</v>
      </c>
      <c r="AQ1329" s="281">
        <f t="shared" si="603"/>
        <v>0</v>
      </c>
      <c r="AR1329" s="284">
        <f t="shared" si="604"/>
        <v>0</v>
      </c>
      <c r="AS1329" s="281">
        <f t="shared" si="605"/>
        <v>0</v>
      </c>
      <c r="AT1329" s="284">
        <f t="shared" si="606"/>
        <v>0</v>
      </c>
    </row>
    <row r="1330" spans="1:97" s="114" customFormat="1" ht="30.9" x14ac:dyDescent="0.8">
      <c r="A1330" s="262">
        <f>ROW()</f>
        <v>1330</v>
      </c>
      <c r="C1330" s="208"/>
      <c r="D1330" s="208"/>
      <c r="E1330" s="208"/>
      <c r="F1330" s="208"/>
      <c r="G1330" s="208"/>
      <c r="H1330" s="208"/>
      <c r="J1330" s="114" t="str">
        <f t="shared" si="615"/>
        <v/>
      </c>
      <c r="K1330" s="114" t="str">
        <f>IF(COUNTBLANK(R1330)&gt;0,"",CONCATENATE(R1330," for ",N1318))</f>
        <v/>
      </c>
      <c r="N1330" s="123" t="s">
        <v>124</v>
      </c>
      <c r="O1330" s="66"/>
      <c r="P1330" s="121"/>
      <c r="Q1330" s="121"/>
      <c r="R1330" s="121"/>
      <c r="S1330" s="133">
        <f>M1318</f>
        <v>0</v>
      </c>
      <c r="T1330" s="120"/>
      <c r="U1330" s="121" t="s">
        <v>292</v>
      </c>
      <c r="V1330" s="133">
        <f t="shared" si="608"/>
        <v>0</v>
      </c>
      <c r="W1330" s="133">
        <f>VLOOKUP(U1330,Sheet1!$B$6:$C$45,2,FALSE)*V1330</f>
        <v>0</v>
      </c>
      <c r="X1330" s="141"/>
      <c r="Y1330" s="121" t="s">
        <v>292</v>
      </c>
      <c r="Z1330" s="146">
        <f>VLOOKUP(Takeoffs!Y1330,Sheet1!$B$6:$C$124,2,FALSE)</f>
        <v>0</v>
      </c>
      <c r="AA1330" s="146">
        <f t="shared" si="609"/>
        <v>0</v>
      </c>
      <c r="AB1330" s="143">
        <f t="shared" si="610"/>
        <v>0</v>
      </c>
      <c r="AC1330" s="133">
        <f t="shared" si="611"/>
        <v>0</v>
      </c>
      <c r="AD1330" s="142">
        <v>1</v>
      </c>
      <c r="AE1330" s="141"/>
      <c r="AF1330" s="121" t="s">
        <v>292</v>
      </c>
      <c r="AG1330" s="146">
        <f>VLOOKUP(Takeoffs!AF1330,Sheet1!$B$6:$C$124,2,FALSE)</f>
        <v>0</v>
      </c>
      <c r="AH1330" s="146">
        <f t="shared" si="612"/>
        <v>0</v>
      </c>
      <c r="AI1330" s="143">
        <f t="shared" si="613"/>
        <v>0</v>
      </c>
      <c r="AJ1330" s="133">
        <f t="shared" si="614"/>
        <v>0</v>
      </c>
      <c r="AK1330" s="142">
        <f t="shared" si="616"/>
        <v>0</v>
      </c>
      <c r="AL1330" s="141"/>
      <c r="AO1330" s="286"/>
      <c r="AP1330" s="284">
        <f t="shared" si="602"/>
        <v>0</v>
      </c>
      <c r="AQ1330" s="281">
        <f t="shared" si="603"/>
        <v>0</v>
      </c>
      <c r="AR1330" s="284">
        <f t="shared" si="604"/>
        <v>0</v>
      </c>
      <c r="AS1330" s="281">
        <f t="shared" si="605"/>
        <v>0</v>
      </c>
      <c r="AT1330" s="284">
        <f t="shared" si="606"/>
        <v>0</v>
      </c>
    </row>
    <row r="1331" spans="1:97" s="114" customFormat="1" ht="30.9" x14ac:dyDescent="0.8">
      <c r="A1331" s="262">
        <f>ROW()</f>
        <v>1331</v>
      </c>
      <c r="C1331" s="208"/>
      <c r="D1331" s="208"/>
      <c r="E1331" s="208"/>
      <c r="F1331" s="208"/>
      <c r="G1331" s="208"/>
      <c r="H1331" s="208"/>
      <c r="J1331" s="114" t="str">
        <f t="shared" si="615"/>
        <v/>
      </c>
      <c r="K1331" s="114" t="str">
        <f>IF(COUNTBLANK(R1331)&gt;0,"",CONCATENATE(R1331," for ",N1318))</f>
        <v/>
      </c>
      <c r="N1331" s="123" t="s">
        <v>125</v>
      </c>
      <c r="O1331" s="66"/>
      <c r="P1331" s="121"/>
      <c r="Q1331" s="121"/>
      <c r="R1331" s="121"/>
      <c r="S1331" s="133">
        <f>M1318</f>
        <v>0</v>
      </c>
      <c r="T1331" s="120"/>
      <c r="U1331" s="121" t="s">
        <v>292</v>
      </c>
      <c r="V1331" s="133">
        <f t="shared" si="608"/>
        <v>0</v>
      </c>
      <c r="W1331" s="133">
        <f>VLOOKUP(U1331,Sheet1!$B$6:$C$45,2,FALSE)*V1331</f>
        <v>0</v>
      </c>
      <c r="X1331" s="141"/>
      <c r="Y1331" s="121" t="s">
        <v>292</v>
      </c>
      <c r="Z1331" s="146">
        <f>VLOOKUP(Takeoffs!Y1331,Sheet1!$B$6:$C$124,2,FALSE)</f>
        <v>0</v>
      </c>
      <c r="AA1331" s="146">
        <f t="shared" si="609"/>
        <v>0</v>
      </c>
      <c r="AB1331" s="143">
        <f t="shared" si="610"/>
        <v>0</v>
      </c>
      <c r="AC1331" s="133">
        <f t="shared" si="611"/>
        <v>0</v>
      </c>
      <c r="AD1331" s="142">
        <v>1</v>
      </c>
      <c r="AE1331" s="141"/>
      <c r="AF1331" s="121" t="s">
        <v>292</v>
      </c>
      <c r="AG1331" s="146">
        <f>VLOOKUP(Takeoffs!AF1331,Sheet1!$B$6:$C$124,2,FALSE)</f>
        <v>0</v>
      </c>
      <c r="AH1331" s="146">
        <f t="shared" si="612"/>
        <v>0</v>
      </c>
      <c r="AI1331" s="143">
        <f t="shared" si="613"/>
        <v>0</v>
      </c>
      <c r="AJ1331" s="133">
        <f t="shared" si="614"/>
        <v>0</v>
      </c>
      <c r="AK1331" s="142">
        <f t="shared" si="616"/>
        <v>0</v>
      </c>
      <c r="AL1331" s="141"/>
      <c r="AO1331" s="286"/>
      <c r="AP1331" s="284">
        <f t="shared" si="602"/>
        <v>0</v>
      </c>
      <c r="AQ1331" s="281">
        <f t="shared" si="603"/>
        <v>0</v>
      </c>
      <c r="AR1331" s="284">
        <f t="shared" si="604"/>
        <v>0</v>
      </c>
      <c r="AS1331" s="281">
        <f t="shared" si="605"/>
        <v>0</v>
      </c>
      <c r="AT1331" s="284">
        <f t="shared" si="606"/>
        <v>0</v>
      </c>
    </row>
    <row r="1332" spans="1:97" s="114" customFormat="1" ht="30.9" x14ac:dyDescent="0.8">
      <c r="A1332" s="262">
        <f>ROW()</f>
        <v>1332</v>
      </c>
      <c r="C1332" s="208"/>
      <c r="D1332" s="208"/>
      <c r="E1332" s="208"/>
      <c r="F1332" s="208"/>
      <c r="G1332" s="208"/>
      <c r="H1332" s="208"/>
      <c r="J1332" s="114" t="str">
        <f t="shared" si="615"/>
        <v/>
      </c>
      <c r="K1332" s="114" t="str">
        <f>IF(COUNTBLANK(R1332)&gt;0,"",CONCATENATE(R1332," for ",N1318))</f>
        <v/>
      </c>
      <c r="N1332" s="123" t="s">
        <v>126</v>
      </c>
      <c r="O1332" s="66"/>
      <c r="P1332" s="121"/>
      <c r="Q1332" s="121"/>
      <c r="R1332" s="121"/>
      <c r="S1332" s="133">
        <f>M1318</f>
        <v>0</v>
      </c>
      <c r="T1332" s="120"/>
      <c r="U1332" s="121" t="s">
        <v>292</v>
      </c>
      <c r="V1332" s="133">
        <f t="shared" si="608"/>
        <v>0</v>
      </c>
      <c r="W1332" s="133">
        <f>VLOOKUP(U1332,Sheet1!$B$6:$C$45,2,FALSE)*V1332</f>
        <v>0</v>
      </c>
      <c r="X1332" s="141"/>
      <c r="Y1332" s="121" t="s">
        <v>292</v>
      </c>
      <c r="Z1332" s="146">
        <f>VLOOKUP(Takeoffs!Y1332,Sheet1!$B$6:$C$124,2,FALSE)</f>
        <v>0</v>
      </c>
      <c r="AA1332" s="146">
        <f t="shared" si="609"/>
        <v>0</v>
      </c>
      <c r="AB1332" s="143">
        <f t="shared" si="610"/>
        <v>0</v>
      </c>
      <c r="AC1332" s="133">
        <f t="shared" si="611"/>
        <v>0</v>
      </c>
      <c r="AD1332" s="142">
        <v>1</v>
      </c>
      <c r="AE1332" s="141"/>
      <c r="AF1332" s="121" t="s">
        <v>292</v>
      </c>
      <c r="AG1332" s="146">
        <f>VLOOKUP(Takeoffs!AF1332,Sheet1!$B$6:$C$124,2,FALSE)</f>
        <v>0</v>
      </c>
      <c r="AH1332" s="146">
        <f t="shared" si="612"/>
        <v>0</v>
      </c>
      <c r="AI1332" s="143">
        <f t="shared" si="613"/>
        <v>0</v>
      </c>
      <c r="AJ1332" s="133">
        <f t="shared" si="614"/>
        <v>0</v>
      </c>
      <c r="AK1332" s="142">
        <f t="shared" si="616"/>
        <v>0</v>
      </c>
      <c r="AL1332" s="141"/>
      <c r="AO1332" s="286"/>
      <c r="AP1332" s="284">
        <f t="shared" si="602"/>
        <v>0</v>
      </c>
      <c r="AQ1332" s="281">
        <f t="shared" si="603"/>
        <v>0</v>
      </c>
      <c r="AR1332" s="284">
        <f t="shared" si="604"/>
        <v>0</v>
      </c>
      <c r="AS1332" s="281">
        <f t="shared" si="605"/>
        <v>0</v>
      </c>
      <c r="AT1332" s="284">
        <f t="shared" si="606"/>
        <v>0</v>
      </c>
    </row>
    <row r="1333" spans="1:97" s="114" customFormat="1" ht="30.9" x14ac:dyDescent="0.8">
      <c r="A1333" s="262">
        <f>ROW()</f>
        <v>1333</v>
      </c>
      <c r="C1333" s="208"/>
      <c r="D1333" s="208"/>
      <c r="E1333" s="208"/>
      <c r="F1333" s="208"/>
      <c r="G1333" s="208"/>
      <c r="H1333" s="208"/>
      <c r="J1333" s="114" t="str">
        <f t="shared" si="615"/>
        <v/>
      </c>
      <c r="K1333" s="114" t="str">
        <f>IF(COUNTBLANK(R1333)&gt;0,"",CONCATENATE(R1333," for ",N1318))</f>
        <v/>
      </c>
      <c r="N1333" s="123" t="s">
        <v>127</v>
      </c>
      <c r="O1333" s="66"/>
      <c r="P1333" s="121"/>
      <c r="Q1333" s="121"/>
      <c r="R1333" s="121"/>
      <c r="S1333" s="133">
        <f>M1318</f>
        <v>0</v>
      </c>
      <c r="T1333" s="120"/>
      <c r="U1333" s="121" t="s">
        <v>292</v>
      </c>
      <c r="V1333" s="133">
        <f t="shared" si="608"/>
        <v>0</v>
      </c>
      <c r="W1333" s="133">
        <f>VLOOKUP(U1333,Sheet1!$B$6:$C$45,2,FALSE)*V1333</f>
        <v>0</v>
      </c>
      <c r="X1333" s="141"/>
      <c r="Y1333" s="121" t="s">
        <v>292</v>
      </c>
      <c r="Z1333" s="146">
        <f>VLOOKUP(Takeoffs!Y1333,Sheet1!$B$6:$C$124,2,FALSE)</f>
        <v>0</v>
      </c>
      <c r="AA1333" s="146">
        <f t="shared" si="609"/>
        <v>0</v>
      </c>
      <c r="AB1333" s="143">
        <f t="shared" si="610"/>
        <v>0</v>
      </c>
      <c r="AC1333" s="133">
        <f t="shared" si="611"/>
        <v>0</v>
      </c>
      <c r="AD1333" s="142">
        <v>1</v>
      </c>
      <c r="AE1333" s="141"/>
      <c r="AF1333" s="121" t="s">
        <v>292</v>
      </c>
      <c r="AG1333" s="146">
        <f>VLOOKUP(Takeoffs!AF1333,Sheet1!$B$6:$C$124,2,FALSE)</f>
        <v>0</v>
      </c>
      <c r="AH1333" s="146">
        <f t="shared" si="612"/>
        <v>0</v>
      </c>
      <c r="AI1333" s="143">
        <f t="shared" si="613"/>
        <v>0</v>
      </c>
      <c r="AJ1333" s="133">
        <f t="shared" si="614"/>
        <v>0</v>
      </c>
      <c r="AK1333" s="142">
        <f t="shared" si="616"/>
        <v>0</v>
      </c>
      <c r="AL1333" s="141"/>
      <c r="AO1333" s="286"/>
      <c r="AP1333" s="284">
        <f t="shared" si="602"/>
        <v>0</v>
      </c>
      <c r="AQ1333" s="281">
        <f t="shared" si="603"/>
        <v>0</v>
      </c>
      <c r="AR1333" s="284">
        <f t="shared" si="604"/>
        <v>0</v>
      </c>
      <c r="AS1333" s="281">
        <f t="shared" si="605"/>
        <v>0</v>
      </c>
      <c r="AT1333" s="284">
        <f t="shared" si="606"/>
        <v>0</v>
      </c>
    </row>
    <row r="1334" spans="1:97" s="114" customFormat="1" ht="30.9" x14ac:dyDescent="0.8">
      <c r="A1334" s="262">
        <f>ROW()</f>
        <v>1334</v>
      </c>
      <c r="C1334" s="208"/>
      <c r="D1334" s="208"/>
      <c r="E1334" s="208"/>
      <c r="F1334" s="208"/>
      <c r="G1334" s="208"/>
      <c r="H1334" s="208"/>
      <c r="J1334" s="114" t="str">
        <f t="shared" si="615"/>
        <v/>
      </c>
      <c r="K1334" s="114" t="str">
        <f>IF(COUNTBLANK(R1334)&gt;0,"",CONCATENATE(R1334," for ",N1318))</f>
        <v/>
      </c>
      <c r="N1334" s="123" t="s">
        <v>128</v>
      </c>
      <c r="O1334" s="66"/>
      <c r="P1334" s="121"/>
      <c r="Q1334" s="121"/>
      <c r="R1334" s="121"/>
      <c r="S1334" s="133">
        <f>M1318</f>
        <v>0</v>
      </c>
      <c r="T1334" s="120"/>
      <c r="U1334" s="121" t="s">
        <v>292</v>
      </c>
      <c r="V1334" s="133">
        <f t="shared" si="608"/>
        <v>0</v>
      </c>
      <c r="W1334" s="133">
        <f>VLOOKUP(U1334,Sheet1!$B$6:$C$45,2,FALSE)*V1334</f>
        <v>0</v>
      </c>
      <c r="X1334" s="141"/>
      <c r="Y1334" s="121" t="s">
        <v>292</v>
      </c>
      <c r="Z1334" s="146">
        <f>VLOOKUP(Takeoffs!Y1334,Sheet1!$B$6:$C$124,2,FALSE)</f>
        <v>0</v>
      </c>
      <c r="AA1334" s="146">
        <f t="shared" si="609"/>
        <v>0</v>
      </c>
      <c r="AB1334" s="143">
        <f t="shared" si="610"/>
        <v>0</v>
      </c>
      <c r="AC1334" s="133">
        <f t="shared" si="611"/>
        <v>0</v>
      </c>
      <c r="AD1334" s="142">
        <v>1</v>
      </c>
      <c r="AE1334" s="141"/>
      <c r="AF1334" s="121" t="s">
        <v>292</v>
      </c>
      <c r="AG1334" s="146">
        <f>VLOOKUP(Takeoffs!AF1334,Sheet1!$B$6:$C$124,2,FALSE)</f>
        <v>0</v>
      </c>
      <c r="AH1334" s="146">
        <f t="shared" si="612"/>
        <v>0</v>
      </c>
      <c r="AI1334" s="143">
        <f t="shared" si="613"/>
        <v>0</v>
      </c>
      <c r="AJ1334" s="133">
        <f t="shared" si="614"/>
        <v>0</v>
      </c>
      <c r="AK1334" s="142">
        <f t="shared" si="616"/>
        <v>0</v>
      </c>
      <c r="AL1334" s="141"/>
      <c r="AO1334" s="286"/>
      <c r="AP1334" s="284">
        <f t="shared" si="602"/>
        <v>0</v>
      </c>
      <c r="AQ1334" s="281">
        <f t="shared" si="603"/>
        <v>0</v>
      </c>
      <c r="AR1334" s="284">
        <f t="shared" si="604"/>
        <v>0</v>
      </c>
      <c r="AS1334" s="281">
        <f t="shared" si="605"/>
        <v>0</v>
      </c>
      <c r="AT1334" s="284">
        <f t="shared" si="606"/>
        <v>0</v>
      </c>
    </row>
    <row r="1335" spans="1:97" s="114" customFormat="1" ht="30.9" x14ac:dyDescent="0.8">
      <c r="A1335" s="262">
        <f>ROW()</f>
        <v>1335</v>
      </c>
      <c r="C1335" s="208"/>
      <c r="D1335" s="208"/>
      <c r="E1335" s="208"/>
      <c r="F1335" s="208"/>
      <c r="G1335" s="208"/>
      <c r="H1335" s="208"/>
      <c r="J1335" s="114" t="str">
        <f t="shared" si="615"/>
        <v/>
      </c>
      <c r="K1335" s="114" t="str">
        <f>IF(COUNTBLANK(R1335)&gt;0,"",CONCATENATE(R1335," for ",N1318))</f>
        <v/>
      </c>
      <c r="N1335" s="123" t="s">
        <v>129</v>
      </c>
      <c r="O1335" s="66"/>
      <c r="P1335" s="121"/>
      <c r="Q1335" s="121"/>
      <c r="R1335" s="121"/>
      <c r="S1335" s="133">
        <f>M1318</f>
        <v>0</v>
      </c>
      <c r="T1335" s="120"/>
      <c r="U1335" s="121" t="s">
        <v>292</v>
      </c>
      <c r="V1335" s="133">
        <f t="shared" si="608"/>
        <v>0</v>
      </c>
      <c r="W1335" s="133">
        <f>VLOOKUP(U1335,Sheet1!$B$6:$C$45,2,FALSE)*V1335</f>
        <v>0</v>
      </c>
      <c r="X1335" s="141"/>
      <c r="Y1335" s="121" t="s">
        <v>292</v>
      </c>
      <c r="Z1335" s="146">
        <f>VLOOKUP(Takeoffs!Y1335,Sheet1!$B$6:$C$124,2,FALSE)</f>
        <v>0</v>
      </c>
      <c r="AA1335" s="146">
        <f t="shared" si="609"/>
        <v>0</v>
      </c>
      <c r="AB1335" s="143">
        <f t="shared" si="610"/>
        <v>0</v>
      </c>
      <c r="AC1335" s="133">
        <f t="shared" si="611"/>
        <v>0</v>
      </c>
      <c r="AD1335" s="142">
        <v>1</v>
      </c>
      <c r="AE1335" s="141"/>
      <c r="AF1335" s="121" t="s">
        <v>292</v>
      </c>
      <c r="AG1335" s="146">
        <f>VLOOKUP(Takeoffs!AF1335,Sheet1!$B$6:$C$124,2,FALSE)</f>
        <v>0</v>
      </c>
      <c r="AH1335" s="146">
        <f t="shared" si="612"/>
        <v>0</v>
      </c>
      <c r="AI1335" s="143">
        <f t="shared" si="613"/>
        <v>0</v>
      </c>
      <c r="AJ1335" s="133">
        <f t="shared" si="614"/>
        <v>0</v>
      </c>
      <c r="AK1335" s="142">
        <f t="shared" si="616"/>
        <v>0</v>
      </c>
      <c r="AL1335" s="141"/>
      <c r="AO1335" s="286"/>
      <c r="AP1335" s="284">
        <f t="shared" si="602"/>
        <v>0</v>
      </c>
      <c r="AQ1335" s="281">
        <f t="shared" si="603"/>
        <v>0</v>
      </c>
      <c r="AR1335" s="284">
        <f t="shared" si="604"/>
        <v>0</v>
      </c>
      <c r="AS1335" s="281">
        <f t="shared" si="605"/>
        <v>0</v>
      </c>
      <c r="AT1335" s="284">
        <f t="shared" si="606"/>
        <v>0</v>
      </c>
    </row>
    <row r="1336" spans="1:97" s="114" customFormat="1" ht="30.9" x14ac:dyDescent="0.8">
      <c r="A1336" s="262">
        <f>ROW()</f>
        <v>1336</v>
      </c>
      <c r="C1336" s="208"/>
      <c r="D1336" s="208"/>
      <c r="E1336" s="208"/>
      <c r="F1336" s="208"/>
      <c r="G1336" s="208"/>
      <c r="H1336" s="208"/>
      <c r="J1336" s="114" t="str">
        <f t="shared" si="615"/>
        <v/>
      </c>
      <c r="K1336" s="114" t="str">
        <f>IF(COUNTBLANK(R1336)&gt;0,"",CONCATENATE(R1336," for ",N1318))</f>
        <v/>
      </c>
      <c r="N1336" s="123" t="s">
        <v>130</v>
      </c>
      <c r="O1336" s="66"/>
      <c r="P1336" s="121"/>
      <c r="Q1336" s="121"/>
      <c r="R1336" s="121"/>
      <c r="S1336" s="133">
        <f>M1318</f>
        <v>0</v>
      </c>
      <c r="T1336" s="120"/>
      <c r="U1336" s="121" t="s">
        <v>292</v>
      </c>
      <c r="V1336" s="133">
        <f t="shared" si="608"/>
        <v>0</v>
      </c>
      <c r="W1336" s="133">
        <f>VLOOKUP(U1336,Sheet1!$B$6:$C$45,2,FALSE)*V1336</f>
        <v>0</v>
      </c>
      <c r="X1336" s="141"/>
      <c r="Y1336" s="121" t="s">
        <v>292</v>
      </c>
      <c r="Z1336" s="146">
        <f>VLOOKUP(Takeoffs!Y1336,Sheet1!$B$6:$C$124,2,FALSE)</f>
        <v>0</v>
      </c>
      <c r="AA1336" s="146">
        <f t="shared" si="609"/>
        <v>0</v>
      </c>
      <c r="AB1336" s="143">
        <f t="shared" si="610"/>
        <v>0</v>
      </c>
      <c r="AC1336" s="133">
        <f t="shared" si="611"/>
        <v>0</v>
      </c>
      <c r="AD1336" s="142">
        <v>1</v>
      </c>
      <c r="AE1336" s="141"/>
      <c r="AF1336" s="121" t="s">
        <v>292</v>
      </c>
      <c r="AG1336" s="146">
        <f>VLOOKUP(Takeoffs!AF1336,Sheet1!$B$6:$C$124,2,FALSE)</f>
        <v>0</v>
      </c>
      <c r="AH1336" s="146">
        <f t="shared" si="612"/>
        <v>0</v>
      </c>
      <c r="AI1336" s="143">
        <f t="shared" si="613"/>
        <v>0</v>
      </c>
      <c r="AJ1336" s="133">
        <f t="shared" si="614"/>
        <v>0</v>
      </c>
      <c r="AK1336" s="142">
        <f t="shared" si="616"/>
        <v>0</v>
      </c>
      <c r="AL1336" s="141"/>
      <c r="AO1336" s="286"/>
      <c r="AP1336" s="284">
        <f t="shared" si="602"/>
        <v>0</v>
      </c>
      <c r="AQ1336" s="281">
        <f t="shared" si="603"/>
        <v>0</v>
      </c>
      <c r="AR1336" s="284">
        <f t="shared" si="604"/>
        <v>0</v>
      </c>
      <c r="AS1336" s="281">
        <f t="shared" si="605"/>
        <v>0</v>
      </c>
      <c r="AT1336" s="284">
        <f t="shared" si="606"/>
        <v>0</v>
      </c>
    </row>
    <row r="1337" spans="1:97" s="114" customFormat="1" ht="30.9" x14ac:dyDescent="0.8">
      <c r="A1337" s="262">
        <f>ROW()</f>
        <v>1337</v>
      </c>
      <c r="C1337" s="208"/>
      <c r="D1337" s="208"/>
      <c r="E1337" s="208"/>
      <c r="F1337" s="208"/>
      <c r="G1337" s="208"/>
      <c r="H1337" s="208"/>
      <c r="J1337" s="114" t="str">
        <f t="shared" si="615"/>
        <v/>
      </c>
      <c r="K1337" s="114" t="str">
        <f>IF(COUNTBLANK(R1337)&gt;0,"",CONCATENATE(R1337," for ",N1318))</f>
        <v/>
      </c>
      <c r="N1337" s="123" t="s">
        <v>131</v>
      </c>
      <c r="O1337" s="66"/>
      <c r="P1337" s="121"/>
      <c r="Q1337" s="121"/>
      <c r="R1337" s="121"/>
      <c r="S1337" s="133">
        <f>M1318</f>
        <v>0</v>
      </c>
      <c r="T1337" s="120"/>
      <c r="U1337" s="121" t="s">
        <v>292</v>
      </c>
      <c r="V1337" s="133">
        <f t="shared" si="608"/>
        <v>0</v>
      </c>
      <c r="W1337" s="133">
        <f>VLOOKUP(U1337,Sheet1!$B$6:$C$45,2,FALSE)*V1337</f>
        <v>0</v>
      </c>
      <c r="X1337" s="141"/>
      <c r="Y1337" s="121" t="s">
        <v>292</v>
      </c>
      <c r="Z1337" s="146">
        <f>VLOOKUP(Takeoffs!Y1337,Sheet1!$B$6:$C$124,2,FALSE)</f>
        <v>0</v>
      </c>
      <c r="AA1337" s="146">
        <f t="shared" si="609"/>
        <v>0</v>
      </c>
      <c r="AB1337" s="143">
        <f t="shared" si="610"/>
        <v>0</v>
      </c>
      <c r="AC1337" s="133">
        <f t="shared" si="611"/>
        <v>0</v>
      </c>
      <c r="AD1337" s="142">
        <v>1</v>
      </c>
      <c r="AE1337" s="141"/>
      <c r="AF1337" s="121" t="s">
        <v>292</v>
      </c>
      <c r="AG1337" s="146">
        <f>VLOOKUP(Takeoffs!AF1337,Sheet1!$B$6:$C$124,2,FALSE)</f>
        <v>0</v>
      </c>
      <c r="AH1337" s="146">
        <f t="shared" si="612"/>
        <v>0</v>
      </c>
      <c r="AI1337" s="143">
        <f t="shared" si="613"/>
        <v>0</v>
      </c>
      <c r="AJ1337" s="133">
        <f t="shared" si="614"/>
        <v>0</v>
      </c>
      <c r="AK1337" s="142">
        <f t="shared" si="616"/>
        <v>0</v>
      </c>
      <c r="AL1337" s="141"/>
      <c r="AO1337" s="286"/>
      <c r="AP1337" s="284">
        <f t="shared" si="602"/>
        <v>0</v>
      </c>
      <c r="AQ1337" s="281">
        <f t="shared" si="603"/>
        <v>0</v>
      </c>
      <c r="AR1337" s="284">
        <f t="shared" si="604"/>
        <v>0</v>
      </c>
      <c r="AS1337" s="281">
        <f t="shared" si="605"/>
        <v>0</v>
      </c>
      <c r="AT1337" s="284">
        <f t="shared" si="606"/>
        <v>0</v>
      </c>
    </row>
    <row r="1338" spans="1:97" s="114" customFormat="1" ht="30.9" x14ac:dyDescent="0.8">
      <c r="A1338" s="262">
        <f>ROW()</f>
        <v>1338</v>
      </c>
      <c r="C1338" s="208"/>
      <c r="D1338" s="208"/>
      <c r="E1338" s="208"/>
      <c r="F1338" s="208"/>
      <c r="G1338" s="208"/>
      <c r="H1338" s="208"/>
      <c r="J1338" s="114" t="str">
        <f t="shared" si="615"/>
        <v/>
      </c>
      <c r="K1338" s="114" t="str">
        <f>IF(COUNTBLANK(R1338)&gt;0,"",CONCATENATE(R1338," for ",N1318))</f>
        <v/>
      </c>
      <c r="N1338" s="123" t="s">
        <v>132</v>
      </c>
      <c r="O1338" s="66"/>
      <c r="P1338" s="121"/>
      <c r="Q1338" s="121"/>
      <c r="R1338" s="121"/>
      <c r="S1338" s="133">
        <f>M1318</f>
        <v>0</v>
      </c>
      <c r="T1338" s="120"/>
      <c r="U1338" s="121" t="s">
        <v>292</v>
      </c>
      <c r="V1338" s="133">
        <f t="shared" si="608"/>
        <v>0</v>
      </c>
      <c r="W1338" s="133">
        <f>VLOOKUP(U1338,Sheet1!$B$6:$C$45,2,FALSE)*V1338</f>
        <v>0</v>
      </c>
      <c r="X1338" s="141"/>
      <c r="Y1338" s="121" t="s">
        <v>292</v>
      </c>
      <c r="Z1338" s="146">
        <f>VLOOKUP(Takeoffs!Y1338,Sheet1!$B$6:$C$124,2,FALSE)</f>
        <v>0</v>
      </c>
      <c r="AA1338" s="146">
        <f t="shared" si="609"/>
        <v>0</v>
      </c>
      <c r="AB1338" s="143">
        <f t="shared" si="610"/>
        <v>0</v>
      </c>
      <c r="AC1338" s="133">
        <f t="shared" si="611"/>
        <v>0</v>
      </c>
      <c r="AD1338" s="142">
        <v>1</v>
      </c>
      <c r="AE1338" s="141"/>
      <c r="AF1338" s="121" t="s">
        <v>292</v>
      </c>
      <c r="AG1338" s="146">
        <f>VLOOKUP(Takeoffs!AF1338,Sheet1!$B$6:$C$124,2,FALSE)</f>
        <v>0</v>
      </c>
      <c r="AH1338" s="146">
        <f t="shared" si="612"/>
        <v>0</v>
      </c>
      <c r="AI1338" s="143">
        <f t="shared" si="613"/>
        <v>0</v>
      </c>
      <c r="AJ1338" s="133">
        <f t="shared" si="614"/>
        <v>0</v>
      </c>
      <c r="AK1338" s="142">
        <f t="shared" si="616"/>
        <v>0</v>
      </c>
      <c r="AL1338" s="141"/>
      <c r="AO1338" s="286"/>
      <c r="AP1338" s="284">
        <f t="shared" si="602"/>
        <v>0</v>
      </c>
      <c r="AQ1338" s="281">
        <f t="shared" si="603"/>
        <v>0</v>
      </c>
      <c r="AR1338" s="284">
        <f t="shared" si="604"/>
        <v>0</v>
      </c>
      <c r="AS1338" s="281">
        <f t="shared" si="605"/>
        <v>0</v>
      </c>
      <c r="AT1338" s="284">
        <f t="shared" si="606"/>
        <v>0</v>
      </c>
    </row>
    <row r="1339" spans="1:97" s="128" customFormat="1" ht="31.5" customHeight="1" x14ac:dyDescent="0.8">
      <c r="A1339" s="262">
        <f>ROW()</f>
        <v>1339</v>
      </c>
      <c r="C1339" s="212"/>
      <c r="D1339" s="212"/>
      <c r="E1339" s="212"/>
      <c r="F1339" s="212"/>
      <c r="G1339" s="212"/>
      <c r="H1339" s="212"/>
      <c r="J1339" s="128" t="s">
        <v>377</v>
      </c>
      <c r="L1339" s="128" t="s">
        <v>378</v>
      </c>
      <c r="N1339" s="129"/>
      <c r="O1339" s="130" t="s">
        <v>357</v>
      </c>
      <c r="P1339" s="131">
        <f>V1339+AA1339+AH1339</f>
        <v>0</v>
      </c>
      <c r="Q1339" s="131"/>
      <c r="R1339" s="131"/>
      <c r="S1339" s="130"/>
      <c r="T1339" s="127"/>
      <c r="U1339" s="126" t="s">
        <v>351</v>
      </c>
      <c r="V1339" s="127">
        <f>W1339*80</f>
        <v>0</v>
      </c>
      <c r="W1339" s="147">
        <f>SUM(W1318:W1338)</f>
        <v>0</v>
      </c>
      <c r="X1339" s="148"/>
      <c r="Y1339" s="127" t="s">
        <v>352</v>
      </c>
      <c r="Z1339" s="116"/>
      <c r="AA1339" s="116">
        <f>SUM(AA1318:AA1338)</f>
        <v>0</v>
      </c>
      <c r="AB1339" s="149"/>
      <c r="AC1339" s="149"/>
      <c r="AD1339" s="149"/>
      <c r="AE1339" s="149"/>
      <c r="AF1339" s="127" t="s">
        <v>356</v>
      </c>
      <c r="AG1339" s="116"/>
      <c r="AH1339" s="116">
        <f>SUM(AH1318:AH1338)</f>
        <v>0</v>
      </c>
      <c r="AI1339" s="149"/>
      <c r="AJ1339" s="149"/>
      <c r="AK1339" s="149"/>
      <c r="AL1339" s="149"/>
      <c r="AM1339" s="150">
        <f>P1339</f>
        <v>0</v>
      </c>
      <c r="AO1339" s="286"/>
      <c r="AP1339" s="284">
        <f t="shared" si="602"/>
        <v>0</v>
      </c>
      <c r="AQ1339" s="281">
        <f t="shared" si="603"/>
        <v>0</v>
      </c>
      <c r="AR1339" s="284">
        <f t="shared" si="604"/>
        <v>0</v>
      </c>
      <c r="AS1339" s="281">
        <f t="shared" si="605"/>
        <v>0</v>
      </c>
      <c r="AT1339" s="284">
        <f t="shared" si="606"/>
        <v>0</v>
      </c>
    </row>
    <row r="1340" spans="1:97" s="234" customFormat="1" ht="185.15" x14ac:dyDescent="0.8">
      <c r="A1340" s="262">
        <f>ROW()</f>
        <v>1340</v>
      </c>
      <c r="B1340" s="234" t="s">
        <v>491</v>
      </c>
      <c r="C1340" s="217" t="str">
        <f>N1318</f>
        <v>split AC systems - MSSB powered with run and fault lights</v>
      </c>
      <c r="D1340" s="260" t="str">
        <f>IF(B1340="Shopping List",IF(ISNUMBER(SEARCH("MSSB",C1340)),"MSSB",IF(ISNUMBER(SEARCH("local",C1340)),"LOCAL","")))</f>
        <v>MSSB</v>
      </c>
      <c r="E1340" s="238">
        <v>4</v>
      </c>
      <c r="F1340" s="217"/>
      <c r="G1340" s="217">
        <v>6</v>
      </c>
      <c r="H1340" s="245">
        <v>10</v>
      </c>
      <c r="I1340" s="270"/>
      <c r="J1340" s="241" t="str">
        <f>CONCATENATE(O1318," ",L1318, " (",M1318,") ",N1318,".", IF(M1318&gt;1," Each "," This "),"includes supply and install of ",O1319,O1320,O1321,O1322,O1323,O1324,O1325,O1326,O1327,O1328,O1329,O1330,O1331,O1332,O1333,O1334,O1335,O1336,O1337,O1338,J1319,J1320,J1321,J1322,J1323,J1324,J1325,J1326,J1327,J1328,J1329,J1330,J1331,J1332,J1333,J1334,J1335,J1336,J1337,J1338)</f>
        <v xml:space="preserve">Electrical power supply and controls cabling to Zero (0) split AC systems - MSSB powered with run and fault lights. This includes supply and install of interconnect cabling,  power cabling from outdoor unit and local power isolator ( for Indoor unit). Each system includes install only of  proprietary controller. CB and Power cabling from MSSB to outdoor unit. Run light, fault light, controls cabling between MSSB and outdoor unit ( for run and fault lights), Coordination Note: - AC system supplier : Please refer to our exclusions relating to proprietary air-conditioning controllers. Coordination Note: - AC system supplier : Please refer to our exclusions relating to interface card for air-conditioning controllers. </v>
      </c>
      <c r="K1340" s="246">
        <f>P1339</f>
        <v>0</v>
      </c>
      <c r="L1340" s="234" t="str">
        <f>CONCATENATE(Q1319,Q1320,Q1321,Q1322,Q1323,Q1324,Q1325,Q1326,Q1327,Q1328,Q1329,Q1330,Q1331,Q1332,Q1333,Q1334,Q1335,Q1336,Q1337,Q1338,)</f>
        <v xml:space="preserve">proprietary air-conditioning controllers. interface card for air-conditioning controllers. </v>
      </c>
      <c r="M1340" s="166" t="s">
        <v>367</v>
      </c>
      <c r="N1340" s="160" t="str">
        <f>N1318</f>
        <v>split AC systems - MSSB powered with run and fault lights</v>
      </c>
      <c r="O1340" s="160" t="s">
        <v>365</v>
      </c>
      <c r="P1340" s="64" t="e">
        <f>P1339/M1318</f>
        <v>#DIV/0!</v>
      </c>
      <c r="Q1340" s="161"/>
      <c r="R1340" s="161"/>
      <c r="S1340" s="160"/>
      <c r="T1340" s="161"/>
      <c r="U1340" s="503" t="s">
        <v>366</v>
      </c>
      <c r="V1340" s="503"/>
      <c r="W1340" s="162" t="e">
        <f>W1339/M1318</f>
        <v>#DIV/0!</v>
      </c>
      <c r="X1340" s="163"/>
      <c r="Y1340" s="501" t="s">
        <v>365</v>
      </c>
      <c r="Z1340" s="501"/>
      <c r="AA1340" s="164" t="e">
        <f>AA1339/M1318</f>
        <v>#DIV/0!</v>
      </c>
      <c r="AB1340" s="161"/>
      <c r="AC1340" s="161"/>
      <c r="AD1340" s="161"/>
      <c r="AE1340" s="161"/>
      <c r="AF1340" s="501" t="s">
        <v>365</v>
      </c>
      <c r="AG1340" s="501"/>
      <c r="AH1340" s="164" t="e">
        <f>AH1339/M1318</f>
        <v>#DIV/0!</v>
      </c>
      <c r="AI1340" s="161"/>
      <c r="AJ1340" s="161"/>
      <c r="AK1340" s="161"/>
      <c r="AL1340" s="247"/>
      <c r="AM1340" s="257"/>
      <c r="AN1340" s="230">
        <f>K1340*1.25</f>
        <v>0</v>
      </c>
      <c r="AO1340" s="286"/>
      <c r="AP1340" s="284">
        <f t="shared" si="602"/>
        <v>0</v>
      </c>
      <c r="AQ1340" s="281">
        <f t="shared" si="603"/>
        <v>0</v>
      </c>
      <c r="AR1340" s="284">
        <f t="shared" si="604"/>
        <v>0</v>
      </c>
      <c r="AS1340" s="281">
        <f t="shared" si="605"/>
        <v>0</v>
      </c>
      <c r="AT1340" s="284">
        <f t="shared" si="606"/>
        <v>0</v>
      </c>
      <c r="AU1340" s="117"/>
      <c r="AV1340" s="117"/>
      <c r="AW1340" s="117"/>
      <c r="AX1340" s="117"/>
      <c r="AY1340" s="117"/>
      <c r="AZ1340" s="117"/>
      <c r="BA1340" s="117"/>
      <c r="BB1340" s="117"/>
      <c r="BC1340" s="117"/>
      <c r="BD1340" s="117"/>
      <c r="BE1340" s="117"/>
      <c r="BF1340" s="117"/>
      <c r="BG1340" s="117"/>
      <c r="BH1340" s="117"/>
      <c r="BI1340" s="117"/>
      <c r="BJ1340" s="117"/>
      <c r="BK1340" s="117"/>
      <c r="BL1340" s="117"/>
      <c r="BM1340" s="117"/>
      <c r="BN1340" s="117"/>
      <c r="BO1340" s="117"/>
      <c r="BP1340" s="117"/>
      <c r="BQ1340" s="117"/>
      <c r="BR1340" s="117"/>
      <c r="BS1340" s="117"/>
      <c r="BT1340" s="117"/>
      <c r="BU1340" s="117"/>
      <c r="BV1340" s="117"/>
      <c r="BW1340" s="117"/>
      <c r="BX1340" s="117"/>
      <c r="BY1340" s="117"/>
      <c r="BZ1340" s="117"/>
      <c r="CA1340" s="117"/>
      <c r="CB1340" s="117"/>
      <c r="CC1340" s="117"/>
      <c r="CD1340" s="117"/>
      <c r="CE1340" s="117"/>
      <c r="CF1340" s="117"/>
      <c r="CG1340" s="117"/>
      <c r="CH1340" s="117"/>
      <c r="CI1340" s="117"/>
      <c r="CJ1340" s="117"/>
      <c r="CK1340" s="117"/>
      <c r="CL1340" s="117"/>
      <c r="CM1340" s="117"/>
      <c r="CN1340" s="117"/>
      <c r="CO1340" s="117"/>
      <c r="CP1340" s="117"/>
      <c r="CQ1340" s="117"/>
      <c r="CR1340" s="117"/>
      <c r="CS1340" s="117"/>
    </row>
    <row r="1341" spans="1:97" s="116" customFormat="1" ht="192.75" customHeight="1" x14ac:dyDescent="0.8">
      <c r="A1341" s="262">
        <f>ROW()</f>
        <v>1341</v>
      </c>
      <c r="C1341" s="211"/>
      <c r="D1341" s="211"/>
      <c r="E1341" s="211"/>
      <c r="F1341" s="211"/>
      <c r="G1341" s="211"/>
      <c r="H1341" s="211"/>
      <c r="K1341" s="116" t="s">
        <v>452</v>
      </c>
      <c r="M1341" s="116" t="s">
        <v>298</v>
      </c>
      <c r="N1341" s="116" t="s">
        <v>108</v>
      </c>
      <c r="O1341" s="170" t="s">
        <v>386</v>
      </c>
      <c r="P1341" s="502" t="s">
        <v>375</v>
      </c>
      <c r="Q1341" s="502"/>
      <c r="R1341" s="101" t="s">
        <v>452</v>
      </c>
      <c r="S1341" s="116" t="s">
        <v>0</v>
      </c>
      <c r="T1341" s="118"/>
      <c r="U1341" s="116" t="s">
        <v>287</v>
      </c>
      <c r="V1341" s="116" t="s">
        <v>288</v>
      </c>
      <c r="W1341" s="116" t="s">
        <v>291</v>
      </c>
      <c r="X1341" s="140"/>
      <c r="Y1341" s="116" t="s">
        <v>289</v>
      </c>
      <c r="Z1341" s="116" t="s">
        <v>354</v>
      </c>
      <c r="AA1341" s="116" t="s">
        <v>355</v>
      </c>
      <c r="AB1341" s="116" t="s">
        <v>317</v>
      </c>
      <c r="AC1341" s="116" t="s">
        <v>318</v>
      </c>
      <c r="AD1341" s="116" t="s">
        <v>316</v>
      </c>
      <c r="AE1341" s="140"/>
      <c r="AF1341" s="116" t="s">
        <v>293</v>
      </c>
      <c r="AG1341" s="116" t="s">
        <v>354</v>
      </c>
      <c r="AH1341" s="116" t="s">
        <v>355</v>
      </c>
      <c r="AI1341" s="116" t="s">
        <v>296</v>
      </c>
      <c r="AJ1341" s="116" t="s">
        <v>294</v>
      </c>
      <c r="AK1341" s="116" t="s">
        <v>295</v>
      </c>
      <c r="AL1341" s="140"/>
      <c r="AO1341" s="288"/>
      <c r="AP1341" s="284">
        <f t="shared" si="602"/>
        <v>0</v>
      </c>
      <c r="AQ1341" s="281">
        <f t="shared" si="603"/>
        <v>0</v>
      </c>
      <c r="AR1341" s="284">
        <f t="shared" si="604"/>
        <v>0</v>
      </c>
      <c r="AS1341" s="281">
        <f t="shared" si="605"/>
        <v>0</v>
      </c>
      <c r="AT1341" s="284">
        <f t="shared" si="606"/>
        <v>0</v>
      </c>
    </row>
    <row r="1342" spans="1:97" s="114" customFormat="1" ht="94.5" customHeight="1" x14ac:dyDescent="0.8">
      <c r="A1342" s="262">
        <f>ROW()</f>
        <v>1342</v>
      </c>
      <c r="C1342" s="208"/>
      <c r="D1342" s="208"/>
      <c r="E1342" s="208"/>
      <c r="F1342" s="208"/>
      <c r="G1342" s="208"/>
      <c r="H1342" s="208"/>
      <c r="L1342" s="124" t="str">
        <f>VLOOKUP(M1342,Sheet2!$D$2:$E$1024,2,FALSE)</f>
        <v>Zero</v>
      </c>
      <c r="M1342" s="121">
        <f>I1364</f>
        <v>0</v>
      </c>
      <c r="N1342" s="132" t="s">
        <v>694</v>
      </c>
      <c r="O1342" s="121" t="s">
        <v>138</v>
      </c>
      <c r="P1342" s="169" t="s">
        <v>379</v>
      </c>
      <c r="Q1342" s="169" t="s">
        <v>375</v>
      </c>
      <c r="R1342" s="169"/>
      <c r="S1342" s="133">
        <f>M1342</f>
        <v>0</v>
      </c>
      <c r="T1342" s="119"/>
      <c r="U1342" s="121" t="s">
        <v>292</v>
      </c>
      <c r="V1342" s="133">
        <f>S1342</f>
        <v>0</v>
      </c>
      <c r="W1342" s="133">
        <f>VLOOKUP(U1342,Sheet1!$B$6:$C$45,2,FALSE)*V1342</f>
        <v>0</v>
      </c>
      <c r="X1342" s="141"/>
      <c r="Y1342" s="121" t="s">
        <v>292</v>
      </c>
      <c r="Z1342" s="146">
        <f>VLOOKUP(Takeoffs!Y1342,Sheet1!$B$6:$C$124,2,FALSE)</f>
        <v>0</v>
      </c>
      <c r="AA1342" s="146">
        <f>Z1342*AB1342</f>
        <v>0</v>
      </c>
      <c r="AB1342" s="143">
        <f>AD1342*AC1342</f>
        <v>0</v>
      </c>
      <c r="AC1342" s="133">
        <f>S1342</f>
        <v>0</v>
      </c>
      <c r="AD1342" s="142">
        <v>1</v>
      </c>
      <c r="AE1342" s="141"/>
      <c r="AF1342" s="121" t="s">
        <v>292</v>
      </c>
      <c r="AG1342" s="146">
        <f>VLOOKUP(Takeoffs!AF1342,Sheet1!$B$6:$C$124,2,FALSE)</f>
        <v>0</v>
      </c>
      <c r="AH1342" s="146">
        <f>AG1342*AI1342</f>
        <v>0</v>
      </c>
      <c r="AI1342" s="143">
        <f>AK1342*AJ1342</f>
        <v>0</v>
      </c>
      <c r="AJ1342" s="133">
        <f>S1342</f>
        <v>0</v>
      </c>
      <c r="AK1342" s="142">
        <f>T1342</f>
        <v>0</v>
      </c>
      <c r="AL1342" s="141"/>
      <c r="AO1342" s="286"/>
      <c r="AP1342" s="284">
        <f t="shared" si="602"/>
        <v>0</v>
      </c>
      <c r="AQ1342" s="281">
        <f t="shared" si="603"/>
        <v>0</v>
      </c>
      <c r="AR1342" s="284">
        <f t="shared" si="604"/>
        <v>0</v>
      </c>
      <c r="AS1342" s="281">
        <f t="shared" si="605"/>
        <v>0</v>
      </c>
      <c r="AT1342" s="284">
        <f t="shared" si="606"/>
        <v>0</v>
      </c>
    </row>
    <row r="1343" spans="1:97" s="114" customFormat="1" ht="30.9" x14ac:dyDescent="0.8">
      <c r="A1343" s="262">
        <f>ROW()</f>
        <v>1343</v>
      </c>
      <c r="C1343" s="208"/>
      <c r="D1343" s="208"/>
      <c r="E1343" s="208"/>
      <c r="F1343" s="208"/>
      <c r="G1343" s="208"/>
      <c r="H1343" s="208"/>
      <c r="J1343" s="114" t="str">
        <f>IF(COUNTBLANK(Q1343)&gt;0,"",CONCATENATE("Coordination Note: - ",P1343,": Please refer to our exclusions relating to ",Q1343))</f>
        <v/>
      </c>
      <c r="K1343" s="114" t="str">
        <f>IF(COUNTBLANK(R1343)&gt;0,"",CONCATENATE(R1343," for ",N1342))</f>
        <v/>
      </c>
      <c r="M1343" s="117"/>
      <c r="N1343" s="123" t="s">
        <v>113</v>
      </c>
      <c r="O1343" s="66" t="s">
        <v>426</v>
      </c>
      <c r="P1343" s="121"/>
      <c r="Q1343" s="121"/>
      <c r="R1343" s="121"/>
      <c r="S1343" s="133">
        <f>M1342</f>
        <v>0</v>
      </c>
      <c r="T1343" s="120"/>
      <c r="U1343" s="117" t="s">
        <v>690</v>
      </c>
      <c r="V1343" s="133">
        <f t="shared" ref="V1343:V1362" si="617">S1343</f>
        <v>0</v>
      </c>
      <c r="W1343" s="133">
        <f>VLOOKUP(U1343,Sheet1!$B$6:$C$45,2,FALSE)*V1343</f>
        <v>0</v>
      </c>
      <c r="X1343" s="141"/>
      <c r="Y1343" s="121" t="s">
        <v>292</v>
      </c>
      <c r="Z1343" s="146">
        <f>VLOOKUP(Takeoffs!Y1343,Sheet1!$B$6:$C$124,2,FALSE)</f>
        <v>0</v>
      </c>
      <c r="AA1343" s="146">
        <f t="shared" ref="AA1343:AA1362" si="618">Z1343*AB1343</f>
        <v>0</v>
      </c>
      <c r="AB1343" s="143">
        <f t="shared" ref="AB1343:AB1362" si="619">AD1343*AC1343</f>
        <v>0</v>
      </c>
      <c r="AC1343" s="133">
        <f t="shared" ref="AC1343:AC1362" si="620">S1343</f>
        <v>0</v>
      </c>
      <c r="AD1343" s="142">
        <v>1</v>
      </c>
      <c r="AE1343" s="141"/>
      <c r="AF1343" s="122" t="s">
        <v>269</v>
      </c>
      <c r="AG1343" s="146">
        <f>VLOOKUP(Takeoffs!AF1343,Sheet1!$B$6:$C$124,2,FALSE)</f>
        <v>1.056</v>
      </c>
      <c r="AH1343" s="146">
        <f t="shared" ref="AH1343:AH1362" si="621">AG1343*AI1343</f>
        <v>0</v>
      </c>
      <c r="AI1343" s="143">
        <f t="shared" ref="AI1343:AI1362" si="622">AK1343*AJ1343</f>
        <v>0</v>
      </c>
      <c r="AJ1343" s="133">
        <f t="shared" ref="AJ1343:AJ1350" si="623">S1343</f>
        <v>0</v>
      </c>
      <c r="AK1343" s="142">
        <v>10</v>
      </c>
      <c r="AL1343" s="141"/>
      <c r="AO1343" s="286"/>
      <c r="AP1343" s="284">
        <f t="shared" si="602"/>
        <v>0</v>
      </c>
      <c r="AQ1343" s="281">
        <f t="shared" si="603"/>
        <v>0</v>
      </c>
      <c r="AR1343" s="284">
        <f t="shared" si="604"/>
        <v>0</v>
      </c>
      <c r="AS1343" s="281">
        <f t="shared" si="605"/>
        <v>0</v>
      </c>
      <c r="AT1343" s="284">
        <f t="shared" si="606"/>
        <v>0</v>
      </c>
    </row>
    <row r="1344" spans="1:97" s="114" customFormat="1" ht="30.9" x14ac:dyDescent="0.8">
      <c r="A1344" s="262">
        <f>ROW()</f>
        <v>1344</v>
      </c>
      <c r="C1344" s="208"/>
      <c r="D1344" s="208"/>
      <c r="E1344" s="208"/>
      <c r="F1344" s="208"/>
      <c r="G1344" s="208"/>
      <c r="H1344" s="208"/>
      <c r="J1344" s="114" t="str">
        <f t="shared" ref="J1344:J1362" si="624">IF(COUNTBLANK(Q1344)&gt;0,"",CONCATENATE("Coordination Note: - ",P1344,": Please refer to our exclusions relating to ",Q1344))</f>
        <v/>
      </c>
      <c r="K1344" s="114" t="str">
        <f>IF(COUNTBLANK(R1344)&gt;0,"",CONCATENATE(R1344," for ",N1342))</f>
        <v/>
      </c>
      <c r="M1344" s="117"/>
      <c r="N1344" s="123" t="s">
        <v>114</v>
      </c>
      <c r="O1344" s="66" t="s">
        <v>392</v>
      </c>
      <c r="P1344" s="121"/>
      <c r="Q1344" s="121"/>
      <c r="R1344" s="121"/>
      <c r="S1344" s="133">
        <f>M1342</f>
        <v>0</v>
      </c>
      <c r="T1344" s="120"/>
      <c r="U1344" s="117" t="s">
        <v>302</v>
      </c>
      <c r="V1344" s="133">
        <f t="shared" si="617"/>
        <v>0</v>
      </c>
      <c r="W1344" s="133">
        <f>VLOOKUP(U1344,Sheet1!$B$6:$C$45,2,FALSE)*V1344</f>
        <v>0</v>
      </c>
      <c r="X1344" s="141"/>
      <c r="Y1344" s="121" t="s">
        <v>292</v>
      </c>
      <c r="Z1344" s="146">
        <f>VLOOKUP(Takeoffs!Y1344,Sheet1!$B$6:$C$124,2,FALSE)</f>
        <v>0</v>
      </c>
      <c r="AA1344" s="146">
        <f t="shared" si="618"/>
        <v>0</v>
      </c>
      <c r="AB1344" s="143">
        <f t="shared" si="619"/>
        <v>0</v>
      </c>
      <c r="AC1344" s="133">
        <f t="shared" si="620"/>
        <v>0</v>
      </c>
      <c r="AD1344" s="142">
        <v>1</v>
      </c>
      <c r="AE1344" s="141"/>
      <c r="AF1344" s="122" t="s">
        <v>268</v>
      </c>
      <c r="AG1344" s="146">
        <f>VLOOKUP(Takeoffs!AF1344,Sheet1!$B$6:$C$124,2,FALSE)</f>
        <v>1.02</v>
      </c>
      <c r="AH1344" s="146">
        <f t="shared" si="621"/>
        <v>0</v>
      </c>
      <c r="AI1344" s="143">
        <f t="shared" si="622"/>
        <v>0</v>
      </c>
      <c r="AJ1344" s="133">
        <f t="shared" si="623"/>
        <v>0</v>
      </c>
      <c r="AK1344" s="142">
        <v>10</v>
      </c>
      <c r="AL1344" s="141"/>
      <c r="AO1344" s="286"/>
      <c r="AP1344" s="284">
        <f t="shared" si="602"/>
        <v>0</v>
      </c>
      <c r="AQ1344" s="281">
        <f t="shared" si="603"/>
        <v>0</v>
      </c>
      <c r="AR1344" s="284">
        <f t="shared" si="604"/>
        <v>0</v>
      </c>
      <c r="AS1344" s="281">
        <f t="shared" si="605"/>
        <v>0</v>
      </c>
      <c r="AT1344" s="284">
        <f t="shared" si="606"/>
        <v>0</v>
      </c>
    </row>
    <row r="1345" spans="1:46" s="114" customFormat="1" ht="30.9" x14ac:dyDescent="0.8">
      <c r="A1345" s="262">
        <f>ROW()</f>
        <v>1345</v>
      </c>
      <c r="C1345" s="208"/>
      <c r="D1345" s="208"/>
      <c r="E1345" s="208"/>
      <c r="F1345" s="208"/>
      <c r="G1345" s="208"/>
      <c r="H1345" s="208"/>
      <c r="J1345" s="114" t="str">
        <f t="shared" si="624"/>
        <v/>
      </c>
      <c r="K1345" s="114" t="str">
        <f>IF(COUNTBLANK(R1345)&gt;0,"",CONCATENATE(R1345," for ",N1342))</f>
        <v/>
      </c>
      <c r="M1345" s="117"/>
      <c r="N1345" s="123" t="s">
        <v>115</v>
      </c>
      <c r="O1345" s="66" t="s">
        <v>413</v>
      </c>
      <c r="P1345" s="121"/>
      <c r="Q1345" s="121"/>
      <c r="R1345" s="121"/>
      <c r="S1345" s="133">
        <f>M1342</f>
        <v>0</v>
      </c>
      <c r="T1345" s="120"/>
      <c r="U1345" s="121" t="s">
        <v>292</v>
      </c>
      <c r="V1345" s="133">
        <f t="shared" si="617"/>
        <v>0</v>
      </c>
      <c r="W1345" s="133">
        <f>VLOOKUP(U1345,Sheet1!$B$6:$C$45,2,FALSE)*V1345</f>
        <v>0</v>
      </c>
      <c r="X1345" s="141"/>
      <c r="Y1345" s="121" t="s">
        <v>292</v>
      </c>
      <c r="Z1345" s="146">
        <f>VLOOKUP(Takeoffs!Y1345,Sheet1!$B$6:$C$124,2,FALSE)</f>
        <v>0</v>
      </c>
      <c r="AA1345" s="146">
        <f t="shared" si="618"/>
        <v>0</v>
      </c>
      <c r="AB1345" s="143">
        <f t="shared" si="619"/>
        <v>0</v>
      </c>
      <c r="AC1345" s="133">
        <f t="shared" si="620"/>
        <v>0</v>
      </c>
      <c r="AD1345" s="142">
        <v>2</v>
      </c>
      <c r="AE1345" s="141"/>
      <c r="AF1345" s="121" t="s">
        <v>292</v>
      </c>
      <c r="AG1345" s="146">
        <f>VLOOKUP(Takeoffs!AF1345,Sheet1!$B$6:$C$124,2,FALSE)</f>
        <v>0</v>
      </c>
      <c r="AH1345" s="146">
        <f t="shared" si="621"/>
        <v>0</v>
      </c>
      <c r="AI1345" s="143">
        <f t="shared" si="622"/>
        <v>0</v>
      </c>
      <c r="AJ1345" s="133">
        <f t="shared" si="623"/>
        <v>0</v>
      </c>
      <c r="AK1345" s="142">
        <f>T1345</f>
        <v>0</v>
      </c>
      <c r="AL1345" s="141"/>
      <c r="AO1345" s="286"/>
      <c r="AP1345" s="284">
        <f t="shared" si="602"/>
        <v>0</v>
      </c>
      <c r="AQ1345" s="281">
        <f t="shared" si="603"/>
        <v>0</v>
      </c>
      <c r="AR1345" s="284">
        <f t="shared" si="604"/>
        <v>0</v>
      </c>
      <c r="AS1345" s="281">
        <f t="shared" si="605"/>
        <v>0</v>
      </c>
      <c r="AT1345" s="284">
        <f t="shared" si="606"/>
        <v>0</v>
      </c>
    </row>
    <row r="1346" spans="1:46" s="114" customFormat="1" ht="30.9" x14ac:dyDescent="0.8">
      <c r="A1346" s="262">
        <f>ROW()</f>
        <v>1346</v>
      </c>
      <c r="C1346" s="208"/>
      <c r="D1346" s="208"/>
      <c r="E1346" s="208"/>
      <c r="F1346" s="208"/>
      <c r="G1346" s="208"/>
      <c r="H1346" s="208"/>
      <c r="J1346" s="114" t="str">
        <f t="shared" si="624"/>
        <v xml:space="preserve">Coordination Note: - AC system supplier : Please refer to our exclusions relating to wireless air-conditioning controllers. </v>
      </c>
      <c r="K1346" s="114" t="str">
        <f>IF(COUNTBLANK(R1346)&gt;0,"",CONCATENATE(R1346," for ",N1342))</f>
        <v/>
      </c>
      <c r="M1346" s="117"/>
      <c r="N1346" s="123" t="s">
        <v>116</v>
      </c>
      <c r="O1346" s="66"/>
      <c r="P1346" s="121" t="s">
        <v>447</v>
      </c>
      <c r="Q1346" s="121" t="s">
        <v>689</v>
      </c>
      <c r="R1346" s="121"/>
      <c r="S1346" s="133">
        <f>M1342</f>
        <v>0</v>
      </c>
      <c r="T1346" s="120"/>
      <c r="U1346" s="121" t="s">
        <v>292</v>
      </c>
      <c r="V1346" s="133">
        <f t="shared" si="617"/>
        <v>0</v>
      </c>
      <c r="W1346" s="133">
        <f>VLOOKUP(U1346,Sheet1!$B$6:$C$45,2,FALSE)*V1346</f>
        <v>0</v>
      </c>
      <c r="X1346" s="141"/>
      <c r="Y1346" s="121" t="s">
        <v>292</v>
      </c>
      <c r="Z1346" s="146">
        <f>VLOOKUP(Takeoffs!Y1346,Sheet1!$B$6:$C$124,2,FALSE)</f>
        <v>0</v>
      </c>
      <c r="AA1346" s="146">
        <f t="shared" si="618"/>
        <v>0</v>
      </c>
      <c r="AB1346" s="143">
        <f t="shared" si="619"/>
        <v>0</v>
      </c>
      <c r="AC1346" s="133">
        <f t="shared" si="620"/>
        <v>0</v>
      </c>
      <c r="AD1346" s="142">
        <v>1</v>
      </c>
      <c r="AE1346" s="141"/>
      <c r="AF1346" s="121" t="s">
        <v>292</v>
      </c>
      <c r="AG1346" s="146">
        <f>VLOOKUP(Takeoffs!AF1346,Sheet1!$B$6:$C$124,2,FALSE)</f>
        <v>0</v>
      </c>
      <c r="AH1346" s="146">
        <f t="shared" si="621"/>
        <v>0</v>
      </c>
      <c r="AI1346" s="143">
        <f t="shared" si="622"/>
        <v>0</v>
      </c>
      <c r="AJ1346" s="133">
        <f t="shared" si="623"/>
        <v>0</v>
      </c>
      <c r="AK1346" s="142">
        <f>T1346</f>
        <v>0</v>
      </c>
      <c r="AL1346" s="141"/>
      <c r="AO1346" s="286"/>
      <c r="AP1346" s="284">
        <f t="shared" si="602"/>
        <v>0</v>
      </c>
      <c r="AQ1346" s="281">
        <f t="shared" si="603"/>
        <v>0</v>
      </c>
      <c r="AR1346" s="284">
        <f t="shared" si="604"/>
        <v>0</v>
      </c>
      <c r="AS1346" s="281">
        <f t="shared" si="605"/>
        <v>0</v>
      </c>
      <c r="AT1346" s="284">
        <f t="shared" si="606"/>
        <v>0</v>
      </c>
    </row>
    <row r="1347" spans="1:46" s="114" customFormat="1" ht="30.9" x14ac:dyDescent="0.8">
      <c r="A1347" s="262">
        <f>ROW()</f>
        <v>1347</v>
      </c>
      <c r="C1347" s="208"/>
      <c r="D1347" s="208"/>
      <c r="E1347" s="208"/>
      <c r="F1347" s="208"/>
      <c r="G1347" s="208"/>
      <c r="H1347" s="208"/>
      <c r="J1347" s="114" t="str">
        <f t="shared" si="624"/>
        <v>Coordination Note: - Builders Electrician: Please refer to our exclusions relating to power supply to outdoor unit</v>
      </c>
      <c r="K1347" s="114" t="str">
        <f>IF(COUNTBLANK(R1347)&gt;0,"",CONCATENATE(R1347," for ",N1342))</f>
        <v/>
      </c>
      <c r="M1347" s="117"/>
      <c r="N1347" s="123" t="s">
        <v>117</v>
      </c>
      <c r="O1347" s="66" t="s">
        <v>507</v>
      </c>
      <c r="P1347" s="121" t="s">
        <v>420</v>
      </c>
      <c r="Q1347" s="121" t="s">
        <v>691</v>
      </c>
      <c r="R1347" s="121"/>
      <c r="S1347" s="133">
        <f>M1342</f>
        <v>0</v>
      </c>
      <c r="T1347" s="120"/>
      <c r="U1347" s="121" t="s">
        <v>292</v>
      </c>
      <c r="V1347" s="133">
        <f t="shared" si="617"/>
        <v>0</v>
      </c>
      <c r="W1347" s="133">
        <f>VLOOKUP(U1347,Sheet1!$B$6:$C$45,2,FALSE)*V1347</f>
        <v>0</v>
      </c>
      <c r="X1347" s="141"/>
      <c r="Y1347" s="121" t="s">
        <v>292</v>
      </c>
      <c r="Z1347" s="146">
        <f>VLOOKUP(Takeoffs!Y1347,Sheet1!$B$6:$C$124,2,FALSE)</f>
        <v>0</v>
      </c>
      <c r="AA1347" s="146">
        <f t="shared" si="618"/>
        <v>0</v>
      </c>
      <c r="AB1347" s="143">
        <f t="shared" si="619"/>
        <v>0</v>
      </c>
      <c r="AC1347" s="133">
        <f t="shared" si="620"/>
        <v>0</v>
      </c>
      <c r="AD1347" s="142">
        <v>2</v>
      </c>
      <c r="AE1347" s="141"/>
      <c r="AF1347" s="122" t="s">
        <v>268</v>
      </c>
      <c r="AG1347" s="146">
        <f>VLOOKUP(Takeoffs!AF1347,Sheet1!$B$6:$C$124,2,FALSE)</f>
        <v>1.02</v>
      </c>
      <c r="AH1347" s="146">
        <f t="shared" si="621"/>
        <v>0</v>
      </c>
      <c r="AI1347" s="143">
        <f t="shared" si="622"/>
        <v>0</v>
      </c>
      <c r="AJ1347" s="133">
        <f t="shared" si="623"/>
        <v>0</v>
      </c>
      <c r="AK1347" s="142">
        <v>10</v>
      </c>
      <c r="AL1347" s="141"/>
      <c r="AO1347" s="286"/>
      <c r="AP1347" s="284">
        <f t="shared" si="602"/>
        <v>0</v>
      </c>
      <c r="AQ1347" s="281">
        <f t="shared" si="603"/>
        <v>0</v>
      </c>
      <c r="AR1347" s="284">
        <f t="shared" si="604"/>
        <v>0</v>
      </c>
      <c r="AS1347" s="281">
        <f t="shared" si="605"/>
        <v>0</v>
      </c>
      <c r="AT1347" s="284">
        <f t="shared" si="606"/>
        <v>0</v>
      </c>
    </row>
    <row r="1348" spans="1:46" s="114" customFormat="1" ht="30.9" x14ac:dyDescent="0.8">
      <c r="A1348" s="262">
        <f>ROW()</f>
        <v>1348</v>
      </c>
      <c r="C1348" s="208"/>
      <c r="D1348" s="208"/>
      <c r="E1348" s="208"/>
      <c r="F1348" s="208"/>
      <c r="G1348" s="208"/>
      <c r="H1348" s="208"/>
      <c r="J1348" s="114" t="str">
        <f t="shared" si="624"/>
        <v/>
      </c>
      <c r="K1348" s="114" t="str">
        <f>IF(COUNTBLANK(R1348)&gt;0,"",CONCATENATE(R1348," for ",N1342))</f>
        <v/>
      </c>
      <c r="M1348" s="117"/>
      <c r="N1348" s="123" t="s">
        <v>118</v>
      </c>
      <c r="O1348" s="66"/>
      <c r="P1348" s="121"/>
      <c r="Q1348" s="121"/>
      <c r="R1348" s="121"/>
      <c r="S1348" s="133">
        <f>M1342</f>
        <v>0</v>
      </c>
      <c r="T1348" s="120"/>
      <c r="U1348" s="121" t="s">
        <v>292</v>
      </c>
      <c r="V1348" s="133">
        <f t="shared" si="617"/>
        <v>0</v>
      </c>
      <c r="W1348" s="133">
        <f>VLOOKUP(U1348,Sheet1!$B$6:$C$45,2,FALSE)*V1348</f>
        <v>0</v>
      </c>
      <c r="X1348" s="141"/>
      <c r="Y1348" s="121" t="s">
        <v>292</v>
      </c>
      <c r="Z1348" s="146">
        <f>VLOOKUP(Takeoffs!Y1348,Sheet1!$B$6:$C$124,2,FALSE)</f>
        <v>0</v>
      </c>
      <c r="AA1348" s="146">
        <f t="shared" si="618"/>
        <v>0</v>
      </c>
      <c r="AB1348" s="143">
        <f t="shared" si="619"/>
        <v>0</v>
      </c>
      <c r="AC1348" s="133">
        <f t="shared" si="620"/>
        <v>0</v>
      </c>
      <c r="AD1348" s="142">
        <v>1</v>
      </c>
      <c r="AE1348" s="141"/>
      <c r="AF1348" s="121" t="s">
        <v>292</v>
      </c>
      <c r="AG1348" s="146">
        <f>VLOOKUP(Takeoffs!AF1348,Sheet1!$B$6:$C$124,2,FALSE)</f>
        <v>0</v>
      </c>
      <c r="AH1348" s="146">
        <f t="shared" si="621"/>
        <v>0</v>
      </c>
      <c r="AI1348" s="143">
        <f t="shared" si="622"/>
        <v>0</v>
      </c>
      <c r="AJ1348" s="133">
        <f t="shared" si="623"/>
        <v>0</v>
      </c>
      <c r="AK1348" s="142">
        <f t="shared" ref="AK1348:AK1362" si="625">T1348</f>
        <v>0</v>
      </c>
      <c r="AL1348" s="141"/>
      <c r="AO1348" s="286"/>
      <c r="AP1348" s="284">
        <f t="shared" si="602"/>
        <v>0</v>
      </c>
      <c r="AQ1348" s="281">
        <f t="shared" si="603"/>
        <v>0</v>
      </c>
      <c r="AR1348" s="284">
        <f t="shared" si="604"/>
        <v>0</v>
      </c>
      <c r="AS1348" s="281">
        <f t="shared" si="605"/>
        <v>0</v>
      </c>
      <c r="AT1348" s="284">
        <f t="shared" si="606"/>
        <v>0</v>
      </c>
    </row>
    <row r="1349" spans="1:46" s="114" customFormat="1" ht="30.9" x14ac:dyDescent="0.8">
      <c r="A1349" s="262">
        <f>ROW()</f>
        <v>1349</v>
      </c>
      <c r="C1349" s="208"/>
      <c r="D1349" s="208"/>
      <c r="E1349" s="208"/>
      <c r="F1349" s="208"/>
      <c r="G1349" s="208"/>
      <c r="H1349" s="208"/>
      <c r="J1349" s="114" t="str">
        <f t="shared" si="624"/>
        <v/>
      </c>
      <c r="K1349" s="114" t="str">
        <f>IF(COUNTBLANK(R1349)&gt;0,"",CONCATENATE(R1349," for ",N1342))</f>
        <v/>
      </c>
      <c r="N1349" s="123" t="s">
        <v>119</v>
      </c>
      <c r="O1349" s="66"/>
      <c r="P1349" s="121"/>
      <c r="Q1349" s="121"/>
      <c r="R1349" s="121"/>
      <c r="S1349" s="133">
        <f>M1342</f>
        <v>0</v>
      </c>
      <c r="T1349" s="120"/>
      <c r="U1349" s="121" t="s">
        <v>292</v>
      </c>
      <c r="V1349" s="133">
        <f t="shared" si="617"/>
        <v>0</v>
      </c>
      <c r="W1349" s="133">
        <f>VLOOKUP(U1349,Sheet1!$B$6:$C$45,2,FALSE)*V1349</f>
        <v>0</v>
      </c>
      <c r="X1349" s="141"/>
      <c r="Y1349" s="121" t="s">
        <v>292</v>
      </c>
      <c r="Z1349" s="146">
        <f>VLOOKUP(Takeoffs!Y1349,Sheet1!$B$6:$C$124,2,FALSE)</f>
        <v>0</v>
      </c>
      <c r="AA1349" s="146">
        <f t="shared" si="618"/>
        <v>0</v>
      </c>
      <c r="AB1349" s="143">
        <f t="shared" si="619"/>
        <v>0</v>
      </c>
      <c r="AC1349" s="133">
        <f t="shared" si="620"/>
        <v>0</v>
      </c>
      <c r="AD1349" s="142">
        <v>1</v>
      </c>
      <c r="AE1349" s="141"/>
      <c r="AF1349" s="121" t="s">
        <v>292</v>
      </c>
      <c r="AG1349" s="146">
        <f>VLOOKUP(Takeoffs!AF1349,Sheet1!$B$6:$C$124,2,FALSE)</f>
        <v>0</v>
      </c>
      <c r="AH1349" s="146">
        <f t="shared" si="621"/>
        <v>0</v>
      </c>
      <c r="AI1349" s="143">
        <f t="shared" si="622"/>
        <v>0</v>
      </c>
      <c r="AJ1349" s="133">
        <f t="shared" si="623"/>
        <v>0</v>
      </c>
      <c r="AK1349" s="142">
        <f t="shared" si="625"/>
        <v>0</v>
      </c>
      <c r="AL1349" s="141"/>
      <c r="AO1349" s="286"/>
      <c r="AP1349" s="284">
        <f t="shared" si="602"/>
        <v>0</v>
      </c>
      <c r="AQ1349" s="281">
        <f t="shared" si="603"/>
        <v>0</v>
      </c>
      <c r="AR1349" s="284">
        <f t="shared" si="604"/>
        <v>0</v>
      </c>
      <c r="AS1349" s="281">
        <f t="shared" si="605"/>
        <v>0</v>
      </c>
      <c r="AT1349" s="284">
        <f t="shared" si="606"/>
        <v>0</v>
      </c>
    </row>
    <row r="1350" spans="1:46" s="114" customFormat="1" ht="30.9" x14ac:dyDescent="0.8">
      <c r="A1350" s="262">
        <f>ROW()</f>
        <v>1350</v>
      </c>
      <c r="C1350" s="208"/>
      <c r="D1350" s="208"/>
      <c r="E1350" s="208"/>
      <c r="F1350" s="208"/>
      <c r="G1350" s="208"/>
      <c r="H1350" s="208"/>
      <c r="J1350" s="114" t="str">
        <f t="shared" si="624"/>
        <v/>
      </c>
      <c r="K1350" s="114" t="str">
        <f>IF(COUNTBLANK(R1350)&gt;0,"",CONCATENATE(R1350," for ",N1342))</f>
        <v/>
      </c>
      <c r="N1350" s="123" t="s">
        <v>120</v>
      </c>
      <c r="O1350" s="66"/>
      <c r="P1350" s="121"/>
      <c r="Q1350" s="121"/>
      <c r="R1350" s="121"/>
      <c r="S1350" s="133">
        <f>M1342</f>
        <v>0</v>
      </c>
      <c r="T1350" s="120"/>
      <c r="U1350" s="121" t="s">
        <v>292</v>
      </c>
      <c r="V1350" s="133">
        <f t="shared" si="617"/>
        <v>0</v>
      </c>
      <c r="W1350" s="133">
        <f>VLOOKUP(U1350,Sheet1!$B$6:$C$45,2,FALSE)*V1350</f>
        <v>0</v>
      </c>
      <c r="X1350" s="141"/>
      <c r="Y1350" s="121" t="s">
        <v>292</v>
      </c>
      <c r="Z1350" s="146">
        <f>VLOOKUP(Takeoffs!Y1350,Sheet1!$B$6:$C$124,2,FALSE)</f>
        <v>0</v>
      </c>
      <c r="AA1350" s="146">
        <f t="shared" si="618"/>
        <v>0</v>
      </c>
      <c r="AB1350" s="143">
        <f t="shared" si="619"/>
        <v>0</v>
      </c>
      <c r="AC1350" s="133">
        <f t="shared" si="620"/>
        <v>0</v>
      </c>
      <c r="AD1350" s="142">
        <v>1</v>
      </c>
      <c r="AE1350" s="141"/>
      <c r="AF1350" s="121" t="s">
        <v>292</v>
      </c>
      <c r="AG1350" s="146">
        <f>VLOOKUP(Takeoffs!AF1350,Sheet1!$B$6:$C$124,2,FALSE)</f>
        <v>0</v>
      </c>
      <c r="AH1350" s="146">
        <f t="shared" si="621"/>
        <v>0</v>
      </c>
      <c r="AI1350" s="143">
        <f t="shared" si="622"/>
        <v>0</v>
      </c>
      <c r="AJ1350" s="133">
        <f t="shared" si="623"/>
        <v>0</v>
      </c>
      <c r="AK1350" s="142">
        <f t="shared" si="625"/>
        <v>0</v>
      </c>
      <c r="AL1350" s="141"/>
      <c r="AO1350" s="286"/>
      <c r="AP1350" s="284">
        <f t="shared" si="602"/>
        <v>0</v>
      </c>
      <c r="AQ1350" s="281">
        <f t="shared" si="603"/>
        <v>0</v>
      </c>
      <c r="AR1350" s="284">
        <f t="shared" si="604"/>
        <v>0</v>
      </c>
      <c r="AS1350" s="281">
        <f t="shared" si="605"/>
        <v>0</v>
      </c>
      <c r="AT1350" s="284">
        <f t="shared" si="606"/>
        <v>0</v>
      </c>
    </row>
    <row r="1351" spans="1:46" s="114" customFormat="1" ht="30.9" x14ac:dyDescent="0.8">
      <c r="A1351" s="262">
        <f>ROW()</f>
        <v>1351</v>
      </c>
      <c r="C1351" s="208"/>
      <c r="D1351" s="208"/>
      <c r="E1351" s="208"/>
      <c r="F1351" s="208"/>
      <c r="G1351" s="208"/>
      <c r="H1351" s="208"/>
      <c r="J1351" s="114" t="str">
        <f t="shared" si="624"/>
        <v/>
      </c>
      <c r="K1351" s="114" t="str">
        <f>IF(COUNTBLANK(R1351)&gt;0,"",CONCATENATE(R1351," for ",N1342))</f>
        <v/>
      </c>
      <c r="N1351" s="123" t="s">
        <v>121</v>
      </c>
      <c r="O1351" s="66"/>
      <c r="P1351" s="121"/>
      <c r="Q1351" s="121"/>
      <c r="R1351" s="121"/>
      <c r="S1351" s="133">
        <f>M1342</f>
        <v>0</v>
      </c>
      <c r="T1351" s="120"/>
      <c r="U1351" s="121" t="s">
        <v>292</v>
      </c>
      <c r="V1351" s="133">
        <f t="shared" si="617"/>
        <v>0</v>
      </c>
      <c r="W1351" s="133">
        <f>VLOOKUP(U1351,Sheet1!$B$6:$C$45,2,FALSE)*V1351</f>
        <v>0</v>
      </c>
      <c r="X1351" s="141"/>
      <c r="Y1351" s="121" t="s">
        <v>292</v>
      </c>
      <c r="Z1351" s="146">
        <f>VLOOKUP(Takeoffs!Y1351,Sheet1!$B$6:$C$124,2,FALSE)</f>
        <v>0</v>
      </c>
      <c r="AA1351" s="146">
        <f t="shared" si="618"/>
        <v>0</v>
      </c>
      <c r="AB1351" s="143">
        <f t="shared" si="619"/>
        <v>0</v>
      </c>
      <c r="AC1351" s="133">
        <f t="shared" si="620"/>
        <v>0</v>
      </c>
      <c r="AD1351" s="142">
        <v>1</v>
      </c>
      <c r="AE1351" s="141"/>
      <c r="AF1351" s="121" t="s">
        <v>292</v>
      </c>
      <c r="AG1351" s="146">
        <f>VLOOKUP(Takeoffs!AF1351,Sheet1!$B$6:$C$124,2,FALSE)</f>
        <v>0</v>
      </c>
      <c r="AH1351" s="146">
        <f t="shared" si="621"/>
        <v>0</v>
      </c>
      <c r="AI1351" s="143">
        <f t="shared" si="622"/>
        <v>0</v>
      </c>
      <c r="AJ1351" s="133">
        <f t="shared" ref="AJ1351:AJ1362" si="626">S1351</f>
        <v>0</v>
      </c>
      <c r="AK1351" s="142">
        <f t="shared" si="625"/>
        <v>0</v>
      </c>
      <c r="AL1351" s="141"/>
      <c r="AO1351" s="286"/>
      <c r="AP1351" s="284">
        <f t="shared" si="602"/>
        <v>0</v>
      </c>
      <c r="AQ1351" s="281">
        <f t="shared" si="603"/>
        <v>0</v>
      </c>
      <c r="AR1351" s="284">
        <f t="shared" si="604"/>
        <v>0</v>
      </c>
      <c r="AS1351" s="281">
        <f t="shared" si="605"/>
        <v>0</v>
      </c>
      <c r="AT1351" s="284">
        <f t="shared" si="606"/>
        <v>0</v>
      </c>
    </row>
    <row r="1352" spans="1:46" s="114" customFormat="1" ht="30.9" x14ac:dyDescent="0.8">
      <c r="A1352" s="262">
        <f>ROW()</f>
        <v>1352</v>
      </c>
      <c r="C1352" s="208"/>
      <c r="D1352" s="208"/>
      <c r="E1352" s="208"/>
      <c r="F1352" s="208"/>
      <c r="G1352" s="208"/>
      <c r="H1352" s="208"/>
      <c r="J1352" s="114" t="str">
        <f t="shared" si="624"/>
        <v/>
      </c>
      <c r="K1352" s="114" t="str">
        <f>IF(COUNTBLANK(R1352)&gt;0,"",CONCATENATE(R1352," for ",N1342))</f>
        <v/>
      </c>
      <c r="N1352" s="123" t="s">
        <v>122</v>
      </c>
      <c r="O1352" s="66"/>
      <c r="P1352" s="121"/>
      <c r="Q1352" s="121"/>
      <c r="R1352" s="121"/>
      <c r="S1352" s="133">
        <f>M1342</f>
        <v>0</v>
      </c>
      <c r="T1352" s="120"/>
      <c r="U1352" s="121" t="s">
        <v>292</v>
      </c>
      <c r="V1352" s="133">
        <f t="shared" si="617"/>
        <v>0</v>
      </c>
      <c r="W1352" s="133">
        <f>VLOOKUP(U1352,Sheet1!$B$6:$C$45,2,FALSE)*V1352</f>
        <v>0</v>
      </c>
      <c r="X1352" s="141"/>
      <c r="Y1352" s="121" t="s">
        <v>292</v>
      </c>
      <c r="Z1352" s="146">
        <f>VLOOKUP(Takeoffs!Y1352,Sheet1!$B$6:$C$124,2,FALSE)</f>
        <v>0</v>
      </c>
      <c r="AA1352" s="146">
        <f t="shared" si="618"/>
        <v>0</v>
      </c>
      <c r="AB1352" s="143">
        <f t="shared" si="619"/>
        <v>0</v>
      </c>
      <c r="AC1352" s="133">
        <f t="shared" si="620"/>
        <v>0</v>
      </c>
      <c r="AD1352" s="142">
        <v>1</v>
      </c>
      <c r="AE1352" s="141"/>
      <c r="AF1352" s="121" t="s">
        <v>292</v>
      </c>
      <c r="AG1352" s="146">
        <f>VLOOKUP(Takeoffs!AF1352,Sheet1!$B$6:$C$124,2,FALSE)</f>
        <v>0</v>
      </c>
      <c r="AH1352" s="146">
        <f t="shared" si="621"/>
        <v>0</v>
      </c>
      <c r="AI1352" s="143">
        <f t="shared" si="622"/>
        <v>0</v>
      </c>
      <c r="AJ1352" s="133">
        <f t="shared" si="626"/>
        <v>0</v>
      </c>
      <c r="AK1352" s="142">
        <f t="shared" si="625"/>
        <v>0</v>
      </c>
      <c r="AL1352" s="141"/>
      <c r="AO1352" s="286"/>
      <c r="AP1352" s="284">
        <f t="shared" si="602"/>
        <v>0</v>
      </c>
      <c r="AQ1352" s="281">
        <f t="shared" si="603"/>
        <v>0</v>
      </c>
      <c r="AR1352" s="284">
        <f t="shared" si="604"/>
        <v>0</v>
      </c>
      <c r="AS1352" s="281">
        <f t="shared" si="605"/>
        <v>0</v>
      </c>
      <c r="AT1352" s="284">
        <f t="shared" si="606"/>
        <v>0</v>
      </c>
    </row>
    <row r="1353" spans="1:46" s="114" customFormat="1" ht="30.9" x14ac:dyDescent="0.8">
      <c r="A1353" s="262">
        <f>ROW()</f>
        <v>1353</v>
      </c>
      <c r="C1353" s="208"/>
      <c r="D1353" s="208"/>
      <c r="E1353" s="208"/>
      <c r="F1353" s="208"/>
      <c r="G1353" s="208"/>
      <c r="H1353" s="208"/>
      <c r="J1353" s="114" t="str">
        <f t="shared" si="624"/>
        <v/>
      </c>
      <c r="K1353" s="114" t="str">
        <f>IF(COUNTBLANK(R1353)&gt;0,"",CONCATENATE(R1353," for ",N1342))</f>
        <v/>
      </c>
      <c r="N1353" s="123" t="s">
        <v>123</v>
      </c>
      <c r="O1353" s="66"/>
      <c r="P1353" s="121"/>
      <c r="Q1353" s="121"/>
      <c r="R1353" s="121"/>
      <c r="S1353" s="133">
        <f>M1342</f>
        <v>0</v>
      </c>
      <c r="T1353" s="120"/>
      <c r="U1353" s="121" t="s">
        <v>292</v>
      </c>
      <c r="V1353" s="133">
        <f t="shared" si="617"/>
        <v>0</v>
      </c>
      <c r="W1353" s="133">
        <f>VLOOKUP(U1353,Sheet1!$B$6:$C$45,2,FALSE)*V1353</f>
        <v>0</v>
      </c>
      <c r="X1353" s="141"/>
      <c r="Y1353" s="121" t="s">
        <v>292</v>
      </c>
      <c r="Z1353" s="146">
        <f>VLOOKUP(Takeoffs!Y1353,Sheet1!$B$6:$C$124,2,FALSE)</f>
        <v>0</v>
      </c>
      <c r="AA1353" s="146">
        <f t="shared" si="618"/>
        <v>0</v>
      </c>
      <c r="AB1353" s="143">
        <f t="shared" si="619"/>
        <v>0</v>
      </c>
      <c r="AC1353" s="133">
        <f t="shared" si="620"/>
        <v>0</v>
      </c>
      <c r="AD1353" s="142">
        <v>1</v>
      </c>
      <c r="AE1353" s="141"/>
      <c r="AF1353" s="121" t="s">
        <v>292</v>
      </c>
      <c r="AG1353" s="146">
        <f>VLOOKUP(Takeoffs!AF1353,Sheet1!$B$6:$C$124,2,FALSE)</f>
        <v>0</v>
      </c>
      <c r="AH1353" s="146">
        <f t="shared" si="621"/>
        <v>0</v>
      </c>
      <c r="AI1353" s="143">
        <f t="shared" si="622"/>
        <v>0</v>
      </c>
      <c r="AJ1353" s="133">
        <f t="shared" si="626"/>
        <v>0</v>
      </c>
      <c r="AK1353" s="142">
        <f t="shared" si="625"/>
        <v>0</v>
      </c>
      <c r="AL1353" s="141"/>
      <c r="AO1353" s="286"/>
      <c r="AP1353" s="284">
        <f t="shared" si="602"/>
        <v>0</v>
      </c>
      <c r="AQ1353" s="281">
        <f t="shared" si="603"/>
        <v>0</v>
      </c>
      <c r="AR1353" s="284">
        <f t="shared" si="604"/>
        <v>0</v>
      </c>
      <c r="AS1353" s="281">
        <f t="shared" si="605"/>
        <v>0</v>
      </c>
      <c r="AT1353" s="284">
        <f t="shared" si="606"/>
        <v>0</v>
      </c>
    </row>
    <row r="1354" spans="1:46" s="114" customFormat="1" ht="30.9" x14ac:dyDescent="0.8">
      <c r="A1354" s="262">
        <f>ROW()</f>
        <v>1354</v>
      </c>
      <c r="C1354" s="208"/>
      <c r="D1354" s="208"/>
      <c r="E1354" s="208"/>
      <c r="F1354" s="208"/>
      <c r="G1354" s="208"/>
      <c r="H1354" s="208"/>
      <c r="J1354" s="114" t="str">
        <f t="shared" si="624"/>
        <v/>
      </c>
      <c r="K1354" s="114" t="str">
        <f>IF(COUNTBLANK(R1354)&gt;0,"",CONCATENATE(R1354," for ",N1342))</f>
        <v/>
      </c>
      <c r="N1354" s="123" t="s">
        <v>124</v>
      </c>
      <c r="O1354" s="66"/>
      <c r="P1354" s="121"/>
      <c r="Q1354" s="121"/>
      <c r="R1354" s="121"/>
      <c r="S1354" s="133">
        <f>M1342</f>
        <v>0</v>
      </c>
      <c r="T1354" s="120"/>
      <c r="U1354" s="121" t="s">
        <v>292</v>
      </c>
      <c r="V1354" s="133">
        <f t="shared" si="617"/>
        <v>0</v>
      </c>
      <c r="W1354" s="133">
        <f>VLOOKUP(U1354,Sheet1!$B$6:$C$45,2,FALSE)*V1354</f>
        <v>0</v>
      </c>
      <c r="X1354" s="141"/>
      <c r="Y1354" s="121" t="s">
        <v>292</v>
      </c>
      <c r="Z1354" s="146">
        <f>VLOOKUP(Takeoffs!Y1354,Sheet1!$B$6:$C$124,2,FALSE)</f>
        <v>0</v>
      </c>
      <c r="AA1354" s="146">
        <f t="shared" si="618"/>
        <v>0</v>
      </c>
      <c r="AB1354" s="143">
        <f t="shared" si="619"/>
        <v>0</v>
      </c>
      <c r="AC1354" s="133">
        <f t="shared" si="620"/>
        <v>0</v>
      </c>
      <c r="AD1354" s="142">
        <v>1</v>
      </c>
      <c r="AE1354" s="141"/>
      <c r="AF1354" s="121" t="s">
        <v>292</v>
      </c>
      <c r="AG1354" s="146">
        <f>VLOOKUP(Takeoffs!AF1354,Sheet1!$B$6:$C$124,2,FALSE)</f>
        <v>0</v>
      </c>
      <c r="AH1354" s="146">
        <f t="shared" si="621"/>
        <v>0</v>
      </c>
      <c r="AI1354" s="143">
        <f t="shared" si="622"/>
        <v>0</v>
      </c>
      <c r="AJ1354" s="133">
        <f t="shared" si="626"/>
        <v>0</v>
      </c>
      <c r="AK1354" s="142">
        <f t="shared" si="625"/>
        <v>0</v>
      </c>
      <c r="AL1354" s="141"/>
      <c r="AO1354" s="286"/>
      <c r="AP1354" s="284">
        <f t="shared" si="602"/>
        <v>0</v>
      </c>
      <c r="AQ1354" s="281">
        <f t="shared" si="603"/>
        <v>0</v>
      </c>
      <c r="AR1354" s="284">
        <f t="shared" si="604"/>
        <v>0</v>
      </c>
      <c r="AS1354" s="281">
        <f t="shared" si="605"/>
        <v>0</v>
      </c>
      <c r="AT1354" s="284">
        <f t="shared" si="606"/>
        <v>0</v>
      </c>
    </row>
    <row r="1355" spans="1:46" s="114" customFormat="1" ht="30.9" x14ac:dyDescent="0.8">
      <c r="A1355" s="262">
        <f>ROW()</f>
        <v>1355</v>
      </c>
      <c r="C1355" s="208"/>
      <c r="D1355" s="208"/>
      <c r="E1355" s="208"/>
      <c r="F1355" s="208"/>
      <c r="G1355" s="208"/>
      <c r="H1355" s="208"/>
      <c r="J1355" s="114" t="str">
        <f t="shared" si="624"/>
        <v/>
      </c>
      <c r="K1355" s="114" t="str">
        <f>IF(COUNTBLANK(R1355)&gt;0,"",CONCATENATE(R1355," for ",N1342))</f>
        <v/>
      </c>
      <c r="N1355" s="123" t="s">
        <v>125</v>
      </c>
      <c r="O1355" s="66"/>
      <c r="P1355" s="121"/>
      <c r="Q1355" s="121"/>
      <c r="R1355" s="121"/>
      <c r="S1355" s="133">
        <f>M1342</f>
        <v>0</v>
      </c>
      <c r="T1355" s="120"/>
      <c r="U1355" s="121" t="s">
        <v>292</v>
      </c>
      <c r="V1355" s="133">
        <f t="shared" si="617"/>
        <v>0</v>
      </c>
      <c r="W1355" s="133">
        <f>VLOOKUP(U1355,Sheet1!$B$6:$C$45,2,FALSE)*V1355</f>
        <v>0</v>
      </c>
      <c r="X1355" s="141"/>
      <c r="Y1355" s="121" t="s">
        <v>292</v>
      </c>
      <c r="Z1355" s="146">
        <f>VLOOKUP(Takeoffs!Y1355,Sheet1!$B$6:$C$124,2,FALSE)</f>
        <v>0</v>
      </c>
      <c r="AA1355" s="146">
        <f t="shared" si="618"/>
        <v>0</v>
      </c>
      <c r="AB1355" s="143">
        <f t="shared" si="619"/>
        <v>0</v>
      </c>
      <c r="AC1355" s="133">
        <f t="shared" si="620"/>
        <v>0</v>
      </c>
      <c r="AD1355" s="142">
        <v>1</v>
      </c>
      <c r="AE1355" s="141"/>
      <c r="AF1355" s="121" t="s">
        <v>292</v>
      </c>
      <c r="AG1355" s="146">
        <f>VLOOKUP(Takeoffs!AF1355,Sheet1!$B$6:$C$124,2,FALSE)</f>
        <v>0</v>
      </c>
      <c r="AH1355" s="146">
        <f t="shared" si="621"/>
        <v>0</v>
      </c>
      <c r="AI1355" s="143">
        <f t="shared" si="622"/>
        <v>0</v>
      </c>
      <c r="AJ1355" s="133">
        <f t="shared" si="626"/>
        <v>0</v>
      </c>
      <c r="AK1355" s="142">
        <f t="shared" si="625"/>
        <v>0</v>
      </c>
      <c r="AL1355" s="141"/>
      <c r="AO1355" s="286"/>
      <c r="AP1355" s="284">
        <f t="shared" si="602"/>
        <v>0</v>
      </c>
      <c r="AQ1355" s="281">
        <f t="shared" si="603"/>
        <v>0</v>
      </c>
      <c r="AR1355" s="284">
        <f t="shared" si="604"/>
        <v>0</v>
      </c>
      <c r="AS1355" s="281">
        <f t="shared" si="605"/>
        <v>0</v>
      </c>
      <c r="AT1355" s="284">
        <f t="shared" si="606"/>
        <v>0</v>
      </c>
    </row>
    <row r="1356" spans="1:46" s="114" customFormat="1" ht="30.9" x14ac:dyDescent="0.8">
      <c r="A1356" s="262">
        <f>ROW()</f>
        <v>1356</v>
      </c>
      <c r="C1356" s="208"/>
      <c r="D1356" s="208"/>
      <c r="E1356" s="208"/>
      <c r="F1356" s="208"/>
      <c r="G1356" s="208"/>
      <c r="H1356" s="208"/>
      <c r="J1356" s="114" t="str">
        <f t="shared" si="624"/>
        <v/>
      </c>
      <c r="K1356" s="114" t="str">
        <f>IF(COUNTBLANK(R1356)&gt;0,"",CONCATENATE(R1356," for ",N1342))</f>
        <v/>
      </c>
      <c r="N1356" s="123" t="s">
        <v>126</v>
      </c>
      <c r="O1356" s="66"/>
      <c r="P1356" s="121"/>
      <c r="Q1356" s="121"/>
      <c r="R1356" s="121"/>
      <c r="S1356" s="133">
        <f>M1342</f>
        <v>0</v>
      </c>
      <c r="T1356" s="120"/>
      <c r="U1356" s="121" t="s">
        <v>292</v>
      </c>
      <c r="V1356" s="133">
        <f t="shared" si="617"/>
        <v>0</v>
      </c>
      <c r="W1356" s="133">
        <f>VLOOKUP(U1356,Sheet1!$B$6:$C$45,2,FALSE)*V1356</f>
        <v>0</v>
      </c>
      <c r="X1356" s="141"/>
      <c r="Y1356" s="121" t="s">
        <v>292</v>
      </c>
      <c r="Z1356" s="146">
        <f>VLOOKUP(Takeoffs!Y1356,Sheet1!$B$6:$C$124,2,FALSE)</f>
        <v>0</v>
      </c>
      <c r="AA1356" s="146">
        <f t="shared" si="618"/>
        <v>0</v>
      </c>
      <c r="AB1356" s="143">
        <f t="shared" si="619"/>
        <v>0</v>
      </c>
      <c r="AC1356" s="133">
        <f t="shared" si="620"/>
        <v>0</v>
      </c>
      <c r="AD1356" s="142">
        <v>1</v>
      </c>
      <c r="AE1356" s="141"/>
      <c r="AF1356" s="121" t="s">
        <v>292</v>
      </c>
      <c r="AG1356" s="146">
        <f>VLOOKUP(Takeoffs!AF1356,Sheet1!$B$6:$C$124,2,FALSE)</f>
        <v>0</v>
      </c>
      <c r="AH1356" s="146">
        <f t="shared" si="621"/>
        <v>0</v>
      </c>
      <c r="AI1356" s="143">
        <f t="shared" si="622"/>
        <v>0</v>
      </c>
      <c r="AJ1356" s="133">
        <f t="shared" si="626"/>
        <v>0</v>
      </c>
      <c r="AK1356" s="142">
        <f t="shared" si="625"/>
        <v>0</v>
      </c>
      <c r="AL1356" s="141"/>
      <c r="AO1356" s="286"/>
      <c r="AP1356" s="284">
        <f t="shared" si="602"/>
        <v>0</v>
      </c>
      <c r="AQ1356" s="281">
        <f t="shared" si="603"/>
        <v>0</v>
      </c>
      <c r="AR1356" s="284">
        <f t="shared" si="604"/>
        <v>0</v>
      </c>
      <c r="AS1356" s="281">
        <f t="shared" si="605"/>
        <v>0</v>
      </c>
      <c r="AT1356" s="284">
        <f t="shared" si="606"/>
        <v>0</v>
      </c>
    </row>
    <row r="1357" spans="1:46" s="114" customFormat="1" ht="30.9" x14ac:dyDescent="0.8">
      <c r="A1357" s="262">
        <f>ROW()</f>
        <v>1357</v>
      </c>
      <c r="C1357" s="208"/>
      <c r="D1357" s="208"/>
      <c r="E1357" s="208"/>
      <c r="F1357" s="208"/>
      <c r="G1357" s="208"/>
      <c r="H1357" s="208"/>
      <c r="J1357" s="114" t="str">
        <f t="shared" si="624"/>
        <v/>
      </c>
      <c r="K1357" s="114" t="str">
        <f>IF(COUNTBLANK(R1357)&gt;0,"",CONCATENATE(R1357," for ",N1342))</f>
        <v/>
      </c>
      <c r="N1357" s="123" t="s">
        <v>127</v>
      </c>
      <c r="O1357" s="66"/>
      <c r="P1357" s="121"/>
      <c r="Q1357" s="121"/>
      <c r="R1357" s="121"/>
      <c r="S1357" s="133">
        <f>M1342</f>
        <v>0</v>
      </c>
      <c r="T1357" s="120"/>
      <c r="U1357" s="121" t="s">
        <v>292</v>
      </c>
      <c r="V1357" s="133">
        <f t="shared" si="617"/>
        <v>0</v>
      </c>
      <c r="W1357" s="133">
        <f>VLOOKUP(U1357,Sheet1!$B$6:$C$45,2,FALSE)*V1357</f>
        <v>0</v>
      </c>
      <c r="X1357" s="141"/>
      <c r="Y1357" s="121" t="s">
        <v>292</v>
      </c>
      <c r="Z1357" s="146">
        <f>VLOOKUP(Takeoffs!Y1357,Sheet1!$B$6:$C$124,2,FALSE)</f>
        <v>0</v>
      </c>
      <c r="AA1357" s="146">
        <f t="shared" si="618"/>
        <v>0</v>
      </c>
      <c r="AB1357" s="143">
        <f t="shared" si="619"/>
        <v>0</v>
      </c>
      <c r="AC1357" s="133">
        <f t="shared" si="620"/>
        <v>0</v>
      </c>
      <c r="AD1357" s="142">
        <v>1</v>
      </c>
      <c r="AE1357" s="141"/>
      <c r="AF1357" s="121" t="s">
        <v>292</v>
      </c>
      <c r="AG1357" s="146">
        <f>VLOOKUP(Takeoffs!AF1357,Sheet1!$B$6:$C$124,2,FALSE)</f>
        <v>0</v>
      </c>
      <c r="AH1357" s="146">
        <f t="shared" si="621"/>
        <v>0</v>
      </c>
      <c r="AI1357" s="143">
        <f t="shared" si="622"/>
        <v>0</v>
      </c>
      <c r="AJ1357" s="133">
        <f t="shared" si="626"/>
        <v>0</v>
      </c>
      <c r="AK1357" s="142">
        <f t="shared" si="625"/>
        <v>0</v>
      </c>
      <c r="AL1357" s="141"/>
      <c r="AO1357" s="286"/>
      <c r="AP1357" s="284">
        <f t="shared" si="602"/>
        <v>0</v>
      </c>
      <c r="AQ1357" s="281">
        <f t="shared" si="603"/>
        <v>0</v>
      </c>
      <c r="AR1357" s="284">
        <f t="shared" si="604"/>
        <v>0</v>
      </c>
      <c r="AS1357" s="281">
        <f t="shared" si="605"/>
        <v>0</v>
      </c>
      <c r="AT1357" s="284">
        <f t="shared" si="606"/>
        <v>0</v>
      </c>
    </row>
    <row r="1358" spans="1:46" s="114" customFormat="1" ht="30.9" x14ac:dyDescent="0.8">
      <c r="A1358" s="262">
        <f>ROW()</f>
        <v>1358</v>
      </c>
      <c r="C1358" s="208"/>
      <c r="D1358" s="208"/>
      <c r="E1358" s="208"/>
      <c r="F1358" s="208"/>
      <c r="G1358" s="208"/>
      <c r="H1358" s="208"/>
      <c r="J1358" s="114" t="str">
        <f t="shared" si="624"/>
        <v/>
      </c>
      <c r="K1358" s="114" t="str">
        <f>IF(COUNTBLANK(R1358)&gt;0,"",CONCATENATE(R1358," for ",N1342))</f>
        <v/>
      </c>
      <c r="N1358" s="123" t="s">
        <v>128</v>
      </c>
      <c r="O1358" s="66"/>
      <c r="P1358" s="121"/>
      <c r="Q1358" s="121"/>
      <c r="R1358" s="121"/>
      <c r="S1358" s="133">
        <f>M1342</f>
        <v>0</v>
      </c>
      <c r="T1358" s="120"/>
      <c r="U1358" s="121" t="s">
        <v>292</v>
      </c>
      <c r="V1358" s="133">
        <f t="shared" si="617"/>
        <v>0</v>
      </c>
      <c r="W1358" s="133">
        <f>VLOOKUP(U1358,Sheet1!$B$6:$C$45,2,FALSE)*V1358</f>
        <v>0</v>
      </c>
      <c r="X1358" s="141"/>
      <c r="Y1358" s="121" t="s">
        <v>292</v>
      </c>
      <c r="Z1358" s="146">
        <f>VLOOKUP(Takeoffs!Y1358,Sheet1!$B$6:$C$124,2,FALSE)</f>
        <v>0</v>
      </c>
      <c r="AA1358" s="146">
        <f t="shared" si="618"/>
        <v>0</v>
      </c>
      <c r="AB1358" s="143">
        <f t="shared" si="619"/>
        <v>0</v>
      </c>
      <c r="AC1358" s="133">
        <f t="shared" si="620"/>
        <v>0</v>
      </c>
      <c r="AD1358" s="142">
        <v>1</v>
      </c>
      <c r="AE1358" s="141"/>
      <c r="AF1358" s="121" t="s">
        <v>292</v>
      </c>
      <c r="AG1358" s="146">
        <f>VLOOKUP(Takeoffs!AF1358,Sheet1!$B$6:$C$124,2,FALSE)</f>
        <v>0</v>
      </c>
      <c r="AH1358" s="146">
        <f t="shared" si="621"/>
        <v>0</v>
      </c>
      <c r="AI1358" s="143">
        <f t="shared" si="622"/>
        <v>0</v>
      </c>
      <c r="AJ1358" s="133">
        <f t="shared" si="626"/>
        <v>0</v>
      </c>
      <c r="AK1358" s="142">
        <f t="shared" si="625"/>
        <v>0</v>
      </c>
      <c r="AL1358" s="141"/>
      <c r="AO1358" s="286"/>
      <c r="AP1358" s="284">
        <f t="shared" si="602"/>
        <v>0</v>
      </c>
      <c r="AQ1358" s="281">
        <f t="shared" si="603"/>
        <v>0</v>
      </c>
      <c r="AR1358" s="284">
        <f t="shared" si="604"/>
        <v>0</v>
      </c>
      <c r="AS1358" s="281">
        <f t="shared" si="605"/>
        <v>0</v>
      </c>
      <c r="AT1358" s="284">
        <f t="shared" si="606"/>
        <v>0</v>
      </c>
    </row>
    <row r="1359" spans="1:46" s="114" customFormat="1" ht="30.9" x14ac:dyDescent="0.8">
      <c r="A1359" s="262">
        <f>ROW()</f>
        <v>1359</v>
      </c>
      <c r="C1359" s="208"/>
      <c r="D1359" s="208"/>
      <c r="E1359" s="208"/>
      <c r="F1359" s="208"/>
      <c r="G1359" s="208"/>
      <c r="H1359" s="208"/>
      <c r="J1359" s="114" t="str">
        <f t="shared" si="624"/>
        <v/>
      </c>
      <c r="K1359" s="114" t="str">
        <f>IF(COUNTBLANK(R1359)&gt;0,"",CONCATENATE(R1359," for ",N1342))</f>
        <v/>
      </c>
      <c r="N1359" s="123" t="s">
        <v>129</v>
      </c>
      <c r="O1359" s="66"/>
      <c r="P1359" s="121"/>
      <c r="Q1359" s="121"/>
      <c r="R1359" s="121"/>
      <c r="S1359" s="133">
        <f>M1342</f>
        <v>0</v>
      </c>
      <c r="T1359" s="120"/>
      <c r="U1359" s="121" t="s">
        <v>292</v>
      </c>
      <c r="V1359" s="133">
        <f t="shared" si="617"/>
        <v>0</v>
      </c>
      <c r="W1359" s="133">
        <f>VLOOKUP(U1359,Sheet1!$B$6:$C$45,2,FALSE)*V1359</f>
        <v>0</v>
      </c>
      <c r="X1359" s="141"/>
      <c r="Y1359" s="121" t="s">
        <v>292</v>
      </c>
      <c r="Z1359" s="146">
        <f>VLOOKUP(Takeoffs!Y1359,Sheet1!$B$6:$C$124,2,FALSE)</f>
        <v>0</v>
      </c>
      <c r="AA1359" s="146">
        <f t="shared" si="618"/>
        <v>0</v>
      </c>
      <c r="AB1359" s="143">
        <f t="shared" si="619"/>
        <v>0</v>
      </c>
      <c r="AC1359" s="133">
        <f t="shared" si="620"/>
        <v>0</v>
      </c>
      <c r="AD1359" s="142">
        <v>1</v>
      </c>
      <c r="AE1359" s="141"/>
      <c r="AF1359" s="121" t="s">
        <v>292</v>
      </c>
      <c r="AG1359" s="146">
        <f>VLOOKUP(Takeoffs!AF1359,Sheet1!$B$6:$C$124,2,FALSE)</f>
        <v>0</v>
      </c>
      <c r="AH1359" s="146">
        <f t="shared" si="621"/>
        <v>0</v>
      </c>
      <c r="AI1359" s="143">
        <f t="shared" si="622"/>
        <v>0</v>
      </c>
      <c r="AJ1359" s="133">
        <f t="shared" si="626"/>
        <v>0</v>
      </c>
      <c r="AK1359" s="142">
        <f t="shared" si="625"/>
        <v>0</v>
      </c>
      <c r="AL1359" s="141"/>
      <c r="AO1359" s="286"/>
      <c r="AP1359" s="284">
        <f t="shared" si="602"/>
        <v>0</v>
      </c>
      <c r="AQ1359" s="281">
        <f t="shared" si="603"/>
        <v>0</v>
      </c>
      <c r="AR1359" s="284">
        <f t="shared" si="604"/>
        <v>0</v>
      </c>
      <c r="AS1359" s="281">
        <f t="shared" si="605"/>
        <v>0</v>
      </c>
      <c r="AT1359" s="284">
        <f t="shared" si="606"/>
        <v>0</v>
      </c>
    </row>
    <row r="1360" spans="1:46" s="114" customFormat="1" ht="30.9" x14ac:dyDescent="0.8">
      <c r="A1360" s="262">
        <f>ROW()</f>
        <v>1360</v>
      </c>
      <c r="C1360" s="208"/>
      <c r="D1360" s="208"/>
      <c r="E1360" s="208"/>
      <c r="F1360" s="208"/>
      <c r="G1360" s="208"/>
      <c r="H1360" s="208"/>
      <c r="J1360" s="114" t="str">
        <f t="shared" si="624"/>
        <v/>
      </c>
      <c r="K1360" s="114" t="str">
        <f>IF(COUNTBLANK(R1360)&gt;0,"",CONCATENATE(R1360," for ",N1342))</f>
        <v/>
      </c>
      <c r="N1360" s="123" t="s">
        <v>130</v>
      </c>
      <c r="O1360" s="66"/>
      <c r="P1360" s="121"/>
      <c r="Q1360" s="121"/>
      <c r="R1360" s="121"/>
      <c r="S1360" s="133">
        <f>M1342</f>
        <v>0</v>
      </c>
      <c r="T1360" s="120"/>
      <c r="U1360" s="121" t="s">
        <v>292</v>
      </c>
      <c r="V1360" s="133">
        <f t="shared" si="617"/>
        <v>0</v>
      </c>
      <c r="W1360" s="133">
        <f>VLOOKUP(U1360,Sheet1!$B$6:$C$45,2,FALSE)*V1360</f>
        <v>0</v>
      </c>
      <c r="X1360" s="141"/>
      <c r="Y1360" s="121" t="s">
        <v>292</v>
      </c>
      <c r="Z1360" s="146">
        <f>VLOOKUP(Takeoffs!Y1360,Sheet1!$B$6:$C$124,2,FALSE)</f>
        <v>0</v>
      </c>
      <c r="AA1360" s="146">
        <f t="shared" si="618"/>
        <v>0</v>
      </c>
      <c r="AB1360" s="143">
        <f t="shared" si="619"/>
        <v>0</v>
      </c>
      <c r="AC1360" s="133">
        <f t="shared" si="620"/>
        <v>0</v>
      </c>
      <c r="AD1360" s="142">
        <v>1</v>
      </c>
      <c r="AE1360" s="141"/>
      <c r="AF1360" s="121" t="s">
        <v>292</v>
      </c>
      <c r="AG1360" s="146">
        <f>VLOOKUP(Takeoffs!AF1360,Sheet1!$B$6:$C$124,2,FALSE)</f>
        <v>0</v>
      </c>
      <c r="AH1360" s="146">
        <f t="shared" si="621"/>
        <v>0</v>
      </c>
      <c r="AI1360" s="143">
        <f t="shared" si="622"/>
        <v>0</v>
      </c>
      <c r="AJ1360" s="133">
        <f t="shared" si="626"/>
        <v>0</v>
      </c>
      <c r="AK1360" s="142">
        <f t="shared" si="625"/>
        <v>0</v>
      </c>
      <c r="AL1360" s="141"/>
      <c r="AO1360" s="286"/>
      <c r="AP1360" s="284">
        <f t="shared" si="602"/>
        <v>0</v>
      </c>
      <c r="AQ1360" s="281">
        <f t="shared" si="603"/>
        <v>0</v>
      </c>
      <c r="AR1360" s="284">
        <f t="shared" si="604"/>
        <v>0</v>
      </c>
      <c r="AS1360" s="281">
        <f t="shared" si="605"/>
        <v>0</v>
      </c>
      <c r="AT1360" s="284">
        <f t="shared" si="606"/>
        <v>0</v>
      </c>
    </row>
    <row r="1361" spans="1:97" s="114" customFormat="1" ht="30.9" x14ac:dyDescent="0.8">
      <c r="A1361" s="262">
        <f>ROW()</f>
        <v>1361</v>
      </c>
      <c r="C1361" s="208"/>
      <c r="D1361" s="208"/>
      <c r="E1361" s="208"/>
      <c r="F1361" s="208"/>
      <c r="G1361" s="208"/>
      <c r="H1361" s="208"/>
      <c r="J1361" s="114" t="str">
        <f t="shared" si="624"/>
        <v/>
      </c>
      <c r="K1361" s="114" t="str">
        <f>IF(COUNTBLANK(R1361)&gt;0,"",CONCATENATE(R1361," for ",N1342))</f>
        <v/>
      </c>
      <c r="N1361" s="123" t="s">
        <v>131</v>
      </c>
      <c r="O1361" s="66"/>
      <c r="P1361" s="121"/>
      <c r="Q1361" s="121"/>
      <c r="R1361" s="121"/>
      <c r="S1361" s="133">
        <f>M1342</f>
        <v>0</v>
      </c>
      <c r="T1361" s="120"/>
      <c r="U1361" s="121" t="s">
        <v>292</v>
      </c>
      <c r="V1361" s="133">
        <f t="shared" si="617"/>
        <v>0</v>
      </c>
      <c r="W1361" s="133">
        <f>VLOOKUP(U1361,Sheet1!$B$6:$C$45,2,FALSE)*V1361</f>
        <v>0</v>
      </c>
      <c r="X1361" s="141"/>
      <c r="Y1361" s="121" t="s">
        <v>292</v>
      </c>
      <c r="Z1361" s="146">
        <f>VLOOKUP(Takeoffs!Y1361,Sheet1!$B$6:$C$124,2,FALSE)</f>
        <v>0</v>
      </c>
      <c r="AA1361" s="146">
        <f t="shared" si="618"/>
        <v>0</v>
      </c>
      <c r="AB1361" s="143">
        <f t="shared" si="619"/>
        <v>0</v>
      </c>
      <c r="AC1361" s="133">
        <f t="shared" si="620"/>
        <v>0</v>
      </c>
      <c r="AD1361" s="142">
        <v>1</v>
      </c>
      <c r="AE1361" s="141"/>
      <c r="AF1361" s="121" t="s">
        <v>292</v>
      </c>
      <c r="AG1361" s="146">
        <f>VLOOKUP(Takeoffs!AF1361,Sheet1!$B$6:$C$124,2,FALSE)</f>
        <v>0</v>
      </c>
      <c r="AH1361" s="146">
        <f t="shared" si="621"/>
        <v>0</v>
      </c>
      <c r="AI1361" s="143">
        <f t="shared" si="622"/>
        <v>0</v>
      </c>
      <c r="AJ1361" s="133">
        <f t="shared" si="626"/>
        <v>0</v>
      </c>
      <c r="AK1361" s="142">
        <f t="shared" si="625"/>
        <v>0</v>
      </c>
      <c r="AL1361" s="141"/>
      <c r="AO1361" s="286"/>
      <c r="AP1361" s="284">
        <f t="shared" si="602"/>
        <v>0</v>
      </c>
      <c r="AQ1361" s="281">
        <f t="shared" si="603"/>
        <v>0</v>
      </c>
      <c r="AR1361" s="284">
        <f t="shared" si="604"/>
        <v>0</v>
      </c>
      <c r="AS1361" s="281">
        <f t="shared" si="605"/>
        <v>0</v>
      </c>
      <c r="AT1361" s="284">
        <f t="shared" si="606"/>
        <v>0</v>
      </c>
    </row>
    <row r="1362" spans="1:97" s="114" customFormat="1" ht="30.9" x14ac:dyDescent="0.8">
      <c r="A1362" s="262">
        <f>ROW()</f>
        <v>1362</v>
      </c>
      <c r="C1362" s="208"/>
      <c r="D1362" s="208"/>
      <c r="E1362" s="208"/>
      <c r="F1362" s="208"/>
      <c r="G1362" s="208"/>
      <c r="H1362" s="208"/>
      <c r="J1362" s="114" t="str">
        <f t="shared" si="624"/>
        <v/>
      </c>
      <c r="K1362" s="114" t="str">
        <f>IF(COUNTBLANK(R1362)&gt;0,"",CONCATENATE(R1362," for ",N1342))</f>
        <v/>
      </c>
      <c r="N1362" s="123" t="s">
        <v>132</v>
      </c>
      <c r="O1362" s="66"/>
      <c r="P1362" s="121"/>
      <c r="Q1362" s="121"/>
      <c r="R1362" s="121"/>
      <c r="S1362" s="133">
        <f>M1342</f>
        <v>0</v>
      </c>
      <c r="T1362" s="120"/>
      <c r="U1362" s="121" t="s">
        <v>292</v>
      </c>
      <c r="V1362" s="133">
        <f t="shared" si="617"/>
        <v>0</v>
      </c>
      <c r="W1362" s="133">
        <f>VLOOKUP(U1362,Sheet1!$B$6:$C$45,2,FALSE)*V1362</f>
        <v>0</v>
      </c>
      <c r="X1362" s="141"/>
      <c r="Y1362" s="121" t="s">
        <v>292</v>
      </c>
      <c r="Z1362" s="146">
        <f>VLOOKUP(Takeoffs!Y1362,Sheet1!$B$6:$C$124,2,FALSE)</f>
        <v>0</v>
      </c>
      <c r="AA1362" s="146">
        <f t="shared" si="618"/>
        <v>0</v>
      </c>
      <c r="AB1362" s="143">
        <f t="shared" si="619"/>
        <v>0</v>
      </c>
      <c r="AC1362" s="133">
        <f t="shared" si="620"/>
        <v>0</v>
      </c>
      <c r="AD1362" s="142">
        <v>1</v>
      </c>
      <c r="AE1362" s="141"/>
      <c r="AF1362" s="121" t="s">
        <v>292</v>
      </c>
      <c r="AG1362" s="146">
        <f>VLOOKUP(Takeoffs!AF1362,Sheet1!$B$6:$C$124,2,FALSE)</f>
        <v>0</v>
      </c>
      <c r="AH1362" s="146">
        <f t="shared" si="621"/>
        <v>0</v>
      </c>
      <c r="AI1362" s="143">
        <f t="shared" si="622"/>
        <v>0</v>
      </c>
      <c r="AJ1362" s="133">
        <f t="shared" si="626"/>
        <v>0</v>
      </c>
      <c r="AK1362" s="142">
        <f t="shared" si="625"/>
        <v>0</v>
      </c>
      <c r="AL1362" s="141"/>
      <c r="AO1362" s="286"/>
      <c r="AP1362" s="284">
        <f t="shared" si="602"/>
        <v>0</v>
      </c>
      <c r="AQ1362" s="281">
        <f t="shared" si="603"/>
        <v>0</v>
      </c>
      <c r="AR1362" s="284">
        <f t="shared" si="604"/>
        <v>0</v>
      </c>
      <c r="AS1362" s="281">
        <f t="shared" si="605"/>
        <v>0</v>
      </c>
      <c r="AT1362" s="284">
        <f t="shared" si="606"/>
        <v>0</v>
      </c>
    </row>
    <row r="1363" spans="1:97" s="128" customFormat="1" ht="31.5" customHeight="1" x14ac:dyDescent="0.8">
      <c r="A1363" s="262">
        <f>ROW()</f>
        <v>1363</v>
      </c>
      <c r="C1363" s="212"/>
      <c r="D1363" s="212"/>
      <c r="E1363" s="212"/>
      <c r="F1363" s="212"/>
      <c r="G1363" s="212"/>
      <c r="H1363" s="212"/>
      <c r="J1363" s="128" t="s">
        <v>377</v>
      </c>
      <c r="L1363" s="128" t="s">
        <v>378</v>
      </c>
      <c r="N1363" s="129"/>
      <c r="O1363" s="130" t="s">
        <v>357</v>
      </c>
      <c r="P1363" s="131">
        <f>V1363+AA1363+AH1363</f>
        <v>0</v>
      </c>
      <c r="Q1363" s="131"/>
      <c r="R1363" s="131"/>
      <c r="S1363" s="130"/>
      <c r="T1363" s="127"/>
      <c r="U1363" s="126" t="s">
        <v>351</v>
      </c>
      <c r="V1363" s="127">
        <f>W1363*80</f>
        <v>0</v>
      </c>
      <c r="W1363" s="147">
        <f>SUM(W1342:W1362)</f>
        <v>0</v>
      </c>
      <c r="X1363" s="148"/>
      <c r="Y1363" s="127" t="s">
        <v>352</v>
      </c>
      <c r="Z1363" s="116"/>
      <c r="AA1363" s="116">
        <f>SUM(AA1342:AA1362)</f>
        <v>0</v>
      </c>
      <c r="AB1363" s="149"/>
      <c r="AC1363" s="149"/>
      <c r="AD1363" s="149"/>
      <c r="AE1363" s="149"/>
      <c r="AF1363" s="127" t="s">
        <v>356</v>
      </c>
      <c r="AG1363" s="116"/>
      <c r="AH1363" s="116">
        <f>SUM(AH1342:AH1362)</f>
        <v>0</v>
      </c>
      <c r="AI1363" s="149"/>
      <c r="AJ1363" s="149"/>
      <c r="AK1363" s="149"/>
      <c r="AL1363" s="149"/>
      <c r="AM1363" s="150">
        <f>P1363</f>
        <v>0</v>
      </c>
      <c r="AO1363" s="286"/>
      <c r="AP1363" s="284">
        <f t="shared" si="602"/>
        <v>0</v>
      </c>
      <c r="AQ1363" s="281">
        <f t="shared" si="603"/>
        <v>0</v>
      </c>
      <c r="AR1363" s="284">
        <f t="shared" si="604"/>
        <v>0</v>
      </c>
      <c r="AS1363" s="281">
        <f t="shared" si="605"/>
        <v>0</v>
      </c>
      <c r="AT1363" s="284">
        <f t="shared" si="606"/>
        <v>0</v>
      </c>
    </row>
    <row r="1364" spans="1:97" s="234" customFormat="1" ht="154.30000000000001" x14ac:dyDescent="0.8">
      <c r="A1364" s="262">
        <f>ROW()</f>
        <v>1364</v>
      </c>
      <c r="B1364" s="234" t="s">
        <v>491</v>
      </c>
      <c r="C1364" s="217" t="str">
        <f>N1342</f>
        <v>Multihead split AC systems (local power supply) - 4 indoor units with wireless controlers</v>
      </c>
      <c r="D1364" s="260" t="str">
        <f>IF(B1364="Shopping List",IF(ISNUMBER(SEARCH("MSSB",C1364)),"MSSB",IF(ISNUMBER(SEARCH("local",C1364)),"LOCAL","")))</f>
        <v>LOCAL</v>
      </c>
      <c r="E1364" s="238">
        <v>4</v>
      </c>
      <c r="F1364" s="217"/>
      <c r="G1364" s="217">
        <v>6</v>
      </c>
      <c r="H1364" s="245">
        <v>10</v>
      </c>
      <c r="I1364" s="270"/>
      <c r="J1364" s="241" t="str">
        <f>CONCATENATE(O1342," ",L1342, " (",M1342,") ",N1342,".", IF(M1342&gt;1," Each "," This "),"includes supply and install of ",O1343,O1344,O1345,O1346,O1347,O1348,O1349,O1350,O1351,O1352,O1353,O1354,O1355,O1356,O1357,O1358,O1359,O1360,O1361,O1362,J1343,J1344,J1345,J1346,J1347,J1348,J1349,J1350,J1351,J1352,J1353,J1354,J1355,J1356,J1357,J1358,J1359,J1360,J1361,J1362)</f>
        <v>Electrical power supply and controls cabling to Zero (0) Multihead split AC systems (local power supply) - 4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64" s="246">
        <f>P1363</f>
        <v>0</v>
      </c>
      <c r="L1364" s="234" t="str">
        <f>CONCATENATE(Q1343,Q1344,Q1345,Q1346,Q1347,Q1348,Q1349,Q1350,Q1351,Q1352,Q1353,Q1354,Q1355,Q1356,Q1357,Q1358,Q1359,Q1360,Q1361,Q1362,)</f>
        <v>wireless air-conditioning controllers. power supply to outdoor unit</v>
      </c>
      <c r="M1364" s="166" t="s">
        <v>367</v>
      </c>
      <c r="N1364" s="160" t="str">
        <f>N1342</f>
        <v>Multihead split AC systems (local power supply) - 4 indoor units with wireless controlers</v>
      </c>
      <c r="O1364" s="160" t="s">
        <v>365</v>
      </c>
      <c r="P1364" s="64" t="e">
        <f>P1363/M1342</f>
        <v>#DIV/0!</v>
      </c>
      <c r="Q1364" s="161"/>
      <c r="R1364" s="161"/>
      <c r="S1364" s="160"/>
      <c r="T1364" s="161"/>
      <c r="U1364" s="503" t="s">
        <v>366</v>
      </c>
      <c r="V1364" s="503"/>
      <c r="W1364" s="162" t="e">
        <f>W1363/M1342</f>
        <v>#DIV/0!</v>
      </c>
      <c r="X1364" s="163"/>
      <c r="Y1364" s="501" t="s">
        <v>365</v>
      </c>
      <c r="Z1364" s="501"/>
      <c r="AA1364" s="164" t="e">
        <f>AA1363/M1342</f>
        <v>#DIV/0!</v>
      </c>
      <c r="AB1364" s="161"/>
      <c r="AC1364" s="161"/>
      <c r="AD1364" s="161"/>
      <c r="AE1364" s="161"/>
      <c r="AF1364" s="501" t="s">
        <v>365</v>
      </c>
      <c r="AG1364" s="501"/>
      <c r="AH1364" s="164" t="e">
        <f>AH1363/M1342</f>
        <v>#DIV/0!</v>
      </c>
      <c r="AI1364" s="161"/>
      <c r="AJ1364" s="161"/>
      <c r="AK1364" s="161"/>
      <c r="AL1364" s="247"/>
      <c r="AM1364" s="257"/>
      <c r="AN1364" s="236">
        <f>K1364*1.25</f>
        <v>0</v>
      </c>
      <c r="AO1364" s="286"/>
      <c r="AP1364" s="284">
        <f t="shared" ref="AP1364:AP1427" si="627">IF(AND(I1364&gt;0, ISNUMBER(I1364)),I1364*P1364,0)</f>
        <v>0</v>
      </c>
      <c r="AQ1364" s="281">
        <f t="shared" ref="AQ1364:AQ1427" si="628">IF(AND(I1364&gt;0, ISNUMBER(I1364)),I1364*W1364*80,0)</f>
        <v>0</v>
      </c>
      <c r="AR1364" s="284">
        <f t="shared" ref="AR1364:AR1427" si="629">IF(AND(I1364&gt;0, ISNUMBER(I1364)),I1364*AA1364,0)</f>
        <v>0</v>
      </c>
      <c r="AS1364" s="281">
        <f t="shared" ref="AS1364:AS1427" si="630">IF(AND(I1364&gt;0, ISNUMBER(I1364)),I1364*AH1364,0)</f>
        <v>0</v>
      </c>
      <c r="AT1364" s="284">
        <f t="shared" ref="AT1364:AT1427" si="631">IF(AND(I1364&gt;0, ISNUMBER(I1364)),I1364*(AP1364-(AQ1364+AR1364+AS1364)),0)</f>
        <v>0</v>
      </c>
      <c r="AU1364" s="117"/>
      <c r="AV1364" s="117"/>
      <c r="AW1364" s="117"/>
      <c r="AX1364" s="117"/>
      <c r="AY1364" s="117"/>
      <c r="AZ1364" s="117"/>
      <c r="BA1364" s="117"/>
      <c r="BB1364" s="117"/>
      <c r="BC1364" s="117"/>
      <c r="BD1364" s="117"/>
      <c r="BE1364" s="117"/>
      <c r="BF1364" s="117"/>
      <c r="BG1364" s="117"/>
      <c r="BH1364" s="117"/>
      <c r="BI1364" s="117"/>
      <c r="BJ1364" s="117"/>
      <c r="BK1364" s="117"/>
      <c r="BL1364" s="117"/>
      <c r="BM1364" s="117"/>
      <c r="BN1364" s="117"/>
      <c r="BO1364" s="117"/>
      <c r="BP1364" s="117"/>
      <c r="BQ1364" s="117"/>
      <c r="BR1364" s="117"/>
      <c r="BS1364" s="117"/>
      <c r="BT1364" s="117"/>
      <c r="BU1364" s="117"/>
      <c r="BV1364" s="117"/>
      <c r="BW1364" s="117"/>
      <c r="BX1364" s="117"/>
      <c r="BY1364" s="117"/>
      <c r="BZ1364" s="117"/>
      <c r="CA1364" s="117"/>
      <c r="CB1364" s="117"/>
      <c r="CC1364" s="117"/>
      <c r="CD1364" s="117"/>
      <c r="CE1364" s="117"/>
      <c r="CF1364" s="117"/>
      <c r="CG1364" s="117"/>
      <c r="CH1364" s="117"/>
      <c r="CI1364" s="117"/>
      <c r="CJ1364" s="117"/>
      <c r="CK1364" s="117"/>
      <c r="CL1364" s="117"/>
      <c r="CM1364" s="117"/>
      <c r="CN1364" s="117"/>
      <c r="CO1364" s="117"/>
      <c r="CP1364" s="117"/>
      <c r="CQ1364" s="117"/>
      <c r="CR1364" s="117"/>
      <c r="CS1364" s="117"/>
    </row>
    <row r="1365" spans="1:97" s="116" customFormat="1" ht="192.75" customHeight="1" x14ac:dyDescent="0.8">
      <c r="A1365" s="262">
        <f>ROW()</f>
        <v>1365</v>
      </c>
      <c r="C1365" s="211"/>
      <c r="D1365" s="211"/>
      <c r="E1365" s="211"/>
      <c r="F1365" s="211"/>
      <c r="G1365" s="211"/>
      <c r="H1365" s="211"/>
      <c r="K1365" s="116" t="s">
        <v>452</v>
      </c>
      <c r="M1365" s="116" t="s">
        <v>298</v>
      </c>
      <c r="N1365" s="116" t="s">
        <v>108</v>
      </c>
      <c r="O1365" s="170" t="s">
        <v>386</v>
      </c>
      <c r="P1365" s="502" t="s">
        <v>375</v>
      </c>
      <c r="Q1365" s="502"/>
      <c r="R1365" s="101" t="s">
        <v>452</v>
      </c>
      <c r="S1365" s="116" t="s">
        <v>0</v>
      </c>
      <c r="T1365" s="118"/>
      <c r="U1365" s="116" t="s">
        <v>287</v>
      </c>
      <c r="V1365" s="116" t="s">
        <v>288</v>
      </c>
      <c r="W1365" s="116" t="s">
        <v>291</v>
      </c>
      <c r="X1365" s="140"/>
      <c r="Y1365" s="116" t="s">
        <v>289</v>
      </c>
      <c r="Z1365" s="116" t="s">
        <v>354</v>
      </c>
      <c r="AA1365" s="116" t="s">
        <v>355</v>
      </c>
      <c r="AB1365" s="116" t="s">
        <v>317</v>
      </c>
      <c r="AC1365" s="116" t="s">
        <v>318</v>
      </c>
      <c r="AD1365" s="116" t="s">
        <v>316</v>
      </c>
      <c r="AE1365" s="140"/>
      <c r="AF1365" s="116" t="s">
        <v>293</v>
      </c>
      <c r="AG1365" s="116" t="s">
        <v>354</v>
      </c>
      <c r="AH1365" s="116" t="s">
        <v>355</v>
      </c>
      <c r="AI1365" s="116" t="s">
        <v>296</v>
      </c>
      <c r="AJ1365" s="116" t="s">
        <v>294</v>
      </c>
      <c r="AK1365" s="116" t="s">
        <v>295</v>
      </c>
      <c r="AL1365" s="140"/>
      <c r="AO1365" s="288"/>
      <c r="AP1365" s="284">
        <f t="shared" si="627"/>
        <v>0</v>
      </c>
      <c r="AQ1365" s="281">
        <f t="shared" si="628"/>
        <v>0</v>
      </c>
      <c r="AR1365" s="284">
        <f t="shared" si="629"/>
        <v>0</v>
      </c>
      <c r="AS1365" s="281">
        <f t="shared" si="630"/>
        <v>0</v>
      </c>
      <c r="AT1365" s="284">
        <f t="shared" si="631"/>
        <v>0</v>
      </c>
    </row>
    <row r="1366" spans="1:97" s="114" customFormat="1" ht="31.5" customHeight="1" x14ac:dyDescent="0.8">
      <c r="A1366" s="262">
        <f>ROW()</f>
        <v>1366</v>
      </c>
      <c r="C1366" s="208"/>
      <c r="D1366" s="208"/>
      <c r="E1366" s="208"/>
      <c r="F1366" s="208"/>
      <c r="G1366" s="208"/>
      <c r="H1366" s="208"/>
      <c r="L1366" s="124" t="str">
        <f>VLOOKUP(M1366,Sheet2!$D$2:$E$1024,2,FALSE)</f>
        <v>Zero</v>
      </c>
      <c r="M1366" s="121">
        <f>I1388</f>
        <v>0</v>
      </c>
      <c r="N1366" s="132" t="s">
        <v>693</v>
      </c>
      <c r="O1366" s="121" t="s">
        <v>138</v>
      </c>
      <c r="P1366" s="169" t="s">
        <v>379</v>
      </c>
      <c r="Q1366" s="169" t="s">
        <v>375</v>
      </c>
      <c r="R1366" s="169"/>
      <c r="S1366" s="133">
        <f>M1366</f>
        <v>0</v>
      </c>
      <c r="T1366" s="119"/>
      <c r="U1366" s="121" t="s">
        <v>292</v>
      </c>
      <c r="V1366" s="133">
        <f>S1366</f>
        <v>0</v>
      </c>
      <c r="W1366" s="133">
        <f>VLOOKUP(U1366,Sheet1!$B$6:$C$45,2,FALSE)*V1366</f>
        <v>0</v>
      </c>
      <c r="X1366" s="141"/>
      <c r="Y1366" s="121" t="s">
        <v>292</v>
      </c>
      <c r="Z1366" s="146">
        <f>VLOOKUP(Takeoffs!Y1366,Sheet1!$B$6:$C$124,2,FALSE)</f>
        <v>0</v>
      </c>
      <c r="AA1366" s="146">
        <f>Z1366*AB1366</f>
        <v>0</v>
      </c>
      <c r="AB1366" s="143">
        <f>AD1366*AC1366</f>
        <v>0</v>
      </c>
      <c r="AC1366" s="133">
        <f>S1366</f>
        <v>0</v>
      </c>
      <c r="AD1366" s="142">
        <v>1</v>
      </c>
      <c r="AE1366" s="141"/>
      <c r="AF1366" s="121" t="s">
        <v>292</v>
      </c>
      <c r="AG1366" s="146">
        <f>VLOOKUP(Takeoffs!AF1366,Sheet1!$B$6:$C$124,2,FALSE)</f>
        <v>0</v>
      </c>
      <c r="AH1366" s="146">
        <f>AG1366*AI1366</f>
        <v>0</v>
      </c>
      <c r="AI1366" s="143">
        <f>AK1366*AJ1366</f>
        <v>0</v>
      </c>
      <c r="AJ1366" s="133">
        <f>S1366</f>
        <v>0</v>
      </c>
      <c r="AK1366" s="142">
        <f>T1366</f>
        <v>0</v>
      </c>
      <c r="AL1366" s="141"/>
      <c r="AO1366" s="286"/>
      <c r="AP1366" s="284">
        <f t="shared" si="627"/>
        <v>0</v>
      </c>
      <c r="AQ1366" s="281">
        <f t="shared" si="628"/>
        <v>0</v>
      </c>
      <c r="AR1366" s="284">
        <f t="shared" si="629"/>
        <v>0</v>
      </c>
      <c r="AS1366" s="281">
        <f t="shared" si="630"/>
        <v>0</v>
      </c>
      <c r="AT1366" s="284">
        <f t="shared" si="631"/>
        <v>0</v>
      </c>
    </row>
    <row r="1367" spans="1:97" s="114" customFormat="1" ht="30.9" x14ac:dyDescent="0.8">
      <c r="A1367" s="262">
        <f>ROW()</f>
        <v>1367</v>
      </c>
      <c r="C1367" s="208"/>
      <c r="D1367" s="208"/>
      <c r="E1367" s="208"/>
      <c r="F1367" s="208"/>
      <c r="G1367" s="208"/>
      <c r="H1367" s="208"/>
      <c r="J1367" s="114" t="str">
        <f>IF(COUNTBLANK(Q1367)&gt;0,"",CONCATENATE("Coordination Note: - ",P1367,": Please refer to our exclusions relating to ",Q1367))</f>
        <v/>
      </c>
      <c r="K1367" s="114" t="str">
        <f>IF(COUNTBLANK(R1367)&gt;0,"",CONCATENATE(R1367," for ",N1366))</f>
        <v/>
      </c>
      <c r="M1367" s="117"/>
      <c r="N1367" s="123" t="s">
        <v>113</v>
      </c>
      <c r="O1367" s="66" t="s">
        <v>426</v>
      </c>
      <c r="P1367" s="121"/>
      <c r="Q1367" s="121"/>
      <c r="R1367" s="121"/>
      <c r="S1367" s="133">
        <f>M1366</f>
        <v>0</v>
      </c>
      <c r="T1367" s="120"/>
      <c r="U1367" s="117" t="s">
        <v>364</v>
      </c>
      <c r="V1367" s="133">
        <f t="shared" ref="V1367:V1386" si="632">S1367</f>
        <v>0</v>
      </c>
      <c r="W1367" s="133">
        <f>VLOOKUP(U1367,Sheet1!$B$6:$C$45,2,FALSE)*V1367</f>
        <v>0</v>
      </c>
      <c r="X1367" s="141"/>
      <c r="Y1367" s="121" t="s">
        <v>292</v>
      </c>
      <c r="Z1367" s="146">
        <f>VLOOKUP(Takeoffs!Y1367,Sheet1!$B$6:$C$124,2,FALSE)</f>
        <v>0</v>
      </c>
      <c r="AA1367" s="146">
        <f t="shared" ref="AA1367:AA1386" si="633">Z1367*AB1367</f>
        <v>0</v>
      </c>
      <c r="AB1367" s="143">
        <f t="shared" ref="AB1367:AB1386" si="634">AD1367*AC1367</f>
        <v>0</v>
      </c>
      <c r="AC1367" s="133">
        <f t="shared" ref="AC1367:AC1386" si="635">S1367</f>
        <v>0</v>
      </c>
      <c r="AD1367" s="142">
        <v>1</v>
      </c>
      <c r="AE1367" s="141"/>
      <c r="AF1367" s="122" t="s">
        <v>269</v>
      </c>
      <c r="AG1367" s="146">
        <f>VLOOKUP(Takeoffs!AF1367,Sheet1!$B$6:$C$124,2,FALSE)</f>
        <v>1.056</v>
      </c>
      <c r="AH1367" s="146">
        <f t="shared" ref="AH1367:AH1386" si="636">AG1367*AI1367</f>
        <v>0</v>
      </c>
      <c r="AI1367" s="143">
        <f t="shared" ref="AI1367:AI1386" si="637">AK1367*AJ1367</f>
        <v>0</v>
      </c>
      <c r="AJ1367" s="133">
        <f t="shared" ref="AJ1367:AJ1374" si="638">S1367</f>
        <v>0</v>
      </c>
      <c r="AK1367" s="142">
        <v>10</v>
      </c>
      <c r="AL1367" s="141"/>
      <c r="AO1367" s="286"/>
      <c r="AP1367" s="284">
        <f t="shared" si="627"/>
        <v>0</v>
      </c>
      <c r="AQ1367" s="281">
        <f t="shared" si="628"/>
        <v>0</v>
      </c>
      <c r="AR1367" s="284">
        <f t="shared" si="629"/>
        <v>0</v>
      </c>
      <c r="AS1367" s="281">
        <f t="shared" si="630"/>
        <v>0</v>
      </c>
      <c r="AT1367" s="284">
        <f t="shared" si="631"/>
        <v>0</v>
      </c>
    </row>
    <row r="1368" spans="1:97" s="114" customFormat="1" ht="30.9" x14ac:dyDescent="0.8">
      <c r="A1368" s="262">
        <f>ROW()</f>
        <v>1368</v>
      </c>
      <c r="C1368" s="208"/>
      <c r="D1368" s="208"/>
      <c r="E1368" s="208"/>
      <c r="F1368" s="208"/>
      <c r="G1368" s="208"/>
      <c r="H1368" s="208"/>
      <c r="J1368" s="114" t="str">
        <f t="shared" ref="J1368:J1386" si="639">IF(COUNTBLANK(Q1368)&gt;0,"",CONCATENATE("Coordination Note: - ",P1368,": Please refer to our exclusions relating to ",Q1368))</f>
        <v/>
      </c>
      <c r="K1368" s="114" t="str">
        <f>IF(COUNTBLANK(R1368)&gt;0,"",CONCATENATE(R1368," for ",N1366))</f>
        <v/>
      </c>
      <c r="M1368" s="117"/>
      <c r="N1368" s="123" t="s">
        <v>114</v>
      </c>
      <c r="O1368" s="66" t="s">
        <v>392</v>
      </c>
      <c r="P1368" s="121"/>
      <c r="Q1368" s="121"/>
      <c r="R1368" s="121"/>
      <c r="S1368" s="133">
        <f>M1366</f>
        <v>0</v>
      </c>
      <c r="T1368" s="120"/>
      <c r="U1368" s="117" t="s">
        <v>302</v>
      </c>
      <c r="V1368" s="133">
        <f t="shared" si="632"/>
        <v>0</v>
      </c>
      <c r="W1368" s="133">
        <f>VLOOKUP(U1368,Sheet1!$B$6:$C$45,2,FALSE)*V1368</f>
        <v>0</v>
      </c>
      <c r="X1368" s="141"/>
      <c r="Y1368" s="121" t="s">
        <v>292</v>
      </c>
      <c r="Z1368" s="146">
        <f>VLOOKUP(Takeoffs!Y1368,Sheet1!$B$6:$C$124,2,FALSE)</f>
        <v>0</v>
      </c>
      <c r="AA1368" s="146">
        <f t="shared" si="633"/>
        <v>0</v>
      </c>
      <c r="AB1368" s="143">
        <f t="shared" si="634"/>
        <v>0</v>
      </c>
      <c r="AC1368" s="133">
        <f t="shared" si="635"/>
        <v>0</v>
      </c>
      <c r="AD1368" s="142">
        <v>1</v>
      </c>
      <c r="AE1368" s="141"/>
      <c r="AF1368" s="122" t="s">
        <v>268</v>
      </c>
      <c r="AG1368" s="146">
        <f>VLOOKUP(Takeoffs!AF1368,Sheet1!$B$6:$C$124,2,FALSE)</f>
        <v>1.02</v>
      </c>
      <c r="AH1368" s="146">
        <f t="shared" si="636"/>
        <v>0</v>
      </c>
      <c r="AI1368" s="143">
        <f t="shared" si="637"/>
        <v>0</v>
      </c>
      <c r="AJ1368" s="133">
        <f t="shared" si="638"/>
        <v>0</v>
      </c>
      <c r="AK1368" s="142">
        <v>10</v>
      </c>
      <c r="AL1368" s="141"/>
      <c r="AO1368" s="286"/>
      <c r="AP1368" s="284">
        <f t="shared" si="627"/>
        <v>0</v>
      </c>
      <c r="AQ1368" s="281">
        <f t="shared" si="628"/>
        <v>0</v>
      </c>
      <c r="AR1368" s="284">
        <f t="shared" si="629"/>
        <v>0</v>
      </c>
      <c r="AS1368" s="281">
        <f t="shared" si="630"/>
        <v>0</v>
      </c>
      <c r="AT1368" s="284">
        <f t="shared" si="631"/>
        <v>0</v>
      </c>
    </row>
    <row r="1369" spans="1:97" s="114" customFormat="1" ht="30.9" x14ac:dyDescent="0.8">
      <c r="A1369" s="262">
        <f>ROW()</f>
        <v>1369</v>
      </c>
      <c r="C1369" s="208"/>
      <c r="D1369" s="208"/>
      <c r="E1369" s="208"/>
      <c r="F1369" s="208"/>
      <c r="G1369" s="208"/>
      <c r="H1369" s="208"/>
      <c r="J1369" s="114" t="str">
        <f t="shared" si="639"/>
        <v/>
      </c>
      <c r="K1369" s="114" t="str">
        <f>IF(COUNTBLANK(R1369)&gt;0,"",CONCATENATE(R1369," for ",N1366))</f>
        <v/>
      </c>
      <c r="M1369" s="117"/>
      <c r="N1369" s="123" t="s">
        <v>115</v>
      </c>
      <c r="O1369" s="66" t="s">
        <v>413</v>
      </c>
      <c r="P1369" s="121"/>
      <c r="Q1369" s="121"/>
      <c r="R1369" s="121"/>
      <c r="S1369" s="133">
        <f>M1366</f>
        <v>0</v>
      </c>
      <c r="T1369" s="120"/>
      <c r="U1369" s="121" t="s">
        <v>292</v>
      </c>
      <c r="V1369" s="133">
        <f t="shared" si="632"/>
        <v>0</v>
      </c>
      <c r="W1369" s="133">
        <f>VLOOKUP(U1369,Sheet1!$B$6:$C$45,2,FALSE)*V1369</f>
        <v>0</v>
      </c>
      <c r="X1369" s="141"/>
      <c r="Y1369" s="121" t="s">
        <v>292</v>
      </c>
      <c r="Z1369" s="146">
        <f>VLOOKUP(Takeoffs!Y1369,Sheet1!$B$6:$C$124,2,FALSE)</f>
        <v>0</v>
      </c>
      <c r="AA1369" s="146">
        <f t="shared" si="633"/>
        <v>0</v>
      </c>
      <c r="AB1369" s="143">
        <f t="shared" si="634"/>
        <v>0</v>
      </c>
      <c r="AC1369" s="133">
        <f t="shared" si="635"/>
        <v>0</v>
      </c>
      <c r="AD1369" s="142">
        <v>2</v>
      </c>
      <c r="AE1369" s="141"/>
      <c r="AF1369" s="121" t="s">
        <v>292</v>
      </c>
      <c r="AG1369" s="146">
        <f>VLOOKUP(Takeoffs!AF1369,Sheet1!$B$6:$C$124,2,FALSE)</f>
        <v>0</v>
      </c>
      <c r="AH1369" s="146">
        <f t="shared" si="636"/>
        <v>0</v>
      </c>
      <c r="AI1369" s="143">
        <f t="shared" si="637"/>
        <v>0</v>
      </c>
      <c r="AJ1369" s="133">
        <f t="shared" si="638"/>
        <v>0</v>
      </c>
      <c r="AK1369" s="142">
        <f>T1369</f>
        <v>0</v>
      </c>
      <c r="AL1369" s="141"/>
      <c r="AO1369" s="286"/>
      <c r="AP1369" s="284">
        <f t="shared" si="627"/>
        <v>0</v>
      </c>
      <c r="AQ1369" s="281">
        <f t="shared" si="628"/>
        <v>0</v>
      </c>
      <c r="AR1369" s="284">
        <f t="shared" si="629"/>
        <v>0</v>
      </c>
      <c r="AS1369" s="281">
        <f t="shared" si="630"/>
        <v>0</v>
      </c>
      <c r="AT1369" s="284">
        <f t="shared" si="631"/>
        <v>0</v>
      </c>
    </row>
    <row r="1370" spans="1:97" s="114" customFormat="1" ht="30.9" x14ac:dyDescent="0.8">
      <c r="A1370" s="262">
        <f>ROW()</f>
        <v>1370</v>
      </c>
      <c r="C1370" s="208"/>
      <c r="D1370" s="208"/>
      <c r="E1370" s="208"/>
      <c r="F1370" s="208"/>
      <c r="G1370" s="208"/>
      <c r="H1370" s="208"/>
      <c r="J1370" s="114" t="str">
        <f t="shared" si="639"/>
        <v xml:space="preserve">Coordination Note: - AC system supplier : Please refer to our exclusions relating to wireless air-conditioning controllers. </v>
      </c>
      <c r="K1370" s="114" t="str">
        <f>IF(COUNTBLANK(R1370)&gt;0,"",CONCATENATE(R1370," for ",N1366))</f>
        <v/>
      </c>
      <c r="M1370" s="117"/>
      <c r="N1370" s="123" t="s">
        <v>116</v>
      </c>
      <c r="O1370" s="66"/>
      <c r="P1370" s="121" t="s">
        <v>447</v>
      </c>
      <c r="Q1370" s="121" t="s">
        <v>689</v>
      </c>
      <c r="R1370" s="121"/>
      <c r="S1370" s="133">
        <f>M1366</f>
        <v>0</v>
      </c>
      <c r="T1370" s="120"/>
      <c r="U1370" s="121" t="s">
        <v>292</v>
      </c>
      <c r="V1370" s="133">
        <f t="shared" si="632"/>
        <v>0</v>
      </c>
      <c r="W1370" s="133">
        <f>VLOOKUP(U1370,Sheet1!$B$6:$C$45,2,FALSE)*V1370</f>
        <v>0</v>
      </c>
      <c r="X1370" s="141"/>
      <c r="Y1370" s="121" t="s">
        <v>292</v>
      </c>
      <c r="Z1370" s="146">
        <f>VLOOKUP(Takeoffs!Y1370,Sheet1!$B$6:$C$124,2,FALSE)</f>
        <v>0</v>
      </c>
      <c r="AA1370" s="146">
        <f t="shared" si="633"/>
        <v>0</v>
      </c>
      <c r="AB1370" s="143">
        <f t="shared" si="634"/>
        <v>0</v>
      </c>
      <c r="AC1370" s="133">
        <f t="shared" si="635"/>
        <v>0</v>
      </c>
      <c r="AD1370" s="142">
        <v>1</v>
      </c>
      <c r="AE1370" s="141"/>
      <c r="AF1370" s="121" t="s">
        <v>292</v>
      </c>
      <c r="AG1370" s="146">
        <f>VLOOKUP(Takeoffs!AF1370,Sheet1!$B$6:$C$124,2,FALSE)</f>
        <v>0</v>
      </c>
      <c r="AH1370" s="146">
        <f t="shared" si="636"/>
        <v>0</v>
      </c>
      <c r="AI1370" s="143">
        <f t="shared" si="637"/>
        <v>0</v>
      </c>
      <c r="AJ1370" s="133">
        <f t="shared" si="638"/>
        <v>0</v>
      </c>
      <c r="AK1370" s="142">
        <f>T1370</f>
        <v>0</v>
      </c>
      <c r="AL1370" s="141"/>
      <c r="AO1370" s="286"/>
      <c r="AP1370" s="284">
        <f t="shared" si="627"/>
        <v>0</v>
      </c>
      <c r="AQ1370" s="281">
        <f t="shared" si="628"/>
        <v>0</v>
      </c>
      <c r="AR1370" s="284">
        <f t="shared" si="629"/>
        <v>0</v>
      </c>
      <c r="AS1370" s="281">
        <f t="shared" si="630"/>
        <v>0</v>
      </c>
      <c r="AT1370" s="284">
        <f t="shared" si="631"/>
        <v>0</v>
      </c>
    </row>
    <row r="1371" spans="1:97" s="114" customFormat="1" ht="30.9" x14ac:dyDescent="0.8">
      <c r="A1371" s="262">
        <f>ROW()</f>
        <v>1371</v>
      </c>
      <c r="C1371" s="208"/>
      <c r="D1371" s="208"/>
      <c r="E1371" s="208"/>
      <c r="F1371" s="208"/>
      <c r="G1371" s="208"/>
      <c r="H1371" s="208"/>
      <c r="J1371" s="114" t="str">
        <f t="shared" si="639"/>
        <v>Coordination Note: - Builders Electrician: Please refer to our exclusions relating to power supply to outdoor unit</v>
      </c>
      <c r="K1371" s="114" t="str">
        <f>IF(COUNTBLANK(R1371)&gt;0,"",CONCATENATE(R1371," for ",N1366))</f>
        <v/>
      </c>
      <c r="M1371" s="117"/>
      <c r="N1371" s="123" t="s">
        <v>117</v>
      </c>
      <c r="O1371" s="66" t="s">
        <v>507</v>
      </c>
      <c r="P1371" s="121" t="s">
        <v>420</v>
      </c>
      <c r="Q1371" s="121" t="s">
        <v>691</v>
      </c>
      <c r="R1371" s="121"/>
      <c r="S1371" s="133">
        <f>M1366</f>
        <v>0</v>
      </c>
      <c r="T1371" s="120"/>
      <c r="U1371" s="121" t="s">
        <v>292</v>
      </c>
      <c r="V1371" s="133">
        <f t="shared" si="632"/>
        <v>0</v>
      </c>
      <c r="W1371" s="133">
        <f>VLOOKUP(U1371,Sheet1!$B$6:$C$45,2,FALSE)*V1371</f>
        <v>0</v>
      </c>
      <c r="X1371" s="141"/>
      <c r="Y1371" s="121" t="s">
        <v>292</v>
      </c>
      <c r="Z1371" s="146">
        <f>VLOOKUP(Takeoffs!Y1371,Sheet1!$B$6:$C$124,2,FALSE)</f>
        <v>0</v>
      </c>
      <c r="AA1371" s="146">
        <f t="shared" si="633"/>
        <v>0</v>
      </c>
      <c r="AB1371" s="143">
        <f t="shared" si="634"/>
        <v>0</v>
      </c>
      <c r="AC1371" s="133">
        <f t="shared" si="635"/>
        <v>0</v>
      </c>
      <c r="AD1371" s="142">
        <v>2</v>
      </c>
      <c r="AE1371" s="141"/>
      <c r="AF1371" s="122" t="s">
        <v>268</v>
      </c>
      <c r="AG1371" s="146">
        <f>VLOOKUP(Takeoffs!AF1371,Sheet1!$B$6:$C$124,2,FALSE)</f>
        <v>1.02</v>
      </c>
      <c r="AH1371" s="146">
        <f t="shared" si="636"/>
        <v>0</v>
      </c>
      <c r="AI1371" s="143">
        <f t="shared" si="637"/>
        <v>0</v>
      </c>
      <c r="AJ1371" s="133">
        <f t="shared" si="638"/>
        <v>0</v>
      </c>
      <c r="AK1371" s="142">
        <v>10</v>
      </c>
      <c r="AL1371" s="141"/>
      <c r="AO1371" s="286"/>
      <c r="AP1371" s="284">
        <f t="shared" si="627"/>
        <v>0</v>
      </c>
      <c r="AQ1371" s="281">
        <f t="shared" si="628"/>
        <v>0</v>
      </c>
      <c r="AR1371" s="284">
        <f t="shared" si="629"/>
        <v>0</v>
      </c>
      <c r="AS1371" s="281">
        <f t="shared" si="630"/>
        <v>0</v>
      </c>
      <c r="AT1371" s="284">
        <f t="shared" si="631"/>
        <v>0</v>
      </c>
    </row>
    <row r="1372" spans="1:97" s="114" customFormat="1" ht="30.9" x14ac:dyDescent="0.8">
      <c r="A1372" s="262">
        <f>ROW()</f>
        <v>1372</v>
      </c>
      <c r="C1372" s="208"/>
      <c r="D1372" s="208"/>
      <c r="E1372" s="208"/>
      <c r="F1372" s="208"/>
      <c r="G1372" s="208"/>
      <c r="H1372" s="208"/>
      <c r="J1372" s="114" t="str">
        <f t="shared" si="639"/>
        <v/>
      </c>
      <c r="K1372" s="114" t="str">
        <f>IF(COUNTBLANK(R1372)&gt;0,"",CONCATENATE(R1372," for ",N1366))</f>
        <v/>
      </c>
      <c r="M1372" s="117"/>
      <c r="N1372" s="123" t="s">
        <v>118</v>
      </c>
      <c r="O1372" s="66"/>
      <c r="P1372" s="121"/>
      <c r="Q1372" s="121"/>
      <c r="R1372" s="121"/>
      <c r="S1372" s="133">
        <f>M1366</f>
        <v>0</v>
      </c>
      <c r="T1372" s="120"/>
      <c r="U1372" s="121" t="s">
        <v>292</v>
      </c>
      <c r="V1372" s="133">
        <f t="shared" si="632"/>
        <v>0</v>
      </c>
      <c r="W1372" s="133">
        <f>VLOOKUP(U1372,Sheet1!$B$6:$C$45,2,FALSE)*V1372</f>
        <v>0</v>
      </c>
      <c r="X1372" s="141"/>
      <c r="Y1372" s="121" t="s">
        <v>292</v>
      </c>
      <c r="Z1372" s="146">
        <f>VLOOKUP(Takeoffs!Y1372,Sheet1!$B$6:$C$124,2,FALSE)</f>
        <v>0</v>
      </c>
      <c r="AA1372" s="146">
        <f t="shared" si="633"/>
        <v>0</v>
      </c>
      <c r="AB1372" s="143">
        <f t="shared" si="634"/>
        <v>0</v>
      </c>
      <c r="AC1372" s="133">
        <f t="shared" si="635"/>
        <v>0</v>
      </c>
      <c r="AD1372" s="142">
        <v>1</v>
      </c>
      <c r="AE1372" s="141"/>
      <c r="AF1372" s="121" t="s">
        <v>292</v>
      </c>
      <c r="AG1372" s="146">
        <f>VLOOKUP(Takeoffs!AF1372,Sheet1!$B$6:$C$124,2,FALSE)</f>
        <v>0</v>
      </c>
      <c r="AH1372" s="146">
        <f t="shared" si="636"/>
        <v>0</v>
      </c>
      <c r="AI1372" s="143">
        <f t="shared" si="637"/>
        <v>0</v>
      </c>
      <c r="AJ1372" s="133">
        <f t="shared" si="638"/>
        <v>0</v>
      </c>
      <c r="AK1372" s="142">
        <f t="shared" ref="AK1372:AK1386" si="640">T1372</f>
        <v>0</v>
      </c>
      <c r="AL1372" s="141"/>
      <c r="AO1372" s="286"/>
      <c r="AP1372" s="284">
        <f t="shared" si="627"/>
        <v>0</v>
      </c>
      <c r="AQ1372" s="281">
        <f t="shared" si="628"/>
        <v>0</v>
      </c>
      <c r="AR1372" s="284">
        <f t="shared" si="629"/>
        <v>0</v>
      </c>
      <c r="AS1372" s="281">
        <f t="shared" si="630"/>
        <v>0</v>
      </c>
      <c r="AT1372" s="284">
        <f t="shared" si="631"/>
        <v>0</v>
      </c>
    </row>
    <row r="1373" spans="1:97" s="114" customFormat="1" ht="30.9" x14ac:dyDescent="0.8">
      <c r="A1373" s="262">
        <f>ROW()</f>
        <v>1373</v>
      </c>
      <c r="C1373" s="208"/>
      <c r="D1373" s="208"/>
      <c r="E1373" s="208"/>
      <c r="F1373" s="208"/>
      <c r="G1373" s="208"/>
      <c r="H1373" s="208"/>
      <c r="J1373" s="114" t="str">
        <f t="shared" si="639"/>
        <v/>
      </c>
      <c r="K1373" s="114" t="str">
        <f>IF(COUNTBLANK(R1373)&gt;0,"",CONCATENATE(R1373," for ",N1366))</f>
        <v/>
      </c>
      <c r="N1373" s="123" t="s">
        <v>119</v>
      </c>
      <c r="O1373" s="66"/>
      <c r="P1373" s="121"/>
      <c r="Q1373" s="121"/>
      <c r="R1373" s="121"/>
      <c r="S1373" s="133">
        <f>M1366</f>
        <v>0</v>
      </c>
      <c r="T1373" s="120"/>
      <c r="U1373" s="121" t="s">
        <v>292</v>
      </c>
      <c r="V1373" s="133">
        <f t="shared" si="632"/>
        <v>0</v>
      </c>
      <c r="W1373" s="133">
        <f>VLOOKUP(U1373,Sheet1!$B$6:$C$45,2,FALSE)*V1373</f>
        <v>0</v>
      </c>
      <c r="X1373" s="141"/>
      <c r="Y1373" s="121" t="s">
        <v>292</v>
      </c>
      <c r="Z1373" s="146">
        <f>VLOOKUP(Takeoffs!Y1373,Sheet1!$B$6:$C$124,2,FALSE)</f>
        <v>0</v>
      </c>
      <c r="AA1373" s="146">
        <f t="shared" si="633"/>
        <v>0</v>
      </c>
      <c r="AB1373" s="143">
        <f t="shared" si="634"/>
        <v>0</v>
      </c>
      <c r="AC1373" s="133">
        <f t="shared" si="635"/>
        <v>0</v>
      </c>
      <c r="AD1373" s="142">
        <v>1</v>
      </c>
      <c r="AE1373" s="141"/>
      <c r="AF1373" s="121" t="s">
        <v>292</v>
      </c>
      <c r="AG1373" s="146">
        <f>VLOOKUP(Takeoffs!AF1373,Sheet1!$B$6:$C$124,2,FALSE)</f>
        <v>0</v>
      </c>
      <c r="AH1373" s="146">
        <f t="shared" si="636"/>
        <v>0</v>
      </c>
      <c r="AI1373" s="143">
        <f t="shared" si="637"/>
        <v>0</v>
      </c>
      <c r="AJ1373" s="133">
        <f t="shared" si="638"/>
        <v>0</v>
      </c>
      <c r="AK1373" s="142">
        <f t="shared" si="640"/>
        <v>0</v>
      </c>
      <c r="AL1373" s="141"/>
      <c r="AO1373" s="286"/>
      <c r="AP1373" s="284">
        <f t="shared" si="627"/>
        <v>0</v>
      </c>
      <c r="AQ1373" s="281">
        <f t="shared" si="628"/>
        <v>0</v>
      </c>
      <c r="AR1373" s="284">
        <f t="shared" si="629"/>
        <v>0</v>
      </c>
      <c r="AS1373" s="281">
        <f t="shared" si="630"/>
        <v>0</v>
      </c>
      <c r="AT1373" s="284">
        <f t="shared" si="631"/>
        <v>0</v>
      </c>
    </row>
    <row r="1374" spans="1:97" s="114" customFormat="1" ht="30.9" x14ac:dyDescent="0.8">
      <c r="A1374" s="262">
        <f>ROW()</f>
        <v>1374</v>
      </c>
      <c r="C1374" s="208"/>
      <c r="D1374" s="208"/>
      <c r="E1374" s="208"/>
      <c r="F1374" s="208"/>
      <c r="G1374" s="208"/>
      <c r="H1374" s="208"/>
      <c r="J1374" s="114" t="str">
        <f t="shared" si="639"/>
        <v/>
      </c>
      <c r="K1374" s="114" t="str">
        <f>IF(COUNTBLANK(R1374)&gt;0,"",CONCATENATE(R1374," for ",N1366))</f>
        <v/>
      </c>
      <c r="N1374" s="123" t="s">
        <v>120</v>
      </c>
      <c r="O1374" s="66"/>
      <c r="P1374" s="121"/>
      <c r="Q1374" s="121"/>
      <c r="R1374" s="121"/>
      <c r="S1374" s="133">
        <f>M1366</f>
        <v>0</v>
      </c>
      <c r="T1374" s="120"/>
      <c r="U1374" s="121" t="s">
        <v>292</v>
      </c>
      <c r="V1374" s="133">
        <f t="shared" si="632"/>
        <v>0</v>
      </c>
      <c r="W1374" s="133">
        <f>VLOOKUP(U1374,Sheet1!$B$6:$C$45,2,FALSE)*V1374</f>
        <v>0</v>
      </c>
      <c r="X1374" s="141"/>
      <c r="Y1374" s="121" t="s">
        <v>292</v>
      </c>
      <c r="Z1374" s="146">
        <f>VLOOKUP(Takeoffs!Y1374,Sheet1!$B$6:$C$124,2,FALSE)</f>
        <v>0</v>
      </c>
      <c r="AA1374" s="146">
        <f t="shared" si="633"/>
        <v>0</v>
      </c>
      <c r="AB1374" s="143">
        <f t="shared" si="634"/>
        <v>0</v>
      </c>
      <c r="AC1374" s="133">
        <f t="shared" si="635"/>
        <v>0</v>
      </c>
      <c r="AD1374" s="142">
        <v>1</v>
      </c>
      <c r="AE1374" s="141"/>
      <c r="AF1374" s="121" t="s">
        <v>292</v>
      </c>
      <c r="AG1374" s="146">
        <f>VLOOKUP(Takeoffs!AF1374,Sheet1!$B$6:$C$124,2,FALSE)</f>
        <v>0</v>
      </c>
      <c r="AH1374" s="146">
        <f t="shared" si="636"/>
        <v>0</v>
      </c>
      <c r="AI1374" s="143">
        <f t="shared" si="637"/>
        <v>0</v>
      </c>
      <c r="AJ1374" s="133">
        <f t="shared" si="638"/>
        <v>0</v>
      </c>
      <c r="AK1374" s="142">
        <f t="shared" si="640"/>
        <v>0</v>
      </c>
      <c r="AL1374" s="141"/>
      <c r="AO1374" s="286"/>
      <c r="AP1374" s="284">
        <f t="shared" si="627"/>
        <v>0</v>
      </c>
      <c r="AQ1374" s="281">
        <f t="shared" si="628"/>
        <v>0</v>
      </c>
      <c r="AR1374" s="284">
        <f t="shared" si="629"/>
        <v>0</v>
      </c>
      <c r="AS1374" s="281">
        <f t="shared" si="630"/>
        <v>0</v>
      </c>
      <c r="AT1374" s="284">
        <f t="shared" si="631"/>
        <v>0</v>
      </c>
    </row>
    <row r="1375" spans="1:97" s="114" customFormat="1" ht="30.9" x14ac:dyDescent="0.8">
      <c r="A1375" s="262">
        <f>ROW()</f>
        <v>1375</v>
      </c>
      <c r="C1375" s="208"/>
      <c r="D1375" s="208"/>
      <c r="E1375" s="208"/>
      <c r="F1375" s="208"/>
      <c r="G1375" s="208"/>
      <c r="H1375" s="208"/>
      <c r="J1375" s="114" t="str">
        <f t="shared" si="639"/>
        <v/>
      </c>
      <c r="K1375" s="114" t="str">
        <f>IF(COUNTBLANK(R1375)&gt;0,"",CONCATENATE(R1375," for ",N1366))</f>
        <v/>
      </c>
      <c r="N1375" s="123" t="s">
        <v>121</v>
      </c>
      <c r="O1375" s="66"/>
      <c r="P1375" s="121"/>
      <c r="Q1375" s="121"/>
      <c r="R1375" s="121"/>
      <c r="S1375" s="133">
        <f>M1366</f>
        <v>0</v>
      </c>
      <c r="T1375" s="120"/>
      <c r="U1375" s="121" t="s">
        <v>292</v>
      </c>
      <c r="V1375" s="133">
        <f t="shared" si="632"/>
        <v>0</v>
      </c>
      <c r="W1375" s="133">
        <f>VLOOKUP(U1375,Sheet1!$B$6:$C$45,2,FALSE)*V1375</f>
        <v>0</v>
      </c>
      <c r="X1375" s="141"/>
      <c r="Y1375" s="121" t="s">
        <v>292</v>
      </c>
      <c r="Z1375" s="146">
        <f>VLOOKUP(Takeoffs!Y1375,Sheet1!$B$6:$C$124,2,FALSE)</f>
        <v>0</v>
      </c>
      <c r="AA1375" s="146">
        <f t="shared" si="633"/>
        <v>0</v>
      </c>
      <c r="AB1375" s="143">
        <f t="shared" si="634"/>
        <v>0</v>
      </c>
      <c r="AC1375" s="133">
        <f t="shared" si="635"/>
        <v>0</v>
      </c>
      <c r="AD1375" s="142">
        <v>1</v>
      </c>
      <c r="AE1375" s="141"/>
      <c r="AF1375" s="121" t="s">
        <v>292</v>
      </c>
      <c r="AG1375" s="146">
        <f>VLOOKUP(Takeoffs!AF1375,Sheet1!$B$6:$C$124,2,FALSE)</f>
        <v>0</v>
      </c>
      <c r="AH1375" s="146">
        <f t="shared" si="636"/>
        <v>0</v>
      </c>
      <c r="AI1375" s="143">
        <f t="shared" si="637"/>
        <v>0</v>
      </c>
      <c r="AJ1375" s="133">
        <f t="shared" ref="AJ1375:AJ1386" si="641">S1375</f>
        <v>0</v>
      </c>
      <c r="AK1375" s="142">
        <f t="shared" si="640"/>
        <v>0</v>
      </c>
      <c r="AL1375" s="141"/>
      <c r="AO1375" s="286"/>
      <c r="AP1375" s="284">
        <f t="shared" si="627"/>
        <v>0</v>
      </c>
      <c r="AQ1375" s="281">
        <f t="shared" si="628"/>
        <v>0</v>
      </c>
      <c r="AR1375" s="284">
        <f t="shared" si="629"/>
        <v>0</v>
      </c>
      <c r="AS1375" s="281">
        <f t="shared" si="630"/>
        <v>0</v>
      </c>
      <c r="AT1375" s="284">
        <f t="shared" si="631"/>
        <v>0</v>
      </c>
    </row>
    <row r="1376" spans="1:97" s="114" customFormat="1" ht="30.9" x14ac:dyDescent="0.8">
      <c r="A1376" s="262">
        <f>ROW()</f>
        <v>1376</v>
      </c>
      <c r="C1376" s="208"/>
      <c r="D1376" s="208"/>
      <c r="E1376" s="208"/>
      <c r="F1376" s="208"/>
      <c r="G1376" s="208"/>
      <c r="H1376" s="208"/>
      <c r="J1376" s="114" t="str">
        <f t="shared" si="639"/>
        <v/>
      </c>
      <c r="K1376" s="114" t="str">
        <f>IF(COUNTBLANK(R1376)&gt;0,"",CONCATENATE(R1376," for ",N1366))</f>
        <v/>
      </c>
      <c r="N1376" s="123" t="s">
        <v>122</v>
      </c>
      <c r="O1376" s="66"/>
      <c r="P1376" s="121"/>
      <c r="Q1376" s="121"/>
      <c r="R1376" s="121"/>
      <c r="S1376" s="133">
        <f>M1366</f>
        <v>0</v>
      </c>
      <c r="T1376" s="120"/>
      <c r="U1376" s="121" t="s">
        <v>292</v>
      </c>
      <c r="V1376" s="133">
        <f t="shared" si="632"/>
        <v>0</v>
      </c>
      <c r="W1376" s="133">
        <f>VLOOKUP(U1376,Sheet1!$B$6:$C$45,2,FALSE)*V1376</f>
        <v>0</v>
      </c>
      <c r="X1376" s="141"/>
      <c r="Y1376" s="121" t="s">
        <v>292</v>
      </c>
      <c r="Z1376" s="146">
        <f>VLOOKUP(Takeoffs!Y1376,Sheet1!$B$6:$C$124,2,FALSE)</f>
        <v>0</v>
      </c>
      <c r="AA1376" s="146">
        <f t="shared" si="633"/>
        <v>0</v>
      </c>
      <c r="AB1376" s="143">
        <f t="shared" si="634"/>
        <v>0</v>
      </c>
      <c r="AC1376" s="133">
        <f t="shared" si="635"/>
        <v>0</v>
      </c>
      <c r="AD1376" s="142">
        <v>1</v>
      </c>
      <c r="AE1376" s="141"/>
      <c r="AF1376" s="121" t="s">
        <v>292</v>
      </c>
      <c r="AG1376" s="146">
        <f>VLOOKUP(Takeoffs!AF1376,Sheet1!$B$6:$C$124,2,FALSE)</f>
        <v>0</v>
      </c>
      <c r="AH1376" s="146">
        <f t="shared" si="636"/>
        <v>0</v>
      </c>
      <c r="AI1376" s="143">
        <f t="shared" si="637"/>
        <v>0</v>
      </c>
      <c r="AJ1376" s="133">
        <f t="shared" si="641"/>
        <v>0</v>
      </c>
      <c r="AK1376" s="142">
        <f t="shared" si="640"/>
        <v>0</v>
      </c>
      <c r="AL1376" s="141"/>
      <c r="AO1376" s="286"/>
      <c r="AP1376" s="284">
        <f t="shared" si="627"/>
        <v>0</v>
      </c>
      <c r="AQ1376" s="281">
        <f t="shared" si="628"/>
        <v>0</v>
      </c>
      <c r="AR1376" s="284">
        <f t="shared" si="629"/>
        <v>0</v>
      </c>
      <c r="AS1376" s="281">
        <f t="shared" si="630"/>
        <v>0</v>
      </c>
      <c r="AT1376" s="284">
        <f t="shared" si="631"/>
        <v>0</v>
      </c>
    </row>
    <row r="1377" spans="1:97" s="114" customFormat="1" ht="30.9" x14ac:dyDescent="0.8">
      <c r="A1377" s="262">
        <f>ROW()</f>
        <v>1377</v>
      </c>
      <c r="C1377" s="208"/>
      <c r="D1377" s="208"/>
      <c r="E1377" s="208"/>
      <c r="F1377" s="208"/>
      <c r="G1377" s="208"/>
      <c r="H1377" s="208"/>
      <c r="J1377" s="114" t="str">
        <f t="shared" si="639"/>
        <v/>
      </c>
      <c r="K1377" s="114" t="str">
        <f>IF(COUNTBLANK(R1377)&gt;0,"",CONCATENATE(R1377," for ",N1366))</f>
        <v/>
      </c>
      <c r="N1377" s="123" t="s">
        <v>123</v>
      </c>
      <c r="O1377" s="66"/>
      <c r="P1377" s="121"/>
      <c r="Q1377" s="121"/>
      <c r="R1377" s="121"/>
      <c r="S1377" s="133">
        <f>M1366</f>
        <v>0</v>
      </c>
      <c r="T1377" s="120"/>
      <c r="U1377" s="121" t="s">
        <v>292</v>
      </c>
      <c r="V1377" s="133">
        <f t="shared" si="632"/>
        <v>0</v>
      </c>
      <c r="W1377" s="133">
        <f>VLOOKUP(U1377,Sheet1!$B$6:$C$45,2,FALSE)*V1377</f>
        <v>0</v>
      </c>
      <c r="X1377" s="141"/>
      <c r="Y1377" s="121" t="s">
        <v>292</v>
      </c>
      <c r="Z1377" s="146">
        <f>VLOOKUP(Takeoffs!Y1377,Sheet1!$B$6:$C$124,2,FALSE)</f>
        <v>0</v>
      </c>
      <c r="AA1377" s="146">
        <f t="shared" si="633"/>
        <v>0</v>
      </c>
      <c r="AB1377" s="143">
        <f t="shared" si="634"/>
        <v>0</v>
      </c>
      <c r="AC1377" s="133">
        <f t="shared" si="635"/>
        <v>0</v>
      </c>
      <c r="AD1377" s="142">
        <v>1</v>
      </c>
      <c r="AE1377" s="141"/>
      <c r="AF1377" s="121" t="s">
        <v>292</v>
      </c>
      <c r="AG1377" s="146">
        <f>VLOOKUP(Takeoffs!AF1377,Sheet1!$B$6:$C$124,2,FALSE)</f>
        <v>0</v>
      </c>
      <c r="AH1377" s="146">
        <f t="shared" si="636"/>
        <v>0</v>
      </c>
      <c r="AI1377" s="143">
        <f t="shared" si="637"/>
        <v>0</v>
      </c>
      <c r="AJ1377" s="133">
        <f t="shared" si="641"/>
        <v>0</v>
      </c>
      <c r="AK1377" s="142">
        <f t="shared" si="640"/>
        <v>0</v>
      </c>
      <c r="AL1377" s="141"/>
      <c r="AO1377" s="286"/>
      <c r="AP1377" s="284">
        <f t="shared" si="627"/>
        <v>0</v>
      </c>
      <c r="AQ1377" s="281">
        <f t="shared" si="628"/>
        <v>0</v>
      </c>
      <c r="AR1377" s="284">
        <f t="shared" si="629"/>
        <v>0</v>
      </c>
      <c r="AS1377" s="281">
        <f t="shared" si="630"/>
        <v>0</v>
      </c>
      <c r="AT1377" s="284">
        <f t="shared" si="631"/>
        <v>0</v>
      </c>
    </row>
    <row r="1378" spans="1:97" s="114" customFormat="1" ht="30.9" x14ac:dyDescent="0.8">
      <c r="A1378" s="262">
        <f>ROW()</f>
        <v>1378</v>
      </c>
      <c r="C1378" s="208"/>
      <c r="D1378" s="208"/>
      <c r="E1378" s="208"/>
      <c r="F1378" s="208"/>
      <c r="G1378" s="208"/>
      <c r="H1378" s="208"/>
      <c r="J1378" s="114" t="str">
        <f t="shared" si="639"/>
        <v/>
      </c>
      <c r="K1378" s="114" t="str">
        <f>IF(COUNTBLANK(R1378)&gt;0,"",CONCATENATE(R1378," for ",N1366))</f>
        <v/>
      </c>
      <c r="N1378" s="123" t="s">
        <v>124</v>
      </c>
      <c r="O1378" s="66"/>
      <c r="P1378" s="121"/>
      <c r="Q1378" s="121"/>
      <c r="R1378" s="121"/>
      <c r="S1378" s="133">
        <f>M1366</f>
        <v>0</v>
      </c>
      <c r="T1378" s="120"/>
      <c r="U1378" s="121" t="s">
        <v>292</v>
      </c>
      <c r="V1378" s="133">
        <f t="shared" si="632"/>
        <v>0</v>
      </c>
      <c r="W1378" s="133">
        <f>VLOOKUP(U1378,Sheet1!$B$6:$C$45,2,FALSE)*V1378</f>
        <v>0</v>
      </c>
      <c r="X1378" s="141"/>
      <c r="Y1378" s="121" t="s">
        <v>292</v>
      </c>
      <c r="Z1378" s="146">
        <f>VLOOKUP(Takeoffs!Y1378,Sheet1!$B$6:$C$124,2,FALSE)</f>
        <v>0</v>
      </c>
      <c r="AA1378" s="146">
        <f t="shared" si="633"/>
        <v>0</v>
      </c>
      <c r="AB1378" s="143">
        <f t="shared" si="634"/>
        <v>0</v>
      </c>
      <c r="AC1378" s="133">
        <f t="shared" si="635"/>
        <v>0</v>
      </c>
      <c r="AD1378" s="142">
        <v>1</v>
      </c>
      <c r="AE1378" s="141"/>
      <c r="AF1378" s="121" t="s">
        <v>292</v>
      </c>
      <c r="AG1378" s="146">
        <f>VLOOKUP(Takeoffs!AF1378,Sheet1!$B$6:$C$124,2,FALSE)</f>
        <v>0</v>
      </c>
      <c r="AH1378" s="146">
        <f t="shared" si="636"/>
        <v>0</v>
      </c>
      <c r="AI1378" s="143">
        <f t="shared" si="637"/>
        <v>0</v>
      </c>
      <c r="AJ1378" s="133">
        <f t="shared" si="641"/>
        <v>0</v>
      </c>
      <c r="AK1378" s="142">
        <f t="shared" si="640"/>
        <v>0</v>
      </c>
      <c r="AL1378" s="141"/>
      <c r="AO1378" s="286"/>
      <c r="AP1378" s="284">
        <f t="shared" si="627"/>
        <v>0</v>
      </c>
      <c r="AQ1378" s="281">
        <f t="shared" si="628"/>
        <v>0</v>
      </c>
      <c r="AR1378" s="284">
        <f t="shared" si="629"/>
        <v>0</v>
      </c>
      <c r="AS1378" s="281">
        <f t="shared" si="630"/>
        <v>0</v>
      </c>
      <c r="AT1378" s="284">
        <f t="shared" si="631"/>
        <v>0</v>
      </c>
    </row>
    <row r="1379" spans="1:97" s="114" customFormat="1" ht="30.9" x14ac:dyDescent="0.8">
      <c r="A1379" s="262">
        <f>ROW()</f>
        <v>1379</v>
      </c>
      <c r="C1379" s="208"/>
      <c r="D1379" s="208"/>
      <c r="E1379" s="208"/>
      <c r="F1379" s="208"/>
      <c r="G1379" s="208"/>
      <c r="H1379" s="208"/>
      <c r="J1379" s="114" t="str">
        <f t="shared" si="639"/>
        <v/>
      </c>
      <c r="K1379" s="114" t="str">
        <f>IF(COUNTBLANK(R1379)&gt;0,"",CONCATENATE(R1379," for ",N1366))</f>
        <v/>
      </c>
      <c r="N1379" s="123" t="s">
        <v>125</v>
      </c>
      <c r="O1379" s="66"/>
      <c r="P1379" s="121"/>
      <c r="Q1379" s="121"/>
      <c r="R1379" s="121"/>
      <c r="S1379" s="133">
        <f>M1366</f>
        <v>0</v>
      </c>
      <c r="T1379" s="120"/>
      <c r="U1379" s="121" t="s">
        <v>292</v>
      </c>
      <c r="V1379" s="133">
        <f t="shared" si="632"/>
        <v>0</v>
      </c>
      <c r="W1379" s="133">
        <f>VLOOKUP(U1379,Sheet1!$B$6:$C$45,2,FALSE)*V1379</f>
        <v>0</v>
      </c>
      <c r="X1379" s="141"/>
      <c r="Y1379" s="121" t="s">
        <v>292</v>
      </c>
      <c r="Z1379" s="146">
        <f>VLOOKUP(Takeoffs!Y1379,Sheet1!$B$6:$C$124,2,FALSE)</f>
        <v>0</v>
      </c>
      <c r="AA1379" s="146">
        <f t="shared" si="633"/>
        <v>0</v>
      </c>
      <c r="AB1379" s="143">
        <f t="shared" si="634"/>
        <v>0</v>
      </c>
      <c r="AC1379" s="133">
        <f t="shared" si="635"/>
        <v>0</v>
      </c>
      <c r="AD1379" s="142">
        <v>1</v>
      </c>
      <c r="AE1379" s="141"/>
      <c r="AF1379" s="121" t="s">
        <v>292</v>
      </c>
      <c r="AG1379" s="146">
        <f>VLOOKUP(Takeoffs!AF1379,Sheet1!$B$6:$C$124,2,FALSE)</f>
        <v>0</v>
      </c>
      <c r="AH1379" s="146">
        <f t="shared" si="636"/>
        <v>0</v>
      </c>
      <c r="AI1379" s="143">
        <f t="shared" si="637"/>
        <v>0</v>
      </c>
      <c r="AJ1379" s="133">
        <f t="shared" si="641"/>
        <v>0</v>
      </c>
      <c r="AK1379" s="142">
        <f t="shared" si="640"/>
        <v>0</v>
      </c>
      <c r="AL1379" s="141"/>
      <c r="AO1379" s="286"/>
      <c r="AP1379" s="284">
        <f t="shared" si="627"/>
        <v>0</v>
      </c>
      <c r="AQ1379" s="281">
        <f t="shared" si="628"/>
        <v>0</v>
      </c>
      <c r="AR1379" s="284">
        <f t="shared" si="629"/>
        <v>0</v>
      </c>
      <c r="AS1379" s="281">
        <f t="shared" si="630"/>
        <v>0</v>
      </c>
      <c r="AT1379" s="284">
        <f t="shared" si="631"/>
        <v>0</v>
      </c>
    </row>
    <row r="1380" spans="1:97" s="114" customFormat="1" ht="30.9" x14ac:dyDescent="0.8">
      <c r="A1380" s="262">
        <f>ROW()</f>
        <v>1380</v>
      </c>
      <c r="C1380" s="208"/>
      <c r="D1380" s="208"/>
      <c r="E1380" s="208"/>
      <c r="F1380" s="208"/>
      <c r="G1380" s="208"/>
      <c r="H1380" s="208"/>
      <c r="J1380" s="114" t="str">
        <f t="shared" si="639"/>
        <v/>
      </c>
      <c r="K1380" s="114" t="str">
        <f>IF(COUNTBLANK(R1380)&gt;0,"",CONCATENATE(R1380," for ",N1366))</f>
        <v/>
      </c>
      <c r="N1380" s="123" t="s">
        <v>126</v>
      </c>
      <c r="O1380" s="66"/>
      <c r="P1380" s="121"/>
      <c r="Q1380" s="121"/>
      <c r="R1380" s="121"/>
      <c r="S1380" s="133">
        <f>M1366</f>
        <v>0</v>
      </c>
      <c r="T1380" s="120"/>
      <c r="U1380" s="121" t="s">
        <v>292</v>
      </c>
      <c r="V1380" s="133">
        <f t="shared" si="632"/>
        <v>0</v>
      </c>
      <c r="W1380" s="133">
        <f>VLOOKUP(U1380,Sheet1!$B$6:$C$45,2,FALSE)*V1380</f>
        <v>0</v>
      </c>
      <c r="X1380" s="141"/>
      <c r="Y1380" s="121" t="s">
        <v>292</v>
      </c>
      <c r="Z1380" s="146">
        <f>VLOOKUP(Takeoffs!Y1380,Sheet1!$B$6:$C$124,2,FALSE)</f>
        <v>0</v>
      </c>
      <c r="AA1380" s="146">
        <f t="shared" si="633"/>
        <v>0</v>
      </c>
      <c r="AB1380" s="143">
        <f t="shared" si="634"/>
        <v>0</v>
      </c>
      <c r="AC1380" s="133">
        <f t="shared" si="635"/>
        <v>0</v>
      </c>
      <c r="AD1380" s="142">
        <v>1</v>
      </c>
      <c r="AE1380" s="141"/>
      <c r="AF1380" s="121" t="s">
        <v>292</v>
      </c>
      <c r="AG1380" s="146">
        <f>VLOOKUP(Takeoffs!AF1380,Sheet1!$B$6:$C$124,2,FALSE)</f>
        <v>0</v>
      </c>
      <c r="AH1380" s="146">
        <f t="shared" si="636"/>
        <v>0</v>
      </c>
      <c r="AI1380" s="143">
        <f t="shared" si="637"/>
        <v>0</v>
      </c>
      <c r="AJ1380" s="133">
        <f t="shared" si="641"/>
        <v>0</v>
      </c>
      <c r="AK1380" s="142">
        <f t="shared" si="640"/>
        <v>0</v>
      </c>
      <c r="AL1380" s="141"/>
      <c r="AO1380" s="286"/>
      <c r="AP1380" s="284">
        <f t="shared" si="627"/>
        <v>0</v>
      </c>
      <c r="AQ1380" s="281">
        <f t="shared" si="628"/>
        <v>0</v>
      </c>
      <c r="AR1380" s="284">
        <f t="shared" si="629"/>
        <v>0</v>
      </c>
      <c r="AS1380" s="281">
        <f t="shared" si="630"/>
        <v>0</v>
      </c>
      <c r="AT1380" s="284">
        <f t="shared" si="631"/>
        <v>0</v>
      </c>
    </row>
    <row r="1381" spans="1:97" s="114" customFormat="1" ht="30.9" x14ac:dyDescent="0.8">
      <c r="A1381" s="262">
        <f>ROW()</f>
        <v>1381</v>
      </c>
      <c r="C1381" s="208"/>
      <c r="D1381" s="208"/>
      <c r="E1381" s="208"/>
      <c r="F1381" s="208"/>
      <c r="G1381" s="208"/>
      <c r="H1381" s="208"/>
      <c r="J1381" s="114" t="str">
        <f t="shared" si="639"/>
        <v/>
      </c>
      <c r="K1381" s="114" t="str">
        <f>IF(COUNTBLANK(R1381)&gt;0,"",CONCATENATE(R1381," for ",N1366))</f>
        <v/>
      </c>
      <c r="N1381" s="123" t="s">
        <v>127</v>
      </c>
      <c r="O1381" s="66"/>
      <c r="P1381" s="121"/>
      <c r="Q1381" s="121"/>
      <c r="R1381" s="121"/>
      <c r="S1381" s="133">
        <f>M1366</f>
        <v>0</v>
      </c>
      <c r="T1381" s="120"/>
      <c r="U1381" s="121" t="s">
        <v>292</v>
      </c>
      <c r="V1381" s="133">
        <f t="shared" si="632"/>
        <v>0</v>
      </c>
      <c r="W1381" s="133">
        <f>VLOOKUP(U1381,Sheet1!$B$6:$C$45,2,FALSE)*V1381</f>
        <v>0</v>
      </c>
      <c r="X1381" s="141"/>
      <c r="Y1381" s="121" t="s">
        <v>292</v>
      </c>
      <c r="Z1381" s="146">
        <f>VLOOKUP(Takeoffs!Y1381,Sheet1!$B$6:$C$124,2,FALSE)</f>
        <v>0</v>
      </c>
      <c r="AA1381" s="146">
        <f t="shared" si="633"/>
        <v>0</v>
      </c>
      <c r="AB1381" s="143">
        <f t="shared" si="634"/>
        <v>0</v>
      </c>
      <c r="AC1381" s="133">
        <f t="shared" si="635"/>
        <v>0</v>
      </c>
      <c r="AD1381" s="142">
        <v>1</v>
      </c>
      <c r="AE1381" s="141"/>
      <c r="AF1381" s="121" t="s">
        <v>292</v>
      </c>
      <c r="AG1381" s="146">
        <f>VLOOKUP(Takeoffs!AF1381,Sheet1!$B$6:$C$124,2,FALSE)</f>
        <v>0</v>
      </c>
      <c r="AH1381" s="146">
        <f t="shared" si="636"/>
        <v>0</v>
      </c>
      <c r="AI1381" s="143">
        <f t="shared" si="637"/>
        <v>0</v>
      </c>
      <c r="AJ1381" s="133">
        <f t="shared" si="641"/>
        <v>0</v>
      </c>
      <c r="AK1381" s="142">
        <f t="shared" si="640"/>
        <v>0</v>
      </c>
      <c r="AL1381" s="141"/>
      <c r="AO1381" s="286"/>
      <c r="AP1381" s="284">
        <f t="shared" si="627"/>
        <v>0</v>
      </c>
      <c r="AQ1381" s="281">
        <f t="shared" si="628"/>
        <v>0</v>
      </c>
      <c r="AR1381" s="284">
        <f t="shared" si="629"/>
        <v>0</v>
      </c>
      <c r="AS1381" s="281">
        <f t="shared" si="630"/>
        <v>0</v>
      </c>
      <c r="AT1381" s="284">
        <f t="shared" si="631"/>
        <v>0</v>
      </c>
    </row>
    <row r="1382" spans="1:97" s="114" customFormat="1" ht="30.9" x14ac:dyDescent="0.8">
      <c r="A1382" s="262">
        <f>ROW()</f>
        <v>1382</v>
      </c>
      <c r="C1382" s="208"/>
      <c r="D1382" s="208"/>
      <c r="E1382" s="208"/>
      <c r="F1382" s="208"/>
      <c r="G1382" s="208"/>
      <c r="H1382" s="208"/>
      <c r="J1382" s="114" t="str">
        <f t="shared" si="639"/>
        <v/>
      </c>
      <c r="K1382" s="114" t="str">
        <f>IF(COUNTBLANK(R1382)&gt;0,"",CONCATENATE(R1382," for ",N1366))</f>
        <v/>
      </c>
      <c r="N1382" s="123" t="s">
        <v>128</v>
      </c>
      <c r="O1382" s="66"/>
      <c r="P1382" s="121"/>
      <c r="Q1382" s="121"/>
      <c r="R1382" s="121"/>
      <c r="S1382" s="133">
        <f>M1366</f>
        <v>0</v>
      </c>
      <c r="T1382" s="120"/>
      <c r="U1382" s="121" t="s">
        <v>292</v>
      </c>
      <c r="V1382" s="133">
        <f t="shared" si="632"/>
        <v>0</v>
      </c>
      <c r="W1382" s="133">
        <f>VLOOKUP(U1382,Sheet1!$B$6:$C$45,2,FALSE)*V1382</f>
        <v>0</v>
      </c>
      <c r="X1382" s="141"/>
      <c r="Y1382" s="121" t="s">
        <v>292</v>
      </c>
      <c r="Z1382" s="146">
        <f>VLOOKUP(Takeoffs!Y1382,Sheet1!$B$6:$C$124,2,FALSE)</f>
        <v>0</v>
      </c>
      <c r="AA1382" s="146">
        <f t="shared" si="633"/>
        <v>0</v>
      </c>
      <c r="AB1382" s="143">
        <f t="shared" si="634"/>
        <v>0</v>
      </c>
      <c r="AC1382" s="133">
        <f t="shared" si="635"/>
        <v>0</v>
      </c>
      <c r="AD1382" s="142">
        <v>1</v>
      </c>
      <c r="AE1382" s="141"/>
      <c r="AF1382" s="121" t="s">
        <v>292</v>
      </c>
      <c r="AG1382" s="146">
        <f>VLOOKUP(Takeoffs!AF1382,Sheet1!$B$6:$C$124,2,FALSE)</f>
        <v>0</v>
      </c>
      <c r="AH1382" s="146">
        <f t="shared" si="636"/>
        <v>0</v>
      </c>
      <c r="AI1382" s="143">
        <f t="shared" si="637"/>
        <v>0</v>
      </c>
      <c r="AJ1382" s="133">
        <f t="shared" si="641"/>
        <v>0</v>
      </c>
      <c r="AK1382" s="142">
        <f t="shared" si="640"/>
        <v>0</v>
      </c>
      <c r="AL1382" s="141"/>
      <c r="AO1382" s="286"/>
      <c r="AP1382" s="284">
        <f t="shared" si="627"/>
        <v>0</v>
      </c>
      <c r="AQ1382" s="281">
        <f t="shared" si="628"/>
        <v>0</v>
      </c>
      <c r="AR1382" s="284">
        <f t="shared" si="629"/>
        <v>0</v>
      </c>
      <c r="AS1382" s="281">
        <f t="shared" si="630"/>
        <v>0</v>
      </c>
      <c r="AT1382" s="284">
        <f t="shared" si="631"/>
        <v>0</v>
      </c>
    </row>
    <row r="1383" spans="1:97" s="114" customFormat="1" ht="30.9" x14ac:dyDescent="0.8">
      <c r="A1383" s="262">
        <f>ROW()</f>
        <v>1383</v>
      </c>
      <c r="C1383" s="208"/>
      <c r="D1383" s="208"/>
      <c r="E1383" s="208"/>
      <c r="F1383" s="208"/>
      <c r="G1383" s="208"/>
      <c r="H1383" s="208"/>
      <c r="J1383" s="114" t="str">
        <f t="shared" si="639"/>
        <v/>
      </c>
      <c r="K1383" s="114" t="str">
        <f>IF(COUNTBLANK(R1383)&gt;0,"",CONCATENATE(R1383," for ",N1366))</f>
        <v/>
      </c>
      <c r="N1383" s="123" t="s">
        <v>129</v>
      </c>
      <c r="O1383" s="66"/>
      <c r="P1383" s="121"/>
      <c r="Q1383" s="121"/>
      <c r="R1383" s="121"/>
      <c r="S1383" s="133">
        <f>M1366</f>
        <v>0</v>
      </c>
      <c r="T1383" s="120"/>
      <c r="U1383" s="121" t="s">
        <v>292</v>
      </c>
      <c r="V1383" s="133">
        <f t="shared" si="632"/>
        <v>0</v>
      </c>
      <c r="W1383" s="133">
        <f>VLOOKUP(U1383,Sheet1!$B$6:$C$45,2,FALSE)*V1383</f>
        <v>0</v>
      </c>
      <c r="X1383" s="141"/>
      <c r="Y1383" s="121" t="s">
        <v>292</v>
      </c>
      <c r="Z1383" s="146">
        <f>VLOOKUP(Takeoffs!Y1383,Sheet1!$B$6:$C$124,2,FALSE)</f>
        <v>0</v>
      </c>
      <c r="AA1383" s="146">
        <f t="shared" si="633"/>
        <v>0</v>
      </c>
      <c r="AB1383" s="143">
        <f t="shared" si="634"/>
        <v>0</v>
      </c>
      <c r="AC1383" s="133">
        <f t="shared" si="635"/>
        <v>0</v>
      </c>
      <c r="AD1383" s="142">
        <v>1</v>
      </c>
      <c r="AE1383" s="141"/>
      <c r="AF1383" s="121" t="s">
        <v>292</v>
      </c>
      <c r="AG1383" s="146">
        <f>VLOOKUP(Takeoffs!AF1383,Sheet1!$B$6:$C$124,2,FALSE)</f>
        <v>0</v>
      </c>
      <c r="AH1383" s="146">
        <f t="shared" si="636"/>
        <v>0</v>
      </c>
      <c r="AI1383" s="143">
        <f t="shared" si="637"/>
        <v>0</v>
      </c>
      <c r="AJ1383" s="133">
        <f t="shared" si="641"/>
        <v>0</v>
      </c>
      <c r="AK1383" s="142">
        <f t="shared" si="640"/>
        <v>0</v>
      </c>
      <c r="AL1383" s="141"/>
      <c r="AO1383" s="286"/>
      <c r="AP1383" s="284">
        <f t="shared" si="627"/>
        <v>0</v>
      </c>
      <c r="AQ1383" s="281">
        <f t="shared" si="628"/>
        <v>0</v>
      </c>
      <c r="AR1383" s="284">
        <f t="shared" si="629"/>
        <v>0</v>
      </c>
      <c r="AS1383" s="281">
        <f t="shared" si="630"/>
        <v>0</v>
      </c>
      <c r="AT1383" s="284">
        <f t="shared" si="631"/>
        <v>0</v>
      </c>
    </row>
    <row r="1384" spans="1:97" s="114" customFormat="1" ht="30.9" x14ac:dyDescent="0.8">
      <c r="A1384" s="262">
        <f>ROW()</f>
        <v>1384</v>
      </c>
      <c r="C1384" s="208"/>
      <c r="D1384" s="208"/>
      <c r="E1384" s="208"/>
      <c r="F1384" s="208"/>
      <c r="G1384" s="208"/>
      <c r="H1384" s="208"/>
      <c r="J1384" s="114" t="str">
        <f t="shared" si="639"/>
        <v/>
      </c>
      <c r="K1384" s="114" t="str">
        <f>IF(COUNTBLANK(R1384)&gt;0,"",CONCATENATE(R1384," for ",N1366))</f>
        <v/>
      </c>
      <c r="N1384" s="123" t="s">
        <v>130</v>
      </c>
      <c r="O1384" s="66"/>
      <c r="P1384" s="121"/>
      <c r="Q1384" s="121"/>
      <c r="R1384" s="121"/>
      <c r="S1384" s="133">
        <f>M1366</f>
        <v>0</v>
      </c>
      <c r="T1384" s="120"/>
      <c r="U1384" s="121" t="s">
        <v>292</v>
      </c>
      <c r="V1384" s="133">
        <f t="shared" si="632"/>
        <v>0</v>
      </c>
      <c r="W1384" s="133">
        <f>VLOOKUP(U1384,Sheet1!$B$6:$C$45,2,FALSE)*V1384</f>
        <v>0</v>
      </c>
      <c r="X1384" s="141"/>
      <c r="Y1384" s="121" t="s">
        <v>292</v>
      </c>
      <c r="Z1384" s="146">
        <f>VLOOKUP(Takeoffs!Y1384,Sheet1!$B$6:$C$124,2,FALSE)</f>
        <v>0</v>
      </c>
      <c r="AA1384" s="146">
        <f t="shared" si="633"/>
        <v>0</v>
      </c>
      <c r="AB1384" s="143">
        <f t="shared" si="634"/>
        <v>0</v>
      </c>
      <c r="AC1384" s="133">
        <f t="shared" si="635"/>
        <v>0</v>
      </c>
      <c r="AD1384" s="142">
        <v>1</v>
      </c>
      <c r="AE1384" s="141"/>
      <c r="AF1384" s="121" t="s">
        <v>292</v>
      </c>
      <c r="AG1384" s="146">
        <f>VLOOKUP(Takeoffs!AF1384,Sheet1!$B$6:$C$124,2,FALSE)</f>
        <v>0</v>
      </c>
      <c r="AH1384" s="146">
        <f t="shared" si="636"/>
        <v>0</v>
      </c>
      <c r="AI1384" s="143">
        <f t="shared" si="637"/>
        <v>0</v>
      </c>
      <c r="AJ1384" s="133">
        <f t="shared" si="641"/>
        <v>0</v>
      </c>
      <c r="AK1384" s="142">
        <f t="shared" si="640"/>
        <v>0</v>
      </c>
      <c r="AL1384" s="141"/>
      <c r="AO1384" s="286"/>
      <c r="AP1384" s="284">
        <f t="shared" si="627"/>
        <v>0</v>
      </c>
      <c r="AQ1384" s="281">
        <f t="shared" si="628"/>
        <v>0</v>
      </c>
      <c r="AR1384" s="284">
        <f t="shared" si="629"/>
        <v>0</v>
      </c>
      <c r="AS1384" s="281">
        <f t="shared" si="630"/>
        <v>0</v>
      </c>
      <c r="AT1384" s="284">
        <f t="shared" si="631"/>
        <v>0</v>
      </c>
    </row>
    <row r="1385" spans="1:97" s="114" customFormat="1" ht="30.9" x14ac:dyDescent="0.8">
      <c r="A1385" s="262">
        <f>ROW()</f>
        <v>1385</v>
      </c>
      <c r="C1385" s="208"/>
      <c r="D1385" s="208"/>
      <c r="E1385" s="208"/>
      <c r="F1385" s="208"/>
      <c r="G1385" s="208"/>
      <c r="H1385" s="208"/>
      <c r="J1385" s="114" t="str">
        <f t="shared" si="639"/>
        <v/>
      </c>
      <c r="K1385" s="114" t="str">
        <f>IF(COUNTBLANK(R1385)&gt;0,"",CONCATENATE(R1385," for ",N1366))</f>
        <v/>
      </c>
      <c r="N1385" s="123" t="s">
        <v>131</v>
      </c>
      <c r="O1385" s="66"/>
      <c r="P1385" s="121"/>
      <c r="Q1385" s="121"/>
      <c r="R1385" s="121"/>
      <c r="S1385" s="133">
        <f>M1366</f>
        <v>0</v>
      </c>
      <c r="T1385" s="120"/>
      <c r="U1385" s="121" t="s">
        <v>292</v>
      </c>
      <c r="V1385" s="133">
        <f t="shared" si="632"/>
        <v>0</v>
      </c>
      <c r="W1385" s="133">
        <f>VLOOKUP(U1385,Sheet1!$B$6:$C$45,2,FALSE)*V1385</f>
        <v>0</v>
      </c>
      <c r="X1385" s="141"/>
      <c r="Y1385" s="121" t="s">
        <v>292</v>
      </c>
      <c r="Z1385" s="146">
        <f>VLOOKUP(Takeoffs!Y1385,Sheet1!$B$6:$C$124,2,FALSE)</f>
        <v>0</v>
      </c>
      <c r="AA1385" s="146">
        <f t="shared" si="633"/>
        <v>0</v>
      </c>
      <c r="AB1385" s="143">
        <f t="shared" si="634"/>
        <v>0</v>
      </c>
      <c r="AC1385" s="133">
        <f t="shared" si="635"/>
        <v>0</v>
      </c>
      <c r="AD1385" s="142">
        <v>1</v>
      </c>
      <c r="AE1385" s="141"/>
      <c r="AF1385" s="121" t="s">
        <v>292</v>
      </c>
      <c r="AG1385" s="146">
        <f>VLOOKUP(Takeoffs!AF1385,Sheet1!$B$6:$C$124,2,FALSE)</f>
        <v>0</v>
      </c>
      <c r="AH1385" s="146">
        <f t="shared" si="636"/>
        <v>0</v>
      </c>
      <c r="AI1385" s="143">
        <f t="shared" si="637"/>
        <v>0</v>
      </c>
      <c r="AJ1385" s="133">
        <f t="shared" si="641"/>
        <v>0</v>
      </c>
      <c r="AK1385" s="142">
        <f t="shared" si="640"/>
        <v>0</v>
      </c>
      <c r="AL1385" s="141"/>
      <c r="AO1385" s="286"/>
      <c r="AP1385" s="284">
        <f t="shared" si="627"/>
        <v>0</v>
      </c>
      <c r="AQ1385" s="281">
        <f t="shared" si="628"/>
        <v>0</v>
      </c>
      <c r="AR1385" s="284">
        <f t="shared" si="629"/>
        <v>0</v>
      </c>
      <c r="AS1385" s="281">
        <f t="shared" si="630"/>
        <v>0</v>
      </c>
      <c r="AT1385" s="284">
        <f t="shared" si="631"/>
        <v>0</v>
      </c>
    </row>
    <row r="1386" spans="1:97" s="114" customFormat="1" ht="30.9" x14ac:dyDescent="0.8">
      <c r="A1386" s="262">
        <f>ROW()</f>
        <v>1386</v>
      </c>
      <c r="C1386" s="208"/>
      <c r="D1386" s="208"/>
      <c r="E1386" s="208"/>
      <c r="F1386" s="208"/>
      <c r="G1386" s="208"/>
      <c r="H1386" s="208"/>
      <c r="J1386" s="114" t="str">
        <f t="shared" si="639"/>
        <v/>
      </c>
      <c r="K1386" s="114" t="str">
        <f>IF(COUNTBLANK(R1386)&gt;0,"",CONCATENATE(R1386," for ",N1366))</f>
        <v/>
      </c>
      <c r="N1386" s="123" t="s">
        <v>132</v>
      </c>
      <c r="O1386" s="66"/>
      <c r="P1386" s="121"/>
      <c r="Q1386" s="121"/>
      <c r="R1386" s="121"/>
      <c r="S1386" s="133">
        <f>M1366</f>
        <v>0</v>
      </c>
      <c r="T1386" s="120"/>
      <c r="U1386" s="121" t="s">
        <v>292</v>
      </c>
      <c r="V1386" s="133">
        <f t="shared" si="632"/>
        <v>0</v>
      </c>
      <c r="W1386" s="133">
        <f>VLOOKUP(U1386,Sheet1!$B$6:$C$45,2,FALSE)*V1386</f>
        <v>0</v>
      </c>
      <c r="X1386" s="141"/>
      <c r="Y1386" s="121" t="s">
        <v>292</v>
      </c>
      <c r="Z1386" s="146">
        <f>VLOOKUP(Takeoffs!Y1386,Sheet1!$B$6:$C$124,2,FALSE)</f>
        <v>0</v>
      </c>
      <c r="AA1386" s="146">
        <f t="shared" si="633"/>
        <v>0</v>
      </c>
      <c r="AB1386" s="143">
        <f t="shared" si="634"/>
        <v>0</v>
      </c>
      <c r="AC1386" s="133">
        <f t="shared" si="635"/>
        <v>0</v>
      </c>
      <c r="AD1386" s="142">
        <v>1</v>
      </c>
      <c r="AE1386" s="141"/>
      <c r="AF1386" s="121" t="s">
        <v>292</v>
      </c>
      <c r="AG1386" s="146">
        <f>VLOOKUP(Takeoffs!AF1386,Sheet1!$B$6:$C$124,2,FALSE)</f>
        <v>0</v>
      </c>
      <c r="AH1386" s="146">
        <f t="shared" si="636"/>
        <v>0</v>
      </c>
      <c r="AI1386" s="143">
        <f t="shared" si="637"/>
        <v>0</v>
      </c>
      <c r="AJ1386" s="133">
        <f t="shared" si="641"/>
        <v>0</v>
      </c>
      <c r="AK1386" s="142">
        <f t="shared" si="640"/>
        <v>0</v>
      </c>
      <c r="AL1386" s="141"/>
      <c r="AO1386" s="286"/>
      <c r="AP1386" s="284">
        <f t="shared" si="627"/>
        <v>0</v>
      </c>
      <c r="AQ1386" s="281">
        <f t="shared" si="628"/>
        <v>0</v>
      </c>
      <c r="AR1386" s="284">
        <f t="shared" si="629"/>
        <v>0</v>
      </c>
      <c r="AS1386" s="281">
        <f t="shared" si="630"/>
        <v>0</v>
      </c>
      <c r="AT1386" s="284">
        <f t="shared" si="631"/>
        <v>0</v>
      </c>
    </row>
    <row r="1387" spans="1:97" s="128" customFormat="1" ht="31.5" customHeight="1" x14ac:dyDescent="0.8">
      <c r="A1387" s="262">
        <f>ROW()</f>
        <v>1387</v>
      </c>
      <c r="C1387" s="212"/>
      <c r="D1387" s="212"/>
      <c r="E1387" s="212"/>
      <c r="F1387" s="212"/>
      <c r="G1387" s="212"/>
      <c r="H1387" s="212"/>
      <c r="J1387" s="128" t="s">
        <v>377</v>
      </c>
      <c r="L1387" s="128" t="s">
        <v>378</v>
      </c>
      <c r="N1387" s="129"/>
      <c r="O1387" s="130" t="s">
        <v>357</v>
      </c>
      <c r="P1387" s="131">
        <f>V1387+AA1387+AH1387</f>
        <v>0</v>
      </c>
      <c r="Q1387" s="131"/>
      <c r="R1387" s="131"/>
      <c r="S1387" s="130"/>
      <c r="T1387" s="127"/>
      <c r="U1387" s="126" t="s">
        <v>351</v>
      </c>
      <c r="V1387" s="127">
        <f>W1387*80</f>
        <v>0</v>
      </c>
      <c r="W1387" s="147">
        <f>SUM(W1366:W1386)</f>
        <v>0</v>
      </c>
      <c r="X1387" s="148"/>
      <c r="Y1387" s="127" t="s">
        <v>352</v>
      </c>
      <c r="Z1387" s="116"/>
      <c r="AA1387" s="116">
        <f>SUM(AA1366:AA1386)</f>
        <v>0</v>
      </c>
      <c r="AB1387" s="149"/>
      <c r="AC1387" s="149"/>
      <c r="AD1387" s="149"/>
      <c r="AE1387" s="149"/>
      <c r="AF1387" s="127" t="s">
        <v>356</v>
      </c>
      <c r="AG1387" s="116"/>
      <c r="AH1387" s="116">
        <f>SUM(AH1366:AH1386)</f>
        <v>0</v>
      </c>
      <c r="AI1387" s="149"/>
      <c r="AJ1387" s="149"/>
      <c r="AK1387" s="149"/>
      <c r="AL1387" s="149"/>
      <c r="AM1387" s="150">
        <f>P1387</f>
        <v>0</v>
      </c>
      <c r="AO1387" s="286"/>
      <c r="AP1387" s="284">
        <f t="shared" si="627"/>
        <v>0</v>
      </c>
      <c r="AQ1387" s="281">
        <f t="shared" si="628"/>
        <v>0</v>
      </c>
      <c r="AR1387" s="284">
        <f t="shared" si="629"/>
        <v>0</v>
      </c>
      <c r="AS1387" s="281">
        <f t="shared" si="630"/>
        <v>0</v>
      </c>
      <c r="AT1387" s="284">
        <f t="shared" si="631"/>
        <v>0</v>
      </c>
    </row>
    <row r="1388" spans="1:97" s="234" customFormat="1" ht="154.30000000000001" x14ac:dyDescent="0.8">
      <c r="A1388" s="262">
        <f>ROW()</f>
        <v>1388</v>
      </c>
      <c r="B1388" s="234" t="s">
        <v>491</v>
      </c>
      <c r="C1388" s="217" t="str">
        <f>N1366</f>
        <v>Multihead split AC systems (local power supply) - 3 indoor units with wireless controlers</v>
      </c>
      <c r="D1388" s="260" t="str">
        <f>IF(B1388="Shopping List",IF(ISNUMBER(SEARCH("MSSB",C1388)),"MSSB",IF(ISNUMBER(SEARCH("local",C1388)),"LOCAL","")))</f>
        <v>LOCAL</v>
      </c>
      <c r="E1388" s="238">
        <v>4</v>
      </c>
      <c r="F1388" s="217"/>
      <c r="G1388" s="217">
        <v>6</v>
      </c>
      <c r="H1388" s="245">
        <v>10</v>
      </c>
      <c r="I1388" s="270"/>
      <c r="J1388" s="241" t="str">
        <f>CONCATENATE(O1366," ",L1366, " (",M1366,") ",N1366,".", IF(M1366&gt;1," Each "," This "),"includes supply and install of ",O1367,O1368,O1369,O1370,O1371,O1372,O1373,O1374,O1375,O1376,O1377,O1378,O1379,O1380,O1381,O1382,O1383,O1384,O1385,O1386,J1367,J1368,J1369,J1370,J1371,J1372,J1373,J1374,J1375,J1376,J1377,J1378,J1379,J1380,J1381,J1382,J1383,J1384,J1385,J1386)</f>
        <v>Electrical power supply and controls cabling to Zero (0) Multihead split AC systems (local power supply) - 3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388" s="246">
        <f>P1387</f>
        <v>0</v>
      </c>
      <c r="L1388" s="234" t="str">
        <f>CONCATENATE(Q1367,Q1368,Q1369,Q1370,Q1371,Q1372,Q1373,Q1374,Q1375,Q1376,Q1377,Q1378,Q1379,Q1380,Q1381,Q1382,Q1383,Q1384,Q1385,Q1386,)</f>
        <v>wireless air-conditioning controllers. power supply to outdoor unit</v>
      </c>
      <c r="M1388" s="166" t="s">
        <v>367</v>
      </c>
      <c r="N1388" s="160" t="str">
        <f>N1366</f>
        <v>Multihead split AC systems (local power supply) - 3 indoor units with wireless controlers</v>
      </c>
      <c r="O1388" s="160" t="s">
        <v>365</v>
      </c>
      <c r="P1388" s="64" t="e">
        <f>P1387/M1366</f>
        <v>#DIV/0!</v>
      </c>
      <c r="Q1388" s="161"/>
      <c r="R1388" s="161"/>
      <c r="S1388" s="160"/>
      <c r="T1388" s="161"/>
      <c r="U1388" s="503" t="s">
        <v>366</v>
      </c>
      <c r="V1388" s="503"/>
      <c r="W1388" s="162" t="e">
        <f>W1387/M1366</f>
        <v>#DIV/0!</v>
      </c>
      <c r="X1388" s="163"/>
      <c r="Y1388" s="501" t="s">
        <v>365</v>
      </c>
      <c r="Z1388" s="501"/>
      <c r="AA1388" s="164" t="e">
        <f>AA1387/M1366</f>
        <v>#DIV/0!</v>
      </c>
      <c r="AB1388" s="161"/>
      <c r="AC1388" s="161"/>
      <c r="AD1388" s="161"/>
      <c r="AE1388" s="161"/>
      <c r="AF1388" s="501" t="s">
        <v>365</v>
      </c>
      <c r="AG1388" s="501"/>
      <c r="AH1388" s="164" t="e">
        <f>AH1387/M1366</f>
        <v>#DIV/0!</v>
      </c>
      <c r="AI1388" s="161"/>
      <c r="AJ1388" s="161"/>
      <c r="AK1388" s="161"/>
      <c r="AL1388" s="247"/>
      <c r="AM1388" s="257"/>
      <c r="AN1388" s="236">
        <f>K1388*1.25</f>
        <v>0</v>
      </c>
      <c r="AO1388" s="286"/>
      <c r="AP1388" s="284">
        <f t="shared" si="627"/>
        <v>0</v>
      </c>
      <c r="AQ1388" s="281">
        <f t="shared" si="628"/>
        <v>0</v>
      </c>
      <c r="AR1388" s="284">
        <f t="shared" si="629"/>
        <v>0</v>
      </c>
      <c r="AS1388" s="281">
        <f t="shared" si="630"/>
        <v>0</v>
      </c>
      <c r="AT1388" s="284">
        <f t="shared" si="631"/>
        <v>0</v>
      </c>
      <c r="AU1388" s="117"/>
      <c r="AV1388" s="117"/>
      <c r="AW1388" s="117"/>
      <c r="AX1388" s="117"/>
      <c r="AY1388" s="117"/>
      <c r="AZ1388" s="117"/>
      <c r="BA1388" s="117"/>
      <c r="BB1388" s="117"/>
      <c r="BC1388" s="117"/>
      <c r="BD1388" s="117"/>
      <c r="BE1388" s="117"/>
      <c r="BF1388" s="117"/>
      <c r="BG1388" s="117"/>
      <c r="BH1388" s="117"/>
      <c r="BI1388" s="117"/>
      <c r="BJ1388" s="117"/>
      <c r="BK1388" s="117"/>
      <c r="BL1388" s="117"/>
      <c r="BM1388" s="117"/>
      <c r="BN1388" s="117"/>
      <c r="BO1388" s="117"/>
      <c r="BP1388" s="117"/>
      <c r="BQ1388" s="117"/>
      <c r="BR1388" s="117"/>
      <c r="BS1388" s="117"/>
      <c r="BT1388" s="117"/>
      <c r="BU1388" s="117"/>
      <c r="BV1388" s="117"/>
      <c r="BW1388" s="117"/>
      <c r="BX1388" s="117"/>
      <c r="BY1388" s="117"/>
      <c r="BZ1388" s="117"/>
      <c r="CA1388" s="117"/>
      <c r="CB1388" s="117"/>
      <c r="CC1388" s="117"/>
      <c r="CD1388" s="117"/>
      <c r="CE1388" s="117"/>
      <c r="CF1388" s="117"/>
      <c r="CG1388" s="117"/>
      <c r="CH1388" s="117"/>
      <c r="CI1388" s="117"/>
      <c r="CJ1388" s="117"/>
      <c r="CK1388" s="117"/>
      <c r="CL1388" s="117"/>
      <c r="CM1388" s="117"/>
      <c r="CN1388" s="117"/>
      <c r="CO1388" s="117"/>
      <c r="CP1388" s="117"/>
      <c r="CQ1388" s="117"/>
      <c r="CR1388" s="117"/>
      <c r="CS1388" s="117"/>
    </row>
    <row r="1389" spans="1:97" s="116" customFormat="1" ht="192.75" customHeight="1" x14ac:dyDescent="0.8">
      <c r="A1389" s="262">
        <f>ROW()</f>
        <v>1389</v>
      </c>
      <c r="C1389" s="211"/>
      <c r="D1389" s="211"/>
      <c r="E1389" s="211"/>
      <c r="F1389" s="211"/>
      <c r="G1389" s="211"/>
      <c r="H1389" s="211"/>
      <c r="K1389" s="116" t="s">
        <v>452</v>
      </c>
      <c r="M1389" s="116" t="s">
        <v>298</v>
      </c>
      <c r="N1389" s="116" t="s">
        <v>108</v>
      </c>
      <c r="O1389" s="170" t="s">
        <v>386</v>
      </c>
      <c r="P1389" s="502" t="s">
        <v>375</v>
      </c>
      <c r="Q1389" s="502"/>
      <c r="R1389" s="101" t="s">
        <v>452</v>
      </c>
      <c r="S1389" s="116" t="s">
        <v>0</v>
      </c>
      <c r="T1389" s="118"/>
      <c r="U1389" s="116" t="s">
        <v>287</v>
      </c>
      <c r="V1389" s="116" t="s">
        <v>288</v>
      </c>
      <c r="W1389" s="116" t="s">
        <v>291</v>
      </c>
      <c r="X1389" s="140"/>
      <c r="Y1389" s="116" t="s">
        <v>289</v>
      </c>
      <c r="Z1389" s="116" t="s">
        <v>354</v>
      </c>
      <c r="AA1389" s="116" t="s">
        <v>355</v>
      </c>
      <c r="AB1389" s="116" t="s">
        <v>317</v>
      </c>
      <c r="AC1389" s="116" t="s">
        <v>318</v>
      </c>
      <c r="AD1389" s="116" t="s">
        <v>316</v>
      </c>
      <c r="AE1389" s="140"/>
      <c r="AF1389" s="116" t="s">
        <v>293</v>
      </c>
      <c r="AG1389" s="116" t="s">
        <v>354</v>
      </c>
      <c r="AH1389" s="116" t="s">
        <v>355</v>
      </c>
      <c r="AI1389" s="116" t="s">
        <v>296</v>
      </c>
      <c r="AJ1389" s="116" t="s">
        <v>294</v>
      </c>
      <c r="AK1389" s="116" t="s">
        <v>295</v>
      </c>
      <c r="AL1389" s="140"/>
      <c r="AO1389" s="288"/>
      <c r="AP1389" s="284">
        <f t="shared" si="627"/>
        <v>0</v>
      </c>
      <c r="AQ1389" s="281">
        <f t="shared" si="628"/>
        <v>0</v>
      </c>
      <c r="AR1389" s="284">
        <f t="shared" si="629"/>
        <v>0</v>
      </c>
      <c r="AS1389" s="281">
        <f t="shared" si="630"/>
        <v>0</v>
      </c>
      <c r="AT1389" s="284">
        <f t="shared" si="631"/>
        <v>0</v>
      </c>
    </row>
    <row r="1390" spans="1:97" s="114" customFormat="1" ht="31.5" customHeight="1" x14ac:dyDescent="0.8">
      <c r="A1390" s="262">
        <f>ROW()</f>
        <v>1390</v>
      </c>
      <c r="C1390" s="208"/>
      <c r="D1390" s="208"/>
      <c r="E1390" s="208"/>
      <c r="F1390" s="208"/>
      <c r="G1390" s="208"/>
      <c r="H1390" s="208"/>
      <c r="L1390" s="124" t="str">
        <f>VLOOKUP(M1390,Sheet2!$D$2:$E$1024,2,FALSE)</f>
        <v>Zero</v>
      </c>
      <c r="M1390" s="121">
        <f>I1412</f>
        <v>0</v>
      </c>
      <c r="N1390" s="132" t="s">
        <v>692</v>
      </c>
      <c r="O1390" s="121" t="s">
        <v>138</v>
      </c>
      <c r="P1390" s="169" t="s">
        <v>379</v>
      </c>
      <c r="Q1390" s="169" t="s">
        <v>375</v>
      </c>
      <c r="R1390" s="169"/>
      <c r="S1390" s="133">
        <f>M1390</f>
        <v>0</v>
      </c>
      <c r="T1390" s="119"/>
      <c r="U1390" s="121" t="s">
        <v>292</v>
      </c>
      <c r="V1390" s="133">
        <f>S1390</f>
        <v>0</v>
      </c>
      <c r="W1390" s="133">
        <f>VLOOKUP(U1390,Sheet1!$B$6:$C$45,2,FALSE)*V1390</f>
        <v>0</v>
      </c>
      <c r="X1390" s="141"/>
      <c r="Y1390" s="121" t="s">
        <v>292</v>
      </c>
      <c r="Z1390" s="146">
        <f>VLOOKUP(Takeoffs!Y1390,Sheet1!$B$6:$C$124,2,FALSE)</f>
        <v>0</v>
      </c>
      <c r="AA1390" s="146">
        <f>Z1390*AB1390</f>
        <v>0</v>
      </c>
      <c r="AB1390" s="143">
        <f>AD1390*AC1390</f>
        <v>0</v>
      </c>
      <c r="AC1390" s="133">
        <f>S1390</f>
        <v>0</v>
      </c>
      <c r="AD1390" s="142">
        <v>1</v>
      </c>
      <c r="AE1390" s="141"/>
      <c r="AF1390" s="121" t="s">
        <v>292</v>
      </c>
      <c r="AG1390" s="146">
        <f>VLOOKUP(Takeoffs!AF1390,Sheet1!$B$6:$C$124,2,FALSE)</f>
        <v>0</v>
      </c>
      <c r="AH1390" s="146">
        <f>AG1390*AI1390</f>
        <v>0</v>
      </c>
      <c r="AI1390" s="143">
        <f>AK1390*AJ1390</f>
        <v>0</v>
      </c>
      <c r="AJ1390" s="133">
        <f>S1390</f>
        <v>0</v>
      </c>
      <c r="AK1390" s="142">
        <f>T1390</f>
        <v>0</v>
      </c>
      <c r="AL1390" s="141"/>
      <c r="AO1390" s="286"/>
      <c r="AP1390" s="284">
        <f t="shared" si="627"/>
        <v>0</v>
      </c>
      <c r="AQ1390" s="281">
        <f t="shared" si="628"/>
        <v>0</v>
      </c>
      <c r="AR1390" s="284">
        <f t="shared" si="629"/>
        <v>0</v>
      </c>
      <c r="AS1390" s="281">
        <f t="shared" si="630"/>
        <v>0</v>
      </c>
      <c r="AT1390" s="284">
        <f t="shared" si="631"/>
        <v>0</v>
      </c>
    </row>
    <row r="1391" spans="1:97" s="114" customFormat="1" ht="30.9" x14ac:dyDescent="0.8">
      <c r="A1391" s="262">
        <f>ROW()</f>
        <v>1391</v>
      </c>
      <c r="C1391" s="208"/>
      <c r="D1391" s="208"/>
      <c r="E1391" s="208"/>
      <c r="F1391" s="208"/>
      <c r="G1391" s="208"/>
      <c r="H1391" s="208"/>
      <c r="J1391" s="114" t="str">
        <f>IF(COUNTBLANK(Q1391)&gt;0,"",CONCATENATE("Coordination Note: - ",P1391,": Please refer to our exclusions relating to ",Q1391))</f>
        <v/>
      </c>
      <c r="K1391" s="114" t="str">
        <f>IF(COUNTBLANK(R1391)&gt;0,"",CONCATENATE(R1391," for ",N1390))</f>
        <v/>
      </c>
      <c r="M1391" s="117"/>
      <c r="N1391" s="123" t="s">
        <v>113</v>
      </c>
      <c r="O1391" s="66" t="s">
        <v>426</v>
      </c>
      <c r="P1391" s="121"/>
      <c r="Q1391" s="121"/>
      <c r="R1391" s="121"/>
      <c r="S1391" s="133">
        <f>M1390</f>
        <v>0</v>
      </c>
      <c r="T1391" s="120"/>
      <c r="U1391" s="117" t="s">
        <v>600</v>
      </c>
      <c r="V1391" s="133">
        <f t="shared" ref="V1391:V1410" si="642">S1391</f>
        <v>0</v>
      </c>
      <c r="W1391" s="133">
        <f>VLOOKUP(U1391,Sheet1!$B$6:$C$45,2,FALSE)*V1391</f>
        <v>0</v>
      </c>
      <c r="X1391" s="141"/>
      <c r="Y1391" s="121" t="s">
        <v>292</v>
      </c>
      <c r="Z1391" s="146">
        <f>VLOOKUP(Takeoffs!Y1391,Sheet1!$B$6:$C$124,2,FALSE)</f>
        <v>0</v>
      </c>
      <c r="AA1391" s="146">
        <f t="shared" ref="AA1391:AA1410" si="643">Z1391*AB1391</f>
        <v>0</v>
      </c>
      <c r="AB1391" s="143">
        <f t="shared" ref="AB1391:AB1410" si="644">AD1391*AC1391</f>
        <v>0</v>
      </c>
      <c r="AC1391" s="133">
        <f t="shared" ref="AC1391:AC1410" si="645">S1391</f>
        <v>0</v>
      </c>
      <c r="AD1391" s="142">
        <v>1</v>
      </c>
      <c r="AE1391" s="141"/>
      <c r="AF1391" s="122" t="s">
        <v>269</v>
      </c>
      <c r="AG1391" s="146">
        <f>VLOOKUP(Takeoffs!AF1391,Sheet1!$B$6:$C$124,2,FALSE)</f>
        <v>1.056</v>
      </c>
      <c r="AH1391" s="146">
        <f t="shared" ref="AH1391:AH1410" si="646">AG1391*AI1391</f>
        <v>0</v>
      </c>
      <c r="AI1391" s="143">
        <f t="shared" ref="AI1391:AI1410" si="647">AK1391*AJ1391</f>
        <v>0</v>
      </c>
      <c r="AJ1391" s="133">
        <f t="shared" ref="AJ1391:AJ1399" si="648">S1391</f>
        <v>0</v>
      </c>
      <c r="AK1391" s="142">
        <v>10</v>
      </c>
      <c r="AL1391" s="141"/>
      <c r="AO1391" s="286"/>
      <c r="AP1391" s="284">
        <f t="shared" si="627"/>
        <v>0</v>
      </c>
      <c r="AQ1391" s="281">
        <f t="shared" si="628"/>
        <v>0</v>
      </c>
      <c r="AR1391" s="284">
        <f t="shared" si="629"/>
        <v>0</v>
      </c>
      <c r="AS1391" s="281">
        <f t="shared" si="630"/>
        <v>0</v>
      </c>
      <c r="AT1391" s="284">
        <f t="shared" si="631"/>
        <v>0</v>
      </c>
    </row>
    <row r="1392" spans="1:97" s="114" customFormat="1" ht="30.9" x14ac:dyDescent="0.8">
      <c r="A1392" s="262">
        <f>ROW()</f>
        <v>1392</v>
      </c>
      <c r="C1392" s="208"/>
      <c r="D1392" s="208"/>
      <c r="E1392" s="208"/>
      <c r="F1392" s="208"/>
      <c r="G1392" s="208"/>
      <c r="H1392" s="208"/>
      <c r="J1392" s="114" t="str">
        <f t="shared" ref="J1392:J1410" si="649">IF(COUNTBLANK(Q1392)&gt;0,"",CONCATENATE("Coordination Note: - ",P1392,": Please refer to our exclusions relating to ",Q1392))</f>
        <v/>
      </c>
      <c r="K1392" s="114" t="str">
        <f>IF(COUNTBLANK(R1392)&gt;0,"",CONCATENATE(R1392," for ",N1390))</f>
        <v/>
      </c>
      <c r="M1392" s="117"/>
      <c r="N1392" s="123" t="s">
        <v>114</v>
      </c>
      <c r="O1392" s="66" t="s">
        <v>392</v>
      </c>
      <c r="P1392" s="121"/>
      <c r="Q1392" s="121"/>
      <c r="R1392" s="121"/>
      <c r="S1392" s="133">
        <f>M1390</f>
        <v>0</v>
      </c>
      <c r="T1392" s="120"/>
      <c r="U1392" s="117" t="s">
        <v>302</v>
      </c>
      <c r="V1392" s="133">
        <f t="shared" si="642"/>
        <v>0</v>
      </c>
      <c r="W1392" s="133">
        <f>VLOOKUP(U1392,Sheet1!$B$6:$C$45,2,FALSE)*V1392</f>
        <v>0</v>
      </c>
      <c r="X1392" s="141"/>
      <c r="Y1392" s="121" t="s">
        <v>292</v>
      </c>
      <c r="Z1392" s="146">
        <f>VLOOKUP(Takeoffs!Y1392,Sheet1!$B$6:$C$124,2,FALSE)</f>
        <v>0</v>
      </c>
      <c r="AA1392" s="146">
        <f t="shared" si="643"/>
        <v>0</v>
      </c>
      <c r="AB1392" s="143">
        <f t="shared" si="644"/>
        <v>0</v>
      </c>
      <c r="AC1392" s="133">
        <f t="shared" si="645"/>
        <v>0</v>
      </c>
      <c r="AD1392" s="142">
        <v>1</v>
      </c>
      <c r="AE1392" s="141"/>
      <c r="AF1392" s="122" t="s">
        <v>268</v>
      </c>
      <c r="AG1392" s="146">
        <f>VLOOKUP(Takeoffs!AF1392,Sheet1!$B$6:$C$124,2,FALSE)</f>
        <v>1.02</v>
      </c>
      <c r="AH1392" s="146">
        <f t="shared" si="646"/>
        <v>0</v>
      </c>
      <c r="AI1392" s="143">
        <f t="shared" si="647"/>
        <v>0</v>
      </c>
      <c r="AJ1392" s="133">
        <f t="shared" si="648"/>
        <v>0</v>
      </c>
      <c r="AK1392" s="142">
        <v>10</v>
      </c>
      <c r="AL1392" s="141"/>
      <c r="AO1392" s="286"/>
      <c r="AP1392" s="284">
        <f t="shared" si="627"/>
        <v>0</v>
      </c>
      <c r="AQ1392" s="281">
        <f t="shared" si="628"/>
        <v>0</v>
      </c>
      <c r="AR1392" s="284">
        <f t="shared" si="629"/>
        <v>0</v>
      </c>
      <c r="AS1392" s="281">
        <f t="shared" si="630"/>
        <v>0</v>
      </c>
      <c r="AT1392" s="284">
        <f t="shared" si="631"/>
        <v>0</v>
      </c>
    </row>
    <row r="1393" spans="1:46" s="114" customFormat="1" ht="30.9" x14ac:dyDescent="0.8">
      <c r="A1393" s="262">
        <f>ROW()</f>
        <v>1393</v>
      </c>
      <c r="C1393" s="208"/>
      <c r="D1393" s="208"/>
      <c r="E1393" s="208"/>
      <c r="F1393" s="208"/>
      <c r="G1393" s="208"/>
      <c r="H1393" s="208"/>
      <c r="J1393" s="114" t="str">
        <f t="shared" si="649"/>
        <v/>
      </c>
      <c r="K1393" s="114" t="str">
        <f>IF(COUNTBLANK(R1393)&gt;0,"",CONCATENATE(R1393," for ",N1390))</f>
        <v/>
      </c>
      <c r="M1393" s="117"/>
      <c r="N1393" s="123" t="s">
        <v>115</v>
      </c>
      <c r="O1393" s="66" t="s">
        <v>413</v>
      </c>
      <c r="P1393" s="121"/>
      <c r="Q1393" s="121"/>
      <c r="R1393" s="121"/>
      <c r="S1393" s="133">
        <f>M1390</f>
        <v>0</v>
      </c>
      <c r="T1393" s="120"/>
      <c r="U1393" s="121" t="s">
        <v>292</v>
      </c>
      <c r="V1393" s="133">
        <f t="shared" si="642"/>
        <v>0</v>
      </c>
      <c r="W1393" s="133">
        <f>VLOOKUP(U1393,Sheet1!$B$6:$C$45,2,FALSE)*V1393</f>
        <v>0</v>
      </c>
      <c r="X1393" s="141"/>
      <c r="Y1393" s="121" t="s">
        <v>292</v>
      </c>
      <c r="Z1393" s="146">
        <f>VLOOKUP(Takeoffs!Y1393,Sheet1!$B$6:$C$124,2,FALSE)</f>
        <v>0</v>
      </c>
      <c r="AA1393" s="146">
        <f t="shared" si="643"/>
        <v>0</v>
      </c>
      <c r="AB1393" s="143">
        <f t="shared" si="644"/>
        <v>0</v>
      </c>
      <c r="AC1393" s="133">
        <f t="shared" si="645"/>
        <v>0</v>
      </c>
      <c r="AD1393" s="142">
        <v>2</v>
      </c>
      <c r="AE1393" s="141"/>
      <c r="AF1393" s="121" t="s">
        <v>292</v>
      </c>
      <c r="AG1393" s="146">
        <f>VLOOKUP(Takeoffs!AF1393,Sheet1!$B$6:$C$124,2,FALSE)</f>
        <v>0</v>
      </c>
      <c r="AH1393" s="146">
        <f t="shared" si="646"/>
        <v>0</v>
      </c>
      <c r="AI1393" s="143">
        <f t="shared" si="647"/>
        <v>0</v>
      </c>
      <c r="AJ1393" s="133">
        <f t="shared" si="648"/>
        <v>0</v>
      </c>
      <c r="AK1393" s="142">
        <f>T1393</f>
        <v>0</v>
      </c>
      <c r="AL1393" s="141"/>
      <c r="AO1393" s="286"/>
      <c r="AP1393" s="284">
        <f t="shared" si="627"/>
        <v>0</v>
      </c>
      <c r="AQ1393" s="281">
        <f t="shared" si="628"/>
        <v>0</v>
      </c>
      <c r="AR1393" s="284">
        <f t="shared" si="629"/>
        <v>0</v>
      </c>
      <c r="AS1393" s="281">
        <f t="shared" si="630"/>
        <v>0</v>
      </c>
      <c r="AT1393" s="284">
        <f t="shared" si="631"/>
        <v>0</v>
      </c>
    </row>
    <row r="1394" spans="1:46" s="114" customFormat="1" ht="30.9" x14ac:dyDescent="0.8">
      <c r="A1394" s="262">
        <f>ROW()</f>
        <v>1394</v>
      </c>
      <c r="C1394" s="208"/>
      <c r="D1394" s="208"/>
      <c r="E1394" s="208"/>
      <c r="F1394" s="208"/>
      <c r="G1394" s="208"/>
      <c r="H1394" s="208"/>
      <c r="J1394" s="114" t="str">
        <f t="shared" si="649"/>
        <v xml:space="preserve">Coordination Note: - AC system supplier : Please refer to our exclusions relating to wireless air-conditioning controllers. </v>
      </c>
      <c r="K1394" s="114" t="str">
        <f>IF(COUNTBLANK(R1394)&gt;0,"",CONCATENATE(R1394," for ",N1390))</f>
        <v/>
      </c>
      <c r="M1394" s="117"/>
      <c r="N1394" s="123" t="s">
        <v>116</v>
      </c>
      <c r="O1394" s="66"/>
      <c r="P1394" s="121" t="s">
        <v>447</v>
      </c>
      <c r="Q1394" s="121" t="s">
        <v>689</v>
      </c>
      <c r="R1394" s="121"/>
      <c r="S1394" s="133">
        <f>M1390</f>
        <v>0</v>
      </c>
      <c r="T1394" s="120"/>
      <c r="U1394" s="121" t="s">
        <v>292</v>
      </c>
      <c r="V1394" s="133">
        <f t="shared" si="642"/>
        <v>0</v>
      </c>
      <c r="W1394" s="133">
        <f>VLOOKUP(U1394,Sheet1!$B$6:$C$45,2,FALSE)*V1394</f>
        <v>0</v>
      </c>
      <c r="X1394" s="141"/>
      <c r="Y1394" s="121" t="s">
        <v>292</v>
      </c>
      <c r="Z1394" s="146">
        <f>VLOOKUP(Takeoffs!Y1394,Sheet1!$B$6:$C$124,2,FALSE)</f>
        <v>0</v>
      </c>
      <c r="AA1394" s="146">
        <f t="shared" si="643"/>
        <v>0</v>
      </c>
      <c r="AB1394" s="143">
        <f t="shared" si="644"/>
        <v>0</v>
      </c>
      <c r="AC1394" s="133">
        <f t="shared" si="645"/>
        <v>0</v>
      </c>
      <c r="AD1394" s="142">
        <v>1</v>
      </c>
      <c r="AE1394" s="141"/>
      <c r="AF1394" s="121" t="s">
        <v>292</v>
      </c>
      <c r="AG1394" s="146">
        <f>VLOOKUP(Takeoffs!AF1394,Sheet1!$B$6:$C$124,2,FALSE)</f>
        <v>0</v>
      </c>
      <c r="AH1394" s="146">
        <f t="shared" si="646"/>
        <v>0</v>
      </c>
      <c r="AI1394" s="143">
        <f t="shared" si="647"/>
        <v>0</v>
      </c>
      <c r="AJ1394" s="133">
        <f t="shared" si="648"/>
        <v>0</v>
      </c>
      <c r="AK1394" s="142">
        <f>T1394</f>
        <v>0</v>
      </c>
      <c r="AL1394" s="141"/>
      <c r="AO1394" s="286"/>
      <c r="AP1394" s="284">
        <f t="shared" si="627"/>
        <v>0</v>
      </c>
      <c r="AQ1394" s="281">
        <f t="shared" si="628"/>
        <v>0</v>
      </c>
      <c r="AR1394" s="284">
        <f t="shared" si="629"/>
        <v>0</v>
      </c>
      <c r="AS1394" s="281">
        <f t="shared" si="630"/>
        <v>0</v>
      </c>
      <c r="AT1394" s="284">
        <f t="shared" si="631"/>
        <v>0</v>
      </c>
    </row>
    <row r="1395" spans="1:46" s="114" customFormat="1" ht="30.9" x14ac:dyDescent="0.8">
      <c r="A1395" s="262">
        <f>ROW()</f>
        <v>1395</v>
      </c>
      <c r="C1395" s="208"/>
      <c r="D1395" s="208"/>
      <c r="E1395" s="208"/>
      <c r="F1395" s="208"/>
      <c r="G1395" s="208"/>
      <c r="H1395" s="208"/>
      <c r="J1395" s="114" t="str">
        <f t="shared" si="649"/>
        <v>Coordination Note: - Builders Electrician: Please refer to our exclusions relating to power supply to outdoor unit</v>
      </c>
      <c r="K1395" s="114" t="str">
        <f>IF(COUNTBLANK(R1395)&gt;0,"",CONCATENATE(R1395," for ",N1390))</f>
        <v/>
      </c>
      <c r="M1395" s="117"/>
      <c r="N1395" s="123" t="s">
        <v>117</v>
      </c>
      <c r="O1395" s="66" t="s">
        <v>507</v>
      </c>
      <c r="P1395" s="121" t="s">
        <v>420</v>
      </c>
      <c r="Q1395" s="121" t="s">
        <v>691</v>
      </c>
      <c r="R1395" s="121"/>
      <c r="S1395" s="133">
        <f>M1390</f>
        <v>0</v>
      </c>
      <c r="T1395" s="120"/>
      <c r="U1395" s="121" t="s">
        <v>292</v>
      </c>
      <c r="V1395" s="133">
        <f t="shared" si="642"/>
        <v>0</v>
      </c>
      <c r="W1395" s="133">
        <f>VLOOKUP(U1395,Sheet1!$B$6:$C$45,2,FALSE)*V1395</f>
        <v>0</v>
      </c>
      <c r="X1395" s="141"/>
      <c r="Y1395" s="121" t="s">
        <v>292</v>
      </c>
      <c r="Z1395" s="146">
        <f>VLOOKUP(Takeoffs!Y1395,Sheet1!$B$6:$C$124,2,FALSE)</f>
        <v>0</v>
      </c>
      <c r="AA1395" s="146">
        <f t="shared" si="643"/>
        <v>0</v>
      </c>
      <c r="AB1395" s="143">
        <f t="shared" si="644"/>
        <v>0</v>
      </c>
      <c r="AC1395" s="133">
        <f t="shared" si="645"/>
        <v>0</v>
      </c>
      <c r="AD1395" s="142">
        <v>2</v>
      </c>
      <c r="AE1395" s="141"/>
      <c r="AF1395" s="122" t="s">
        <v>268</v>
      </c>
      <c r="AG1395" s="146">
        <f>VLOOKUP(Takeoffs!AF1395,Sheet1!$B$6:$C$124,2,FALSE)</f>
        <v>1.02</v>
      </c>
      <c r="AH1395" s="146">
        <f t="shared" si="646"/>
        <v>0</v>
      </c>
      <c r="AI1395" s="143">
        <f t="shared" si="647"/>
        <v>0</v>
      </c>
      <c r="AJ1395" s="133">
        <f t="shared" si="648"/>
        <v>0</v>
      </c>
      <c r="AK1395" s="142">
        <v>10</v>
      </c>
      <c r="AL1395" s="141"/>
      <c r="AO1395" s="286"/>
      <c r="AP1395" s="284">
        <f t="shared" si="627"/>
        <v>0</v>
      </c>
      <c r="AQ1395" s="281">
        <f t="shared" si="628"/>
        <v>0</v>
      </c>
      <c r="AR1395" s="284">
        <f t="shared" si="629"/>
        <v>0</v>
      </c>
      <c r="AS1395" s="281">
        <f t="shared" si="630"/>
        <v>0</v>
      </c>
      <c r="AT1395" s="284">
        <f t="shared" si="631"/>
        <v>0</v>
      </c>
    </row>
    <row r="1396" spans="1:46" s="114" customFormat="1" ht="30.9" x14ac:dyDescent="0.8">
      <c r="A1396" s="262">
        <f>ROW()</f>
        <v>1396</v>
      </c>
      <c r="C1396" s="208"/>
      <c r="D1396" s="208"/>
      <c r="E1396" s="208"/>
      <c r="F1396" s="208"/>
      <c r="G1396" s="208"/>
      <c r="H1396" s="208"/>
      <c r="J1396" s="114" t="str">
        <f t="shared" si="649"/>
        <v/>
      </c>
      <c r="K1396" s="114" t="str">
        <f>IF(COUNTBLANK(R1396)&gt;0,"",CONCATENATE(R1396," for ",N1390))</f>
        <v/>
      </c>
      <c r="M1396" s="117"/>
      <c r="N1396" s="123" t="s">
        <v>118</v>
      </c>
      <c r="O1396" s="66"/>
      <c r="P1396" s="121"/>
      <c r="Q1396" s="121"/>
      <c r="R1396" s="121"/>
      <c r="S1396" s="133">
        <f>M1390</f>
        <v>0</v>
      </c>
      <c r="T1396" s="120"/>
      <c r="U1396" s="121" t="s">
        <v>292</v>
      </c>
      <c r="V1396" s="133">
        <f t="shared" si="642"/>
        <v>0</v>
      </c>
      <c r="W1396" s="133">
        <f>VLOOKUP(U1396,Sheet1!$B$6:$C$45,2,FALSE)*V1396</f>
        <v>0</v>
      </c>
      <c r="X1396" s="141"/>
      <c r="Y1396" s="121" t="s">
        <v>292</v>
      </c>
      <c r="Z1396" s="146">
        <f>VLOOKUP(Takeoffs!Y1396,Sheet1!$B$6:$C$124,2,FALSE)</f>
        <v>0</v>
      </c>
      <c r="AA1396" s="146">
        <f t="shared" si="643"/>
        <v>0</v>
      </c>
      <c r="AB1396" s="143">
        <f t="shared" si="644"/>
        <v>0</v>
      </c>
      <c r="AC1396" s="133">
        <f t="shared" si="645"/>
        <v>0</v>
      </c>
      <c r="AD1396" s="142">
        <v>1</v>
      </c>
      <c r="AE1396" s="141"/>
      <c r="AF1396" s="121" t="s">
        <v>292</v>
      </c>
      <c r="AG1396" s="146">
        <f>VLOOKUP(Takeoffs!AF1396,Sheet1!$B$6:$C$124,2,FALSE)</f>
        <v>0</v>
      </c>
      <c r="AH1396" s="146">
        <f t="shared" si="646"/>
        <v>0</v>
      </c>
      <c r="AI1396" s="143">
        <f t="shared" si="647"/>
        <v>0</v>
      </c>
      <c r="AJ1396" s="133">
        <f t="shared" si="648"/>
        <v>0</v>
      </c>
      <c r="AK1396" s="142">
        <f t="shared" ref="AK1396:AK1410" si="650">T1396</f>
        <v>0</v>
      </c>
      <c r="AL1396" s="141"/>
      <c r="AO1396" s="286"/>
      <c r="AP1396" s="284">
        <f t="shared" si="627"/>
        <v>0</v>
      </c>
      <c r="AQ1396" s="281">
        <f t="shared" si="628"/>
        <v>0</v>
      </c>
      <c r="AR1396" s="284">
        <f t="shared" si="629"/>
        <v>0</v>
      </c>
      <c r="AS1396" s="281">
        <f t="shared" si="630"/>
        <v>0</v>
      </c>
      <c r="AT1396" s="284">
        <f t="shared" si="631"/>
        <v>0</v>
      </c>
    </row>
    <row r="1397" spans="1:46" s="114" customFormat="1" ht="30.9" x14ac:dyDescent="0.8">
      <c r="A1397" s="262">
        <f>ROW()</f>
        <v>1397</v>
      </c>
      <c r="C1397" s="208"/>
      <c r="D1397" s="208"/>
      <c r="E1397" s="208"/>
      <c r="F1397" s="208"/>
      <c r="G1397" s="208"/>
      <c r="H1397" s="208"/>
      <c r="J1397" s="114" t="str">
        <f t="shared" si="649"/>
        <v/>
      </c>
      <c r="K1397" s="114" t="str">
        <f>IF(COUNTBLANK(R1397)&gt;0,"",CONCATENATE(R1397," for ",N1390))</f>
        <v/>
      </c>
      <c r="N1397" s="123" t="s">
        <v>119</v>
      </c>
      <c r="O1397" s="66"/>
      <c r="P1397" s="121"/>
      <c r="Q1397" s="121"/>
      <c r="R1397" s="121"/>
      <c r="S1397" s="133">
        <f>M1390</f>
        <v>0</v>
      </c>
      <c r="T1397" s="120"/>
      <c r="U1397" s="121" t="s">
        <v>292</v>
      </c>
      <c r="V1397" s="133">
        <f t="shared" si="642"/>
        <v>0</v>
      </c>
      <c r="W1397" s="133">
        <f>VLOOKUP(U1397,Sheet1!$B$6:$C$45,2,FALSE)*V1397</f>
        <v>0</v>
      </c>
      <c r="X1397" s="141"/>
      <c r="Y1397" s="121" t="s">
        <v>292</v>
      </c>
      <c r="Z1397" s="146">
        <f>VLOOKUP(Takeoffs!Y1397,Sheet1!$B$6:$C$124,2,FALSE)</f>
        <v>0</v>
      </c>
      <c r="AA1397" s="146">
        <f t="shared" si="643"/>
        <v>0</v>
      </c>
      <c r="AB1397" s="143">
        <f t="shared" si="644"/>
        <v>0</v>
      </c>
      <c r="AC1397" s="133">
        <f t="shared" si="645"/>
        <v>0</v>
      </c>
      <c r="AD1397" s="142">
        <v>1</v>
      </c>
      <c r="AE1397" s="141"/>
      <c r="AF1397" s="121" t="s">
        <v>292</v>
      </c>
      <c r="AG1397" s="146">
        <f>VLOOKUP(Takeoffs!AF1397,Sheet1!$B$6:$C$124,2,FALSE)</f>
        <v>0</v>
      </c>
      <c r="AH1397" s="146">
        <f t="shared" si="646"/>
        <v>0</v>
      </c>
      <c r="AI1397" s="143">
        <f t="shared" si="647"/>
        <v>0</v>
      </c>
      <c r="AJ1397" s="133">
        <f t="shared" si="648"/>
        <v>0</v>
      </c>
      <c r="AK1397" s="142">
        <f t="shared" si="650"/>
        <v>0</v>
      </c>
      <c r="AL1397" s="141"/>
      <c r="AO1397" s="286"/>
      <c r="AP1397" s="284">
        <f t="shared" si="627"/>
        <v>0</v>
      </c>
      <c r="AQ1397" s="281">
        <f t="shared" si="628"/>
        <v>0</v>
      </c>
      <c r="AR1397" s="284">
        <f t="shared" si="629"/>
        <v>0</v>
      </c>
      <c r="AS1397" s="281">
        <f t="shared" si="630"/>
        <v>0</v>
      </c>
      <c r="AT1397" s="284">
        <f t="shared" si="631"/>
        <v>0</v>
      </c>
    </row>
    <row r="1398" spans="1:46" s="114" customFormat="1" ht="30.9" x14ac:dyDescent="0.8">
      <c r="A1398" s="262">
        <f>ROW()</f>
        <v>1398</v>
      </c>
      <c r="C1398" s="208"/>
      <c r="D1398" s="208"/>
      <c r="E1398" s="208"/>
      <c r="F1398" s="208"/>
      <c r="G1398" s="208"/>
      <c r="H1398" s="208"/>
      <c r="J1398" s="114" t="str">
        <f t="shared" si="649"/>
        <v/>
      </c>
      <c r="K1398" s="114" t="str">
        <f>IF(COUNTBLANK(R1398)&gt;0,"",CONCATENATE(R1398," for ",N1390))</f>
        <v/>
      </c>
      <c r="N1398" s="123" t="s">
        <v>120</v>
      </c>
      <c r="O1398" s="66"/>
      <c r="P1398" s="121"/>
      <c r="Q1398" s="121"/>
      <c r="R1398" s="121"/>
      <c r="S1398" s="133">
        <f>M1390</f>
        <v>0</v>
      </c>
      <c r="T1398" s="120"/>
      <c r="U1398" s="121" t="s">
        <v>292</v>
      </c>
      <c r="V1398" s="133">
        <f t="shared" si="642"/>
        <v>0</v>
      </c>
      <c r="W1398" s="133">
        <f>VLOOKUP(U1398,Sheet1!$B$6:$C$45,2,FALSE)*V1398</f>
        <v>0</v>
      </c>
      <c r="X1398" s="141"/>
      <c r="Y1398" s="121" t="s">
        <v>292</v>
      </c>
      <c r="Z1398" s="146">
        <f>VLOOKUP(Takeoffs!Y1398,Sheet1!$B$6:$C$124,2,FALSE)</f>
        <v>0</v>
      </c>
      <c r="AA1398" s="146">
        <f t="shared" si="643"/>
        <v>0</v>
      </c>
      <c r="AB1398" s="143">
        <f t="shared" si="644"/>
        <v>0</v>
      </c>
      <c r="AC1398" s="133">
        <f t="shared" si="645"/>
        <v>0</v>
      </c>
      <c r="AD1398" s="142">
        <v>1</v>
      </c>
      <c r="AE1398" s="141"/>
      <c r="AF1398" s="121" t="s">
        <v>292</v>
      </c>
      <c r="AG1398" s="146">
        <f>VLOOKUP(Takeoffs!AF1398,Sheet1!$B$6:$C$124,2,FALSE)</f>
        <v>0</v>
      </c>
      <c r="AH1398" s="146">
        <f t="shared" si="646"/>
        <v>0</v>
      </c>
      <c r="AI1398" s="143">
        <f t="shared" si="647"/>
        <v>0</v>
      </c>
      <c r="AJ1398" s="133">
        <f t="shared" si="648"/>
        <v>0</v>
      </c>
      <c r="AK1398" s="142">
        <f t="shared" si="650"/>
        <v>0</v>
      </c>
      <c r="AL1398" s="141"/>
      <c r="AO1398" s="286"/>
      <c r="AP1398" s="284">
        <f t="shared" si="627"/>
        <v>0</v>
      </c>
      <c r="AQ1398" s="281">
        <f t="shared" si="628"/>
        <v>0</v>
      </c>
      <c r="AR1398" s="284">
        <f t="shared" si="629"/>
        <v>0</v>
      </c>
      <c r="AS1398" s="281">
        <f t="shared" si="630"/>
        <v>0</v>
      </c>
      <c r="AT1398" s="284">
        <f t="shared" si="631"/>
        <v>0</v>
      </c>
    </row>
    <row r="1399" spans="1:46" s="114" customFormat="1" ht="30.9" x14ac:dyDescent="0.8">
      <c r="A1399" s="262">
        <f>ROW()</f>
        <v>1399</v>
      </c>
      <c r="C1399" s="208"/>
      <c r="D1399" s="208"/>
      <c r="E1399" s="208"/>
      <c r="F1399" s="208"/>
      <c r="G1399" s="208"/>
      <c r="H1399" s="208"/>
      <c r="J1399" s="114" t="str">
        <f t="shared" si="649"/>
        <v/>
      </c>
      <c r="K1399" s="114" t="str">
        <f>IF(COUNTBLANK(R1399)&gt;0,"",CONCATENATE(R1399," for ",N1390))</f>
        <v/>
      </c>
      <c r="N1399" s="123" t="s">
        <v>121</v>
      </c>
      <c r="O1399" s="66"/>
      <c r="P1399" s="121"/>
      <c r="Q1399" s="121"/>
      <c r="R1399" s="121"/>
      <c r="S1399" s="133">
        <f>M1390</f>
        <v>0</v>
      </c>
      <c r="T1399" s="120"/>
      <c r="U1399" s="121" t="s">
        <v>292</v>
      </c>
      <c r="V1399" s="133">
        <f t="shared" si="642"/>
        <v>0</v>
      </c>
      <c r="W1399" s="133">
        <f>VLOOKUP(U1399,Sheet1!$B$6:$C$45,2,FALSE)*V1399</f>
        <v>0</v>
      </c>
      <c r="X1399" s="141"/>
      <c r="Y1399" s="121" t="s">
        <v>292</v>
      </c>
      <c r="Z1399" s="146">
        <f>VLOOKUP(Takeoffs!Y1399,Sheet1!$B$6:$C$124,2,FALSE)</f>
        <v>0</v>
      </c>
      <c r="AA1399" s="146">
        <f t="shared" si="643"/>
        <v>0</v>
      </c>
      <c r="AB1399" s="143">
        <f t="shared" si="644"/>
        <v>0</v>
      </c>
      <c r="AC1399" s="133">
        <f t="shared" si="645"/>
        <v>0</v>
      </c>
      <c r="AD1399" s="142">
        <v>1</v>
      </c>
      <c r="AE1399" s="141"/>
      <c r="AF1399" s="121" t="s">
        <v>292</v>
      </c>
      <c r="AG1399" s="146">
        <f>VLOOKUP(Takeoffs!AF1399,Sheet1!$B$6:$C$124,2,FALSE)</f>
        <v>0</v>
      </c>
      <c r="AH1399" s="146">
        <f t="shared" si="646"/>
        <v>0</v>
      </c>
      <c r="AI1399" s="143">
        <f t="shared" si="647"/>
        <v>0</v>
      </c>
      <c r="AJ1399" s="133">
        <f t="shared" si="648"/>
        <v>0</v>
      </c>
      <c r="AK1399" s="142">
        <f t="shared" si="650"/>
        <v>0</v>
      </c>
      <c r="AL1399" s="141"/>
      <c r="AO1399" s="286"/>
      <c r="AP1399" s="284">
        <f t="shared" si="627"/>
        <v>0</v>
      </c>
      <c r="AQ1399" s="281">
        <f t="shared" si="628"/>
        <v>0</v>
      </c>
      <c r="AR1399" s="284">
        <f t="shared" si="629"/>
        <v>0</v>
      </c>
      <c r="AS1399" s="281">
        <f t="shared" si="630"/>
        <v>0</v>
      </c>
      <c r="AT1399" s="284">
        <f t="shared" si="631"/>
        <v>0</v>
      </c>
    </row>
    <row r="1400" spans="1:46" s="114" customFormat="1" ht="30.9" x14ac:dyDescent="0.8">
      <c r="A1400" s="262">
        <f>ROW()</f>
        <v>1400</v>
      </c>
      <c r="C1400" s="208"/>
      <c r="D1400" s="208"/>
      <c r="E1400" s="208"/>
      <c r="F1400" s="208"/>
      <c r="G1400" s="208"/>
      <c r="H1400" s="208"/>
      <c r="J1400" s="114" t="str">
        <f t="shared" si="649"/>
        <v/>
      </c>
      <c r="K1400" s="114" t="str">
        <f>IF(COUNTBLANK(R1400)&gt;0,"",CONCATENATE(R1400," for ",N1390))</f>
        <v/>
      </c>
      <c r="N1400" s="123" t="s">
        <v>122</v>
      </c>
      <c r="O1400" s="66"/>
      <c r="P1400" s="121"/>
      <c r="Q1400" s="121"/>
      <c r="R1400" s="121"/>
      <c r="S1400" s="133">
        <f>M1390</f>
        <v>0</v>
      </c>
      <c r="T1400" s="120"/>
      <c r="U1400" s="121" t="s">
        <v>292</v>
      </c>
      <c r="V1400" s="133">
        <f t="shared" si="642"/>
        <v>0</v>
      </c>
      <c r="W1400" s="133">
        <f>VLOOKUP(U1400,Sheet1!$B$6:$C$45,2,FALSE)*V1400</f>
        <v>0</v>
      </c>
      <c r="X1400" s="141"/>
      <c r="Y1400" s="121" t="s">
        <v>292</v>
      </c>
      <c r="Z1400" s="146">
        <f>VLOOKUP(Takeoffs!Y1400,Sheet1!$B$6:$C$124,2,FALSE)</f>
        <v>0</v>
      </c>
      <c r="AA1400" s="146">
        <f t="shared" si="643"/>
        <v>0</v>
      </c>
      <c r="AB1400" s="143">
        <f t="shared" si="644"/>
        <v>0</v>
      </c>
      <c r="AC1400" s="133">
        <f t="shared" si="645"/>
        <v>0</v>
      </c>
      <c r="AD1400" s="142">
        <v>1</v>
      </c>
      <c r="AE1400" s="141"/>
      <c r="AF1400" s="121" t="s">
        <v>292</v>
      </c>
      <c r="AG1400" s="146">
        <f>VLOOKUP(Takeoffs!AF1400,Sheet1!$B$6:$C$124,2,FALSE)</f>
        <v>0</v>
      </c>
      <c r="AH1400" s="146">
        <f t="shared" si="646"/>
        <v>0</v>
      </c>
      <c r="AI1400" s="143">
        <f t="shared" si="647"/>
        <v>0</v>
      </c>
      <c r="AJ1400" s="133">
        <f t="shared" ref="AJ1400:AJ1410" si="651">S1400</f>
        <v>0</v>
      </c>
      <c r="AK1400" s="142">
        <f t="shared" si="650"/>
        <v>0</v>
      </c>
      <c r="AL1400" s="141"/>
      <c r="AO1400" s="286"/>
      <c r="AP1400" s="284">
        <f t="shared" si="627"/>
        <v>0</v>
      </c>
      <c r="AQ1400" s="281">
        <f t="shared" si="628"/>
        <v>0</v>
      </c>
      <c r="AR1400" s="284">
        <f t="shared" si="629"/>
        <v>0</v>
      </c>
      <c r="AS1400" s="281">
        <f t="shared" si="630"/>
        <v>0</v>
      </c>
      <c r="AT1400" s="284">
        <f t="shared" si="631"/>
        <v>0</v>
      </c>
    </row>
    <row r="1401" spans="1:46" s="114" customFormat="1" ht="30.9" x14ac:dyDescent="0.8">
      <c r="A1401" s="262">
        <f>ROW()</f>
        <v>1401</v>
      </c>
      <c r="C1401" s="208"/>
      <c r="D1401" s="208"/>
      <c r="E1401" s="208"/>
      <c r="F1401" s="208"/>
      <c r="G1401" s="208"/>
      <c r="H1401" s="208"/>
      <c r="J1401" s="114" t="str">
        <f t="shared" si="649"/>
        <v/>
      </c>
      <c r="K1401" s="114" t="str">
        <f>IF(COUNTBLANK(R1401)&gt;0,"",CONCATENATE(R1401," for ",N1390))</f>
        <v/>
      </c>
      <c r="N1401" s="123" t="s">
        <v>123</v>
      </c>
      <c r="O1401" s="66"/>
      <c r="P1401" s="121"/>
      <c r="Q1401" s="121"/>
      <c r="R1401" s="121"/>
      <c r="S1401" s="133">
        <f>M1390</f>
        <v>0</v>
      </c>
      <c r="T1401" s="120"/>
      <c r="U1401" s="121" t="s">
        <v>292</v>
      </c>
      <c r="V1401" s="133">
        <f t="shared" si="642"/>
        <v>0</v>
      </c>
      <c r="W1401" s="133">
        <f>VLOOKUP(U1401,Sheet1!$B$6:$C$45,2,FALSE)*V1401</f>
        <v>0</v>
      </c>
      <c r="X1401" s="141"/>
      <c r="Y1401" s="121" t="s">
        <v>292</v>
      </c>
      <c r="Z1401" s="146">
        <f>VLOOKUP(Takeoffs!Y1401,Sheet1!$B$6:$C$124,2,FALSE)</f>
        <v>0</v>
      </c>
      <c r="AA1401" s="146">
        <f t="shared" si="643"/>
        <v>0</v>
      </c>
      <c r="AB1401" s="143">
        <f t="shared" si="644"/>
        <v>0</v>
      </c>
      <c r="AC1401" s="133">
        <f t="shared" si="645"/>
        <v>0</v>
      </c>
      <c r="AD1401" s="142">
        <v>1</v>
      </c>
      <c r="AE1401" s="141"/>
      <c r="AF1401" s="121" t="s">
        <v>292</v>
      </c>
      <c r="AG1401" s="146">
        <f>VLOOKUP(Takeoffs!AF1401,Sheet1!$B$6:$C$124,2,FALSE)</f>
        <v>0</v>
      </c>
      <c r="AH1401" s="146">
        <f t="shared" si="646"/>
        <v>0</v>
      </c>
      <c r="AI1401" s="143">
        <f t="shared" si="647"/>
        <v>0</v>
      </c>
      <c r="AJ1401" s="133">
        <f t="shared" si="651"/>
        <v>0</v>
      </c>
      <c r="AK1401" s="142">
        <f t="shared" si="650"/>
        <v>0</v>
      </c>
      <c r="AL1401" s="141"/>
      <c r="AO1401" s="286"/>
      <c r="AP1401" s="284">
        <f t="shared" si="627"/>
        <v>0</v>
      </c>
      <c r="AQ1401" s="281">
        <f t="shared" si="628"/>
        <v>0</v>
      </c>
      <c r="AR1401" s="284">
        <f t="shared" si="629"/>
        <v>0</v>
      </c>
      <c r="AS1401" s="281">
        <f t="shared" si="630"/>
        <v>0</v>
      </c>
      <c r="AT1401" s="284">
        <f t="shared" si="631"/>
        <v>0</v>
      </c>
    </row>
    <row r="1402" spans="1:46" s="114" customFormat="1" ht="30.9" x14ac:dyDescent="0.8">
      <c r="A1402" s="262">
        <f>ROW()</f>
        <v>1402</v>
      </c>
      <c r="C1402" s="208"/>
      <c r="D1402" s="208"/>
      <c r="E1402" s="208"/>
      <c r="F1402" s="208"/>
      <c r="G1402" s="208"/>
      <c r="H1402" s="208"/>
      <c r="J1402" s="114" t="str">
        <f t="shared" si="649"/>
        <v/>
      </c>
      <c r="K1402" s="114" t="str">
        <f>IF(COUNTBLANK(R1402)&gt;0,"",CONCATENATE(R1402," for ",N1390))</f>
        <v/>
      </c>
      <c r="N1402" s="123" t="s">
        <v>124</v>
      </c>
      <c r="O1402" s="66"/>
      <c r="P1402" s="121"/>
      <c r="Q1402" s="121"/>
      <c r="R1402" s="121"/>
      <c r="S1402" s="133">
        <f>M1390</f>
        <v>0</v>
      </c>
      <c r="T1402" s="120"/>
      <c r="U1402" s="121" t="s">
        <v>292</v>
      </c>
      <c r="V1402" s="133">
        <f t="shared" si="642"/>
        <v>0</v>
      </c>
      <c r="W1402" s="133">
        <f>VLOOKUP(U1402,Sheet1!$B$6:$C$45,2,FALSE)*V1402</f>
        <v>0</v>
      </c>
      <c r="X1402" s="141"/>
      <c r="Y1402" s="121" t="s">
        <v>292</v>
      </c>
      <c r="Z1402" s="146">
        <f>VLOOKUP(Takeoffs!Y1402,Sheet1!$B$6:$C$124,2,FALSE)</f>
        <v>0</v>
      </c>
      <c r="AA1402" s="146">
        <f t="shared" si="643"/>
        <v>0</v>
      </c>
      <c r="AB1402" s="143">
        <f t="shared" si="644"/>
        <v>0</v>
      </c>
      <c r="AC1402" s="133">
        <f t="shared" si="645"/>
        <v>0</v>
      </c>
      <c r="AD1402" s="142">
        <v>1</v>
      </c>
      <c r="AE1402" s="141"/>
      <c r="AF1402" s="121" t="s">
        <v>292</v>
      </c>
      <c r="AG1402" s="146">
        <f>VLOOKUP(Takeoffs!AF1402,Sheet1!$B$6:$C$124,2,FALSE)</f>
        <v>0</v>
      </c>
      <c r="AH1402" s="146">
        <f t="shared" si="646"/>
        <v>0</v>
      </c>
      <c r="AI1402" s="143">
        <f t="shared" si="647"/>
        <v>0</v>
      </c>
      <c r="AJ1402" s="133">
        <f t="shared" si="651"/>
        <v>0</v>
      </c>
      <c r="AK1402" s="142">
        <f t="shared" si="650"/>
        <v>0</v>
      </c>
      <c r="AL1402" s="141"/>
      <c r="AO1402" s="286"/>
      <c r="AP1402" s="284">
        <f t="shared" si="627"/>
        <v>0</v>
      </c>
      <c r="AQ1402" s="281">
        <f t="shared" si="628"/>
        <v>0</v>
      </c>
      <c r="AR1402" s="284">
        <f t="shared" si="629"/>
        <v>0</v>
      </c>
      <c r="AS1402" s="281">
        <f t="shared" si="630"/>
        <v>0</v>
      </c>
      <c r="AT1402" s="284">
        <f t="shared" si="631"/>
        <v>0</v>
      </c>
    </row>
    <row r="1403" spans="1:46" s="114" customFormat="1" ht="30.9" x14ac:dyDescent="0.8">
      <c r="A1403" s="262">
        <f>ROW()</f>
        <v>1403</v>
      </c>
      <c r="C1403" s="208"/>
      <c r="D1403" s="208"/>
      <c r="E1403" s="208"/>
      <c r="F1403" s="208"/>
      <c r="G1403" s="208"/>
      <c r="H1403" s="208"/>
      <c r="J1403" s="114" t="str">
        <f t="shared" si="649"/>
        <v/>
      </c>
      <c r="K1403" s="114" t="str">
        <f>IF(COUNTBLANK(R1403)&gt;0,"",CONCATENATE(R1403," for ",N1390))</f>
        <v/>
      </c>
      <c r="N1403" s="123" t="s">
        <v>125</v>
      </c>
      <c r="O1403" s="66"/>
      <c r="P1403" s="121"/>
      <c r="Q1403" s="121"/>
      <c r="R1403" s="121"/>
      <c r="S1403" s="133">
        <f>M1390</f>
        <v>0</v>
      </c>
      <c r="T1403" s="120"/>
      <c r="U1403" s="121" t="s">
        <v>292</v>
      </c>
      <c r="V1403" s="133">
        <f t="shared" si="642"/>
        <v>0</v>
      </c>
      <c r="W1403" s="133">
        <f>VLOOKUP(U1403,Sheet1!$B$6:$C$45,2,FALSE)*V1403</f>
        <v>0</v>
      </c>
      <c r="X1403" s="141"/>
      <c r="Y1403" s="121" t="s">
        <v>292</v>
      </c>
      <c r="Z1403" s="146">
        <f>VLOOKUP(Takeoffs!Y1403,Sheet1!$B$6:$C$124,2,FALSE)</f>
        <v>0</v>
      </c>
      <c r="AA1403" s="146">
        <f t="shared" si="643"/>
        <v>0</v>
      </c>
      <c r="AB1403" s="143">
        <f t="shared" si="644"/>
        <v>0</v>
      </c>
      <c r="AC1403" s="133">
        <f t="shared" si="645"/>
        <v>0</v>
      </c>
      <c r="AD1403" s="142">
        <v>1</v>
      </c>
      <c r="AE1403" s="141"/>
      <c r="AF1403" s="121" t="s">
        <v>292</v>
      </c>
      <c r="AG1403" s="146">
        <f>VLOOKUP(Takeoffs!AF1403,Sheet1!$B$6:$C$124,2,FALSE)</f>
        <v>0</v>
      </c>
      <c r="AH1403" s="146">
        <f t="shared" si="646"/>
        <v>0</v>
      </c>
      <c r="AI1403" s="143">
        <f t="shared" si="647"/>
        <v>0</v>
      </c>
      <c r="AJ1403" s="133">
        <f t="shared" si="651"/>
        <v>0</v>
      </c>
      <c r="AK1403" s="142">
        <f t="shared" si="650"/>
        <v>0</v>
      </c>
      <c r="AL1403" s="141"/>
      <c r="AO1403" s="286"/>
      <c r="AP1403" s="284">
        <f t="shared" si="627"/>
        <v>0</v>
      </c>
      <c r="AQ1403" s="281">
        <f t="shared" si="628"/>
        <v>0</v>
      </c>
      <c r="AR1403" s="284">
        <f t="shared" si="629"/>
        <v>0</v>
      </c>
      <c r="AS1403" s="281">
        <f t="shared" si="630"/>
        <v>0</v>
      </c>
      <c r="AT1403" s="284">
        <f t="shared" si="631"/>
        <v>0</v>
      </c>
    </row>
    <row r="1404" spans="1:46" s="114" customFormat="1" ht="30.9" x14ac:dyDescent="0.8">
      <c r="A1404" s="262">
        <f>ROW()</f>
        <v>1404</v>
      </c>
      <c r="C1404" s="208"/>
      <c r="D1404" s="208"/>
      <c r="E1404" s="208"/>
      <c r="F1404" s="208"/>
      <c r="G1404" s="208"/>
      <c r="H1404" s="208"/>
      <c r="J1404" s="114" t="str">
        <f t="shared" si="649"/>
        <v/>
      </c>
      <c r="K1404" s="114" t="str">
        <f>IF(COUNTBLANK(R1404)&gt;0,"",CONCATENATE(R1404," for ",N1390))</f>
        <v/>
      </c>
      <c r="N1404" s="123" t="s">
        <v>126</v>
      </c>
      <c r="O1404" s="66"/>
      <c r="P1404" s="121"/>
      <c r="Q1404" s="121"/>
      <c r="R1404" s="121"/>
      <c r="S1404" s="133">
        <f>M1390</f>
        <v>0</v>
      </c>
      <c r="T1404" s="120"/>
      <c r="U1404" s="121" t="s">
        <v>292</v>
      </c>
      <c r="V1404" s="133">
        <f t="shared" si="642"/>
        <v>0</v>
      </c>
      <c r="W1404" s="133">
        <f>VLOOKUP(U1404,Sheet1!$B$6:$C$45,2,FALSE)*V1404</f>
        <v>0</v>
      </c>
      <c r="X1404" s="141"/>
      <c r="Y1404" s="121" t="s">
        <v>292</v>
      </c>
      <c r="Z1404" s="146">
        <f>VLOOKUP(Takeoffs!Y1404,Sheet1!$B$6:$C$124,2,FALSE)</f>
        <v>0</v>
      </c>
      <c r="AA1404" s="146">
        <f t="shared" si="643"/>
        <v>0</v>
      </c>
      <c r="AB1404" s="143">
        <f t="shared" si="644"/>
        <v>0</v>
      </c>
      <c r="AC1404" s="133">
        <f t="shared" si="645"/>
        <v>0</v>
      </c>
      <c r="AD1404" s="142">
        <v>1</v>
      </c>
      <c r="AE1404" s="141"/>
      <c r="AF1404" s="121" t="s">
        <v>292</v>
      </c>
      <c r="AG1404" s="146">
        <f>VLOOKUP(Takeoffs!AF1404,Sheet1!$B$6:$C$124,2,FALSE)</f>
        <v>0</v>
      </c>
      <c r="AH1404" s="146">
        <f t="shared" si="646"/>
        <v>0</v>
      </c>
      <c r="AI1404" s="143">
        <f t="shared" si="647"/>
        <v>0</v>
      </c>
      <c r="AJ1404" s="133">
        <f t="shared" si="651"/>
        <v>0</v>
      </c>
      <c r="AK1404" s="142">
        <f t="shared" si="650"/>
        <v>0</v>
      </c>
      <c r="AL1404" s="141"/>
      <c r="AO1404" s="286"/>
      <c r="AP1404" s="284">
        <f t="shared" si="627"/>
        <v>0</v>
      </c>
      <c r="AQ1404" s="281">
        <f t="shared" si="628"/>
        <v>0</v>
      </c>
      <c r="AR1404" s="284">
        <f t="shared" si="629"/>
        <v>0</v>
      </c>
      <c r="AS1404" s="281">
        <f t="shared" si="630"/>
        <v>0</v>
      </c>
      <c r="AT1404" s="284">
        <f t="shared" si="631"/>
        <v>0</v>
      </c>
    </row>
    <row r="1405" spans="1:46" s="114" customFormat="1" ht="30.9" x14ac:dyDescent="0.8">
      <c r="A1405" s="262">
        <f>ROW()</f>
        <v>1405</v>
      </c>
      <c r="C1405" s="208"/>
      <c r="D1405" s="208"/>
      <c r="E1405" s="208"/>
      <c r="F1405" s="208"/>
      <c r="G1405" s="208"/>
      <c r="H1405" s="208"/>
      <c r="J1405" s="114" t="str">
        <f t="shared" si="649"/>
        <v/>
      </c>
      <c r="K1405" s="114" t="str">
        <f>IF(COUNTBLANK(R1405)&gt;0,"",CONCATENATE(R1405," for ",N1390))</f>
        <v/>
      </c>
      <c r="N1405" s="123" t="s">
        <v>127</v>
      </c>
      <c r="O1405" s="66"/>
      <c r="P1405" s="121"/>
      <c r="Q1405" s="121"/>
      <c r="R1405" s="121"/>
      <c r="S1405" s="133">
        <f>M1390</f>
        <v>0</v>
      </c>
      <c r="T1405" s="120"/>
      <c r="U1405" s="121" t="s">
        <v>292</v>
      </c>
      <c r="V1405" s="133">
        <f t="shared" si="642"/>
        <v>0</v>
      </c>
      <c r="W1405" s="133">
        <f>VLOOKUP(U1405,Sheet1!$B$6:$C$45,2,FALSE)*V1405</f>
        <v>0</v>
      </c>
      <c r="X1405" s="141"/>
      <c r="Y1405" s="121" t="s">
        <v>292</v>
      </c>
      <c r="Z1405" s="146">
        <f>VLOOKUP(Takeoffs!Y1405,Sheet1!$B$6:$C$124,2,FALSE)</f>
        <v>0</v>
      </c>
      <c r="AA1405" s="146">
        <f t="shared" si="643"/>
        <v>0</v>
      </c>
      <c r="AB1405" s="143">
        <f t="shared" si="644"/>
        <v>0</v>
      </c>
      <c r="AC1405" s="133">
        <f t="shared" si="645"/>
        <v>0</v>
      </c>
      <c r="AD1405" s="142">
        <v>1</v>
      </c>
      <c r="AE1405" s="141"/>
      <c r="AF1405" s="121" t="s">
        <v>292</v>
      </c>
      <c r="AG1405" s="146">
        <f>VLOOKUP(Takeoffs!AF1405,Sheet1!$B$6:$C$124,2,FALSE)</f>
        <v>0</v>
      </c>
      <c r="AH1405" s="146">
        <f t="shared" si="646"/>
        <v>0</v>
      </c>
      <c r="AI1405" s="143">
        <f t="shared" si="647"/>
        <v>0</v>
      </c>
      <c r="AJ1405" s="133">
        <f t="shared" si="651"/>
        <v>0</v>
      </c>
      <c r="AK1405" s="142">
        <f t="shared" si="650"/>
        <v>0</v>
      </c>
      <c r="AL1405" s="141"/>
      <c r="AO1405" s="286"/>
      <c r="AP1405" s="284">
        <f t="shared" si="627"/>
        <v>0</v>
      </c>
      <c r="AQ1405" s="281">
        <f t="shared" si="628"/>
        <v>0</v>
      </c>
      <c r="AR1405" s="284">
        <f t="shared" si="629"/>
        <v>0</v>
      </c>
      <c r="AS1405" s="281">
        <f t="shared" si="630"/>
        <v>0</v>
      </c>
      <c r="AT1405" s="284">
        <f t="shared" si="631"/>
        <v>0</v>
      </c>
    </row>
    <row r="1406" spans="1:46" s="114" customFormat="1" ht="30.9" x14ac:dyDescent="0.8">
      <c r="A1406" s="262">
        <f>ROW()</f>
        <v>1406</v>
      </c>
      <c r="C1406" s="208"/>
      <c r="D1406" s="208"/>
      <c r="E1406" s="208"/>
      <c r="F1406" s="208"/>
      <c r="G1406" s="208"/>
      <c r="H1406" s="208"/>
      <c r="J1406" s="114" t="str">
        <f t="shared" si="649"/>
        <v/>
      </c>
      <c r="K1406" s="114" t="str">
        <f>IF(COUNTBLANK(R1406)&gt;0,"",CONCATENATE(R1406," for ",N1390))</f>
        <v/>
      </c>
      <c r="N1406" s="123" t="s">
        <v>128</v>
      </c>
      <c r="O1406" s="66"/>
      <c r="P1406" s="121"/>
      <c r="Q1406" s="121"/>
      <c r="R1406" s="121"/>
      <c r="S1406" s="133">
        <f>M1390</f>
        <v>0</v>
      </c>
      <c r="T1406" s="120"/>
      <c r="U1406" s="121" t="s">
        <v>292</v>
      </c>
      <c r="V1406" s="133">
        <f t="shared" si="642"/>
        <v>0</v>
      </c>
      <c r="W1406" s="133">
        <f>VLOOKUP(U1406,Sheet1!$B$6:$C$45,2,FALSE)*V1406</f>
        <v>0</v>
      </c>
      <c r="X1406" s="141"/>
      <c r="Y1406" s="121" t="s">
        <v>292</v>
      </c>
      <c r="Z1406" s="146">
        <f>VLOOKUP(Takeoffs!Y1406,Sheet1!$B$6:$C$124,2,FALSE)</f>
        <v>0</v>
      </c>
      <c r="AA1406" s="146">
        <f t="shared" si="643"/>
        <v>0</v>
      </c>
      <c r="AB1406" s="143">
        <f t="shared" si="644"/>
        <v>0</v>
      </c>
      <c r="AC1406" s="133">
        <f t="shared" si="645"/>
        <v>0</v>
      </c>
      <c r="AD1406" s="142">
        <v>1</v>
      </c>
      <c r="AE1406" s="141"/>
      <c r="AF1406" s="121" t="s">
        <v>292</v>
      </c>
      <c r="AG1406" s="146">
        <f>VLOOKUP(Takeoffs!AF1406,Sheet1!$B$6:$C$124,2,FALSE)</f>
        <v>0</v>
      </c>
      <c r="AH1406" s="146">
        <f t="shared" si="646"/>
        <v>0</v>
      </c>
      <c r="AI1406" s="143">
        <f t="shared" si="647"/>
        <v>0</v>
      </c>
      <c r="AJ1406" s="133">
        <f t="shared" si="651"/>
        <v>0</v>
      </c>
      <c r="AK1406" s="142">
        <f t="shared" si="650"/>
        <v>0</v>
      </c>
      <c r="AL1406" s="141"/>
      <c r="AO1406" s="286"/>
      <c r="AP1406" s="284">
        <f t="shared" si="627"/>
        <v>0</v>
      </c>
      <c r="AQ1406" s="281">
        <f t="shared" si="628"/>
        <v>0</v>
      </c>
      <c r="AR1406" s="284">
        <f t="shared" si="629"/>
        <v>0</v>
      </c>
      <c r="AS1406" s="281">
        <f t="shared" si="630"/>
        <v>0</v>
      </c>
      <c r="AT1406" s="284">
        <f t="shared" si="631"/>
        <v>0</v>
      </c>
    </row>
    <row r="1407" spans="1:46" s="114" customFormat="1" ht="30.9" x14ac:dyDescent="0.8">
      <c r="A1407" s="262">
        <f>ROW()</f>
        <v>1407</v>
      </c>
      <c r="C1407" s="208"/>
      <c r="D1407" s="208"/>
      <c r="E1407" s="208"/>
      <c r="F1407" s="208"/>
      <c r="G1407" s="208"/>
      <c r="H1407" s="208"/>
      <c r="J1407" s="114" t="str">
        <f t="shared" si="649"/>
        <v/>
      </c>
      <c r="K1407" s="114" t="str">
        <f>IF(COUNTBLANK(R1407)&gt;0,"",CONCATENATE(R1407," for ",N1390))</f>
        <v/>
      </c>
      <c r="N1407" s="123" t="s">
        <v>129</v>
      </c>
      <c r="O1407" s="66"/>
      <c r="P1407" s="121"/>
      <c r="Q1407" s="121"/>
      <c r="R1407" s="121"/>
      <c r="S1407" s="133">
        <f>M1390</f>
        <v>0</v>
      </c>
      <c r="T1407" s="120"/>
      <c r="U1407" s="121" t="s">
        <v>292</v>
      </c>
      <c r="V1407" s="133">
        <f t="shared" si="642"/>
        <v>0</v>
      </c>
      <c r="W1407" s="133">
        <f>VLOOKUP(U1407,Sheet1!$B$6:$C$45,2,FALSE)*V1407</f>
        <v>0</v>
      </c>
      <c r="X1407" s="141"/>
      <c r="Y1407" s="121" t="s">
        <v>292</v>
      </c>
      <c r="Z1407" s="146">
        <f>VLOOKUP(Takeoffs!Y1407,Sheet1!$B$6:$C$124,2,FALSE)</f>
        <v>0</v>
      </c>
      <c r="AA1407" s="146">
        <f t="shared" si="643"/>
        <v>0</v>
      </c>
      <c r="AB1407" s="143">
        <f t="shared" si="644"/>
        <v>0</v>
      </c>
      <c r="AC1407" s="133">
        <f t="shared" si="645"/>
        <v>0</v>
      </c>
      <c r="AD1407" s="142">
        <v>1</v>
      </c>
      <c r="AE1407" s="141"/>
      <c r="AF1407" s="121" t="s">
        <v>292</v>
      </c>
      <c r="AG1407" s="146">
        <f>VLOOKUP(Takeoffs!AF1407,Sheet1!$B$6:$C$124,2,FALSE)</f>
        <v>0</v>
      </c>
      <c r="AH1407" s="146">
        <f t="shared" si="646"/>
        <v>0</v>
      </c>
      <c r="AI1407" s="143">
        <f t="shared" si="647"/>
        <v>0</v>
      </c>
      <c r="AJ1407" s="133">
        <f t="shared" si="651"/>
        <v>0</v>
      </c>
      <c r="AK1407" s="142">
        <f t="shared" si="650"/>
        <v>0</v>
      </c>
      <c r="AL1407" s="141"/>
      <c r="AO1407" s="286"/>
      <c r="AP1407" s="284">
        <f t="shared" si="627"/>
        <v>0</v>
      </c>
      <c r="AQ1407" s="281">
        <f t="shared" si="628"/>
        <v>0</v>
      </c>
      <c r="AR1407" s="284">
        <f t="shared" si="629"/>
        <v>0</v>
      </c>
      <c r="AS1407" s="281">
        <f t="shared" si="630"/>
        <v>0</v>
      </c>
      <c r="AT1407" s="284">
        <f t="shared" si="631"/>
        <v>0</v>
      </c>
    </row>
    <row r="1408" spans="1:46" s="114" customFormat="1" ht="30.9" x14ac:dyDescent="0.8">
      <c r="A1408" s="262">
        <f>ROW()</f>
        <v>1408</v>
      </c>
      <c r="C1408" s="208"/>
      <c r="D1408" s="208"/>
      <c r="E1408" s="208"/>
      <c r="F1408" s="208"/>
      <c r="G1408" s="208"/>
      <c r="H1408" s="208"/>
      <c r="J1408" s="114" t="str">
        <f t="shared" si="649"/>
        <v/>
      </c>
      <c r="K1408" s="114" t="str">
        <f>IF(COUNTBLANK(R1408)&gt;0,"",CONCATENATE(R1408," for ",N1390))</f>
        <v/>
      </c>
      <c r="N1408" s="123" t="s">
        <v>130</v>
      </c>
      <c r="O1408" s="66"/>
      <c r="P1408" s="121"/>
      <c r="Q1408" s="121"/>
      <c r="R1408" s="121"/>
      <c r="S1408" s="133">
        <f>M1390</f>
        <v>0</v>
      </c>
      <c r="T1408" s="120"/>
      <c r="U1408" s="121" t="s">
        <v>292</v>
      </c>
      <c r="V1408" s="133">
        <f t="shared" si="642"/>
        <v>0</v>
      </c>
      <c r="W1408" s="133">
        <f>VLOOKUP(U1408,Sheet1!$B$6:$C$45,2,FALSE)*V1408</f>
        <v>0</v>
      </c>
      <c r="X1408" s="141"/>
      <c r="Y1408" s="121" t="s">
        <v>292</v>
      </c>
      <c r="Z1408" s="146">
        <f>VLOOKUP(Takeoffs!Y1408,Sheet1!$B$6:$C$124,2,FALSE)</f>
        <v>0</v>
      </c>
      <c r="AA1408" s="146">
        <f t="shared" si="643"/>
        <v>0</v>
      </c>
      <c r="AB1408" s="143">
        <f t="shared" si="644"/>
        <v>0</v>
      </c>
      <c r="AC1408" s="133">
        <f t="shared" si="645"/>
        <v>0</v>
      </c>
      <c r="AD1408" s="142">
        <v>1</v>
      </c>
      <c r="AE1408" s="141"/>
      <c r="AF1408" s="121" t="s">
        <v>292</v>
      </c>
      <c r="AG1408" s="146">
        <f>VLOOKUP(Takeoffs!AF1408,Sheet1!$B$6:$C$124,2,FALSE)</f>
        <v>0</v>
      </c>
      <c r="AH1408" s="146">
        <f t="shared" si="646"/>
        <v>0</v>
      </c>
      <c r="AI1408" s="143">
        <f t="shared" si="647"/>
        <v>0</v>
      </c>
      <c r="AJ1408" s="133">
        <f t="shared" si="651"/>
        <v>0</v>
      </c>
      <c r="AK1408" s="142">
        <f t="shared" si="650"/>
        <v>0</v>
      </c>
      <c r="AL1408" s="141"/>
      <c r="AO1408" s="286"/>
      <c r="AP1408" s="284">
        <f t="shared" si="627"/>
        <v>0</v>
      </c>
      <c r="AQ1408" s="281">
        <f t="shared" si="628"/>
        <v>0</v>
      </c>
      <c r="AR1408" s="284">
        <f t="shared" si="629"/>
        <v>0</v>
      </c>
      <c r="AS1408" s="281">
        <f t="shared" si="630"/>
        <v>0</v>
      </c>
      <c r="AT1408" s="284">
        <f t="shared" si="631"/>
        <v>0</v>
      </c>
    </row>
    <row r="1409" spans="1:97" s="114" customFormat="1" ht="30.9" x14ac:dyDescent="0.8">
      <c r="A1409" s="262">
        <f>ROW()</f>
        <v>1409</v>
      </c>
      <c r="C1409" s="208"/>
      <c r="D1409" s="208"/>
      <c r="E1409" s="208"/>
      <c r="F1409" s="208"/>
      <c r="G1409" s="208"/>
      <c r="H1409" s="208"/>
      <c r="J1409" s="114" t="str">
        <f t="shared" si="649"/>
        <v/>
      </c>
      <c r="K1409" s="114" t="str">
        <f>IF(COUNTBLANK(R1409)&gt;0,"",CONCATENATE(R1409," for ",N1390))</f>
        <v/>
      </c>
      <c r="N1409" s="123" t="s">
        <v>131</v>
      </c>
      <c r="O1409" s="66"/>
      <c r="P1409" s="121"/>
      <c r="Q1409" s="121"/>
      <c r="R1409" s="121"/>
      <c r="S1409" s="133">
        <f>M1390</f>
        <v>0</v>
      </c>
      <c r="T1409" s="120"/>
      <c r="U1409" s="121" t="s">
        <v>292</v>
      </c>
      <c r="V1409" s="133">
        <f t="shared" si="642"/>
        <v>0</v>
      </c>
      <c r="W1409" s="133">
        <f>VLOOKUP(U1409,Sheet1!$B$6:$C$45,2,FALSE)*V1409</f>
        <v>0</v>
      </c>
      <c r="X1409" s="141"/>
      <c r="Y1409" s="121" t="s">
        <v>292</v>
      </c>
      <c r="Z1409" s="146">
        <f>VLOOKUP(Takeoffs!Y1409,Sheet1!$B$6:$C$124,2,FALSE)</f>
        <v>0</v>
      </c>
      <c r="AA1409" s="146">
        <f t="shared" si="643"/>
        <v>0</v>
      </c>
      <c r="AB1409" s="143">
        <f t="shared" si="644"/>
        <v>0</v>
      </c>
      <c r="AC1409" s="133">
        <f t="shared" si="645"/>
        <v>0</v>
      </c>
      <c r="AD1409" s="142">
        <v>1</v>
      </c>
      <c r="AE1409" s="141"/>
      <c r="AF1409" s="121" t="s">
        <v>292</v>
      </c>
      <c r="AG1409" s="146">
        <f>VLOOKUP(Takeoffs!AF1409,Sheet1!$B$6:$C$124,2,FALSE)</f>
        <v>0</v>
      </c>
      <c r="AH1409" s="146">
        <f t="shared" si="646"/>
        <v>0</v>
      </c>
      <c r="AI1409" s="143">
        <f t="shared" si="647"/>
        <v>0</v>
      </c>
      <c r="AJ1409" s="133">
        <f t="shared" si="651"/>
        <v>0</v>
      </c>
      <c r="AK1409" s="142">
        <f t="shared" si="650"/>
        <v>0</v>
      </c>
      <c r="AL1409" s="141"/>
      <c r="AO1409" s="286"/>
      <c r="AP1409" s="284">
        <f t="shared" si="627"/>
        <v>0</v>
      </c>
      <c r="AQ1409" s="281">
        <f t="shared" si="628"/>
        <v>0</v>
      </c>
      <c r="AR1409" s="284">
        <f t="shared" si="629"/>
        <v>0</v>
      </c>
      <c r="AS1409" s="281">
        <f t="shared" si="630"/>
        <v>0</v>
      </c>
      <c r="AT1409" s="284">
        <f t="shared" si="631"/>
        <v>0</v>
      </c>
    </row>
    <row r="1410" spans="1:97" s="114" customFormat="1" ht="30.9" x14ac:dyDescent="0.8">
      <c r="A1410" s="262">
        <f>ROW()</f>
        <v>1410</v>
      </c>
      <c r="C1410" s="208"/>
      <c r="D1410" s="208"/>
      <c r="E1410" s="208"/>
      <c r="F1410" s="208"/>
      <c r="G1410" s="208"/>
      <c r="H1410" s="208"/>
      <c r="J1410" s="114" t="str">
        <f t="shared" si="649"/>
        <v/>
      </c>
      <c r="K1410" s="114" t="str">
        <f>IF(COUNTBLANK(R1410)&gt;0,"",CONCATENATE(R1410," for ",N1390))</f>
        <v/>
      </c>
      <c r="N1410" s="123" t="s">
        <v>132</v>
      </c>
      <c r="O1410" s="66"/>
      <c r="P1410" s="121"/>
      <c r="Q1410" s="121"/>
      <c r="R1410" s="121"/>
      <c r="S1410" s="133">
        <f>M1390</f>
        <v>0</v>
      </c>
      <c r="T1410" s="120"/>
      <c r="U1410" s="121" t="s">
        <v>292</v>
      </c>
      <c r="V1410" s="133">
        <f t="shared" si="642"/>
        <v>0</v>
      </c>
      <c r="W1410" s="133">
        <f>VLOOKUP(U1410,Sheet1!$B$6:$C$45,2,FALSE)*V1410</f>
        <v>0</v>
      </c>
      <c r="X1410" s="141"/>
      <c r="Y1410" s="121" t="s">
        <v>292</v>
      </c>
      <c r="Z1410" s="146">
        <f>VLOOKUP(Takeoffs!Y1410,Sheet1!$B$6:$C$124,2,FALSE)</f>
        <v>0</v>
      </c>
      <c r="AA1410" s="146">
        <f t="shared" si="643"/>
        <v>0</v>
      </c>
      <c r="AB1410" s="143">
        <f t="shared" si="644"/>
        <v>0</v>
      </c>
      <c r="AC1410" s="133">
        <f t="shared" si="645"/>
        <v>0</v>
      </c>
      <c r="AD1410" s="142">
        <v>1</v>
      </c>
      <c r="AE1410" s="141"/>
      <c r="AF1410" s="121" t="s">
        <v>292</v>
      </c>
      <c r="AG1410" s="146">
        <f>VLOOKUP(Takeoffs!AF1410,Sheet1!$B$6:$C$124,2,FALSE)</f>
        <v>0</v>
      </c>
      <c r="AH1410" s="146">
        <f t="shared" si="646"/>
        <v>0</v>
      </c>
      <c r="AI1410" s="143">
        <f t="shared" si="647"/>
        <v>0</v>
      </c>
      <c r="AJ1410" s="133">
        <f t="shared" si="651"/>
        <v>0</v>
      </c>
      <c r="AK1410" s="142">
        <f t="shared" si="650"/>
        <v>0</v>
      </c>
      <c r="AL1410" s="141"/>
      <c r="AO1410" s="286"/>
      <c r="AP1410" s="284">
        <f t="shared" si="627"/>
        <v>0</v>
      </c>
      <c r="AQ1410" s="281">
        <f t="shared" si="628"/>
        <v>0</v>
      </c>
      <c r="AR1410" s="284">
        <f t="shared" si="629"/>
        <v>0</v>
      </c>
      <c r="AS1410" s="281">
        <f t="shared" si="630"/>
        <v>0</v>
      </c>
      <c r="AT1410" s="284">
        <f t="shared" si="631"/>
        <v>0</v>
      </c>
    </row>
    <row r="1411" spans="1:97" s="128" customFormat="1" ht="31.5" customHeight="1" x14ac:dyDescent="0.8">
      <c r="A1411" s="262">
        <f>ROW()</f>
        <v>1411</v>
      </c>
      <c r="C1411" s="212"/>
      <c r="D1411" s="212"/>
      <c r="E1411" s="212"/>
      <c r="F1411" s="212"/>
      <c r="G1411" s="212"/>
      <c r="H1411" s="212"/>
      <c r="J1411" s="128" t="s">
        <v>377</v>
      </c>
      <c r="L1411" s="128" t="s">
        <v>378</v>
      </c>
      <c r="N1411" s="129"/>
      <c r="O1411" s="130" t="s">
        <v>357</v>
      </c>
      <c r="P1411" s="131">
        <f>V1411+AA1411+AH1411</f>
        <v>0</v>
      </c>
      <c r="Q1411" s="131"/>
      <c r="R1411" s="131"/>
      <c r="S1411" s="130"/>
      <c r="T1411" s="127"/>
      <c r="U1411" s="126" t="s">
        <v>351</v>
      </c>
      <c r="V1411" s="127">
        <f>W1411*80</f>
        <v>0</v>
      </c>
      <c r="W1411" s="147">
        <f>SUM(W1390:W1410)</f>
        <v>0</v>
      </c>
      <c r="X1411" s="148"/>
      <c r="Y1411" s="127" t="s">
        <v>352</v>
      </c>
      <c r="Z1411" s="116"/>
      <c r="AA1411" s="116">
        <f>SUM(AA1390:AA1410)</f>
        <v>0</v>
      </c>
      <c r="AB1411" s="149"/>
      <c r="AC1411" s="149"/>
      <c r="AD1411" s="149"/>
      <c r="AE1411" s="149"/>
      <c r="AF1411" s="127" t="s">
        <v>356</v>
      </c>
      <c r="AG1411" s="116"/>
      <c r="AH1411" s="116">
        <f>SUM(AH1390:AH1410)</f>
        <v>0</v>
      </c>
      <c r="AI1411" s="149"/>
      <c r="AJ1411" s="149"/>
      <c r="AK1411" s="149"/>
      <c r="AL1411" s="149"/>
      <c r="AM1411" s="150">
        <f>P1411</f>
        <v>0</v>
      </c>
      <c r="AO1411" s="286"/>
      <c r="AP1411" s="284">
        <f t="shared" si="627"/>
        <v>0</v>
      </c>
      <c r="AQ1411" s="281">
        <f t="shared" si="628"/>
        <v>0</v>
      </c>
      <c r="AR1411" s="284">
        <f t="shared" si="629"/>
        <v>0</v>
      </c>
      <c r="AS1411" s="281">
        <f t="shared" si="630"/>
        <v>0</v>
      </c>
      <c r="AT1411" s="284">
        <f t="shared" si="631"/>
        <v>0</v>
      </c>
    </row>
    <row r="1412" spans="1:97" s="234" customFormat="1" ht="154.30000000000001" x14ac:dyDescent="0.8">
      <c r="A1412" s="262">
        <f>ROW()</f>
        <v>1412</v>
      </c>
      <c r="B1412" s="234" t="s">
        <v>491</v>
      </c>
      <c r="C1412" s="217" t="str">
        <f>N1390</f>
        <v>Multihead split AC systems (local power supply) - 2 indoor units with wireless controlers</v>
      </c>
      <c r="D1412" s="260" t="str">
        <f>IF(B1412="Shopping List",IF(ISNUMBER(SEARCH("MSSB",C1412)),"MSSB",IF(ISNUMBER(SEARCH("local",C1412)),"LOCAL","")))</f>
        <v>LOCAL</v>
      </c>
      <c r="E1412" s="238">
        <v>4</v>
      </c>
      <c r="F1412" s="217"/>
      <c r="G1412" s="217">
        <v>6</v>
      </c>
      <c r="H1412" s="245">
        <v>10</v>
      </c>
      <c r="I1412" s="270"/>
      <c r="J1412" s="241" t="str">
        <f>CONCATENATE(O1390," ",L1390, " (",M1390,") ",N1390,".", IF(M1390&gt;1," Each "," This "),"includes supply and install of ",O1391,O1392,O1393,O1394,O1395,O1396,O1397,O1398,O1399,O1400,O1401,O1402,O1403,O1404,O1405,O1406,O1407,O1408,O1409,O1410,J1391,J1392,J1393,J1394,J1395,J1396,J1397,J1398,J1399,J1400,J1401,J1402,J1403,J1404,J1405,J1406,J1407,J1408,J1409,J1410)</f>
        <v>Electrical power supply and controls cabling to Zero (0) Multihead split AC systems (local power supply) - 2 indoor units with wireless controlers. This includes supply and install of interconnect cabling,  power cabling from outdoor unit and local power isolator ( for Indoor unit). Power cabling from electricians isolator to outdoor unit. Coordination Note: - AC system supplier : Please refer to our exclusions relating to wireless air-conditioning controllers. Coordination Note: - Builders Electrician: Please refer to our exclusions relating to power supply to outdoor unit</v>
      </c>
      <c r="K1412" s="246">
        <f>P1411</f>
        <v>0</v>
      </c>
      <c r="L1412" s="234" t="str">
        <f>CONCATENATE(Q1391,Q1392,Q1393,Q1394,Q1395,Q1396,Q1397,Q1398,Q1399,Q1400,Q1401,Q1402,Q1403,Q1404,Q1405,Q1406,Q1407,Q1408,Q1409,Q1410,)</f>
        <v>wireless air-conditioning controllers. power supply to outdoor unit</v>
      </c>
      <c r="M1412" s="166" t="s">
        <v>367</v>
      </c>
      <c r="N1412" s="160" t="str">
        <f>N1390</f>
        <v>Multihead split AC systems (local power supply) - 2 indoor units with wireless controlers</v>
      </c>
      <c r="O1412" s="160" t="s">
        <v>365</v>
      </c>
      <c r="P1412" s="64" t="e">
        <f>P1411/M1390</f>
        <v>#DIV/0!</v>
      </c>
      <c r="Q1412" s="161"/>
      <c r="R1412" s="161"/>
      <c r="S1412" s="160"/>
      <c r="T1412" s="161"/>
      <c r="U1412" s="503" t="s">
        <v>366</v>
      </c>
      <c r="V1412" s="503"/>
      <c r="W1412" s="162" t="e">
        <f>W1411/M1390</f>
        <v>#DIV/0!</v>
      </c>
      <c r="X1412" s="163"/>
      <c r="Y1412" s="501" t="s">
        <v>365</v>
      </c>
      <c r="Z1412" s="501"/>
      <c r="AA1412" s="164" t="e">
        <f>AA1411/M1390</f>
        <v>#DIV/0!</v>
      </c>
      <c r="AB1412" s="161"/>
      <c r="AC1412" s="161"/>
      <c r="AD1412" s="161"/>
      <c r="AE1412" s="161"/>
      <c r="AF1412" s="501" t="s">
        <v>365</v>
      </c>
      <c r="AG1412" s="501"/>
      <c r="AH1412" s="164" t="e">
        <f>AH1411/M1390</f>
        <v>#DIV/0!</v>
      </c>
      <c r="AI1412" s="161"/>
      <c r="AJ1412" s="161"/>
      <c r="AK1412" s="161"/>
      <c r="AL1412" s="247"/>
      <c r="AM1412" s="257"/>
      <c r="AN1412" s="236">
        <f>K1412*1.25</f>
        <v>0</v>
      </c>
      <c r="AO1412" s="286"/>
      <c r="AP1412" s="284">
        <f t="shared" si="627"/>
        <v>0</v>
      </c>
      <c r="AQ1412" s="281">
        <f t="shared" si="628"/>
        <v>0</v>
      </c>
      <c r="AR1412" s="284">
        <f t="shared" si="629"/>
        <v>0</v>
      </c>
      <c r="AS1412" s="281">
        <f t="shared" si="630"/>
        <v>0</v>
      </c>
      <c r="AT1412" s="284">
        <f t="shared" si="631"/>
        <v>0</v>
      </c>
      <c r="AU1412" s="117"/>
      <c r="AV1412" s="117"/>
      <c r="AW1412" s="117"/>
      <c r="AX1412" s="117"/>
      <c r="AY1412" s="117"/>
      <c r="AZ1412" s="117"/>
      <c r="BA1412" s="117"/>
      <c r="BB1412" s="117"/>
      <c r="BC1412" s="117"/>
      <c r="BD1412" s="117"/>
      <c r="BE1412" s="117"/>
      <c r="BF1412" s="117"/>
      <c r="BG1412" s="117"/>
      <c r="BH1412" s="117"/>
      <c r="BI1412" s="117"/>
      <c r="BJ1412" s="117"/>
      <c r="BK1412" s="117"/>
      <c r="BL1412" s="117"/>
      <c r="BM1412" s="117"/>
      <c r="BN1412" s="117"/>
      <c r="BO1412" s="117"/>
      <c r="BP1412" s="117"/>
      <c r="BQ1412" s="117"/>
      <c r="BR1412" s="117"/>
      <c r="BS1412" s="117"/>
      <c r="BT1412" s="117"/>
      <c r="BU1412" s="117"/>
      <c r="BV1412" s="117"/>
      <c r="BW1412" s="117"/>
      <c r="BX1412" s="117"/>
      <c r="BY1412" s="117"/>
      <c r="BZ1412" s="117"/>
      <c r="CA1412" s="117"/>
      <c r="CB1412" s="117"/>
      <c r="CC1412" s="117"/>
      <c r="CD1412" s="117"/>
      <c r="CE1412" s="117"/>
      <c r="CF1412" s="117"/>
      <c r="CG1412" s="117"/>
      <c r="CH1412" s="117"/>
      <c r="CI1412" s="117"/>
      <c r="CJ1412" s="117"/>
      <c r="CK1412" s="117"/>
      <c r="CL1412" s="117"/>
      <c r="CM1412" s="117"/>
      <c r="CN1412" s="117"/>
      <c r="CO1412" s="117"/>
      <c r="CP1412" s="117"/>
      <c r="CQ1412" s="117"/>
      <c r="CR1412" s="117"/>
      <c r="CS1412" s="117"/>
    </row>
    <row r="1413" spans="1:97" s="116" customFormat="1" ht="192.75" customHeight="1" x14ac:dyDescent="0.8">
      <c r="A1413" s="262">
        <f>ROW()</f>
        <v>1413</v>
      </c>
      <c r="C1413" s="211"/>
      <c r="D1413" s="211"/>
      <c r="E1413" s="211"/>
      <c r="F1413" s="211"/>
      <c r="G1413" s="211"/>
      <c r="H1413" s="211"/>
      <c r="K1413" s="116" t="s">
        <v>452</v>
      </c>
      <c r="M1413" s="116" t="s">
        <v>298</v>
      </c>
      <c r="N1413" s="116" t="s">
        <v>108</v>
      </c>
      <c r="O1413" s="170" t="s">
        <v>386</v>
      </c>
      <c r="P1413" s="502" t="s">
        <v>375</v>
      </c>
      <c r="Q1413" s="502"/>
      <c r="R1413" s="101" t="s">
        <v>452</v>
      </c>
      <c r="S1413" s="116" t="s">
        <v>0</v>
      </c>
      <c r="T1413" s="118"/>
      <c r="U1413" s="116" t="s">
        <v>287</v>
      </c>
      <c r="V1413" s="116" t="s">
        <v>288</v>
      </c>
      <c r="W1413" s="116" t="s">
        <v>291</v>
      </c>
      <c r="X1413" s="140"/>
      <c r="Y1413" s="116" t="s">
        <v>289</v>
      </c>
      <c r="Z1413" s="116" t="s">
        <v>354</v>
      </c>
      <c r="AA1413" s="116" t="s">
        <v>355</v>
      </c>
      <c r="AB1413" s="116" t="s">
        <v>317</v>
      </c>
      <c r="AC1413" s="116" t="s">
        <v>318</v>
      </c>
      <c r="AD1413" s="116" t="s">
        <v>316</v>
      </c>
      <c r="AE1413" s="140"/>
      <c r="AF1413" s="116" t="s">
        <v>293</v>
      </c>
      <c r="AG1413" s="116" t="s">
        <v>354</v>
      </c>
      <c r="AH1413" s="116" t="s">
        <v>355</v>
      </c>
      <c r="AI1413" s="116" t="s">
        <v>296</v>
      </c>
      <c r="AJ1413" s="116" t="s">
        <v>294</v>
      </c>
      <c r="AK1413" s="116" t="s">
        <v>295</v>
      </c>
      <c r="AL1413" s="140"/>
      <c r="AO1413" s="288"/>
      <c r="AP1413" s="284">
        <f t="shared" si="627"/>
        <v>0</v>
      </c>
      <c r="AQ1413" s="281">
        <f t="shared" si="628"/>
        <v>0</v>
      </c>
      <c r="AR1413" s="284">
        <f t="shared" si="629"/>
        <v>0</v>
      </c>
      <c r="AS1413" s="281">
        <f t="shared" si="630"/>
        <v>0</v>
      </c>
      <c r="AT1413" s="284">
        <f t="shared" si="631"/>
        <v>0</v>
      </c>
    </row>
    <row r="1414" spans="1:97" s="114" customFormat="1" ht="31.5" customHeight="1" x14ac:dyDescent="0.8">
      <c r="A1414" s="262">
        <f>ROW()</f>
        <v>1414</v>
      </c>
      <c r="C1414" s="208"/>
      <c r="D1414" s="208"/>
      <c r="E1414" s="208"/>
      <c r="F1414" s="208"/>
      <c r="G1414" s="208"/>
      <c r="H1414" s="208"/>
      <c r="L1414" s="124" t="str">
        <f>VLOOKUP(M1414,Sheet2!$D$2:$E$1024,2,FALSE)</f>
        <v>Zero</v>
      </c>
      <c r="M1414" s="121">
        <f>I1436</f>
        <v>0</v>
      </c>
      <c r="N1414" s="132" t="s">
        <v>566</v>
      </c>
      <c r="O1414" s="121" t="s">
        <v>138</v>
      </c>
      <c r="P1414" s="169" t="s">
        <v>379</v>
      </c>
      <c r="Q1414" s="169" t="s">
        <v>375</v>
      </c>
      <c r="R1414" s="169"/>
      <c r="S1414" s="133">
        <f>M1414</f>
        <v>0</v>
      </c>
      <c r="T1414" s="119"/>
      <c r="U1414" s="121" t="s">
        <v>292</v>
      </c>
      <c r="V1414" s="133">
        <f>S1414</f>
        <v>0</v>
      </c>
      <c r="W1414" s="133">
        <f>VLOOKUP(U1414,Sheet1!$B$6:$C$45,2,FALSE)*V1414</f>
        <v>0</v>
      </c>
      <c r="X1414" s="141"/>
      <c r="Y1414" s="121" t="s">
        <v>292</v>
      </c>
      <c r="Z1414" s="146">
        <f>VLOOKUP(Takeoffs!Y1414,Sheet1!$B$6:$C$124,2,FALSE)</f>
        <v>0</v>
      </c>
      <c r="AA1414" s="146">
        <f>Z1414*AB1414</f>
        <v>0</v>
      </c>
      <c r="AB1414" s="143">
        <f>AD1414*AC1414</f>
        <v>0</v>
      </c>
      <c r="AC1414" s="133">
        <f>S1414</f>
        <v>0</v>
      </c>
      <c r="AD1414" s="142">
        <v>1</v>
      </c>
      <c r="AE1414" s="141"/>
      <c r="AF1414" s="121" t="s">
        <v>292</v>
      </c>
      <c r="AG1414" s="146">
        <f>VLOOKUP(Takeoffs!AF1414,Sheet1!$B$6:$C$124,2,FALSE)</f>
        <v>0</v>
      </c>
      <c r="AH1414" s="146">
        <f>AG1414*AI1414</f>
        <v>0</v>
      </c>
      <c r="AI1414" s="143">
        <f>AK1414*AJ1414</f>
        <v>0</v>
      </c>
      <c r="AJ1414" s="133">
        <f>S1414</f>
        <v>0</v>
      </c>
      <c r="AK1414" s="142">
        <f>T1414</f>
        <v>0</v>
      </c>
      <c r="AL1414" s="141"/>
      <c r="AO1414" s="286"/>
      <c r="AP1414" s="284">
        <f t="shared" si="627"/>
        <v>0</v>
      </c>
      <c r="AQ1414" s="281">
        <f t="shared" si="628"/>
        <v>0</v>
      </c>
      <c r="AR1414" s="284">
        <f t="shared" si="629"/>
        <v>0</v>
      </c>
      <c r="AS1414" s="281">
        <f t="shared" si="630"/>
        <v>0</v>
      </c>
      <c r="AT1414" s="284">
        <f t="shared" si="631"/>
        <v>0</v>
      </c>
    </row>
    <row r="1415" spans="1:97" s="114" customFormat="1" ht="30.9" x14ac:dyDescent="0.8">
      <c r="A1415" s="262">
        <f>ROW()</f>
        <v>1415</v>
      </c>
      <c r="C1415" s="208"/>
      <c r="D1415" s="208"/>
      <c r="E1415" s="208"/>
      <c r="F1415" s="208"/>
      <c r="G1415" s="208"/>
      <c r="H1415" s="208"/>
      <c r="J1415" s="114" t="str">
        <f>IF(COUNTBLANK(Q1415)&gt;0,"",CONCATENATE("Coordination Note: - ",P1415,": Please refer to our exclusions relating to ",Q1415))</f>
        <v/>
      </c>
      <c r="K1415" s="114" t="str">
        <f>IF(COUNTBLANK(R1415)&gt;0,"",CONCATENATE(R1415," for ",N1414))</f>
        <v/>
      </c>
      <c r="M1415" s="117"/>
      <c r="N1415" s="123" t="s">
        <v>113</v>
      </c>
      <c r="O1415" s="66" t="s">
        <v>426</v>
      </c>
      <c r="P1415" s="121"/>
      <c r="Q1415" s="121"/>
      <c r="R1415" s="121"/>
      <c r="S1415" s="133">
        <f>M1414</f>
        <v>0</v>
      </c>
      <c r="T1415" s="120"/>
      <c r="U1415" s="121" t="s">
        <v>292</v>
      </c>
      <c r="V1415" s="133">
        <f t="shared" ref="V1415:V1434" si="652">S1415</f>
        <v>0</v>
      </c>
      <c r="W1415" s="133">
        <f>VLOOKUP(U1415,Sheet1!$B$6:$C$45,2,FALSE)*V1415</f>
        <v>0</v>
      </c>
      <c r="X1415" s="141"/>
      <c r="Y1415" s="121" t="s">
        <v>292</v>
      </c>
      <c r="Z1415" s="146">
        <f>VLOOKUP(Takeoffs!Y1415,Sheet1!$B$6:$C$124,2,FALSE)</f>
        <v>0</v>
      </c>
      <c r="AA1415" s="146">
        <f t="shared" ref="AA1415:AA1434" si="653">Z1415*AB1415</f>
        <v>0</v>
      </c>
      <c r="AB1415" s="143">
        <f t="shared" ref="AB1415:AB1434" si="654">AD1415*AC1415</f>
        <v>0</v>
      </c>
      <c r="AC1415" s="133">
        <f t="shared" ref="AC1415:AC1434" si="655">S1415</f>
        <v>0</v>
      </c>
      <c r="AD1415" s="142">
        <v>1</v>
      </c>
      <c r="AE1415" s="141"/>
      <c r="AF1415" s="122" t="s">
        <v>269</v>
      </c>
      <c r="AG1415" s="146">
        <f>VLOOKUP(Takeoffs!AF1415,Sheet1!$B$6:$C$124,2,FALSE)</f>
        <v>1.056</v>
      </c>
      <c r="AH1415" s="146">
        <f t="shared" ref="AH1415:AH1434" si="656">AG1415*AI1415</f>
        <v>0</v>
      </c>
      <c r="AI1415" s="143">
        <f t="shared" ref="AI1415:AI1434" si="657">AK1415*AJ1415</f>
        <v>0</v>
      </c>
      <c r="AJ1415" s="133">
        <f t="shared" ref="AJ1415:AJ1434" si="658">S1415</f>
        <v>0</v>
      </c>
      <c r="AK1415" s="142">
        <v>10</v>
      </c>
      <c r="AL1415" s="141"/>
      <c r="AO1415" s="286"/>
      <c r="AP1415" s="284">
        <f t="shared" si="627"/>
        <v>0</v>
      </c>
      <c r="AQ1415" s="281">
        <f t="shared" si="628"/>
        <v>0</v>
      </c>
      <c r="AR1415" s="284">
        <f t="shared" si="629"/>
        <v>0</v>
      </c>
      <c r="AS1415" s="281">
        <f t="shared" si="630"/>
        <v>0</v>
      </c>
      <c r="AT1415" s="284">
        <f t="shared" si="631"/>
        <v>0</v>
      </c>
    </row>
    <row r="1416" spans="1:97" s="114" customFormat="1" ht="30.9" x14ac:dyDescent="0.8">
      <c r="A1416" s="262">
        <f>ROW()</f>
        <v>1416</v>
      </c>
      <c r="C1416" s="208"/>
      <c r="D1416" s="208"/>
      <c r="E1416" s="208"/>
      <c r="F1416" s="208"/>
      <c r="G1416" s="208"/>
      <c r="H1416" s="208"/>
      <c r="J1416" s="114" t="str">
        <f t="shared" ref="J1416:J1434" si="659">IF(COUNTBLANK(Q1416)&gt;0,"",CONCATENATE("Coordination Note: - ",P1416,": Please refer to our exclusions relating to ",Q1416))</f>
        <v/>
      </c>
      <c r="K1416" s="114" t="str">
        <f>IF(COUNTBLANK(R1416)&gt;0,"",CONCATENATE(R1416," for ",N1414))</f>
        <v/>
      </c>
      <c r="M1416" s="117"/>
      <c r="N1416" s="123" t="s">
        <v>114</v>
      </c>
      <c r="O1416" s="66" t="s">
        <v>392</v>
      </c>
      <c r="P1416" s="121"/>
      <c r="Q1416" s="121"/>
      <c r="R1416" s="121"/>
      <c r="S1416" s="133">
        <f>M1414</f>
        <v>0</v>
      </c>
      <c r="T1416" s="120"/>
      <c r="U1416" s="121" t="s">
        <v>286</v>
      </c>
      <c r="V1416" s="133">
        <f t="shared" si="652"/>
        <v>0</v>
      </c>
      <c r="W1416" s="133">
        <f>VLOOKUP(U1416,Sheet1!$B$6:$C$45,2,FALSE)*V1416</f>
        <v>0</v>
      </c>
      <c r="X1416" s="141"/>
      <c r="Y1416" s="121" t="s">
        <v>292</v>
      </c>
      <c r="Z1416" s="146">
        <f>VLOOKUP(Takeoffs!Y1416,Sheet1!$B$6:$C$124,2,FALSE)</f>
        <v>0</v>
      </c>
      <c r="AA1416" s="146">
        <f t="shared" si="653"/>
        <v>0</v>
      </c>
      <c r="AB1416" s="143">
        <f t="shared" si="654"/>
        <v>0</v>
      </c>
      <c r="AC1416" s="133">
        <f t="shared" si="655"/>
        <v>0</v>
      </c>
      <c r="AD1416" s="142">
        <v>1</v>
      </c>
      <c r="AE1416" s="141"/>
      <c r="AF1416" s="122" t="s">
        <v>268</v>
      </c>
      <c r="AG1416" s="146">
        <f>VLOOKUP(Takeoffs!AF1416,Sheet1!$B$6:$C$124,2,FALSE)</f>
        <v>1.02</v>
      </c>
      <c r="AH1416" s="146">
        <f t="shared" si="656"/>
        <v>0</v>
      </c>
      <c r="AI1416" s="143">
        <f t="shared" si="657"/>
        <v>0</v>
      </c>
      <c r="AJ1416" s="133">
        <f t="shared" si="658"/>
        <v>0</v>
      </c>
      <c r="AK1416" s="142">
        <v>10</v>
      </c>
      <c r="AL1416" s="141"/>
      <c r="AO1416" s="286"/>
      <c r="AP1416" s="284">
        <f t="shared" si="627"/>
        <v>0</v>
      </c>
      <c r="AQ1416" s="281">
        <f t="shared" si="628"/>
        <v>0</v>
      </c>
      <c r="AR1416" s="284">
        <f t="shared" si="629"/>
        <v>0</v>
      </c>
      <c r="AS1416" s="281">
        <f t="shared" si="630"/>
        <v>0</v>
      </c>
      <c r="AT1416" s="284">
        <f t="shared" si="631"/>
        <v>0</v>
      </c>
    </row>
    <row r="1417" spans="1:97" s="114" customFormat="1" ht="30.9" x14ac:dyDescent="0.8">
      <c r="A1417" s="262">
        <f>ROW()</f>
        <v>1417</v>
      </c>
      <c r="C1417" s="208"/>
      <c r="D1417" s="208"/>
      <c r="E1417" s="208"/>
      <c r="F1417" s="208"/>
      <c r="G1417" s="208"/>
      <c r="H1417" s="208"/>
      <c r="J1417" s="114" t="str">
        <f t="shared" si="659"/>
        <v/>
      </c>
      <c r="K1417" s="114" t="str">
        <f>IF(COUNTBLANK(R1417)&gt;0,"",CONCATENATE(R1417," for ",N1414))</f>
        <v/>
      </c>
      <c r="M1417" s="117"/>
      <c r="N1417" s="123" t="s">
        <v>115</v>
      </c>
      <c r="O1417" s="66" t="s">
        <v>413</v>
      </c>
      <c r="P1417" s="121"/>
      <c r="Q1417" s="121"/>
      <c r="R1417" s="121"/>
      <c r="S1417" s="133">
        <f>M1414</f>
        <v>0</v>
      </c>
      <c r="T1417" s="120"/>
      <c r="U1417" s="121" t="s">
        <v>292</v>
      </c>
      <c r="V1417" s="133">
        <f t="shared" si="652"/>
        <v>0</v>
      </c>
      <c r="W1417" s="133">
        <f>VLOOKUP(U1417,Sheet1!$B$6:$C$45,2,FALSE)*V1417</f>
        <v>0</v>
      </c>
      <c r="X1417" s="141"/>
      <c r="Y1417" s="122" t="s">
        <v>247</v>
      </c>
      <c r="Z1417" s="146">
        <f>VLOOKUP(Takeoffs!Y1417,Sheet1!$B$6:$C$124,2,FALSE)</f>
        <v>23.76</v>
      </c>
      <c r="AA1417" s="146">
        <f t="shared" si="653"/>
        <v>0</v>
      </c>
      <c r="AB1417" s="143">
        <f t="shared" si="654"/>
        <v>0</v>
      </c>
      <c r="AC1417" s="133">
        <f t="shared" si="655"/>
        <v>0</v>
      </c>
      <c r="AD1417" s="142">
        <v>1</v>
      </c>
      <c r="AE1417" s="141"/>
      <c r="AF1417" s="121" t="s">
        <v>292</v>
      </c>
      <c r="AG1417" s="146">
        <f>VLOOKUP(Takeoffs!AF1417,Sheet1!$B$6:$C$124,2,FALSE)</f>
        <v>0</v>
      </c>
      <c r="AH1417" s="146">
        <f t="shared" si="656"/>
        <v>0</v>
      </c>
      <c r="AI1417" s="143">
        <f t="shared" si="657"/>
        <v>0</v>
      </c>
      <c r="AJ1417" s="133">
        <f t="shared" si="658"/>
        <v>0</v>
      </c>
      <c r="AK1417" s="142">
        <f>T1417</f>
        <v>0</v>
      </c>
      <c r="AL1417" s="141"/>
      <c r="AO1417" s="286"/>
      <c r="AP1417" s="284">
        <f t="shared" si="627"/>
        <v>0</v>
      </c>
      <c r="AQ1417" s="281">
        <f t="shared" si="628"/>
        <v>0</v>
      </c>
      <c r="AR1417" s="284">
        <f t="shared" si="629"/>
        <v>0</v>
      </c>
      <c r="AS1417" s="281">
        <f t="shared" si="630"/>
        <v>0</v>
      </c>
      <c r="AT1417" s="284">
        <f t="shared" si="631"/>
        <v>0</v>
      </c>
    </row>
    <row r="1418" spans="1:97" s="114" customFormat="1" ht="30.9" x14ac:dyDescent="0.8">
      <c r="A1418" s="262">
        <f>ROW()</f>
        <v>1418</v>
      </c>
      <c r="C1418" s="208"/>
      <c r="D1418" s="208"/>
      <c r="E1418" s="208"/>
      <c r="F1418" s="208"/>
      <c r="G1418" s="208"/>
      <c r="H1418" s="208"/>
      <c r="J1418" s="114" t="str">
        <f t="shared" si="659"/>
        <v xml:space="preserve">Coordination Note: - AC system supplier : Please refer to our exclusions relating to proprietary air-conditioning controllers. </v>
      </c>
      <c r="K1418" s="114" t="str">
        <f>IF(COUNTBLANK(R1418)&gt;0,"",CONCATENATE(R1418," for ",N1414))</f>
        <v/>
      </c>
      <c r="M1418" s="117"/>
      <c r="N1418" s="123" t="s">
        <v>116</v>
      </c>
      <c r="O1418" s="66" t="s">
        <v>414</v>
      </c>
      <c r="P1418" s="121" t="s">
        <v>447</v>
      </c>
      <c r="Q1418" s="121" t="s">
        <v>449</v>
      </c>
      <c r="R1418" s="121"/>
      <c r="S1418" s="133">
        <f>M1414</f>
        <v>0</v>
      </c>
      <c r="T1418" s="120"/>
      <c r="U1418" s="121" t="s">
        <v>292</v>
      </c>
      <c r="V1418" s="133">
        <f t="shared" si="652"/>
        <v>0</v>
      </c>
      <c r="W1418" s="133">
        <f>VLOOKUP(U1418,Sheet1!$B$6:$C$45,2,FALSE)*V1418</f>
        <v>0</v>
      </c>
      <c r="X1418" s="141"/>
      <c r="Y1418" s="121" t="s">
        <v>292</v>
      </c>
      <c r="Z1418" s="146">
        <f>VLOOKUP(Takeoffs!Y1418,Sheet1!$B$6:$C$124,2,FALSE)</f>
        <v>0</v>
      </c>
      <c r="AA1418" s="146">
        <f t="shared" si="653"/>
        <v>0</v>
      </c>
      <c r="AB1418" s="143">
        <f t="shared" si="654"/>
        <v>0</v>
      </c>
      <c r="AC1418" s="133">
        <f t="shared" si="655"/>
        <v>0</v>
      </c>
      <c r="AD1418" s="142">
        <v>1</v>
      </c>
      <c r="AE1418" s="141"/>
      <c r="AF1418" s="121" t="s">
        <v>292</v>
      </c>
      <c r="AG1418" s="146">
        <f>VLOOKUP(Takeoffs!AF1418,Sheet1!$B$6:$C$124,2,FALSE)</f>
        <v>0</v>
      </c>
      <c r="AH1418" s="146">
        <f t="shared" si="656"/>
        <v>0</v>
      </c>
      <c r="AI1418" s="143">
        <f t="shared" si="657"/>
        <v>0</v>
      </c>
      <c r="AJ1418" s="133">
        <f t="shared" si="658"/>
        <v>0</v>
      </c>
      <c r="AK1418" s="142">
        <f>T1418</f>
        <v>0</v>
      </c>
      <c r="AL1418" s="141"/>
      <c r="AO1418" s="286"/>
      <c r="AP1418" s="284">
        <f t="shared" si="627"/>
        <v>0</v>
      </c>
      <c r="AQ1418" s="281">
        <f t="shared" si="628"/>
        <v>0</v>
      </c>
      <c r="AR1418" s="284">
        <f t="shared" si="629"/>
        <v>0</v>
      </c>
      <c r="AS1418" s="281">
        <f t="shared" si="630"/>
        <v>0</v>
      </c>
      <c r="AT1418" s="284">
        <f t="shared" si="631"/>
        <v>0</v>
      </c>
    </row>
    <row r="1419" spans="1:97" s="114" customFormat="1" ht="30.9" x14ac:dyDescent="0.8">
      <c r="A1419" s="262">
        <f>ROW()</f>
        <v>1419</v>
      </c>
      <c r="C1419" s="208"/>
      <c r="D1419" s="208"/>
      <c r="E1419" s="208"/>
      <c r="F1419" s="208"/>
      <c r="G1419" s="208"/>
      <c r="H1419" s="208"/>
      <c r="J1419" s="114" t="str">
        <f t="shared" si="659"/>
        <v/>
      </c>
      <c r="K1419" s="114" t="str">
        <f>IF(COUNTBLANK(R1419)&gt;0,"",CONCATENATE(R1419," for ",N1414))</f>
        <v/>
      </c>
      <c r="M1419" s="117"/>
      <c r="N1419" s="123" t="s">
        <v>117</v>
      </c>
      <c r="O1419" s="66" t="s">
        <v>567</v>
      </c>
      <c r="P1419" s="121"/>
      <c r="Q1419" s="121"/>
      <c r="R1419" s="121"/>
      <c r="S1419" s="133">
        <f>M1414</f>
        <v>0</v>
      </c>
      <c r="T1419" s="120"/>
      <c r="U1419" s="117" t="s">
        <v>478</v>
      </c>
      <c r="V1419" s="133">
        <f t="shared" si="652"/>
        <v>0</v>
      </c>
      <c r="W1419" s="133">
        <f>VLOOKUP(U1419,Sheet1!$B$6:$C$45,2,FALSE)*V1419</f>
        <v>0</v>
      </c>
      <c r="X1419" s="141"/>
      <c r="Y1419" s="52" t="s">
        <v>253</v>
      </c>
      <c r="Z1419" s="146">
        <f>VLOOKUP(Takeoffs!Y1419,Sheet1!$B$6:$C$124,2,FALSE)</f>
        <v>10.139999999999999</v>
      </c>
      <c r="AA1419" s="146">
        <f t="shared" si="653"/>
        <v>0</v>
      </c>
      <c r="AB1419" s="143">
        <f t="shared" si="654"/>
        <v>0</v>
      </c>
      <c r="AC1419" s="133">
        <f t="shared" si="655"/>
        <v>0</v>
      </c>
      <c r="AD1419" s="142">
        <v>1</v>
      </c>
      <c r="AE1419" s="141"/>
      <c r="AF1419" s="122" t="s">
        <v>268</v>
      </c>
      <c r="AG1419" s="146">
        <f>VLOOKUP(Takeoffs!AF1419,Sheet1!$B$6:$C$124,2,FALSE)</f>
        <v>1.02</v>
      </c>
      <c r="AH1419" s="146">
        <f t="shared" si="656"/>
        <v>0</v>
      </c>
      <c r="AI1419" s="143">
        <f t="shared" si="657"/>
        <v>0</v>
      </c>
      <c r="AJ1419" s="133">
        <f t="shared" si="658"/>
        <v>0</v>
      </c>
      <c r="AK1419" s="142">
        <v>10</v>
      </c>
      <c r="AL1419" s="141"/>
      <c r="AO1419" s="286"/>
      <c r="AP1419" s="284">
        <f t="shared" si="627"/>
        <v>0</v>
      </c>
      <c r="AQ1419" s="281">
        <f t="shared" si="628"/>
        <v>0</v>
      </c>
      <c r="AR1419" s="284">
        <f t="shared" si="629"/>
        <v>0</v>
      </c>
      <c r="AS1419" s="281">
        <f t="shared" si="630"/>
        <v>0</v>
      </c>
      <c r="AT1419" s="284">
        <f t="shared" si="631"/>
        <v>0</v>
      </c>
    </row>
    <row r="1420" spans="1:97" s="114" customFormat="1" ht="30.9" x14ac:dyDescent="0.8">
      <c r="A1420" s="262">
        <f>ROW()</f>
        <v>1420</v>
      </c>
      <c r="C1420" s="208"/>
      <c r="D1420" s="208"/>
      <c r="E1420" s="208"/>
      <c r="F1420" s="208"/>
      <c r="G1420" s="208"/>
      <c r="H1420" s="208"/>
      <c r="J1420" s="114" t="str">
        <f t="shared" si="659"/>
        <v/>
      </c>
      <c r="K1420" s="114" t="str">
        <f>IF(COUNTBLANK(R1420)&gt;0,"",CONCATENATE(R1420," for ",N1414))</f>
        <v/>
      </c>
      <c r="M1420" s="117"/>
      <c r="N1420" s="123" t="s">
        <v>118</v>
      </c>
      <c r="O1420" s="66"/>
      <c r="P1420" s="121"/>
      <c r="Q1420" s="121"/>
      <c r="R1420" s="121"/>
      <c r="S1420" s="133">
        <f>M1414</f>
        <v>0</v>
      </c>
      <c r="T1420" s="120"/>
      <c r="U1420" s="121" t="s">
        <v>292</v>
      </c>
      <c r="V1420" s="133">
        <f t="shared" si="652"/>
        <v>0</v>
      </c>
      <c r="W1420" s="133">
        <f>VLOOKUP(U1420,Sheet1!$B$6:$C$45,2,FALSE)*V1420</f>
        <v>0</v>
      </c>
      <c r="X1420" s="141"/>
      <c r="Y1420" s="121" t="s">
        <v>292</v>
      </c>
      <c r="Z1420" s="146">
        <f>VLOOKUP(Takeoffs!Y1420,Sheet1!$B$6:$C$124,2,FALSE)</f>
        <v>0</v>
      </c>
      <c r="AA1420" s="146">
        <f t="shared" si="653"/>
        <v>0</v>
      </c>
      <c r="AB1420" s="143">
        <f t="shared" si="654"/>
        <v>0</v>
      </c>
      <c r="AC1420" s="133">
        <f t="shared" si="655"/>
        <v>0</v>
      </c>
      <c r="AD1420" s="142">
        <v>1</v>
      </c>
      <c r="AE1420" s="141"/>
      <c r="AF1420" s="121" t="s">
        <v>292</v>
      </c>
      <c r="AG1420" s="146">
        <f>VLOOKUP(Takeoffs!AF1420,Sheet1!$B$6:$C$124,2,FALSE)</f>
        <v>0</v>
      </c>
      <c r="AH1420" s="146">
        <f t="shared" si="656"/>
        <v>0</v>
      </c>
      <c r="AI1420" s="143">
        <f t="shared" si="657"/>
        <v>0</v>
      </c>
      <c r="AJ1420" s="133">
        <f t="shared" si="658"/>
        <v>0</v>
      </c>
      <c r="AK1420" s="142">
        <f t="shared" ref="AK1420:AK1434" si="660">T1420</f>
        <v>0</v>
      </c>
      <c r="AL1420" s="141"/>
      <c r="AO1420" s="286"/>
      <c r="AP1420" s="284">
        <f t="shared" si="627"/>
        <v>0</v>
      </c>
      <c r="AQ1420" s="281">
        <f t="shared" si="628"/>
        <v>0</v>
      </c>
      <c r="AR1420" s="284">
        <f t="shared" si="629"/>
        <v>0</v>
      </c>
      <c r="AS1420" s="281">
        <f t="shared" si="630"/>
        <v>0</v>
      </c>
      <c r="AT1420" s="284">
        <f t="shared" si="631"/>
        <v>0</v>
      </c>
    </row>
    <row r="1421" spans="1:97" s="114" customFormat="1" ht="30.9" x14ac:dyDescent="0.8">
      <c r="A1421" s="262">
        <f>ROW()</f>
        <v>1421</v>
      </c>
      <c r="C1421" s="208"/>
      <c r="D1421" s="208"/>
      <c r="E1421" s="208"/>
      <c r="F1421" s="208"/>
      <c r="G1421" s="208"/>
      <c r="H1421" s="208"/>
      <c r="J1421" s="114" t="str">
        <f t="shared" si="659"/>
        <v/>
      </c>
      <c r="K1421" s="114" t="str">
        <f>IF(COUNTBLANK(R1421)&gt;0,"",CONCATENATE(R1421," for ",N1414))</f>
        <v/>
      </c>
      <c r="N1421" s="123" t="s">
        <v>119</v>
      </c>
      <c r="O1421" s="66"/>
      <c r="P1421" s="121"/>
      <c r="Q1421" s="121"/>
      <c r="R1421" s="121"/>
      <c r="S1421" s="133">
        <f>M1414</f>
        <v>0</v>
      </c>
      <c r="T1421" s="120"/>
      <c r="U1421" s="121" t="s">
        <v>292</v>
      </c>
      <c r="V1421" s="133">
        <f t="shared" si="652"/>
        <v>0</v>
      </c>
      <c r="W1421" s="133">
        <f>VLOOKUP(U1421,Sheet1!$B$6:$C$45,2,FALSE)*V1421</f>
        <v>0</v>
      </c>
      <c r="X1421" s="141"/>
      <c r="Y1421" s="121" t="s">
        <v>292</v>
      </c>
      <c r="Z1421" s="146">
        <f>VLOOKUP(Takeoffs!Y1421,Sheet1!$B$6:$C$124,2,FALSE)</f>
        <v>0</v>
      </c>
      <c r="AA1421" s="146">
        <f t="shared" si="653"/>
        <v>0</v>
      </c>
      <c r="AB1421" s="143">
        <f t="shared" si="654"/>
        <v>0</v>
      </c>
      <c r="AC1421" s="133">
        <f t="shared" si="655"/>
        <v>0</v>
      </c>
      <c r="AD1421" s="142">
        <v>1</v>
      </c>
      <c r="AE1421" s="141"/>
      <c r="AF1421" s="121" t="s">
        <v>292</v>
      </c>
      <c r="AG1421" s="146">
        <f>VLOOKUP(Takeoffs!AF1421,Sheet1!$B$6:$C$124,2,FALSE)</f>
        <v>0</v>
      </c>
      <c r="AH1421" s="146">
        <f t="shared" si="656"/>
        <v>0</v>
      </c>
      <c r="AI1421" s="143">
        <f t="shared" si="657"/>
        <v>0</v>
      </c>
      <c r="AJ1421" s="133">
        <f t="shared" si="658"/>
        <v>0</v>
      </c>
      <c r="AK1421" s="142">
        <f t="shared" si="660"/>
        <v>0</v>
      </c>
      <c r="AL1421" s="141"/>
      <c r="AO1421" s="286"/>
      <c r="AP1421" s="284">
        <f t="shared" si="627"/>
        <v>0</v>
      </c>
      <c r="AQ1421" s="281">
        <f t="shared" si="628"/>
        <v>0</v>
      </c>
      <c r="AR1421" s="284">
        <f t="shared" si="629"/>
        <v>0</v>
      </c>
      <c r="AS1421" s="281">
        <f t="shared" si="630"/>
        <v>0</v>
      </c>
      <c r="AT1421" s="284">
        <f t="shared" si="631"/>
        <v>0</v>
      </c>
    </row>
    <row r="1422" spans="1:97" s="114" customFormat="1" ht="30.9" x14ac:dyDescent="0.8">
      <c r="A1422" s="262">
        <f>ROW()</f>
        <v>1422</v>
      </c>
      <c r="C1422" s="208"/>
      <c r="D1422" s="208"/>
      <c r="E1422" s="208"/>
      <c r="F1422" s="208"/>
      <c r="G1422" s="208"/>
      <c r="H1422" s="208"/>
      <c r="J1422" s="114" t="str">
        <f t="shared" si="659"/>
        <v/>
      </c>
      <c r="K1422" s="114" t="str">
        <f>IF(COUNTBLANK(R1422)&gt;0,"",CONCATENATE(R1422," for ",N1414))</f>
        <v/>
      </c>
      <c r="N1422" s="123" t="s">
        <v>120</v>
      </c>
      <c r="O1422" s="66"/>
      <c r="P1422" s="121"/>
      <c r="Q1422" s="121"/>
      <c r="R1422" s="121"/>
      <c r="S1422" s="133">
        <f>M1414</f>
        <v>0</v>
      </c>
      <c r="T1422" s="120"/>
      <c r="U1422" s="121" t="s">
        <v>292</v>
      </c>
      <c r="V1422" s="133">
        <f t="shared" si="652"/>
        <v>0</v>
      </c>
      <c r="W1422" s="133">
        <f>VLOOKUP(U1422,Sheet1!$B$6:$C$45,2,FALSE)*V1422</f>
        <v>0</v>
      </c>
      <c r="X1422" s="141"/>
      <c r="Y1422" s="121" t="s">
        <v>292</v>
      </c>
      <c r="Z1422" s="146">
        <f>VLOOKUP(Takeoffs!Y1422,Sheet1!$B$6:$C$124,2,FALSE)</f>
        <v>0</v>
      </c>
      <c r="AA1422" s="146">
        <f t="shared" si="653"/>
        <v>0</v>
      </c>
      <c r="AB1422" s="143">
        <f t="shared" si="654"/>
        <v>0</v>
      </c>
      <c r="AC1422" s="133">
        <f t="shared" si="655"/>
        <v>0</v>
      </c>
      <c r="AD1422" s="142">
        <v>1</v>
      </c>
      <c r="AE1422" s="141"/>
      <c r="AF1422" s="121" t="s">
        <v>292</v>
      </c>
      <c r="AG1422" s="146">
        <f>VLOOKUP(Takeoffs!AF1422,Sheet1!$B$6:$C$124,2,FALSE)</f>
        <v>0</v>
      </c>
      <c r="AH1422" s="146">
        <f t="shared" si="656"/>
        <v>0</v>
      </c>
      <c r="AI1422" s="143">
        <f t="shared" si="657"/>
        <v>0</v>
      </c>
      <c r="AJ1422" s="133">
        <f t="shared" si="658"/>
        <v>0</v>
      </c>
      <c r="AK1422" s="142">
        <f t="shared" si="660"/>
        <v>0</v>
      </c>
      <c r="AL1422" s="141"/>
      <c r="AO1422" s="286"/>
      <c r="AP1422" s="284">
        <f t="shared" si="627"/>
        <v>0</v>
      </c>
      <c r="AQ1422" s="281">
        <f t="shared" si="628"/>
        <v>0</v>
      </c>
      <c r="AR1422" s="284">
        <f t="shared" si="629"/>
        <v>0</v>
      </c>
      <c r="AS1422" s="281">
        <f t="shared" si="630"/>
        <v>0</v>
      </c>
      <c r="AT1422" s="284">
        <f t="shared" si="631"/>
        <v>0</v>
      </c>
    </row>
    <row r="1423" spans="1:97" s="114" customFormat="1" ht="30.9" x14ac:dyDescent="0.8">
      <c r="A1423" s="262">
        <f>ROW()</f>
        <v>1423</v>
      </c>
      <c r="C1423" s="208"/>
      <c r="D1423" s="208"/>
      <c r="E1423" s="208"/>
      <c r="F1423" s="208"/>
      <c r="G1423" s="208"/>
      <c r="H1423" s="208"/>
      <c r="J1423" s="114" t="str">
        <f t="shared" si="659"/>
        <v/>
      </c>
      <c r="K1423" s="114" t="str">
        <f>IF(COUNTBLANK(R1423)&gt;0,"",CONCATENATE(R1423," for ",N1414))</f>
        <v/>
      </c>
      <c r="N1423" s="123" t="s">
        <v>121</v>
      </c>
      <c r="O1423" s="66"/>
      <c r="P1423" s="121"/>
      <c r="Q1423" s="121"/>
      <c r="R1423" s="121"/>
      <c r="S1423" s="133">
        <f>M1414</f>
        <v>0</v>
      </c>
      <c r="T1423" s="120"/>
      <c r="U1423" s="121" t="s">
        <v>292</v>
      </c>
      <c r="V1423" s="133">
        <f t="shared" si="652"/>
        <v>0</v>
      </c>
      <c r="W1423" s="133">
        <f>VLOOKUP(U1423,Sheet1!$B$6:$C$45,2,FALSE)*V1423</f>
        <v>0</v>
      </c>
      <c r="X1423" s="141"/>
      <c r="Y1423" s="121" t="s">
        <v>292</v>
      </c>
      <c r="Z1423" s="146">
        <f>VLOOKUP(Takeoffs!Y1423,Sheet1!$B$6:$C$124,2,FALSE)</f>
        <v>0</v>
      </c>
      <c r="AA1423" s="146">
        <f t="shared" si="653"/>
        <v>0</v>
      </c>
      <c r="AB1423" s="143">
        <f t="shared" si="654"/>
        <v>0</v>
      </c>
      <c r="AC1423" s="133">
        <f t="shared" si="655"/>
        <v>0</v>
      </c>
      <c r="AD1423" s="142">
        <v>1</v>
      </c>
      <c r="AE1423" s="141"/>
      <c r="AF1423" s="121" t="s">
        <v>292</v>
      </c>
      <c r="AG1423" s="146">
        <f>VLOOKUP(Takeoffs!AF1423,Sheet1!$B$6:$C$124,2,FALSE)</f>
        <v>0</v>
      </c>
      <c r="AH1423" s="146">
        <f t="shared" si="656"/>
        <v>0</v>
      </c>
      <c r="AI1423" s="143">
        <f t="shared" si="657"/>
        <v>0</v>
      </c>
      <c r="AJ1423" s="133">
        <f t="shared" si="658"/>
        <v>0</v>
      </c>
      <c r="AK1423" s="142">
        <f t="shared" si="660"/>
        <v>0</v>
      </c>
      <c r="AL1423" s="141"/>
      <c r="AO1423" s="286"/>
      <c r="AP1423" s="284">
        <f t="shared" si="627"/>
        <v>0</v>
      </c>
      <c r="AQ1423" s="281">
        <f t="shared" si="628"/>
        <v>0</v>
      </c>
      <c r="AR1423" s="284">
        <f t="shared" si="629"/>
        <v>0</v>
      </c>
      <c r="AS1423" s="281">
        <f t="shared" si="630"/>
        <v>0</v>
      </c>
      <c r="AT1423" s="284">
        <f t="shared" si="631"/>
        <v>0</v>
      </c>
    </row>
    <row r="1424" spans="1:97" s="114" customFormat="1" ht="30.9" x14ac:dyDescent="0.8">
      <c r="A1424" s="262">
        <f>ROW()</f>
        <v>1424</v>
      </c>
      <c r="C1424" s="208"/>
      <c r="D1424" s="208"/>
      <c r="E1424" s="208"/>
      <c r="F1424" s="208"/>
      <c r="G1424" s="208"/>
      <c r="H1424" s="208"/>
      <c r="J1424" s="114" t="str">
        <f t="shared" si="659"/>
        <v/>
      </c>
      <c r="K1424" s="114" t="str">
        <f>IF(COUNTBLANK(R1424)&gt;0,"",CONCATENATE(R1424," for ",N1414))</f>
        <v/>
      </c>
      <c r="N1424" s="123" t="s">
        <v>122</v>
      </c>
      <c r="O1424" s="66"/>
      <c r="P1424" s="121"/>
      <c r="Q1424" s="121"/>
      <c r="R1424" s="121"/>
      <c r="S1424" s="133">
        <f>M1414</f>
        <v>0</v>
      </c>
      <c r="T1424" s="120"/>
      <c r="U1424" s="121" t="s">
        <v>292</v>
      </c>
      <c r="V1424" s="133">
        <f t="shared" si="652"/>
        <v>0</v>
      </c>
      <c r="W1424" s="133">
        <f>VLOOKUP(U1424,Sheet1!$B$6:$C$45,2,FALSE)*V1424</f>
        <v>0</v>
      </c>
      <c r="X1424" s="141"/>
      <c r="Y1424" s="121" t="s">
        <v>292</v>
      </c>
      <c r="Z1424" s="146">
        <f>VLOOKUP(Takeoffs!Y1424,Sheet1!$B$6:$C$124,2,FALSE)</f>
        <v>0</v>
      </c>
      <c r="AA1424" s="146">
        <f t="shared" si="653"/>
        <v>0</v>
      </c>
      <c r="AB1424" s="143">
        <f t="shared" si="654"/>
        <v>0</v>
      </c>
      <c r="AC1424" s="133">
        <f t="shared" si="655"/>
        <v>0</v>
      </c>
      <c r="AD1424" s="142">
        <v>1</v>
      </c>
      <c r="AE1424" s="141"/>
      <c r="AF1424" s="121" t="s">
        <v>292</v>
      </c>
      <c r="AG1424" s="146">
        <f>VLOOKUP(Takeoffs!AF1424,Sheet1!$B$6:$C$124,2,FALSE)</f>
        <v>0</v>
      </c>
      <c r="AH1424" s="146">
        <f t="shared" si="656"/>
        <v>0</v>
      </c>
      <c r="AI1424" s="143">
        <f t="shared" si="657"/>
        <v>0</v>
      </c>
      <c r="AJ1424" s="133">
        <f t="shared" si="658"/>
        <v>0</v>
      </c>
      <c r="AK1424" s="142">
        <f t="shared" si="660"/>
        <v>0</v>
      </c>
      <c r="AL1424" s="141"/>
      <c r="AO1424" s="286"/>
      <c r="AP1424" s="284">
        <f t="shared" si="627"/>
        <v>0</v>
      </c>
      <c r="AQ1424" s="281">
        <f t="shared" si="628"/>
        <v>0</v>
      </c>
      <c r="AR1424" s="284">
        <f t="shared" si="629"/>
        <v>0</v>
      </c>
      <c r="AS1424" s="281">
        <f t="shared" si="630"/>
        <v>0</v>
      </c>
      <c r="AT1424" s="284">
        <f t="shared" si="631"/>
        <v>0</v>
      </c>
    </row>
    <row r="1425" spans="1:97" s="114" customFormat="1" ht="30.9" x14ac:dyDescent="0.8">
      <c r="A1425" s="262">
        <f>ROW()</f>
        <v>1425</v>
      </c>
      <c r="C1425" s="208"/>
      <c r="D1425" s="208"/>
      <c r="E1425" s="208"/>
      <c r="F1425" s="208"/>
      <c r="G1425" s="208"/>
      <c r="H1425" s="208"/>
      <c r="J1425" s="114" t="str">
        <f t="shared" si="659"/>
        <v/>
      </c>
      <c r="K1425" s="114" t="str">
        <f>IF(COUNTBLANK(R1425)&gt;0,"",CONCATENATE(R1425," for ",N1414))</f>
        <v/>
      </c>
      <c r="N1425" s="123" t="s">
        <v>123</v>
      </c>
      <c r="O1425" s="66"/>
      <c r="P1425" s="121"/>
      <c r="Q1425" s="121"/>
      <c r="R1425" s="121"/>
      <c r="S1425" s="133">
        <f>M1414</f>
        <v>0</v>
      </c>
      <c r="T1425" s="120"/>
      <c r="U1425" s="121" t="s">
        <v>292</v>
      </c>
      <c r="V1425" s="133">
        <f t="shared" si="652"/>
        <v>0</v>
      </c>
      <c r="W1425" s="133">
        <f>VLOOKUP(U1425,Sheet1!$B$6:$C$45,2,FALSE)*V1425</f>
        <v>0</v>
      </c>
      <c r="X1425" s="141"/>
      <c r="Y1425" s="121" t="s">
        <v>292</v>
      </c>
      <c r="Z1425" s="146">
        <f>VLOOKUP(Takeoffs!Y1425,Sheet1!$B$6:$C$124,2,FALSE)</f>
        <v>0</v>
      </c>
      <c r="AA1425" s="146">
        <f t="shared" si="653"/>
        <v>0</v>
      </c>
      <c r="AB1425" s="143">
        <f t="shared" si="654"/>
        <v>0</v>
      </c>
      <c r="AC1425" s="133">
        <f t="shared" si="655"/>
        <v>0</v>
      </c>
      <c r="AD1425" s="142">
        <v>1</v>
      </c>
      <c r="AE1425" s="141"/>
      <c r="AF1425" s="121" t="s">
        <v>292</v>
      </c>
      <c r="AG1425" s="146">
        <f>VLOOKUP(Takeoffs!AF1425,Sheet1!$B$6:$C$124,2,FALSE)</f>
        <v>0</v>
      </c>
      <c r="AH1425" s="146">
        <f t="shared" si="656"/>
        <v>0</v>
      </c>
      <c r="AI1425" s="143">
        <f t="shared" si="657"/>
        <v>0</v>
      </c>
      <c r="AJ1425" s="133">
        <f t="shared" si="658"/>
        <v>0</v>
      </c>
      <c r="AK1425" s="142">
        <f t="shared" si="660"/>
        <v>0</v>
      </c>
      <c r="AL1425" s="141"/>
      <c r="AO1425" s="286"/>
      <c r="AP1425" s="284">
        <f t="shared" si="627"/>
        <v>0</v>
      </c>
      <c r="AQ1425" s="281">
        <f t="shared" si="628"/>
        <v>0</v>
      </c>
      <c r="AR1425" s="284">
        <f t="shared" si="629"/>
        <v>0</v>
      </c>
      <c r="AS1425" s="281">
        <f t="shared" si="630"/>
        <v>0</v>
      </c>
      <c r="AT1425" s="284">
        <f t="shared" si="631"/>
        <v>0</v>
      </c>
    </row>
    <row r="1426" spans="1:97" s="114" customFormat="1" ht="30.9" x14ac:dyDescent="0.8">
      <c r="A1426" s="262">
        <f>ROW()</f>
        <v>1426</v>
      </c>
      <c r="C1426" s="208"/>
      <c r="D1426" s="208"/>
      <c r="E1426" s="208"/>
      <c r="F1426" s="208"/>
      <c r="G1426" s="208"/>
      <c r="H1426" s="208"/>
      <c r="J1426" s="114" t="str">
        <f t="shared" si="659"/>
        <v/>
      </c>
      <c r="K1426" s="114" t="str">
        <f>IF(COUNTBLANK(R1426)&gt;0,"",CONCATENATE(R1426," for ",N1414))</f>
        <v/>
      </c>
      <c r="N1426" s="123" t="s">
        <v>124</v>
      </c>
      <c r="O1426" s="66"/>
      <c r="P1426" s="121"/>
      <c r="Q1426" s="121"/>
      <c r="R1426" s="121"/>
      <c r="S1426" s="133">
        <f>M1414</f>
        <v>0</v>
      </c>
      <c r="T1426" s="120"/>
      <c r="U1426" s="121" t="s">
        <v>292</v>
      </c>
      <c r="V1426" s="133">
        <f t="shared" si="652"/>
        <v>0</v>
      </c>
      <c r="W1426" s="133">
        <f>VLOOKUP(U1426,Sheet1!$B$6:$C$45,2,FALSE)*V1426</f>
        <v>0</v>
      </c>
      <c r="X1426" s="141"/>
      <c r="Y1426" s="121" t="s">
        <v>292</v>
      </c>
      <c r="Z1426" s="146">
        <f>VLOOKUP(Takeoffs!Y1426,Sheet1!$B$6:$C$124,2,FALSE)</f>
        <v>0</v>
      </c>
      <c r="AA1426" s="146">
        <f t="shared" si="653"/>
        <v>0</v>
      </c>
      <c r="AB1426" s="143">
        <f t="shared" si="654"/>
        <v>0</v>
      </c>
      <c r="AC1426" s="133">
        <f t="shared" si="655"/>
        <v>0</v>
      </c>
      <c r="AD1426" s="142">
        <v>1</v>
      </c>
      <c r="AE1426" s="141"/>
      <c r="AF1426" s="121" t="s">
        <v>292</v>
      </c>
      <c r="AG1426" s="146">
        <f>VLOOKUP(Takeoffs!AF1426,Sheet1!$B$6:$C$124,2,FALSE)</f>
        <v>0</v>
      </c>
      <c r="AH1426" s="146">
        <f t="shared" si="656"/>
        <v>0</v>
      </c>
      <c r="AI1426" s="143">
        <f t="shared" si="657"/>
        <v>0</v>
      </c>
      <c r="AJ1426" s="133">
        <f t="shared" si="658"/>
        <v>0</v>
      </c>
      <c r="AK1426" s="142">
        <f t="shared" si="660"/>
        <v>0</v>
      </c>
      <c r="AL1426" s="141"/>
      <c r="AO1426" s="286"/>
      <c r="AP1426" s="284">
        <f t="shared" si="627"/>
        <v>0</v>
      </c>
      <c r="AQ1426" s="281">
        <f t="shared" si="628"/>
        <v>0</v>
      </c>
      <c r="AR1426" s="284">
        <f t="shared" si="629"/>
        <v>0</v>
      </c>
      <c r="AS1426" s="281">
        <f t="shared" si="630"/>
        <v>0</v>
      </c>
      <c r="AT1426" s="284">
        <f t="shared" si="631"/>
        <v>0</v>
      </c>
    </row>
    <row r="1427" spans="1:97" s="114" customFormat="1" ht="30.9" x14ac:dyDescent="0.8">
      <c r="A1427" s="262">
        <f>ROW()</f>
        <v>1427</v>
      </c>
      <c r="C1427" s="208"/>
      <c r="D1427" s="208"/>
      <c r="E1427" s="208"/>
      <c r="F1427" s="208"/>
      <c r="G1427" s="208"/>
      <c r="H1427" s="208"/>
      <c r="J1427" s="114" t="str">
        <f t="shared" si="659"/>
        <v/>
      </c>
      <c r="K1427" s="114" t="str">
        <f>IF(COUNTBLANK(R1427)&gt;0,"",CONCATENATE(R1427," for ",N1414))</f>
        <v/>
      </c>
      <c r="N1427" s="123" t="s">
        <v>125</v>
      </c>
      <c r="O1427" s="66"/>
      <c r="P1427" s="121"/>
      <c r="Q1427" s="121"/>
      <c r="R1427" s="121"/>
      <c r="S1427" s="133">
        <f>M1414</f>
        <v>0</v>
      </c>
      <c r="T1427" s="120"/>
      <c r="U1427" s="121" t="s">
        <v>292</v>
      </c>
      <c r="V1427" s="133">
        <f t="shared" si="652"/>
        <v>0</v>
      </c>
      <c r="W1427" s="133">
        <f>VLOOKUP(U1427,Sheet1!$B$6:$C$45,2,FALSE)*V1427</f>
        <v>0</v>
      </c>
      <c r="X1427" s="141"/>
      <c r="Y1427" s="121" t="s">
        <v>292</v>
      </c>
      <c r="Z1427" s="146">
        <f>VLOOKUP(Takeoffs!Y1427,Sheet1!$B$6:$C$124,2,FALSE)</f>
        <v>0</v>
      </c>
      <c r="AA1427" s="146">
        <f t="shared" si="653"/>
        <v>0</v>
      </c>
      <c r="AB1427" s="143">
        <f t="shared" si="654"/>
        <v>0</v>
      </c>
      <c r="AC1427" s="133">
        <f t="shared" si="655"/>
        <v>0</v>
      </c>
      <c r="AD1427" s="142">
        <v>1</v>
      </c>
      <c r="AE1427" s="141"/>
      <c r="AF1427" s="121" t="s">
        <v>292</v>
      </c>
      <c r="AG1427" s="146">
        <f>VLOOKUP(Takeoffs!AF1427,Sheet1!$B$6:$C$124,2,FALSE)</f>
        <v>0</v>
      </c>
      <c r="AH1427" s="146">
        <f t="shared" si="656"/>
        <v>0</v>
      </c>
      <c r="AI1427" s="143">
        <f t="shared" si="657"/>
        <v>0</v>
      </c>
      <c r="AJ1427" s="133">
        <f t="shared" si="658"/>
        <v>0</v>
      </c>
      <c r="AK1427" s="142">
        <f t="shared" si="660"/>
        <v>0</v>
      </c>
      <c r="AL1427" s="141"/>
      <c r="AO1427" s="286"/>
      <c r="AP1427" s="284">
        <f t="shared" si="627"/>
        <v>0</v>
      </c>
      <c r="AQ1427" s="281">
        <f t="shared" si="628"/>
        <v>0</v>
      </c>
      <c r="AR1427" s="284">
        <f t="shared" si="629"/>
        <v>0</v>
      </c>
      <c r="AS1427" s="281">
        <f t="shared" si="630"/>
        <v>0</v>
      </c>
      <c r="AT1427" s="284">
        <f t="shared" si="631"/>
        <v>0</v>
      </c>
    </row>
    <row r="1428" spans="1:97" s="114" customFormat="1" ht="30.9" x14ac:dyDescent="0.8">
      <c r="A1428" s="262">
        <f>ROW()</f>
        <v>1428</v>
      </c>
      <c r="C1428" s="208"/>
      <c r="D1428" s="208"/>
      <c r="E1428" s="208"/>
      <c r="F1428" s="208"/>
      <c r="G1428" s="208"/>
      <c r="H1428" s="208"/>
      <c r="J1428" s="114" t="str">
        <f t="shared" si="659"/>
        <v/>
      </c>
      <c r="K1428" s="114" t="str">
        <f>IF(COUNTBLANK(R1428)&gt;0,"",CONCATENATE(R1428," for ",N1414))</f>
        <v/>
      </c>
      <c r="N1428" s="123" t="s">
        <v>126</v>
      </c>
      <c r="O1428" s="66"/>
      <c r="P1428" s="121"/>
      <c r="Q1428" s="121"/>
      <c r="R1428" s="121"/>
      <c r="S1428" s="133">
        <f>M1414</f>
        <v>0</v>
      </c>
      <c r="T1428" s="120"/>
      <c r="U1428" s="121" t="s">
        <v>292</v>
      </c>
      <c r="V1428" s="133">
        <f t="shared" si="652"/>
        <v>0</v>
      </c>
      <c r="W1428" s="133">
        <f>VLOOKUP(U1428,Sheet1!$B$6:$C$45,2,FALSE)*V1428</f>
        <v>0</v>
      </c>
      <c r="X1428" s="141"/>
      <c r="Y1428" s="121" t="s">
        <v>292</v>
      </c>
      <c r="Z1428" s="146">
        <f>VLOOKUP(Takeoffs!Y1428,Sheet1!$B$6:$C$124,2,FALSE)</f>
        <v>0</v>
      </c>
      <c r="AA1428" s="146">
        <f t="shared" si="653"/>
        <v>0</v>
      </c>
      <c r="AB1428" s="143">
        <f t="shared" si="654"/>
        <v>0</v>
      </c>
      <c r="AC1428" s="133">
        <f t="shared" si="655"/>
        <v>0</v>
      </c>
      <c r="AD1428" s="142">
        <v>1</v>
      </c>
      <c r="AE1428" s="141"/>
      <c r="AF1428" s="121" t="s">
        <v>292</v>
      </c>
      <c r="AG1428" s="146">
        <f>VLOOKUP(Takeoffs!AF1428,Sheet1!$B$6:$C$124,2,FALSE)</f>
        <v>0</v>
      </c>
      <c r="AH1428" s="146">
        <f t="shared" si="656"/>
        <v>0</v>
      </c>
      <c r="AI1428" s="143">
        <f t="shared" si="657"/>
        <v>0</v>
      </c>
      <c r="AJ1428" s="133">
        <f t="shared" si="658"/>
        <v>0</v>
      </c>
      <c r="AK1428" s="142">
        <f t="shared" si="660"/>
        <v>0</v>
      </c>
      <c r="AL1428" s="141"/>
      <c r="AO1428" s="286"/>
      <c r="AP1428" s="284">
        <f t="shared" ref="AP1428:AP1491" si="661">IF(AND(I1428&gt;0, ISNUMBER(I1428)),I1428*P1428,0)</f>
        <v>0</v>
      </c>
      <c r="AQ1428" s="281">
        <f t="shared" ref="AQ1428:AQ1491" si="662">IF(AND(I1428&gt;0, ISNUMBER(I1428)),I1428*W1428*80,0)</f>
        <v>0</v>
      </c>
      <c r="AR1428" s="284">
        <f t="shared" ref="AR1428:AR1491" si="663">IF(AND(I1428&gt;0, ISNUMBER(I1428)),I1428*AA1428,0)</f>
        <v>0</v>
      </c>
      <c r="AS1428" s="281">
        <f t="shared" ref="AS1428:AS1491" si="664">IF(AND(I1428&gt;0, ISNUMBER(I1428)),I1428*AH1428,0)</f>
        <v>0</v>
      </c>
      <c r="AT1428" s="284">
        <f t="shared" ref="AT1428:AT1491" si="665">IF(AND(I1428&gt;0, ISNUMBER(I1428)),I1428*(AP1428-(AQ1428+AR1428+AS1428)),0)</f>
        <v>0</v>
      </c>
    </row>
    <row r="1429" spans="1:97" s="114" customFormat="1" ht="30.9" x14ac:dyDescent="0.8">
      <c r="A1429" s="262">
        <f>ROW()</f>
        <v>1429</v>
      </c>
      <c r="C1429" s="208"/>
      <c r="D1429" s="208"/>
      <c r="E1429" s="208"/>
      <c r="F1429" s="208"/>
      <c r="G1429" s="208"/>
      <c r="H1429" s="208"/>
      <c r="J1429" s="114" t="str">
        <f t="shared" si="659"/>
        <v/>
      </c>
      <c r="K1429" s="114" t="str">
        <f>IF(COUNTBLANK(R1429)&gt;0,"",CONCATENATE(R1429," for ",N1414))</f>
        <v/>
      </c>
      <c r="N1429" s="123" t="s">
        <v>127</v>
      </c>
      <c r="O1429" s="66"/>
      <c r="P1429" s="121"/>
      <c r="Q1429" s="121"/>
      <c r="R1429" s="121"/>
      <c r="S1429" s="133">
        <f>M1414</f>
        <v>0</v>
      </c>
      <c r="T1429" s="120"/>
      <c r="U1429" s="121" t="s">
        <v>292</v>
      </c>
      <c r="V1429" s="133">
        <f t="shared" si="652"/>
        <v>0</v>
      </c>
      <c r="W1429" s="133">
        <f>VLOOKUP(U1429,Sheet1!$B$6:$C$45,2,FALSE)*V1429</f>
        <v>0</v>
      </c>
      <c r="X1429" s="141"/>
      <c r="Y1429" s="121" t="s">
        <v>292</v>
      </c>
      <c r="Z1429" s="146">
        <f>VLOOKUP(Takeoffs!Y1429,Sheet1!$B$6:$C$124,2,FALSE)</f>
        <v>0</v>
      </c>
      <c r="AA1429" s="146">
        <f t="shared" si="653"/>
        <v>0</v>
      </c>
      <c r="AB1429" s="143">
        <f t="shared" si="654"/>
        <v>0</v>
      </c>
      <c r="AC1429" s="133">
        <f t="shared" si="655"/>
        <v>0</v>
      </c>
      <c r="AD1429" s="142">
        <v>1</v>
      </c>
      <c r="AE1429" s="141"/>
      <c r="AF1429" s="121" t="s">
        <v>292</v>
      </c>
      <c r="AG1429" s="146">
        <f>VLOOKUP(Takeoffs!AF1429,Sheet1!$B$6:$C$124,2,FALSE)</f>
        <v>0</v>
      </c>
      <c r="AH1429" s="146">
        <f t="shared" si="656"/>
        <v>0</v>
      </c>
      <c r="AI1429" s="143">
        <f t="shared" si="657"/>
        <v>0</v>
      </c>
      <c r="AJ1429" s="133">
        <f t="shared" si="658"/>
        <v>0</v>
      </c>
      <c r="AK1429" s="142">
        <f t="shared" si="660"/>
        <v>0</v>
      </c>
      <c r="AL1429" s="141"/>
      <c r="AO1429" s="286"/>
      <c r="AP1429" s="284">
        <f t="shared" si="661"/>
        <v>0</v>
      </c>
      <c r="AQ1429" s="281">
        <f t="shared" si="662"/>
        <v>0</v>
      </c>
      <c r="AR1429" s="284">
        <f t="shared" si="663"/>
        <v>0</v>
      </c>
      <c r="AS1429" s="281">
        <f t="shared" si="664"/>
        <v>0</v>
      </c>
      <c r="AT1429" s="284">
        <f t="shared" si="665"/>
        <v>0</v>
      </c>
    </row>
    <row r="1430" spans="1:97" s="114" customFormat="1" ht="30.9" x14ac:dyDescent="0.8">
      <c r="A1430" s="262">
        <f>ROW()</f>
        <v>1430</v>
      </c>
      <c r="C1430" s="208"/>
      <c r="D1430" s="208"/>
      <c r="E1430" s="208"/>
      <c r="F1430" s="208"/>
      <c r="G1430" s="208"/>
      <c r="H1430" s="208"/>
      <c r="J1430" s="114" t="str">
        <f t="shared" si="659"/>
        <v/>
      </c>
      <c r="K1430" s="114" t="str">
        <f>IF(COUNTBLANK(R1430)&gt;0,"",CONCATENATE(R1430," for ",N1414))</f>
        <v/>
      </c>
      <c r="N1430" s="123" t="s">
        <v>128</v>
      </c>
      <c r="O1430" s="66"/>
      <c r="P1430" s="121"/>
      <c r="Q1430" s="121"/>
      <c r="R1430" s="121"/>
      <c r="S1430" s="133">
        <f>M1414</f>
        <v>0</v>
      </c>
      <c r="T1430" s="120"/>
      <c r="U1430" s="121" t="s">
        <v>292</v>
      </c>
      <c r="V1430" s="133">
        <f t="shared" si="652"/>
        <v>0</v>
      </c>
      <c r="W1430" s="133">
        <f>VLOOKUP(U1430,Sheet1!$B$6:$C$45,2,FALSE)*V1430</f>
        <v>0</v>
      </c>
      <c r="X1430" s="141"/>
      <c r="Y1430" s="121" t="s">
        <v>292</v>
      </c>
      <c r="Z1430" s="146">
        <f>VLOOKUP(Takeoffs!Y1430,Sheet1!$B$6:$C$124,2,FALSE)</f>
        <v>0</v>
      </c>
      <c r="AA1430" s="146">
        <f t="shared" si="653"/>
        <v>0</v>
      </c>
      <c r="AB1430" s="143">
        <f t="shared" si="654"/>
        <v>0</v>
      </c>
      <c r="AC1430" s="133">
        <f t="shared" si="655"/>
        <v>0</v>
      </c>
      <c r="AD1430" s="142">
        <v>1</v>
      </c>
      <c r="AE1430" s="141"/>
      <c r="AF1430" s="121" t="s">
        <v>292</v>
      </c>
      <c r="AG1430" s="146">
        <f>VLOOKUP(Takeoffs!AF1430,Sheet1!$B$6:$C$124,2,FALSE)</f>
        <v>0</v>
      </c>
      <c r="AH1430" s="146">
        <f t="shared" si="656"/>
        <v>0</v>
      </c>
      <c r="AI1430" s="143">
        <f t="shared" si="657"/>
        <v>0</v>
      </c>
      <c r="AJ1430" s="133">
        <f t="shared" si="658"/>
        <v>0</v>
      </c>
      <c r="AK1430" s="142">
        <f t="shared" si="660"/>
        <v>0</v>
      </c>
      <c r="AL1430" s="141"/>
      <c r="AO1430" s="286"/>
      <c r="AP1430" s="284">
        <f t="shared" si="661"/>
        <v>0</v>
      </c>
      <c r="AQ1430" s="281">
        <f t="shared" si="662"/>
        <v>0</v>
      </c>
      <c r="AR1430" s="284">
        <f t="shared" si="663"/>
        <v>0</v>
      </c>
      <c r="AS1430" s="281">
        <f t="shared" si="664"/>
        <v>0</v>
      </c>
      <c r="AT1430" s="284">
        <f t="shared" si="665"/>
        <v>0</v>
      </c>
    </row>
    <row r="1431" spans="1:97" s="114" customFormat="1" ht="30.9" x14ac:dyDescent="0.8">
      <c r="A1431" s="262">
        <f>ROW()</f>
        <v>1431</v>
      </c>
      <c r="C1431" s="208"/>
      <c r="D1431" s="208"/>
      <c r="E1431" s="208"/>
      <c r="F1431" s="208"/>
      <c r="G1431" s="208"/>
      <c r="H1431" s="208"/>
      <c r="J1431" s="114" t="str">
        <f t="shared" si="659"/>
        <v/>
      </c>
      <c r="K1431" s="114" t="str">
        <f>IF(COUNTBLANK(R1431)&gt;0,"",CONCATENATE(R1431," for ",N1414))</f>
        <v/>
      </c>
      <c r="N1431" s="123" t="s">
        <v>129</v>
      </c>
      <c r="O1431" s="66"/>
      <c r="P1431" s="121"/>
      <c r="Q1431" s="121"/>
      <c r="R1431" s="121"/>
      <c r="S1431" s="133">
        <f>M1414</f>
        <v>0</v>
      </c>
      <c r="T1431" s="120"/>
      <c r="U1431" s="121" t="s">
        <v>292</v>
      </c>
      <c r="V1431" s="133">
        <f t="shared" si="652"/>
        <v>0</v>
      </c>
      <c r="W1431" s="133">
        <f>VLOOKUP(U1431,Sheet1!$B$6:$C$45,2,FALSE)*V1431</f>
        <v>0</v>
      </c>
      <c r="X1431" s="141"/>
      <c r="Y1431" s="121" t="s">
        <v>292</v>
      </c>
      <c r="Z1431" s="146">
        <f>VLOOKUP(Takeoffs!Y1431,Sheet1!$B$6:$C$124,2,FALSE)</f>
        <v>0</v>
      </c>
      <c r="AA1431" s="146">
        <f t="shared" si="653"/>
        <v>0</v>
      </c>
      <c r="AB1431" s="143">
        <f t="shared" si="654"/>
        <v>0</v>
      </c>
      <c r="AC1431" s="133">
        <f t="shared" si="655"/>
        <v>0</v>
      </c>
      <c r="AD1431" s="142">
        <v>1</v>
      </c>
      <c r="AE1431" s="141"/>
      <c r="AF1431" s="121" t="s">
        <v>292</v>
      </c>
      <c r="AG1431" s="146">
        <f>VLOOKUP(Takeoffs!AF1431,Sheet1!$B$6:$C$124,2,FALSE)</f>
        <v>0</v>
      </c>
      <c r="AH1431" s="146">
        <f t="shared" si="656"/>
        <v>0</v>
      </c>
      <c r="AI1431" s="143">
        <f t="shared" si="657"/>
        <v>0</v>
      </c>
      <c r="AJ1431" s="133">
        <f t="shared" si="658"/>
        <v>0</v>
      </c>
      <c r="AK1431" s="142">
        <f t="shared" si="660"/>
        <v>0</v>
      </c>
      <c r="AL1431" s="141"/>
      <c r="AO1431" s="286"/>
      <c r="AP1431" s="284">
        <f t="shared" si="661"/>
        <v>0</v>
      </c>
      <c r="AQ1431" s="281">
        <f t="shared" si="662"/>
        <v>0</v>
      </c>
      <c r="AR1431" s="284">
        <f t="shared" si="663"/>
        <v>0</v>
      </c>
      <c r="AS1431" s="281">
        <f t="shared" si="664"/>
        <v>0</v>
      </c>
      <c r="AT1431" s="284">
        <f t="shared" si="665"/>
        <v>0</v>
      </c>
    </row>
    <row r="1432" spans="1:97" s="114" customFormat="1" ht="30.9" x14ac:dyDescent="0.8">
      <c r="A1432" s="262">
        <f>ROW()</f>
        <v>1432</v>
      </c>
      <c r="C1432" s="208"/>
      <c r="D1432" s="208"/>
      <c r="E1432" s="208"/>
      <c r="F1432" s="208"/>
      <c r="G1432" s="208"/>
      <c r="H1432" s="208"/>
      <c r="J1432" s="114" t="str">
        <f t="shared" si="659"/>
        <v/>
      </c>
      <c r="K1432" s="114" t="str">
        <f>IF(COUNTBLANK(R1432)&gt;0,"",CONCATENATE(R1432," for ",N1414))</f>
        <v/>
      </c>
      <c r="N1432" s="123" t="s">
        <v>130</v>
      </c>
      <c r="O1432" s="66"/>
      <c r="P1432" s="121"/>
      <c r="Q1432" s="121"/>
      <c r="R1432" s="121"/>
      <c r="S1432" s="133">
        <f>M1414</f>
        <v>0</v>
      </c>
      <c r="T1432" s="120"/>
      <c r="U1432" s="121" t="s">
        <v>292</v>
      </c>
      <c r="V1432" s="133">
        <f t="shared" si="652"/>
        <v>0</v>
      </c>
      <c r="W1432" s="133">
        <f>VLOOKUP(U1432,Sheet1!$B$6:$C$45,2,FALSE)*V1432</f>
        <v>0</v>
      </c>
      <c r="X1432" s="141"/>
      <c r="Y1432" s="121" t="s">
        <v>292</v>
      </c>
      <c r="Z1432" s="146">
        <f>VLOOKUP(Takeoffs!Y1432,Sheet1!$B$6:$C$124,2,FALSE)</f>
        <v>0</v>
      </c>
      <c r="AA1432" s="146">
        <f t="shared" si="653"/>
        <v>0</v>
      </c>
      <c r="AB1432" s="143">
        <f t="shared" si="654"/>
        <v>0</v>
      </c>
      <c r="AC1432" s="133">
        <f t="shared" si="655"/>
        <v>0</v>
      </c>
      <c r="AD1432" s="142">
        <v>1</v>
      </c>
      <c r="AE1432" s="141"/>
      <c r="AF1432" s="121" t="s">
        <v>292</v>
      </c>
      <c r="AG1432" s="146">
        <f>VLOOKUP(Takeoffs!AF1432,Sheet1!$B$6:$C$124,2,FALSE)</f>
        <v>0</v>
      </c>
      <c r="AH1432" s="146">
        <f t="shared" si="656"/>
        <v>0</v>
      </c>
      <c r="AI1432" s="143">
        <f t="shared" si="657"/>
        <v>0</v>
      </c>
      <c r="AJ1432" s="133">
        <f t="shared" si="658"/>
        <v>0</v>
      </c>
      <c r="AK1432" s="142">
        <f t="shared" si="660"/>
        <v>0</v>
      </c>
      <c r="AL1432" s="141"/>
      <c r="AO1432" s="286"/>
      <c r="AP1432" s="284">
        <f t="shared" si="661"/>
        <v>0</v>
      </c>
      <c r="AQ1432" s="281">
        <f t="shared" si="662"/>
        <v>0</v>
      </c>
      <c r="AR1432" s="284">
        <f t="shared" si="663"/>
        <v>0</v>
      </c>
      <c r="AS1432" s="281">
        <f t="shared" si="664"/>
        <v>0</v>
      </c>
      <c r="AT1432" s="284">
        <f t="shared" si="665"/>
        <v>0</v>
      </c>
    </row>
    <row r="1433" spans="1:97" s="114" customFormat="1" ht="30.9" x14ac:dyDescent="0.8">
      <c r="A1433" s="262">
        <f>ROW()</f>
        <v>1433</v>
      </c>
      <c r="C1433" s="208"/>
      <c r="D1433" s="208"/>
      <c r="E1433" s="208"/>
      <c r="F1433" s="208"/>
      <c r="G1433" s="208"/>
      <c r="H1433" s="208"/>
      <c r="J1433" s="114" t="str">
        <f t="shared" si="659"/>
        <v/>
      </c>
      <c r="K1433" s="114" t="str">
        <f>IF(COUNTBLANK(R1433)&gt;0,"",CONCATENATE(R1433," for ",N1414))</f>
        <v/>
      </c>
      <c r="N1433" s="123" t="s">
        <v>131</v>
      </c>
      <c r="O1433" s="66"/>
      <c r="P1433" s="121"/>
      <c r="Q1433" s="121"/>
      <c r="R1433" s="121"/>
      <c r="S1433" s="133">
        <f>M1414</f>
        <v>0</v>
      </c>
      <c r="T1433" s="120"/>
      <c r="U1433" s="121" t="s">
        <v>292</v>
      </c>
      <c r="V1433" s="133">
        <f t="shared" si="652"/>
        <v>0</v>
      </c>
      <c r="W1433" s="133">
        <f>VLOOKUP(U1433,Sheet1!$B$6:$C$45,2,FALSE)*V1433</f>
        <v>0</v>
      </c>
      <c r="X1433" s="141"/>
      <c r="Y1433" s="121" t="s">
        <v>292</v>
      </c>
      <c r="Z1433" s="146">
        <f>VLOOKUP(Takeoffs!Y1433,Sheet1!$B$6:$C$124,2,FALSE)</f>
        <v>0</v>
      </c>
      <c r="AA1433" s="146">
        <f t="shared" si="653"/>
        <v>0</v>
      </c>
      <c r="AB1433" s="143">
        <f t="shared" si="654"/>
        <v>0</v>
      </c>
      <c r="AC1433" s="133">
        <f t="shared" si="655"/>
        <v>0</v>
      </c>
      <c r="AD1433" s="142">
        <v>1</v>
      </c>
      <c r="AE1433" s="141"/>
      <c r="AF1433" s="121" t="s">
        <v>292</v>
      </c>
      <c r="AG1433" s="146">
        <f>VLOOKUP(Takeoffs!AF1433,Sheet1!$B$6:$C$124,2,FALSE)</f>
        <v>0</v>
      </c>
      <c r="AH1433" s="146">
        <f t="shared" si="656"/>
        <v>0</v>
      </c>
      <c r="AI1433" s="143">
        <f t="shared" si="657"/>
        <v>0</v>
      </c>
      <c r="AJ1433" s="133">
        <f t="shared" si="658"/>
        <v>0</v>
      </c>
      <c r="AK1433" s="142">
        <f t="shared" si="660"/>
        <v>0</v>
      </c>
      <c r="AL1433" s="141"/>
      <c r="AO1433" s="286"/>
      <c r="AP1433" s="284">
        <f t="shared" si="661"/>
        <v>0</v>
      </c>
      <c r="AQ1433" s="281">
        <f t="shared" si="662"/>
        <v>0</v>
      </c>
      <c r="AR1433" s="284">
        <f t="shared" si="663"/>
        <v>0</v>
      </c>
      <c r="AS1433" s="281">
        <f t="shared" si="664"/>
        <v>0</v>
      </c>
      <c r="AT1433" s="284">
        <f t="shared" si="665"/>
        <v>0</v>
      </c>
    </row>
    <row r="1434" spans="1:97" s="114" customFormat="1" ht="30.9" x14ac:dyDescent="0.8">
      <c r="A1434" s="262">
        <f>ROW()</f>
        <v>1434</v>
      </c>
      <c r="C1434" s="208"/>
      <c r="D1434" s="208"/>
      <c r="E1434" s="208"/>
      <c r="F1434" s="208"/>
      <c r="G1434" s="208"/>
      <c r="H1434" s="208"/>
      <c r="J1434" s="114" t="str">
        <f t="shared" si="659"/>
        <v/>
      </c>
      <c r="K1434" s="114" t="str">
        <f>IF(COUNTBLANK(R1434)&gt;0,"",CONCATENATE(R1434," for ",N1414))</f>
        <v/>
      </c>
      <c r="N1434" s="123" t="s">
        <v>132</v>
      </c>
      <c r="O1434" s="66"/>
      <c r="P1434" s="121"/>
      <c r="Q1434" s="121"/>
      <c r="R1434" s="121"/>
      <c r="S1434" s="133">
        <f>M1414</f>
        <v>0</v>
      </c>
      <c r="T1434" s="120"/>
      <c r="U1434" s="121" t="s">
        <v>292</v>
      </c>
      <c r="V1434" s="133">
        <f t="shared" si="652"/>
        <v>0</v>
      </c>
      <c r="W1434" s="133">
        <f>VLOOKUP(U1434,Sheet1!$B$6:$C$45,2,FALSE)*V1434</f>
        <v>0</v>
      </c>
      <c r="X1434" s="141"/>
      <c r="Y1434" s="121" t="s">
        <v>292</v>
      </c>
      <c r="Z1434" s="146">
        <f>VLOOKUP(Takeoffs!Y1434,Sheet1!$B$6:$C$124,2,FALSE)</f>
        <v>0</v>
      </c>
      <c r="AA1434" s="146">
        <f t="shared" si="653"/>
        <v>0</v>
      </c>
      <c r="AB1434" s="143">
        <f t="shared" si="654"/>
        <v>0</v>
      </c>
      <c r="AC1434" s="133">
        <f t="shared" si="655"/>
        <v>0</v>
      </c>
      <c r="AD1434" s="142">
        <v>1</v>
      </c>
      <c r="AE1434" s="141"/>
      <c r="AF1434" s="121" t="s">
        <v>292</v>
      </c>
      <c r="AG1434" s="146">
        <f>VLOOKUP(Takeoffs!AF1434,Sheet1!$B$6:$C$124,2,FALSE)</f>
        <v>0</v>
      </c>
      <c r="AH1434" s="146">
        <f t="shared" si="656"/>
        <v>0</v>
      </c>
      <c r="AI1434" s="143">
        <f t="shared" si="657"/>
        <v>0</v>
      </c>
      <c r="AJ1434" s="133">
        <f t="shared" si="658"/>
        <v>0</v>
      </c>
      <c r="AK1434" s="142">
        <f t="shared" si="660"/>
        <v>0</v>
      </c>
      <c r="AL1434" s="141"/>
      <c r="AO1434" s="286"/>
      <c r="AP1434" s="284">
        <f t="shared" si="661"/>
        <v>0</v>
      </c>
      <c r="AQ1434" s="281">
        <f t="shared" si="662"/>
        <v>0</v>
      </c>
      <c r="AR1434" s="284">
        <f t="shared" si="663"/>
        <v>0</v>
      </c>
      <c r="AS1434" s="281">
        <f t="shared" si="664"/>
        <v>0</v>
      </c>
      <c r="AT1434" s="284">
        <f t="shared" si="665"/>
        <v>0</v>
      </c>
    </row>
    <row r="1435" spans="1:97" s="128" customFormat="1" ht="31.5" customHeight="1" x14ac:dyDescent="0.8">
      <c r="A1435" s="262">
        <f>ROW()</f>
        <v>1435</v>
      </c>
      <c r="C1435" s="212"/>
      <c r="D1435" s="212"/>
      <c r="E1435" s="212"/>
      <c r="F1435" s="212"/>
      <c r="G1435" s="212"/>
      <c r="H1435" s="212"/>
      <c r="J1435" s="128" t="s">
        <v>377</v>
      </c>
      <c r="L1435" s="128" t="s">
        <v>378</v>
      </c>
      <c r="N1435" s="129"/>
      <c r="O1435" s="130" t="s">
        <v>357</v>
      </c>
      <c r="P1435" s="131">
        <f>V1435+AA1435+AH1435</f>
        <v>0</v>
      </c>
      <c r="Q1435" s="131"/>
      <c r="R1435" s="131"/>
      <c r="S1435" s="130"/>
      <c r="T1435" s="127"/>
      <c r="U1435" s="126" t="s">
        <v>351</v>
      </c>
      <c r="V1435" s="127">
        <f>W1435*80</f>
        <v>0</v>
      </c>
      <c r="W1435" s="147">
        <f>SUM(W1414:W1434)</f>
        <v>0</v>
      </c>
      <c r="X1435" s="148"/>
      <c r="Y1435" s="127" t="s">
        <v>352</v>
      </c>
      <c r="Z1435" s="116"/>
      <c r="AA1435" s="116">
        <f>SUM(AA1414:AA1434)</f>
        <v>0</v>
      </c>
      <c r="AB1435" s="149"/>
      <c r="AC1435" s="149"/>
      <c r="AD1435" s="149"/>
      <c r="AE1435" s="149"/>
      <c r="AF1435" s="127" t="s">
        <v>356</v>
      </c>
      <c r="AG1435" s="116"/>
      <c r="AH1435" s="116">
        <f>SUM(AH1414:AH1434)</f>
        <v>0</v>
      </c>
      <c r="AI1435" s="149"/>
      <c r="AJ1435" s="149"/>
      <c r="AK1435" s="149"/>
      <c r="AL1435" s="149"/>
      <c r="AM1435" s="150">
        <f>P1435</f>
        <v>0</v>
      </c>
      <c r="AO1435" s="286"/>
      <c r="AP1435" s="284">
        <f t="shared" si="661"/>
        <v>0</v>
      </c>
      <c r="AQ1435" s="281">
        <f t="shared" si="662"/>
        <v>0</v>
      </c>
      <c r="AR1435" s="284">
        <f t="shared" si="663"/>
        <v>0</v>
      </c>
      <c r="AS1435" s="281">
        <f t="shared" si="664"/>
        <v>0</v>
      </c>
      <c r="AT1435" s="284">
        <f t="shared" si="665"/>
        <v>0</v>
      </c>
    </row>
    <row r="1436" spans="1:97" s="234" customFormat="1" ht="123.45" x14ac:dyDescent="0.8">
      <c r="A1436" s="262">
        <f>ROW()</f>
        <v>1436</v>
      </c>
      <c r="B1436" s="234" t="s">
        <v>491</v>
      </c>
      <c r="C1436" s="217" t="str">
        <f>N1414</f>
        <v>split AC systems (local power supply)</v>
      </c>
      <c r="D1436" s="260" t="str">
        <f>IF(B1436="Shopping List",IF(ISNUMBER(SEARCH("MSSB",C1436)),"MSSB",IF(ISNUMBER(SEARCH("local",C1436)),"LOCAL","")))</f>
        <v>LOCAL</v>
      </c>
      <c r="E1436" s="238">
        <v>4</v>
      </c>
      <c r="F1436" s="217"/>
      <c r="G1436" s="217">
        <v>6</v>
      </c>
      <c r="H1436" s="245">
        <v>10</v>
      </c>
      <c r="I1436" s="270"/>
      <c r="J1436" s="241" t="str">
        <f>CONCATENATE(O1414," ",L1414, " (",M1414,") ",N1414,".", IF(M1414&gt;1," Each "," This "),"includes supply and install of ",O1415,O1416,O1417,O1418,O1419,O1420,O1421,O1422,O1423,O1424,O1425,O1426,O1427,O1428,O1429,O1430,O1431,O1432,O1433,O1434,J1415,J1416,J1417,J1418,J1419,J1420,J1421,J1422,J1423,J1424,J1425,J1426,J1427,J1428,J1429,J1430,J1431,J1432,J1433,J1434)</f>
        <v xml:space="preserve">Electrical power supply and controls cabling to Zero (0) split AC systems (local power supply). This includes supply and install of interconnect cabling,  power cabling from outdoor unit and local power isolator ( for Indoor unit). Each system includes install only of  proprietary controller. CB and Power cabling from electricians isolator to outdoor unit. Coordination Note: - AC system supplier : Please refer to our exclusions relating to proprietary air-conditioning controllers. </v>
      </c>
      <c r="K1436" s="246">
        <f>P1435</f>
        <v>0</v>
      </c>
      <c r="L1436" s="234" t="str">
        <f>CONCATENATE(Q1415,Q1416,Q1417,Q1418,Q1419,Q1420,Q1421,Q1422,Q1423,Q1424,Q1425,Q1426,Q1427,Q1428,Q1429,Q1430,Q1431,Q1432,Q1433,Q1434,)</f>
        <v xml:space="preserve">proprietary air-conditioning controllers. </v>
      </c>
      <c r="M1436" s="166" t="s">
        <v>367</v>
      </c>
      <c r="N1436" s="160" t="str">
        <f>N1414</f>
        <v>split AC systems (local power supply)</v>
      </c>
      <c r="O1436" s="160" t="s">
        <v>365</v>
      </c>
      <c r="P1436" s="64" t="e">
        <f>P1435/M1414</f>
        <v>#DIV/0!</v>
      </c>
      <c r="Q1436" s="161"/>
      <c r="R1436" s="161"/>
      <c r="S1436" s="160"/>
      <c r="T1436" s="161"/>
      <c r="U1436" s="503" t="s">
        <v>366</v>
      </c>
      <c r="V1436" s="503"/>
      <c r="W1436" s="162" t="e">
        <f>W1435/M1414</f>
        <v>#DIV/0!</v>
      </c>
      <c r="X1436" s="163"/>
      <c r="Y1436" s="501" t="s">
        <v>365</v>
      </c>
      <c r="Z1436" s="501"/>
      <c r="AA1436" s="164" t="e">
        <f>AA1435/M1414</f>
        <v>#DIV/0!</v>
      </c>
      <c r="AB1436" s="161"/>
      <c r="AC1436" s="161"/>
      <c r="AD1436" s="161"/>
      <c r="AE1436" s="161"/>
      <c r="AF1436" s="501" t="s">
        <v>365</v>
      </c>
      <c r="AG1436" s="501"/>
      <c r="AH1436" s="164" t="e">
        <f>AH1435/M1414</f>
        <v>#DIV/0!</v>
      </c>
      <c r="AI1436" s="161"/>
      <c r="AJ1436" s="161"/>
      <c r="AK1436" s="161"/>
      <c r="AL1436" s="247"/>
      <c r="AM1436" s="257"/>
      <c r="AN1436" s="236">
        <f>K1436*1.25</f>
        <v>0</v>
      </c>
      <c r="AO1436" s="286"/>
      <c r="AP1436" s="284">
        <f t="shared" si="661"/>
        <v>0</v>
      </c>
      <c r="AQ1436" s="281">
        <f t="shared" si="662"/>
        <v>0</v>
      </c>
      <c r="AR1436" s="284">
        <f t="shared" si="663"/>
        <v>0</v>
      </c>
      <c r="AS1436" s="281">
        <f t="shared" si="664"/>
        <v>0</v>
      </c>
      <c r="AT1436" s="284">
        <f t="shared" si="665"/>
        <v>0</v>
      </c>
      <c r="AU1436" s="117"/>
      <c r="AV1436" s="117"/>
      <c r="AW1436" s="117"/>
      <c r="AX1436" s="117"/>
      <c r="AY1436" s="117"/>
      <c r="AZ1436" s="117"/>
      <c r="BA1436" s="117"/>
      <c r="BB1436" s="117"/>
      <c r="BC1436" s="117"/>
      <c r="BD1436" s="117"/>
      <c r="BE1436" s="117"/>
      <c r="BF1436" s="117"/>
      <c r="BG1436" s="117"/>
      <c r="BH1436" s="117"/>
      <c r="BI1436" s="117"/>
      <c r="BJ1436" s="117"/>
      <c r="BK1436" s="117"/>
      <c r="BL1436" s="117"/>
      <c r="BM1436" s="117"/>
      <c r="BN1436" s="117"/>
      <c r="BO1436" s="117"/>
      <c r="BP1436" s="117"/>
      <c r="BQ1436" s="117"/>
      <c r="BR1436" s="117"/>
      <c r="BS1436" s="117"/>
      <c r="BT1436" s="117"/>
      <c r="BU1436" s="117"/>
      <c r="BV1436" s="117"/>
      <c r="BW1436" s="117"/>
      <c r="BX1436" s="117"/>
      <c r="BY1436" s="117"/>
      <c r="BZ1436" s="117"/>
      <c r="CA1436" s="117"/>
      <c r="CB1436" s="117"/>
      <c r="CC1436" s="117"/>
      <c r="CD1436" s="117"/>
      <c r="CE1436" s="117"/>
      <c r="CF1436" s="117"/>
      <c r="CG1436" s="117"/>
      <c r="CH1436" s="117"/>
      <c r="CI1436" s="117"/>
      <c r="CJ1436" s="117"/>
      <c r="CK1436" s="117"/>
      <c r="CL1436" s="117"/>
      <c r="CM1436" s="117"/>
      <c r="CN1436" s="117"/>
      <c r="CO1436" s="117"/>
      <c r="CP1436" s="117"/>
      <c r="CQ1436" s="117"/>
      <c r="CR1436" s="117"/>
      <c r="CS1436" s="117"/>
    </row>
    <row r="1437" spans="1:97" s="2" customFormat="1" ht="192.75" customHeight="1" x14ac:dyDescent="0.8">
      <c r="A1437" s="262">
        <f>ROW()</f>
        <v>1437</v>
      </c>
      <c r="B1437" s="116"/>
      <c r="C1437" s="211"/>
      <c r="D1437" s="211"/>
      <c r="E1437" s="211"/>
      <c r="F1437" s="211"/>
      <c r="G1437" s="211"/>
      <c r="H1437" s="211"/>
      <c r="I1437" s="116"/>
      <c r="K1437" s="2" t="s">
        <v>452</v>
      </c>
      <c r="M1437" s="2" t="s">
        <v>298</v>
      </c>
      <c r="N1437" s="2" t="s">
        <v>108</v>
      </c>
      <c r="O1437" s="97" t="s">
        <v>386</v>
      </c>
      <c r="P1437" s="502" t="s">
        <v>375</v>
      </c>
      <c r="Q1437" s="502"/>
      <c r="R1437" s="101" t="s">
        <v>452</v>
      </c>
      <c r="S1437" s="2" t="s">
        <v>0</v>
      </c>
      <c r="T1437" s="9"/>
      <c r="U1437" s="2" t="s">
        <v>287</v>
      </c>
      <c r="V1437" s="2" t="s">
        <v>288</v>
      </c>
      <c r="W1437" s="2" t="s">
        <v>291</v>
      </c>
      <c r="X1437" s="58"/>
      <c r="Y1437" s="2" t="s">
        <v>289</v>
      </c>
      <c r="Z1437" s="2" t="s">
        <v>354</v>
      </c>
      <c r="AA1437" s="2" t="s">
        <v>355</v>
      </c>
      <c r="AB1437" s="2" t="s">
        <v>317</v>
      </c>
      <c r="AC1437" s="2" t="s">
        <v>318</v>
      </c>
      <c r="AD1437" s="2" t="s">
        <v>316</v>
      </c>
      <c r="AE1437" s="58"/>
      <c r="AF1437" s="2" t="s">
        <v>293</v>
      </c>
      <c r="AG1437" s="2" t="s">
        <v>354</v>
      </c>
      <c r="AH1437" s="2" t="s">
        <v>355</v>
      </c>
      <c r="AI1437" s="2" t="s">
        <v>296</v>
      </c>
      <c r="AJ1437" s="2" t="s">
        <v>294</v>
      </c>
      <c r="AK1437" s="2" t="s">
        <v>295</v>
      </c>
      <c r="AL1437" s="58"/>
      <c r="AO1437" s="288"/>
      <c r="AP1437" s="284">
        <f t="shared" si="661"/>
        <v>0</v>
      </c>
      <c r="AQ1437" s="281">
        <f t="shared" si="662"/>
        <v>0</v>
      </c>
      <c r="AR1437" s="284">
        <f t="shared" si="663"/>
        <v>0</v>
      </c>
      <c r="AS1437" s="281">
        <f t="shared" si="664"/>
        <v>0</v>
      </c>
      <c r="AT1437" s="284">
        <f t="shared" si="665"/>
        <v>0</v>
      </c>
    </row>
    <row r="1438" spans="1:97" s="32" customFormat="1" ht="40.5" customHeight="1" x14ac:dyDescent="0.8">
      <c r="A1438" s="262">
        <f>ROW()</f>
        <v>1438</v>
      </c>
      <c r="B1438" s="114"/>
      <c r="C1438" s="208"/>
      <c r="D1438" s="208"/>
      <c r="E1438" s="208"/>
      <c r="F1438" s="208"/>
      <c r="G1438" s="208"/>
      <c r="H1438" s="208"/>
      <c r="I1438" s="114"/>
      <c r="L1438" s="16" t="str">
        <f>VLOOKUP(M1438,Sheet2!$D$2:$E$1024,2,FALSE)</f>
        <v>Zero</v>
      </c>
      <c r="M1438" s="121">
        <f>I1460</f>
        <v>0</v>
      </c>
      <c r="N1438" s="27" t="s">
        <v>427</v>
      </c>
      <c r="O1438" s="12" t="s">
        <v>138</v>
      </c>
      <c r="P1438" s="96" t="s">
        <v>379</v>
      </c>
      <c r="Q1438" s="96" t="s">
        <v>375</v>
      </c>
      <c r="R1438" s="96"/>
      <c r="S1438" s="28">
        <f>M1438</f>
        <v>0</v>
      </c>
      <c r="T1438" s="10"/>
      <c r="U1438" s="12" t="s">
        <v>292</v>
      </c>
      <c r="V1438" s="28">
        <f>S1438</f>
        <v>0</v>
      </c>
      <c r="W1438" s="28">
        <f>VLOOKUP(U1438,Sheet1!$B$6:$C$45,2,FALSE)*V1438</f>
        <v>0</v>
      </c>
      <c r="X1438" s="59"/>
      <c r="Y1438" s="12" t="s">
        <v>292</v>
      </c>
      <c r="Z1438" s="68">
        <f>VLOOKUP(Takeoffs!Y1438,Sheet1!$B$6:$C$124,2,FALSE)</f>
        <v>0</v>
      </c>
      <c r="AA1438" s="68">
        <f>Z1438*AB1438</f>
        <v>0</v>
      </c>
      <c r="AB1438" s="63">
        <f>AD1438*AC1438</f>
        <v>0</v>
      </c>
      <c r="AC1438" s="28">
        <f>S1438</f>
        <v>0</v>
      </c>
      <c r="AD1438" s="61">
        <v>1</v>
      </c>
      <c r="AE1438" s="59"/>
      <c r="AF1438" s="12" t="s">
        <v>292</v>
      </c>
      <c r="AG1438" s="68">
        <f>VLOOKUP(Takeoffs!AF1438,Sheet1!$B$6:$C$124,2,FALSE)</f>
        <v>0</v>
      </c>
      <c r="AH1438" s="68">
        <f>AG1438*AI1438</f>
        <v>0</v>
      </c>
      <c r="AI1438" s="63">
        <f>AK1438*AJ1438</f>
        <v>0</v>
      </c>
      <c r="AJ1438" s="28">
        <f>S1438</f>
        <v>0</v>
      </c>
      <c r="AK1438" s="61">
        <f>T1438</f>
        <v>0</v>
      </c>
      <c r="AL1438" s="59"/>
      <c r="AO1438" s="286"/>
      <c r="AP1438" s="284">
        <f t="shared" si="661"/>
        <v>0</v>
      </c>
      <c r="AQ1438" s="281">
        <f t="shared" si="662"/>
        <v>0</v>
      </c>
      <c r="AR1438" s="284">
        <f t="shared" si="663"/>
        <v>0</v>
      </c>
      <c r="AS1438" s="281">
        <f t="shared" si="664"/>
        <v>0</v>
      </c>
      <c r="AT1438" s="284">
        <f t="shared" si="665"/>
        <v>0</v>
      </c>
    </row>
    <row r="1439" spans="1:97" s="32" customFormat="1" ht="30.9" x14ac:dyDescent="0.8">
      <c r="A1439" s="262">
        <f>ROW()</f>
        <v>1439</v>
      </c>
      <c r="B1439" s="114"/>
      <c r="C1439" s="208"/>
      <c r="D1439" s="208"/>
      <c r="E1439" s="208"/>
      <c r="F1439" s="208"/>
      <c r="G1439" s="208"/>
      <c r="H1439" s="208"/>
      <c r="I1439" s="114"/>
      <c r="J1439" s="32" t="str">
        <f>IF(COUNTBLANK(Q1439)&gt;0,"",CONCATENATE("Coordination Note: - ",P1439,": Please refer to our exclusions relating to ",Q1439))</f>
        <v/>
      </c>
      <c r="K1439" s="32" t="str">
        <f>IF(COUNTBLANK(R1439)&gt;0,"",CONCATENATE(R1439," for ",N1438))</f>
        <v/>
      </c>
      <c r="M1439" s="38"/>
      <c r="N1439" s="15" t="s">
        <v>113</v>
      </c>
      <c r="O1439" s="66" t="s">
        <v>426</v>
      </c>
      <c r="P1439" s="12"/>
      <c r="Q1439" s="12"/>
      <c r="R1439" s="12"/>
      <c r="S1439" s="28">
        <f>M1438</f>
        <v>0</v>
      </c>
      <c r="T1439" s="11"/>
      <c r="U1439" s="12" t="s">
        <v>292</v>
      </c>
      <c r="V1439" s="28">
        <f t="shared" ref="V1439:V1458" si="666">S1439</f>
        <v>0</v>
      </c>
      <c r="W1439" s="28">
        <f>VLOOKUP(U1439,Sheet1!$B$6:$C$45,2,FALSE)*V1439</f>
        <v>0</v>
      </c>
      <c r="X1439" s="59"/>
      <c r="Y1439" s="12" t="s">
        <v>292</v>
      </c>
      <c r="Z1439" s="68">
        <f>VLOOKUP(Takeoffs!Y1439,Sheet1!$B$6:$C$124,2,FALSE)</f>
        <v>0</v>
      </c>
      <c r="AA1439" s="68">
        <f t="shared" ref="AA1439:AA1458" si="667">Z1439*AB1439</f>
        <v>0</v>
      </c>
      <c r="AB1439" s="63">
        <f t="shared" ref="AB1439:AB1458" si="668">AD1439*AC1439</f>
        <v>0</v>
      </c>
      <c r="AC1439" s="28">
        <f>S1439</f>
        <v>0</v>
      </c>
      <c r="AD1439" s="61">
        <v>1</v>
      </c>
      <c r="AE1439" s="59"/>
      <c r="AF1439" s="13" t="s">
        <v>269</v>
      </c>
      <c r="AG1439" s="68">
        <f>VLOOKUP(Takeoffs!AF1439,Sheet1!$B$6:$C$124,2,FALSE)</f>
        <v>1.056</v>
      </c>
      <c r="AH1439" s="68">
        <f t="shared" ref="AH1439:AH1458" si="669">AG1439*AI1439</f>
        <v>0</v>
      </c>
      <c r="AI1439" s="63">
        <f t="shared" ref="AI1439:AI1458" si="670">AK1439*AJ1439</f>
        <v>0</v>
      </c>
      <c r="AJ1439" s="28">
        <f t="shared" ref="AJ1439:AJ1458" si="671">S1439</f>
        <v>0</v>
      </c>
      <c r="AK1439" s="61">
        <v>10</v>
      </c>
      <c r="AL1439" s="59"/>
      <c r="AO1439" s="286"/>
      <c r="AP1439" s="284">
        <f t="shared" si="661"/>
        <v>0</v>
      </c>
      <c r="AQ1439" s="281">
        <f t="shared" si="662"/>
        <v>0</v>
      </c>
      <c r="AR1439" s="284">
        <f t="shared" si="663"/>
        <v>0</v>
      </c>
      <c r="AS1439" s="281">
        <f t="shared" si="664"/>
        <v>0</v>
      </c>
      <c r="AT1439" s="284">
        <f t="shared" si="665"/>
        <v>0</v>
      </c>
    </row>
    <row r="1440" spans="1:97" s="32" customFormat="1" ht="30.9" x14ac:dyDescent="0.8">
      <c r="A1440" s="262">
        <f>ROW()</f>
        <v>1440</v>
      </c>
      <c r="B1440" s="114"/>
      <c r="C1440" s="208"/>
      <c r="D1440" s="208"/>
      <c r="E1440" s="208"/>
      <c r="F1440" s="208"/>
      <c r="G1440" s="208"/>
      <c r="H1440" s="208"/>
      <c r="I1440" s="114"/>
      <c r="J1440" s="32" t="str">
        <f t="shared" ref="J1440:J1458" si="672">IF(COUNTBLANK(Q1440)&gt;0,"",CONCATENATE("Coordination Note: - ",P1440,": Please refer to our exclusions relating to ",Q1440))</f>
        <v/>
      </c>
      <c r="K1440" s="32" t="str">
        <f>IF(COUNTBLANK(R1440)&gt;0,"",CONCATENATE(R1440," for ",N1438))</f>
        <v/>
      </c>
      <c r="M1440" s="38"/>
      <c r="N1440" s="15" t="s">
        <v>114</v>
      </c>
      <c r="O1440" s="66" t="s">
        <v>392</v>
      </c>
      <c r="P1440" s="12"/>
      <c r="Q1440" s="12"/>
      <c r="R1440" s="12"/>
      <c r="S1440" s="28">
        <f>M1438</f>
        <v>0</v>
      </c>
      <c r="T1440" s="11"/>
      <c r="U1440" s="12" t="s">
        <v>286</v>
      </c>
      <c r="V1440" s="28">
        <f t="shared" si="666"/>
        <v>0</v>
      </c>
      <c r="W1440" s="28">
        <f>VLOOKUP(U1440,Sheet1!$B$6:$C$45,2,FALSE)*V1440</f>
        <v>0</v>
      </c>
      <c r="X1440" s="59"/>
      <c r="Y1440" s="12" t="s">
        <v>292</v>
      </c>
      <c r="Z1440" s="68">
        <f>VLOOKUP(Takeoffs!Y1440,Sheet1!$B$6:$C$124,2,FALSE)</f>
        <v>0</v>
      </c>
      <c r="AA1440" s="68">
        <f t="shared" si="667"/>
        <v>0</v>
      </c>
      <c r="AB1440" s="63">
        <f t="shared" si="668"/>
        <v>0</v>
      </c>
      <c r="AC1440" s="28">
        <f>S1440</f>
        <v>0</v>
      </c>
      <c r="AD1440" s="61">
        <v>1</v>
      </c>
      <c r="AE1440" s="59"/>
      <c r="AF1440" s="13" t="s">
        <v>268</v>
      </c>
      <c r="AG1440" s="68">
        <f>VLOOKUP(Takeoffs!AF1440,Sheet1!$B$6:$C$124,2,FALSE)</f>
        <v>1.02</v>
      </c>
      <c r="AH1440" s="68">
        <f t="shared" si="669"/>
        <v>0</v>
      </c>
      <c r="AI1440" s="63">
        <f t="shared" si="670"/>
        <v>0</v>
      </c>
      <c r="AJ1440" s="28">
        <f t="shared" si="671"/>
        <v>0</v>
      </c>
      <c r="AK1440" s="61">
        <v>10</v>
      </c>
      <c r="AL1440" s="59"/>
      <c r="AO1440" s="286"/>
      <c r="AP1440" s="284">
        <f t="shared" si="661"/>
        <v>0</v>
      </c>
      <c r="AQ1440" s="281">
        <f t="shared" si="662"/>
        <v>0</v>
      </c>
      <c r="AR1440" s="284">
        <f t="shared" si="663"/>
        <v>0</v>
      </c>
      <c r="AS1440" s="281">
        <f t="shared" si="664"/>
        <v>0</v>
      </c>
      <c r="AT1440" s="284">
        <f t="shared" si="665"/>
        <v>0</v>
      </c>
    </row>
    <row r="1441" spans="1:46" s="32" customFormat="1" ht="30.9" x14ac:dyDescent="0.8">
      <c r="A1441" s="262">
        <f>ROW()</f>
        <v>1441</v>
      </c>
      <c r="B1441" s="114"/>
      <c r="C1441" s="208"/>
      <c r="D1441" s="208"/>
      <c r="E1441" s="208"/>
      <c r="F1441" s="208"/>
      <c r="G1441" s="208"/>
      <c r="H1441" s="208"/>
      <c r="I1441" s="114"/>
      <c r="J1441" s="32" t="str">
        <f t="shared" si="672"/>
        <v/>
      </c>
      <c r="K1441" s="32" t="str">
        <f>IF(COUNTBLANK(R1441)&gt;0,"",CONCATENATE(R1441," for ",N1438))</f>
        <v/>
      </c>
      <c r="M1441" s="38"/>
      <c r="N1441" s="15" t="s">
        <v>115</v>
      </c>
      <c r="O1441" s="66" t="s">
        <v>413</v>
      </c>
      <c r="P1441" s="12"/>
      <c r="Q1441" s="12"/>
      <c r="R1441" s="12"/>
      <c r="S1441" s="28">
        <f>M1438</f>
        <v>0</v>
      </c>
      <c r="T1441" s="11"/>
      <c r="U1441" s="12" t="s">
        <v>292</v>
      </c>
      <c r="V1441" s="28">
        <f t="shared" si="666"/>
        <v>0</v>
      </c>
      <c r="W1441" s="28">
        <f>VLOOKUP(U1441,Sheet1!$B$6:$C$45,2,FALSE)*V1441</f>
        <v>0</v>
      </c>
      <c r="X1441" s="59"/>
      <c r="Y1441" s="13" t="s">
        <v>247</v>
      </c>
      <c r="Z1441" s="68">
        <f>VLOOKUP(Takeoffs!Y1441,Sheet1!$B$6:$C$124,2,FALSE)</f>
        <v>23.76</v>
      </c>
      <c r="AA1441" s="68">
        <f t="shared" si="667"/>
        <v>0</v>
      </c>
      <c r="AB1441" s="63">
        <f t="shared" si="668"/>
        <v>0</v>
      </c>
      <c r="AC1441" s="28">
        <f t="shared" ref="AC1441:AC1458" si="673">S1441</f>
        <v>0</v>
      </c>
      <c r="AD1441" s="61">
        <v>1</v>
      </c>
      <c r="AE1441" s="59"/>
      <c r="AF1441" s="12" t="s">
        <v>292</v>
      </c>
      <c r="AG1441" s="68">
        <f>VLOOKUP(Takeoffs!AF1441,Sheet1!$B$6:$C$124,2,FALSE)</f>
        <v>0</v>
      </c>
      <c r="AH1441" s="68">
        <f t="shared" si="669"/>
        <v>0</v>
      </c>
      <c r="AI1441" s="63">
        <f t="shared" si="670"/>
        <v>0</v>
      </c>
      <c r="AJ1441" s="28">
        <f t="shared" si="671"/>
        <v>0</v>
      </c>
      <c r="AK1441" s="61">
        <f>T1441</f>
        <v>0</v>
      </c>
      <c r="AL1441" s="59"/>
      <c r="AO1441" s="286"/>
      <c r="AP1441" s="284">
        <f t="shared" si="661"/>
        <v>0</v>
      </c>
      <c r="AQ1441" s="281">
        <f t="shared" si="662"/>
        <v>0</v>
      </c>
      <c r="AR1441" s="284">
        <f t="shared" si="663"/>
        <v>0</v>
      </c>
      <c r="AS1441" s="281">
        <f t="shared" si="664"/>
        <v>0</v>
      </c>
      <c r="AT1441" s="284">
        <f t="shared" si="665"/>
        <v>0</v>
      </c>
    </row>
    <row r="1442" spans="1:46" s="32" customFormat="1" ht="30.9" x14ac:dyDescent="0.8">
      <c r="A1442" s="262">
        <f>ROW()</f>
        <v>1442</v>
      </c>
      <c r="B1442" s="114"/>
      <c r="C1442" s="208"/>
      <c r="D1442" s="208"/>
      <c r="E1442" s="208"/>
      <c r="F1442" s="208"/>
      <c r="G1442" s="208"/>
      <c r="H1442" s="208"/>
      <c r="I1442" s="114"/>
      <c r="J1442" s="32" t="str">
        <f t="shared" si="672"/>
        <v xml:space="preserve">Coordination Note: - AC system supplier : Please refer to our exclusions relating to proprietary air-conditioning controllers. </v>
      </c>
      <c r="K1442" s="32" t="str">
        <f>IF(COUNTBLANK(R1442)&gt;0,"",CONCATENATE(R1442," for ",N1438))</f>
        <v/>
      </c>
      <c r="M1442" s="38"/>
      <c r="N1442" s="15" t="s">
        <v>116</v>
      </c>
      <c r="O1442" s="66" t="s">
        <v>414</v>
      </c>
      <c r="P1442" s="12" t="s">
        <v>447</v>
      </c>
      <c r="Q1442" s="12" t="s">
        <v>449</v>
      </c>
      <c r="R1442" s="12"/>
      <c r="S1442" s="28">
        <f>M1438</f>
        <v>0</v>
      </c>
      <c r="T1442" s="11"/>
      <c r="U1442" s="12" t="s">
        <v>292</v>
      </c>
      <c r="V1442" s="28">
        <f t="shared" si="666"/>
        <v>0</v>
      </c>
      <c r="W1442" s="28">
        <f>VLOOKUP(U1442,Sheet1!$B$6:$C$45,2,FALSE)*V1442</f>
        <v>0</v>
      </c>
      <c r="X1442" s="59"/>
      <c r="Y1442" s="12" t="s">
        <v>292</v>
      </c>
      <c r="Z1442" s="68">
        <f>VLOOKUP(Takeoffs!Y1442,Sheet1!$B$6:$C$124,2,FALSE)</f>
        <v>0</v>
      </c>
      <c r="AA1442" s="68">
        <f t="shared" si="667"/>
        <v>0</v>
      </c>
      <c r="AB1442" s="63">
        <f t="shared" si="668"/>
        <v>0</v>
      </c>
      <c r="AC1442" s="28">
        <f t="shared" si="673"/>
        <v>0</v>
      </c>
      <c r="AD1442" s="61">
        <v>1</v>
      </c>
      <c r="AE1442" s="59"/>
      <c r="AF1442" s="12" t="s">
        <v>292</v>
      </c>
      <c r="AG1442" s="68">
        <f>VLOOKUP(Takeoffs!AF1442,Sheet1!$B$6:$C$124,2,FALSE)</f>
        <v>0</v>
      </c>
      <c r="AH1442" s="68">
        <f t="shared" si="669"/>
        <v>0</v>
      </c>
      <c r="AI1442" s="63">
        <f t="shared" si="670"/>
        <v>0</v>
      </c>
      <c r="AJ1442" s="28">
        <f t="shared" si="671"/>
        <v>0</v>
      </c>
      <c r="AK1442" s="61">
        <f>T1442</f>
        <v>0</v>
      </c>
      <c r="AL1442" s="59"/>
      <c r="AO1442" s="286"/>
      <c r="AP1442" s="284">
        <f t="shared" si="661"/>
        <v>0</v>
      </c>
      <c r="AQ1442" s="281">
        <f t="shared" si="662"/>
        <v>0</v>
      </c>
      <c r="AR1442" s="284">
        <f t="shared" si="663"/>
        <v>0</v>
      </c>
      <c r="AS1442" s="281">
        <f t="shared" si="664"/>
        <v>0</v>
      </c>
      <c r="AT1442" s="284">
        <f t="shared" si="665"/>
        <v>0</v>
      </c>
    </row>
    <row r="1443" spans="1:46" s="32" customFormat="1" ht="30.9" x14ac:dyDescent="0.8">
      <c r="A1443" s="262">
        <f>ROW()</f>
        <v>1443</v>
      </c>
      <c r="B1443" s="114"/>
      <c r="C1443" s="208"/>
      <c r="D1443" s="208"/>
      <c r="E1443" s="208"/>
      <c r="F1443" s="208"/>
      <c r="G1443" s="208"/>
      <c r="H1443" s="208"/>
      <c r="I1443" s="114"/>
      <c r="J1443" s="32" t="str">
        <f t="shared" si="672"/>
        <v xml:space="preserve">Coordination Note: - Builders Electrician : Please refer to our exclusions relating to local power supply and isolator for common area split AC systems condenser units. </v>
      </c>
      <c r="K1443" s="32" t="str">
        <f>IF(COUNTBLANK(R1443)&gt;0,"",CONCATENATE(R1443," for ",N1438))</f>
        <v/>
      </c>
      <c r="M1443" s="38"/>
      <c r="N1443" s="15" t="s">
        <v>117</v>
      </c>
      <c r="O1443" s="66" t="s">
        <v>507</v>
      </c>
      <c r="P1443" s="12" t="s">
        <v>448</v>
      </c>
      <c r="Q1443" s="12" t="s">
        <v>415</v>
      </c>
      <c r="R1443" s="12"/>
      <c r="S1443" s="28">
        <f>M1438</f>
        <v>0</v>
      </c>
      <c r="T1443" s="11"/>
      <c r="U1443" s="12" t="s">
        <v>292</v>
      </c>
      <c r="V1443" s="28">
        <f t="shared" si="666"/>
        <v>0</v>
      </c>
      <c r="W1443" s="28">
        <f>VLOOKUP(U1443,Sheet1!$B$6:$C$45,2,FALSE)*V1443</f>
        <v>0</v>
      </c>
      <c r="X1443" s="59"/>
      <c r="Y1443" s="12" t="s">
        <v>292</v>
      </c>
      <c r="Z1443" s="68">
        <f>VLOOKUP(Takeoffs!Y1443,Sheet1!$B$6:$C$124,2,FALSE)</f>
        <v>0</v>
      </c>
      <c r="AA1443" s="68">
        <f t="shared" si="667"/>
        <v>0</v>
      </c>
      <c r="AB1443" s="63">
        <f t="shared" si="668"/>
        <v>0</v>
      </c>
      <c r="AC1443" s="28">
        <f t="shared" si="673"/>
        <v>0</v>
      </c>
      <c r="AD1443" s="61">
        <v>1</v>
      </c>
      <c r="AE1443" s="59"/>
      <c r="AF1443" s="13" t="s">
        <v>268</v>
      </c>
      <c r="AG1443" s="68">
        <f>VLOOKUP(Takeoffs!AF1443,Sheet1!$B$6:$C$124,2,FALSE)</f>
        <v>1.02</v>
      </c>
      <c r="AH1443" s="68">
        <f t="shared" si="669"/>
        <v>0</v>
      </c>
      <c r="AI1443" s="63">
        <f t="shared" si="670"/>
        <v>0</v>
      </c>
      <c r="AJ1443" s="28">
        <f t="shared" si="671"/>
        <v>0</v>
      </c>
      <c r="AK1443" s="61">
        <v>10</v>
      </c>
      <c r="AL1443" s="59"/>
      <c r="AO1443" s="286"/>
      <c r="AP1443" s="284">
        <f t="shared" si="661"/>
        <v>0</v>
      </c>
      <c r="AQ1443" s="281">
        <f t="shared" si="662"/>
        <v>0</v>
      </c>
      <c r="AR1443" s="284">
        <f t="shared" si="663"/>
        <v>0</v>
      </c>
      <c r="AS1443" s="281">
        <f t="shared" si="664"/>
        <v>0</v>
      </c>
      <c r="AT1443" s="284">
        <f t="shared" si="665"/>
        <v>0</v>
      </c>
    </row>
    <row r="1444" spans="1:46" s="32" customFormat="1" ht="30.9" x14ac:dyDescent="0.8">
      <c r="A1444" s="262">
        <f>ROW()</f>
        <v>1444</v>
      </c>
      <c r="B1444" s="114"/>
      <c r="C1444" s="208"/>
      <c r="D1444" s="208"/>
      <c r="E1444" s="208"/>
      <c r="F1444" s="208"/>
      <c r="G1444" s="208"/>
      <c r="H1444" s="208"/>
      <c r="I1444" s="114"/>
      <c r="J1444" s="32" t="str">
        <f t="shared" si="672"/>
        <v/>
      </c>
      <c r="K1444" s="32" t="str">
        <f>IF(COUNTBLANK(R1444)&gt;0,"",CONCATENATE(R1444," for ",N1438))</f>
        <v/>
      </c>
      <c r="M1444" s="38"/>
      <c r="N1444" s="15" t="s">
        <v>118</v>
      </c>
      <c r="O1444" s="66"/>
      <c r="P1444" s="12"/>
      <c r="Q1444" s="12"/>
      <c r="R1444" s="12"/>
      <c r="S1444" s="28">
        <f>M1438</f>
        <v>0</v>
      </c>
      <c r="T1444" s="11"/>
      <c r="U1444" s="12" t="s">
        <v>292</v>
      </c>
      <c r="V1444" s="28">
        <f t="shared" si="666"/>
        <v>0</v>
      </c>
      <c r="W1444" s="28">
        <f>VLOOKUP(U1444,Sheet1!$B$6:$C$45,2,FALSE)*V1444</f>
        <v>0</v>
      </c>
      <c r="X1444" s="59"/>
      <c r="Y1444" s="12" t="s">
        <v>292</v>
      </c>
      <c r="Z1444" s="68">
        <f>VLOOKUP(Takeoffs!Y1444,Sheet1!$B$6:$C$124,2,FALSE)</f>
        <v>0</v>
      </c>
      <c r="AA1444" s="68">
        <f t="shared" si="667"/>
        <v>0</v>
      </c>
      <c r="AB1444" s="63">
        <f t="shared" si="668"/>
        <v>0</v>
      </c>
      <c r="AC1444" s="28">
        <f t="shared" si="673"/>
        <v>0</v>
      </c>
      <c r="AD1444" s="61">
        <v>1</v>
      </c>
      <c r="AE1444" s="59"/>
      <c r="AF1444" s="12" t="s">
        <v>292</v>
      </c>
      <c r="AG1444" s="68">
        <f>VLOOKUP(Takeoffs!AF1444,Sheet1!$B$6:$C$124,2,FALSE)</f>
        <v>0</v>
      </c>
      <c r="AH1444" s="68">
        <f t="shared" si="669"/>
        <v>0</v>
      </c>
      <c r="AI1444" s="63">
        <f t="shared" si="670"/>
        <v>0</v>
      </c>
      <c r="AJ1444" s="28">
        <f t="shared" si="671"/>
        <v>0</v>
      </c>
      <c r="AK1444" s="61">
        <f t="shared" ref="AK1444:AK1458" si="674">T1444</f>
        <v>0</v>
      </c>
      <c r="AL1444" s="59"/>
      <c r="AO1444" s="286"/>
      <c r="AP1444" s="284">
        <f t="shared" si="661"/>
        <v>0</v>
      </c>
      <c r="AQ1444" s="281">
        <f t="shared" si="662"/>
        <v>0</v>
      </c>
      <c r="AR1444" s="284">
        <f t="shared" si="663"/>
        <v>0</v>
      </c>
      <c r="AS1444" s="281">
        <f t="shared" si="664"/>
        <v>0</v>
      </c>
      <c r="AT1444" s="284">
        <f t="shared" si="665"/>
        <v>0</v>
      </c>
    </row>
    <row r="1445" spans="1:46" s="32" customFormat="1" ht="30.9" x14ac:dyDescent="0.8">
      <c r="A1445" s="262">
        <f>ROW()</f>
        <v>1445</v>
      </c>
      <c r="B1445" s="114"/>
      <c r="C1445" s="208"/>
      <c r="D1445" s="208"/>
      <c r="E1445" s="208"/>
      <c r="F1445" s="208"/>
      <c r="G1445" s="208"/>
      <c r="H1445" s="208"/>
      <c r="I1445" s="114"/>
      <c r="J1445" s="32" t="str">
        <f t="shared" si="672"/>
        <v/>
      </c>
      <c r="K1445" s="32" t="str">
        <f>IF(COUNTBLANK(R1445)&gt;0,"",CONCATENATE(R1445," for ",N1438))</f>
        <v/>
      </c>
      <c r="N1445" s="15" t="s">
        <v>119</v>
      </c>
      <c r="O1445" s="66"/>
      <c r="P1445" s="12"/>
      <c r="Q1445" s="12"/>
      <c r="R1445" s="12"/>
      <c r="S1445" s="28">
        <f>M1438</f>
        <v>0</v>
      </c>
      <c r="T1445" s="11"/>
      <c r="U1445" s="12" t="s">
        <v>292</v>
      </c>
      <c r="V1445" s="28">
        <f t="shared" si="666"/>
        <v>0</v>
      </c>
      <c r="W1445" s="28">
        <f>VLOOKUP(U1445,Sheet1!$B$6:$C$45,2,FALSE)*V1445</f>
        <v>0</v>
      </c>
      <c r="X1445" s="59"/>
      <c r="Y1445" s="12" t="s">
        <v>292</v>
      </c>
      <c r="Z1445" s="68">
        <f>VLOOKUP(Takeoffs!Y1445,Sheet1!$B$6:$C$124,2,FALSE)</f>
        <v>0</v>
      </c>
      <c r="AA1445" s="68">
        <f t="shared" si="667"/>
        <v>0</v>
      </c>
      <c r="AB1445" s="63">
        <f t="shared" si="668"/>
        <v>0</v>
      </c>
      <c r="AC1445" s="28">
        <f t="shared" si="673"/>
        <v>0</v>
      </c>
      <c r="AD1445" s="61">
        <v>1</v>
      </c>
      <c r="AE1445" s="59"/>
      <c r="AF1445" s="12" t="s">
        <v>292</v>
      </c>
      <c r="AG1445" s="68">
        <f>VLOOKUP(Takeoffs!AF1445,Sheet1!$B$6:$C$124,2,FALSE)</f>
        <v>0</v>
      </c>
      <c r="AH1445" s="68">
        <f t="shared" si="669"/>
        <v>0</v>
      </c>
      <c r="AI1445" s="63">
        <f t="shared" si="670"/>
        <v>0</v>
      </c>
      <c r="AJ1445" s="28">
        <f t="shared" si="671"/>
        <v>0</v>
      </c>
      <c r="AK1445" s="61">
        <f t="shared" si="674"/>
        <v>0</v>
      </c>
      <c r="AL1445" s="59"/>
      <c r="AO1445" s="286"/>
      <c r="AP1445" s="284">
        <f t="shared" si="661"/>
        <v>0</v>
      </c>
      <c r="AQ1445" s="281">
        <f t="shared" si="662"/>
        <v>0</v>
      </c>
      <c r="AR1445" s="284">
        <f t="shared" si="663"/>
        <v>0</v>
      </c>
      <c r="AS1445" s="281">
        <f t="shared" si="664"/>
        <v>0</v>
      </c>
      <c r="AT1445" s="284">
        <f t="shared" si="665"/>
        <v>0</v>
      </c>
    </row>
    <row r="1446" spans="1:46" s="32" customFormat="1" ht="30.9" x14ac:dyDescent="0.8">
      <c r="A1446" s="262">
        <f>ROW()</f>
        <v>1446</v>
      </c>
      <c r="B1446" s="114"/>
      <c r="C1446" s="208"/>
      <c r="D1446" s="208"/>
      <c r="E1446" s="208"/>
      <c r="F1446" s="208"/>
      <c r="G1446" s="208"/>
      <c r="H1446" s="208"/>
      <c r="I1446" s="114"/>
      <c r="J1446" s="32" t="str">
        <f t="shared" si="672"/>
        <v/>
      </c>
      <c r="K1446" s="32" t="str">
        <f>IF(COUNTBLANK(R1446)&gt;0,"",CONCATENATE(R1446," for ",N1438))</f>
        <v/>
      </c>
      <c r="N1446" s="15" t="s">
        <v>120</v>
      </c>
      <c r="O1446" s="66"/>
      <c r="P1446" s="12"/>
      <c r="Q1446" s="12"/>
      <c r="R1446" s="12"/>
      <c r="S1446" s="28">
        <f>M1438</f>
        <v>0</v>
      </c>
      <c r="T1446" s="11"/>
      <c r="U1446" s="12" t="s">
        <v>292</v>
      </c>
      <c r="V1446" s="28">
        <f t="shared" si="666"/>
        <v>0</v>
      </c>
      <c r="W1446" s="28">
        <f>VLOOKUP(U1446,Sheet1!$B$6:$C$45,2,FALSE)*V1446</f>
        <v>0</v>
      </c>
      <c r="X1446" s="59"/>
      <c r="Y1446" s="12" t="s">
        <v>292</v>
      </c>
      <c r="Z1446" s="68">
        <f>VLOOKUP(Takeoffs!Y1446,Sheet1!$B$6:$C$124,2,FALSE)</f>
        <v>0</v>
      </c>
      <c r="AA1446" s="68">
        <f t="shared" si="667"/>
        <v>0</v>
      </c>
      <c r="AB1446" s="63">
        <f t="shared" si="668"/>
        <v>0</v>
      </c>
      <c r="AC1446" s="28">
        <f t="shared" si="673"/>
        <v>0</v>
      </c>
      <c r="AD1446" s="61">
        <v>1</v>
      </c>
      <c r="AE1446" s="59"/>
      <c r="AF1446" s="12" t="s">
        <v>292</v>
      </c>
      <c r="AG1446" s="68">
        <f>VLOOKUP(Takeoffs!AF1446,Sheet1!$B$6:$C$124,2,FALSE)</f>
        <v>0</v>
      </c>
      <c r="AH1446" s="68">
        <f t="shared" si="669"/>
        <v>0</v>
      </c>
      <c r="AI1446" s="63">
        <f t="shared" si="670"/>
        <v>0</v>
      </c>
      <c r="AJ1446" s="28">
        <f t="shared" si="671"/>
        <v>0</v>
      </c>
      <c r="AK1446" s="61">
        <f t="shared" si="674"/>
        <v>0</v>
      </c>
      <c r="AL1446" s="59"/>
      <c r="AO1446" s="286"/>
      <c r="AP1446" s="284">
        <f t="shared" si="661"/>
        <v>0</v>
      </c>
      <c r="AQ1446" s="281">
        <f t="shared" si="662"/>
        <v>0</v>
      </c>
      <c r="AR1446" s="284">
        <f t="shared" si="663"/>
        <v>0</v>
      </c>
      <c r="AS1446" s="281">
        <f t="shared" si="664"/>
        <v>0</v>
      </c>
      <c r="AT1446" s="284">
        <f t="shared" si="665"/>
        <v>0</v>
      </c>
    </row>
    <row r="1447" spans="1:46" s="32" customFormat="1" ht="30.9" x14ac:dyDescent="0.8">
      <c r="A1447" s="262">
        <f>ROW()</f>
        <v>1447</v>
      </c>
      <c r="B1447" s="114"/>
      <c r="C1447" s="208"/>
      <c r="D1447" s="208"/>
      <c r="E1447" s="208"/>
      <c r="F1447" s="208"/>
      <c r="G1447" s="208"/>
      <c r="H1447" s="208"/>
      <c r="I1447" s="114"/>
      <c r="J1447" s="32" t="str">
        <f t="shared" si="672"/>
        <v/>
      </c>
      <c r="K1447" s="32" t="str">
        <f>IF(COUNTBLANK(R1447)&gt;0,"",CONCATENATE(R1447," for ",N1438))</f>
        <v/>
      </c>
      <c r="N1447" s="15" t="s">
        <v>121</v>
      </c>
      <c r="O1447" s="66"/>
      <c r="P1447" s="12"/>
      <c r="Q1447" s="12"/>
      <c r="R1447" s="12"/>
      <c r="S1447" s="28">
        <f>M1438</f>
        <v>0</v>
      </c>
      <c r="T1447" s="11"/>
      <c r="U1447" s="12" t="s">
        <v>292</v>
      </c>
      <c r="V1447" s="28">
        <f t="shared" si="666"/>
        <v>0</v>
      </c>
      <c r="W1447" s="28">
        <f>VLOOKUP(U1447,Sheet1!$B$6:$C$45,2,FALSE)*V1447</f>
        <v>0</v>
      </c>
      <c r="X1447" s="59"/>
      <c r="Y1447" s="12" t="s">
        <v>292</v>
      </c>
      <c r="Z1447" s="68">
        <f>VLOOKUP(Takeoffs!Y1447,Sheet1!$B$6:$C$124,2,FALSE)</f>
        <v>0</v>
      </c>
      <c r="AA1447" s="68">
        <f t="shared" si="667"/>
        <v>0</v>
      </c>
      <c r="AB1447" s="63">
        <f t="shared" si="668"/>
        <v>0</v>
      </c>
      <c r="AC1447" s="28">
        <f t="shared" si="673"/>
        <v>0</v>
      </c>
      <c r="AD1447" s="61">
        <v>1</v>
      </c>
      <c r="AE1447" s="59"/>
      <c r="AF1447" s="12" t="s">
        <v>292</v>
      </c>
      <c r="AG1447" s="68">
        <f>VLOOKUP(Takeoffs!AF1447,Sheet1!$B$6:$C$124,2,FALSE)</f>
        <v>0</v>
      </c>
      <c r="AH1447" s="68">
        <f t="shared" si="669"/>
        <v>0</v>
      </c>
      <c r="AI1447" s="63">
        <f t="shared" si="670"/>
        <v>0</v>
      </c>
      <c r="AJ1447" s="28">
        <f t="shared" si="671"/>
        <v>0</v>
      </c>
      <c r="AK1447" s="61">
        <f t="shared" si="674"/>
        <v>0</v>
      </c>
      <c r="AL1447" s="59"/>
      <c r="AO1447" s="286"/>
      <c r="AP1447" s="284">
        <f t="shared" si="661"/>
        <v>0</v>
      </c>
      <c r="AQ1447" s="281">
        <f t="shared" si="662"/>
        <v>0</v>
      </c>
      <c r="AR1447" s="284">
        <f t="shared" si="663"/>
        <v>0</v>
      </c>
      <c r="AS1447" s="281">
        <f t="shared" si="664"/>
        <v>0</v>
      </c>
      <c r="AT1447" s="284">
        <f t="shared" si="665"/>
        <v>0</v>
      </c>
    </row>
    <row r="1448" spans="1:46" s="32" customFormat="1" ht="30.9" x14ac:dyDescent="0.8">
      <c r="A1448" s="262">
        <f>ROW()</f>
        <v>1448</v>
      </c>
      <c r="B1448" s="114"/>
      <c r="C1448" s="208"/>
      <c r="D1448" s="208"/>
      <c r="E1448" s="208"/>
      <c r="F1448" s="208"/>
      <c r="G1448" s="208"/>
      <c r="H1448" s="208"/>
      <c r="I1448" s="114"/>
      <c r="J1448" s="32" t="str">
        <f t="shared" si="672"/>
        <v/>
      </c>
      <c r="K1448" s="32" t="str">
        <f>IF(COUNTBLANK(R1448)&gt;0,"",CONCATENATE(R1448," for ",N1438))</f>
        <v/>
      </c>
      <c r="N1448" s="15" t="s">
        <v>122</v>
      </c>
      <c r="O1448" s="66"/>
      <c r="P1448" s="12"/>
      <c r="Q1448" s="12"/>
      <c r="R1448" s="12"/>
      <c r="S1448" s="28">
        <f>M1438</f>
        <v>0</v>
      </c>
      <c r="T1448" s="11"/>
      <c r="U1448" s="12" t="s">
        <v>292</v>
      </c>
      <c r="V1448" s="28">
        <f t="shared" si="666"/>
        <v>0</v>
      </c>
      <c r="W1448" s="28">
        <f>VLOOKUP(U1448,Sheet1!$B$6:$C$45,2,FALSE)*V1448</f>
        <v>0</v>
      </c>
      <c r="X1448" s="59"/>
      <c r="Y1448" s="12" t="s">
        <v>292</v>
      </c>
      <c r="Z1448" s="68">
        <f>VLOOKUP(Takeoffs!Y1448,Sheet1!$B$6:$C$124,2,FALSE)</f>
        <v>0</v>
      </c>
      <c r="AA1448" s="68">
        <f t="shared" si="667"/>
        <v>0</v>
      </c>
      <c r="AB1448" s="63">
        <f t="shared" si="668"/>
        <v>0</v>
      </c>
      <c r="AC1448" s="28">
        <f t="shared" si="673"/>
        <v>0</v>
      </c>
      <c r="AD1448" s="61">
        <v>1</v>
      </c>
      <c r="AE1448" s="59"/>
      <c r="AF1448" s="12" t="s">
        <v>292</v>
      </c>
      <c r="AG1448" s="68">
        <f>VLOOKUP(Takeoffs!AF1448,Sheet1!$B$6:$C$124,2,FALSE)</f>
        <v>0</v>
      </c>
      <c r="AH1448" s="68">
        <f t="shared" si="669"/>
        <v>0</v>
      </c>
      <c r="AI1448" s="63">
        <f t="shared" si="670"/>
        <v>0</v>
      </c>
      <c r="AJ1448" s="28">
        <f t="shared" si="671"/>
        <v>0</v>
      </c>
      <c r="AK1448" s="61">
        <f t="shared" si="674"/>
        <v>0</v>
      </c>
      <c r="AL1448" s="59"/>
      <c r="AO1448" s="286"/>
      <c r="AP1448" s="284">
        <f t="shared" si="661"/>
        <v>0</v>
      </c>
      <c r="AQ1448" s="281">
        <f t="shared" si="662"/>
        <v>0</v>
      </c>
      <c r="AR1448" s="284">
        <f t="shared" si="663"/>
        <v>0</v>
      </c>
      <c r="AS1448" s="281">
        <f t="shared" si="664"/>
        <v>0</v>
      </c>
      <c r="AT1448" s="284">
        <f t="shared" si="665"/>
        <v>0</v>
      </c>
    </row>
    <row r="1449" spans="1:46" s="32" customFormat="1" ht="30.9" x14ac:dyDescent="0.8">
      <c r="A1449" s="262">
        <f>ROW()</f>
        <v>1449</v>
      </c>
      <c r="B1449" s="114"/>
      <c r="C1449" s="208"/>
      <c r="D1449" s="208"/>
      <c r="E1449" s="208"/>
      <c r="F1449" s="208"/>
      <c r="G1449" s="208"/>
      <c r="H1449" s="208"/>
      <c r="I1449" s="114"/>
      <c r="J1449" s="32" t="str">
        <f t="shared" si="672"/>
        <v/>
      </c>
      <c r="K1449" s="32" t="str">
        <f>IF(COUNTBLANK(R1449)&gt;0,"",CONCATENATE(R1449," for ",N1438))</f>
        <v/>
      </c>
      <c r="N1449" s="15" t="s">
        <v>123</v>
      </c>
      <c r="O1449" s="66"/>
      <c r="P1449" s="12"/>
      <c r="Q1449" s="12"/>
      <c r="R1449" s="12"/>
      <c r="S1449" s="28">
        <f>M1438</f>
        <v>0</v>
      </c>
      <c r="T1449" s="11"/>
      <c r="U1449" s="12" t="s">
        <v>292</v>
      </c>
      <c r="V1449" s="28">
        <f t="shared" si="666"/>
        <v>0</v>
      </c>
      <c r="W1449" s="28">
        <f>VLOOKUP(U1449,Sheet1!$B$6:$C$45,2,FALSE)*V1449</f>
        <v>0</v>
      </c>
      <c r="X1449" s="59"/>
      <c r="Y1449" s="12" t="s">
        <v>292</v>
      </c>
      <c r="Z1449" s="68">
        <f>VLOOKUP(Takeoffs!Y1449,Sheet1!$B$6:$C$124,2,FALSE)</f>
        <v>0</v>
      </c>
      <c r="AA1449" s="68">
        <f t="shared" si="667"/>
        <v>0</v>
      </c>
      <c r="AB1449" s="63">
        <f t="shared" si="668"/>
        <v>0</v>
      </c>
      <c r="AC1449" s="28">
        <f t="shared" si="673"/>
        <v>0</v>
      </c>
      <c r="AD1449" s="61">
        <v>1</v>
      </c>
      <c r="AE1449" s="59"/>
      <c r="AF1449" s="12" t="s">
        <v>292</v>
      </c>
      <c r="AG1449" s="68">
        <f>VLOOKUP(Takeoffs!AF1449,Sheet1!$B$6:$C$124,2,FALSE)</f>
        <v>0</v>
      </c>
      <c r="AH1449" s="68">
        <f t="shared" si="669"/>
        <v>0</v>
      </c>
      <c r="AI1449" s="63">
        <f t="shared" si="670"/>
        <v>0</v>
      </c>
      <c r="AJ1449" s="28">
        <f t="shared" si="671"/>
        <v>0</v>
      </c>
      <c r="AK1449" s="61">
        <f t="shared" si="674"/>
        <v>0</v>
      </c>
      <c r="AL1449" s="59"/>
      <c r="AO1449" s="286"/>
      <c r="AP1449" s="284">
        <f t="shared" si="661"/>
        <v>0</v>
      </c>
      <c r="AQ1449" s="281">
        <f t="shared" si="662"/>
        <v>0</v>
      </c>
      <c r="AR1449" s="284">
        <f t="shared" si="663"/>
        <v>0</v>
      </c>
      <c r="AS1449" s="281">
        <f t="shared" si="664"/>
        <v>0</v>
      </c>
      <c r="AT1449" s="284">
        <f t="shared" si="665"/>
        <v>0</v>
      </c>
    </row>
    <row r="1450" spans="1:46" s="32" customFormat="1" ht="30.9" x14ac:dyDescent="0.8">
      <c r="A1450" s="262">
        <f>ROW()</f>
        <v>1450</v>
      </c>
      <c r="B1450" s="114"/>
      <c r="C1450" s="208"/>
      <c r="D1450" s="208"/>
      <c r="E1450" s="208"/>
      <c r="F1450" s="208"/>
      <c r="G1450" s="208"/>
      <c r="H1450" s="208"/>
      <c r="I1450" s="114"/>
      <c r="J1450" s="32" t="str">
        <f t="shared" si="672"/>
        <v/>
      </c>
      <c r="K1450" s="32" t="str">
        <f>IF(COUNTBLANK(R1450)&gt;0,"",CONCATENATE(R1450," for ",N1438))</f>
        <v/>
      </c>
      <c r="N1450" s="15" t="s">
        <v>124</v>
      </c>
      <c r="O1450" s="66"/>
      <c r="P1450" s="12"/>
      <c r="Q1450" s="12"/>
      <c r="R1450" s="12"/>
      <c r="S1450" s="28">
        <f>M1438</f>
        <v>0</v>
      </c>
      <c r="T1450" s="11"/>
      <c r="U1450" s="12" t="s">
        <v>292</v>
      </c>
      <c r="V1450" s="28">
        <f t="shared" si="666"/>
        <v>0</v>
      </c>
      <c r="W1450" s="28">
        <f>VLOOKUP(U1450,Sheet1!$B$6:$C$45,2,FALSE)*V1450</f>
        <v>0</v>
      </c>
      <c r="X1450" s="59"/>
      <c r="Y1450" s="12" t="s">
        <v>292</v>
      </c>
      <c r="Z1450" s="68">
        <f>VLOOKUP(Takeoffs!Y1450,Sheet1!$B$6:$C$124,2,FALSE)</f>
        <v>0</v>
      </c>
      <c r="AA1450" s="68">
        <f t="shared" si="667"/>
        <v>0</v>
      </c>
      <c r="AB1450" s="63">
        <f t="shared" si="668"/>
        <v>0</v>
      </c>
      <c r="AC1450" s="28">
        <f t="shared" si="673"/>
        <v>0</v>
      </c>
      <c r="AD1450" s="61">
        <v>1</v>
      </c>
      <c r="AE1450" s="59"/>
      <c r="AF1450" s="12" t="s">
        <v>292</v>
      </c>
      <c r="AG1450" s="68">
        <f>VLOOKUP(Takeoffs!AF1450,Sheet1!$B$6:$C$124,2,FALSE)</f>
        <v>0</v>
      </c>
      <c r="AH1450" s="68">
        <f t="shared" si="669"/>
        <v>0</v>
      </c>
      <c r="AI1450" s="63">
        <f t="shared" si="670"/>
        <v>0</v>
      </c>
      <c r="AJ1450" s="28">
        <f t="shared" si="671"/>
        <v>0</v>
      </c>
      <c r="AK1450" s="61">
        <f t="shared" si="674"/>
        <v>0</v>
      </c>
      <c r="AL1450" s="59"/>
      <c r="AO1450" s="286"/>
      <c r="AP1450" s="284">
        <f t="shared" si="661"/>
        <v>0</v>
      </c>
      <c r="AQ1450" s="281">
        <f t="shared" si="662"/>
        <v>0</v>
      </c>
      <c r="AR1450" s="284">
        <f t="shared" si="663"/>
        <v>0</v>
      </c>
      <c r="AS1450" s="281">
        <f t="shared" si="664"/>
        <v>0</v>
      </c>
      <c r="AT1450" s="284">
        <f t="shared" si="665"/>
        <v>0</v>
      </c>
    </row>
    <row r="1451" spans="1:46" s="32" customFormat="1" ht="30.9" x14ac:dyDescent="0.8">
      <c r="A1451" s="262">
        <f>ROW()</f>
        <v>1451</v>
      </c>
      <c r="B1451" s="114"/>
      <c r="C1451" s="208"/>
      <c r="D1451" s="208"/>
      <c r="E1451" s="208"/>
      <c r="F1451" s="208"/>
      <c r="G1451" s="208"/>
      <c r="H1451" s="208"/>
      <c r="I1451" s="114"/>
      <c r="J1451" s="32" t="str">
        <f t="shared" si="672"/>
        <v/>
      </c>
      <c r="K1451" s="32" t="str">
        <f>IF(COUNTBLANK(R1451)&gt;0,"",CONCATENATE(R1451," for ",N1438))</f>
        <v/>
      </c>
      <c r="N1451" s="15" t="s">
        <v>125</v>
      </c>
      <c r="O1451" s="66"/>
      <c r="P1451" s="12"/>
      <c r="Q1451" s="12"/>
      <c r="R1451" s="12"/>
      <c r="S1451" s="28">
        <f>M1438</f>
        <v>0</v>
      </c>
      <c r="T1451" s="11"/>
      <c r="U1451" s="12" t="s">
        <v>292</v>
      </c>
      <c r="V1451" s="28">
        <f t="shared" si="666"/>
        <v>0</v>
      </c>
      <c r="W1451" s="28">
        <f>VLOOKUP(U1451,Sheet1!$B$6:$C$45,2,FALSE)*V1451</f>
        <v>0</v>
      </c>
      <c r="X1451" s="59"/>
      <c r="Y1451" s="12" t="s">
        <v>292</v>
      </c>
      <c r="Z1451" s="68">
        <f>VLOOKUP(Takeoffs!Y1451,Sheet1!$B$6:$C$124,2,FALSE)</f>
        <v>0</v>
      </c>
      <c r="AA1451" s="68">
        <f t="shared" si="667"/>
        <v>0</v>
      </c>
      <c r="AB1451" s="63">
        <f t="shared" si="668"/>
        <v>0</v>
      </c>
      <c r="AC1451" s="28">
        <f t="shared" si="673"/>
        <v>0</v>
      </c>
      <c r="AD1451" s="61">
        <v>1</v>
      </c>
      <c r="AE1451" s="59"/>
      <c r="AF1451" s="12" t="s">
        <v>292</v>
      </c>
      <c r="AG1451" s="68">
        <f>VLOOKUP(Takeoffs!AF1451,Sheet1!$B$6:$C$124,2,FALSE)</f>
        <v>0</v>
      </c>
      <c r="AH1451" s="68">
        <f t="shared" si="669"/>
        <v>0</v>
      </c>
      <c r="AI1451" s="63">
        <f t="shared" si="670"/>
        <v>0</v>
      </c>
      <c r="AJ1451" s="28">
        <f t="shared" si="671"/>
        <v>0</v>
      </c>
      <c r="AK1451" s="61">
        <f t="shared" si="674"/>
        <v>0</v>
      </c>
      <c r="AL1451" s="59"/>
      <c r="AO1451" s="286"/>
      <c r="AP1451" s="284">
        <f t="shared" si="661"/>
        <v>0</v>
      </c>
      <c r="AQ1451" s="281">
        <f t="shared" si="662"/>
        <v>0</v>
      </c>
      <c r="AR1451" s="284">
        <f t="shared" si="663"/>
        <v>0</v>
      </c>
      <c r="AS1451" s="281">
        <f t="shared" si="664"/>
        <v>0</v>
      </c>
      <c r="AT1451" s="284">
        <f t="shared" si="665"/>
        <v>0</v>
      </c>
    </row>
    <row r="1452" spans="1:46" s="32" customFormat="1" ht="30.9" x14ac:dyDescent="0.8">
      <c r="A1452" s="262">
        <f>ROW()</f>
        <v>1452</v>
      </c>
      <c r="B1452" s="114"/>
      <c r="C1452" s="208"/>
      <c r="D1452" s="208"/>
      <c r="E1452" s="208"/>
      <c r="F1452" s="208"/>
      <c r="G1452" s="208"/>
      <c r="H1452" s="208"/>
      <c r="I1452" s="114"/>
      <c r="J1452" s="32" t="str">
        <f t="shared" si="672"/>
        <v/>
      </c>
      <c r="K1452" s="32" t="str">
        <f>IF(COUNTBLANK(R1452)&gt;0,"",CONCATENATE(R1452," for ",N1438))</f>
        <v/>
      </c>
      <c r="N1452" s="15" t="s">
        <v>126</v>
      </c>
      <c r="O1452" s="66"/>
      <c r="P1452" s="12"/>
      <c r="Q1452" s="12"/>
      <c r="R1452" s="12"/>
      <c r="S1452" s="28">
        <f>M1438</f>
        <v>0</v>
      </c>
      <c r="T1452" s="11"/>
      <c r="U1452" s="12" t="s">
        <v>292</v>
      </c>
      <c r="V1452" s="28">
        <f t="shared" si="666"/>
        <v>0</v>
      </c>
      <c r="W1452" s="28">
        <f>VLOOKUP(U1452,Sheet1!$B$6:$C$45,2,FALSE)*V1452</f>
        <v>0</v>
      </c>
      <c r="X1452" s="59"/>
      <c r="Y1452" s="12" t="s">
        <v>292</v>
      </c>
      <c r="Z1452" s="68">
        <f>VLOOKUP(Takeoffs!Y1452,Sheet1!$B$6:$C$124,2,FALSE)</f>
        <v>0</v>
      </c>
      <c r="AA1452" s="68">
        <f t="shared" si="667"/>
        <v>0</v>
      </c>
      <c r="AB1452" s="63">
        <f t="shared" si="668"/>
        <v>0</v>
      </c>
      <c r="AC1452" s="28">
        <f t="shared" si="673"/>
        <v>0</v>
      </c>
      <c r="AD1452" s="61">
        <v>1</v>
      </c>
      <c r="AE1452" s="59"/>
      <c r="AF1452" s="12" t="s">
        <v>292</v>
      </c>
      <c r="AG1452" s="68">
        <f>VLOOKUP(Takeoffs!AF1452,Sheet1!$B$6:$C$124,2,FALSE)</f>
        <v>0</v>
      </c>
      <c r="AH1452" s="68">
        <f t="shared" si="669"/>
        <v>0</v>
      </c>
      <c r="AI1452" s="63">
        <f t="shared" si="670"/>
        <v>0</v>
      </c>
      <c r="AJ1452" s="28">
        <f t="shared" si="671"/>
        <v>0</v>
      </c>
      <c r="AK1452" s="61">
        <f t="shared" si="674"/>
        <v>0</v>
      </c>
      <c r="AL1452" s="59"/>
      <c r="AO1452" s="286"/>
      <c r="AP1452" s="284">
        <f t="shared" si="661"/>
        <v>0</v>
      </c>
      <c r="AQ1452" s="281">
        <f t="shared" si="662"/>
        <v>0</v>
      </c>
      <c r="AR1452" s="284">
        <f t="shared" si="663"/>
        <v>0</v>
      </c>
      <c r="AS1452" s="281">
        <f t="shared" si="664"/>
        <v>0</v>
      </c>
      <c r="AT1452" s="284">
        <f t="shared" si="665"/>
        <v>0</v>
      </c>
    </row>
    <row r="1453" spans="1:46" s="32" customFormat="1" ht="30.9" x14ac:dyDescent="0.8">
      <c r="A1453" s="262">
        <f>ROW()</f>
        <v>1453</v>
      </c>
      <c r="B1453" s="114"/>
      <c r="C1453" s="208"/>
      <c r="D1453" s="208"/>
      <c r="E1453" s="208"/>
      <c r="F1453" s="208"/>
      <c r="G1453" s="208"/>
      <c r="H1453" s="208"/>
      <c r="I1453" s="114"/>
      <c r="J1453" s="32" t="str">
        <f t="shared" si="672"/>
        <v/>
      </c>
      <c r="K1453" s="32" t="str">
        <f>IF(COUNTBLANK(R1453)&gt;0,"",CONCATENATE(R1453," for ",N1438))</f>
        <v/>
      </c>
      <c r="N1453" s="15" t="s">
        <v>127</v>
      </c>
      <c r="O1453" s="66"/>
      <c r="P1453" s="12"/>
      <c r="Q1453" s="12"/>
      <c r="R1453" s="12"/>
      <c r="S1453" s="28">
        <f>M1438</f>
        <v>0</v>
      </c>
      <c r="T1453" s="11"/>
      <c r="U1453" s="12" t="s">
        <v>292</v>
      </c>
      <c r="V1453" s="28">
        <f t="shared" si="666"/>
        <v>0</v>
      </c>
      <c r="W1453" s="28">
        <f>VLOOKUP(U1453,Sheet1!$B$6:$C$45,2,FALSE)*V1453</f>
        <v>0</v>
      </c>
      <c r="X1453" s="59"/>
      <c r="Y1453" s="12" t="s">
        <v>292</v>
      </c>
      <c r="Z1453" s="68">
        <f>VLOOKUP(Takeoffs!Y1453,Sheet1!$B$6:$C$124,2,FALSE)</f>
        <v>0</v>
      </c>
      <c r="AA1453" s="68">
        <f t="shared" si="667"/>
        <v>0</v>
      </c>
      <c r="AB1453" s="63">
        <f t="shared" si="668"/>
        <v>0</v>
      </c>
      <c r="AC1453" s="28">
        <f t="shared" si="673"/>
        <v>0</v>
      </c>
      <c r="AD1453" s="61">
        <v>1</v>
      </c>
      <c r="AE1453" s="59"/>
      <c r="AF1453" s="12" t="s">
        <v>292</v>
      </c>
      <c r="AG1453" s="68">
        <f>VLOOKUP(Takeoffs!AF1453,Sheet1!$B$6:$C$124,2,FALSE)</f>
        <v>0</v>
      </c>
      <c r="AH1453" s="68">
        <f t="shared" si="669"/>
        <v>0</v>
      </c>
      <c r="AI1453" s="63">
        <f t="shared" si="670"/>
        <v>0</v>
      </c>
      <c r="AJ1453" s="28">
        <f t="shared" si="671"/>
        <v>0</v>
      </c>
      <c r="AK1453" s="61">
        <f t="shared" si="674"/>
        <v>0</v>
      </c>
      <c r="AL1453" s="59"/>
      <c r="AO1453" s="286"/>
      <c r="AP1453" s="284">
        <f t="shared" si="661"/>
        <v>0</v>
      </c>
      <c r="AQ1453" s="281">
        <f t="shared" si="662"/>
        <v>0</v>
      </c>
      <c r="AR1453" s="284">
        <f t="shared" si="663"/>
        <v>0</v>
      </c>
      <c r="AS1453" s="281">
        <f t="shared" si="664"/>
        <v>0</v>
      </c>
      <c r="AT1453" s="284">
        <f t="shared" si="665"/>
        <v>0</v>
      </c>
    </row>
    <row r="1454" spans="1:46" s="32" customFormat="1" ht="30.9" x14ac:dyDescent="0.8">
      <c r="A1454" s="262">
        <f>ROW()</f>
        <v>1454</v>
      </c>
      <c r="B1454" s="114"/>
      <c r="C1454" s="208"/>
      <c r="D1454" s="208"/>
      <c r="E1454" s="208"/>
      <c r="F1454" s="208"/>
      <c r="G1454" s="208"/>
      <c r="H1454" s="208"/>
      <c r="I1454" s="114"/>
      <c r="J1454" s="32" t="str">
        <f t="shared" si="672"/>
        <v/>
      </c>
      <c r="K1454" s="32" t="str">
        <f>IF(COUNTBLANK(R1454)&gt;0,"",CONCATENATE(R1454," for ",N1438))</f>
        <v/>
      </c>
      <c r="N1454" s="15" t="s">
        <v>128</v>
      </c>
      <c r="O1454" s="66"/>
      <c r="P1454" s="12"/>
      <c r="Q1454" s="12"/>
      <c r="R1454" s="12"/>
      <c r="S1454" s="28">
        <f>M1438</f>
        <v>0</v>
      </c>
      <c r="T1454" s="11"/>
      <c r="U1454" s="12" t="s">
        <v>292</v>
      </c>
      <c r="V1454" s="28">
        <f t="shared" si="666"/>
        <v>0</v>
      </c>
      <c r="W1454" s="28">
        <f>VLOOKUP(U1454,Sheet1!$B$6:$C$45,2,FALSE)*V1454</f>
        <v>0</v>
      </c>
      <c r="X1454" s="59"/>
      <c r="Y1454" s="12" t="s">
        <v>292</v>
      </c>
      <c r="Z1454" s="68">
        <f>VLOOKUP(Takeoffs!Y1454,Sheet1!$B$6:$C$124,2,FALSE)</f>
        <v>0</v>
      </c>
      <c r="AA1454" s="68">
        <f t="shared" si="667"/>
        <v>0</v>
      </c>
      <c r="AB1454" s="63">
        <f t="shared" si="668"/>
        <v>0</v>
      </c>
      <c r="AC1454" s="28">
        <f t="shared" si="673"/>
        <v>0</v>
      </c>
      <c r="AD1454" s="61">
        <v>1</v>
      </c>
      <c r="AE1454" s="59"/>
      <c r="AF1454" s="12" t="s">
        <v>292</v>
      </c>
      <c r="AG1454" s="68">
        <f>VLOOKUP(Takeoffs!AF1454,Sheet1!$B$6:$C$124,2,FALSE)</f>
        <v>0</v>
      </c>
      <c r="AH1454" s="68">
        <f t="shared" si="669"/>
        <v>0</v>
      </c>
      <c r="AI1454" s="63">
        <f t="shared" si="670"/>
        <v>0</v>
      </c>
      <c r="AJ1454" s="28">
        <f t="shared" si="671"/>
        <v>0</v>
      </c>
      <c r="AK1454" s="61">
        <f t="shared" si="674"/>
        <v>0</v>
      </c>
      <c r="AL1454" s="59"/>
      <c r="AO1454" s="286"/>
      <c r="AP1454" s="284">
        <f t="shared" si="661"/>
        <v>0</v>
      </c>
      <c r="AQ1454" s="281">
        <f t="shared" si="662"/>
        <v>0</v>
      </c>
      <c r="AR1454" s="284">
        <f t="shared" si="663"/>
        <v>0</v>
      </c>
      <c r="AS1454" s="281">
        <f t="shared" si="664"/>
        <v>0</v>
      </c>
      <c r="AT1454" s="284">
        <f t="shared" si="665"/>
        <v>0</v>
      </c>
    </row>
    <row r="1455" spans="1:46" s="32" customFormat="1" ht="30.9" x14ac:dyDescent="0.8">
      <c r="A1455" s="262">
        <f>ROW()</f>
        <v>1455</v>
      </c>
      <c r="B1455" s="114"/>
      <c r="C1455" s="208"/>
      <c r="D1455" s="208"/>
      <c r="E1455" s="208"/>
      <c r="F1455" s="208"/>
      <c r="G1455" s="208"/>
      <c r="H1455" s="208"/>
      <c r="I1455" s="114"/>
      <c r="J1455" s="32" t="str">
        <f t="shared" si="672"/>
        <v/>
      </c>
      <c r="K1455" s="32" t="str">
        <f>IF(COUNTBLANK(R1455)&gt;0,"",CONCATENATE(R1455," for ",N1438))</f>
        <v/>
      </c>
      <c r="N1455" s="15" t="s">
        <v>129</v>
      </c>
      <c r="O1455" s="66"/>
      <c r="P1455" s="12"/>
      <c r="Q1455" s="12"/>
      <c r="R1455" s="12"/>
      <c r="S1455" s="28">
        <f>M1438</f>
        <v>0</v>
      </c>
      <c r="T1455" s="11"/>
      <c r="U1455" s="12" t="s">
        <v>292</v>
      </c>
      <c r="V1455" s="28">
        <f t="shared" si="666"/>
        <v>0</v>
      </c>
      <c r="W1455" s="28">
        <f>VLOOKUP(U1455,Sheet1!$B$6:$C$45,2,FALSE)*V1455</f>
        <v>0</v>
      </c>
      <c r="X1455" s="59"/>
      <c r="Y1455" s="12" t="s">
        <v>292</v>
      </c>
      <c r="Z1455" s="68">
        <f>VLOOKUP(Takeoffs!Y1455,Sheet1!$B$6:$C$124,2,FALSE)</f>
        <v>0</v>
      </c>
      <c r="AA1455" s="68">
        <f t="shared" si="667"/>
        <v>0</v>
      </c>
      <c r="AB1455" s="63">
        <f t="shared" si="668"/>
        <v>0</v>
      </c>
      <c r="AC1455" s="28">
        <f t="shared" si="673"/>
        <v>0</v>
      </c>
      <c r="AD1455" s="61">
        <v>1</v>
      </c>
      <c r="AE1455" s="59"/>
      <c r="AF1455" s="12" t="s">
        <v>292</v>
      </c>
      <c r="AG1455" s="68">
        <f>VLOOKUP(Takeoffs!AF1455,Sheet1!$B$6:$C$124,2,FALSE)</f>
        <v>0</v>
      </c>
      <c r="AH1455" s="68">
        <f t="shared" si="669"/>
        <v>0</v>
      </c>
      <c r="AI1455" s="63">
        <f t="shared" si="670"/>
        <v>0</v>
      </c>
      <c r="AJ1455" s="28">
        <f t="shared" si="671"/>
        <v>0</v>
      </c>
      <c r="AK1455" s="61">
        <f t="shared" si="674"/>
        <v>0</v>
      </c>
      <c r="AL1455" s="59"/>
      <c r="AO1455" s="286"/>
      <c r="AP1455" s="284">
        <f t="shared" si="661"/>
        <v>0</v>
      </c>
      <c r="AQ1455" s="281">
        <f t="shared" si="662"/>
        <v>0</v>
      </c>
      <c r="AR1455" s="284">
        <f t="shared" si="663"/>
        <v>0</v>
      </c>
      <c r="AS1455" s="281">
        <f t="shared" si="664"/>
        <v>0</v>
      </c>
      <c r="AT1455" s="284">
        <f t="shared" si="665"/>
        <v>0</v>
      </c>
    </row>
    <row r="1456" spans="1:46" s="32" customFormat="1" ht="30.9" x14ac:dyDescent="0.8">
      <c r="A1456" s="262">
        <f>ROW()</f>
        <v>1456</v>
      </c>
      <c r="B1456" s="114"/>
      <c r="C1456" s="208"/>
      <c r="D1456" s="208"/>
      <c r="E1456" s="208"/>
      <c r="F1456" s="208"/>
      <c r="G1456" s="208"/>
      <c r="H1456" s="208"/>
      <c r="I1456" s="114"/>
      <c r="J1456" s="32" t="str">
        <f t="shared" si="672"/>
        <v/>
      </c>
      <c r="K1456" s="32" t="str">
        <f>IF(COUNTBLANK(R1456)&gt;0,"",CONCATENATE(R1456," for ",N1438))</f>
        <v/>
      </c>
      <c r="N1456" s="15" t="s">
        <v>130</v>
      </c>
      <c r="O1456" s="66"/>
      <c r="P1456" s="12"/>
      <c r="Q1456" s="12"/>
      <c r="R1456" s="12"/>
      <c r="S1456" s="28">
        <f>M1438</f>
        <v>0</v>
      </c>
      <c r="T1456" s="11"/>
      <c r="U1456" s="12" t="s">
        <v>292</v>
      </c>
      <c r="V1456" s="28">
        <f t="shared" si="666"/>
        <v>0</v>
      </c>
      <c r="W1456" s="28">
        <f>VLOOKUP(U1456,Sheet1!$B$6:$C$45,2,FALSE)*V1456</f>
        <v>0</v>
      </c>
      <c r="X1456" s="59"/>
      <c r="Y1456" s="12" t="s">
        <v>292</v>
      </c>
      <c r="Z1456" s="68">
        <f>VLOOKUP(Takeoffs!Y1456,Sheet1!$B$6:$C$124,2,FALSE)</f>
        <v>0</v>
      </c>
      <c r="AA1456" s="68">
        <f t="shared" si="667"/>
        <v>0</v>
      </c>
      <c r="AB1456" s="63">
        <f t="shared" si="668"/>
        <v>0</v>
      </c>
      <c r="AC1456" s="28">
        <f t="shared" si="673"/>
        <v>0</v>
      </c>
      <c r="AD1456" s="61">
        <v>1</v>
      </c>
      <c r="AE1456" s="59"/>
      <c r="AF1456" s="12" t="s">
        <v>292</v>
      </c>
      <c r="AG1456" s="68">
        <f>VLOOKUP(Takeoffs!AF1456,Sheet1!$B$6:$C$124,2,FALSE)</f>
        <v>0</v>
      </c>
      <c r="AH1456" s="68">
        <f t="shared" si="669"/>
        <v>0</v>
      </c>
      <c r="AI1456" s="63">
        <f t="shared" si="670"/>
        <v>0</v>
      </c>
      <c r="AJ1456" s="28">
        <f t="shared" si="671"/>
        <v>0</v>
      </c>
      <c r="AK1456" s="61">
        <f t="shared" si="674"/>
        <v>0</v>
      </c>
      <c r="AL1456" s="59"/>
      <c r="AO1456" s="286"/>
      <c r="AP1456" s="284">
        <f t="shared" si="661"/>
        <v>0</v>
      </c>
      <c r="AQ1456" s="281">
        <f t="shared" si="662"/>
        <v>0</v>
      </c>
      <c r="AR1456" s="284">
        <f t="shared" si="663"/>
        <v>0</v>
      </c>
      <c r="AS1456" s="281">
        <f t="shared" si="664"/>
        <v>0</v>
      </c>
      <c r="AT1456" s="284">
        <f t="shared" si="665"/>
        <v>0</v>
      </c>
    </row>
    <row r="1457" spans="1:97" s="32" customFormat="1" ht="30.9" x14ac:dyDescent="0.8">
      <c r="A1457" s="262">
        <f>ROW()</f>
        <v>1457</v>
      </c>
      <c r="B1457" s="114"/>
      <c r="C1457" s="208"/>
      <c r="D1457" s="208"/>
      <c r="E1457" s="208"/>
      <c r="F1457" s="208"/>
      <c r="G1457" s="208"/>
      <c r="H1457" s="208"/>
      <c r="I1457" s="114"/>
      <c r="J1457" s="32" t="str">
        <f t="shared" si="672"/>
        <v/>
      </c>
      <c r="K1457" s="32" t="str">
        <f>IF(COUNTBLANK(R1457)&gt;0,"",CONCATENATE(R1457," for ",N1438))</f>
        <v/>
      </c>
      <c r="N1457" s="15" t="s">
        <v>131</v>
      </c>
      <c r="O1457" s="66"/>
      <c r="P1457" s="12"/>
      <c r="Q1457" s="12"/>
      <c r="R1457" s="12"/>
      <c r="S1457" s="28">
        <f>M1438</f>
        <v>0</v>
      </c>
      <c r="T1457" s="11"/>
      <c r="U1457" s="12" t="s">
        <v>292</v>
      </c>
      <c r="V1457" s="28">
        <f t="shared" si="666"/>
        <v>0</v>
      </c>
      <c r="W1457" s="28">
        <f>VLOOKUP(U1457,Sheet1!$B$6:$C$45,2,FALSE)*V1457</f>
        <v>0</v>
      </c>
      <c r="X1457" s="59"/>
      <c r="Y1457" s="12" t="s">
        <v>292</v>
      </c>
      <c r="Z1457" s="68">
        <f>VLOOKUP(Takeoffs!Y1457,Sheet1!$B$6:$C$124,2,FALSE)</f>
        <v>0</v>
      </c>
      <c r="AA1457" s="68">
        <f t="shared" si="667"/>
        <v>0</v>
      </c>
      <c r="AB1457" s="63">
        <f t="shared" si="668"/>
        <v>0</v>
      </c>
      <c r="AC1457" s="28">
        <f t="shared" si="673"/>
        <v>0</v>
      </c>
      <c r="AD1457" s="61">
        <v>1</v>
      </c>
      <c r="AE1457" s="59"/>
      <c r="AF1457" s="12" t="s">
        <v>292</v>
      </c>
      <c r="AG1457" s="68">
        <f>VLOOKUP(Takeoffs!AF1457,Sheet1!$B$6:$C$124,2,FALSE)</f>
        <v>0</v>
      </c>
      <c r="AH1457" s="68">
        <f t="shared" si="669"/>
        <v>0</v>
      </c>
      <c r="AI1457" s="63">
        <f t="shared" si="670"/>
        <v>0</v>
      </c>
      <c r="AJ1457" s="28">
        <f t="shared" si="671"/>
        <v>0</v>
      </c>
      <c r="AK1457" s="61">
        <f t="shared" si="674"/>
        <v>0</v>
      </c>
      <c r="AL1457" s="59"/>
      <c r="AO1457" s="286"/>
      <c r="AP1457" s="284">
        <f t="shared" si="661"/>
        <v>0</v>
      </c>
      <c r="AQ1457" s="281">
        <f t="shared" si="662"/>
        <v>0</v>
      </c>
      <c r="AR1457" s="284">
        <f t="shared" si="663"/>
        <v>0</v>
      </c>
      <c r="AS1457" s="281">
        <f t="shared" si="664"/>
        <v>0</v>
      </c>
      <c r="AT1457" s="284">
        <f t="shared" si="665"/>
        <v>0</v>
      </c>
    </row>
    <row r="1458" spans="1:97" s="32" customFormat="1" ht="30.9" x14ac:dyDescent="0.8">
      <c r="A1458" s="262">
        <f>ROW()</f>
        <v>1458</v>
      </c>
      <c r="B1458" s="114"/>
      <c r="C1458" s="208"/>
      <c r="D1458" s="208"/>
      <c r="E1458" s="208"/>
      <c r="F1458" s="208"/>
      <c r="G1458" s="208"/>
      <c r="H1458" s="208"/>
      <c r="I1458" s="114"/>
      <c r="J1458" s="32" t="str">
        <f t="shared" si="672"/>
        <v/>
      </c>
      <c r="K1458" s="32" t="str">
        <f>IF(COUNTBLANK(R1458)&gt;0,"",CONCATENATE(R1458," for ",N1438))</f>
        <v/>
      </c>
      <c r="N1458" s="15" t="s">
        <v>132</v>
      </c>
      <c r="O1458" s="66"/>
      <c r="P1458" s="12"/>
      <c r="Q1458" s="12"/>
      <c r="R1458" s="12"/>
      <c r="S1458" s="28">
        <f>M1438</f>
        <v>0</v>
      </c>
      <c r="T1458" s="11"/>
      <c r="U1458" s="12" t="s">
        <v>292</v>
      </c>
      <c r="V1458" s="28">
        <f t="shared" si="666"/>
        <v>0</v>
      </c>
      <c r="W1458" s="28">
        <f>VLOOKUP(U1458,Sheet1!$B$6:$C$45,2,FALSE)*V1458</f>
        <v>0</v>
      </c>
      <c r="X1458" s="59"/>
      <c r="Y1458" s="12" t="s">
        <v>292</v>
      </c>
      <c r="Z1458" s="68">
        <f>VLOOKUP(Takeoffs!Y1458,Sheet1!$B$6:$C$124,2,FALSE)</f>
        <v>0</v>
      </c>
      <c r="AA1458" s="68">
        <f t="shared" si="667"/>
        <v>0</v>
      </c>
      <c r="AB1458" s="63">
        <f t="shared" si="668"/>
        <v>0</v>
      </c>
      <c r="AC1458" s="28">
        <f t="shared" si="673"/>
        <v>0</v>
      </c>
      <c r="AD1458" s="61">
        <v>1</v>
      </c>
      <c r="AE1458" s="59"/>
      <c r="AF1458" s="12" t="s">
        <v>292</v>
      </c>
      <c r="AG1458" s="68">
        <f>VLOOKUP(Takeoffs!AF1458,Sheet1!$B$6:$C$124,2,FALSE)</f>
        <v>0</v>
      </c>
      <c r="AH1458" s="68">
        <f t="shared" si="669"/>
        <v>0</v>
      </c>
      <c r="AI1458" s="63">
        <f t="shared" si="670"/>
        <v>0</v>
      </c>
      <c r="AJ1458" s="28">
        <f t="shared" si="671"/>
        <v>0</v>
      </c>
      <c r="AK1458" s="61">
        <f t="shared" si="674"/>
        <v>0</v>
      </c>
      <c r="AL1458" s="59"/>
      <c r="AO1458" s="286"/>
      <c r="AP1458" s="284">
        <f t="shared" si="661"/>
        <v>0</v>
      </c>
      <c r="AQ1458" s="281">
        <f t="shared" si="662"/>
        <v>0</v>
      </c>
      <c r="AR1458" s="284">
        <f t="shared" si="663"/>
        <v>0</v>
      </c>
      <c r="AS1458" s="281">
        <f t="shared" si="664"/>
        <v>0</v>
      </c>
      <c r="AT1458" s="284">
        <f t="shared" si="665"/>
        <v>0</v>
      </c>
    </row>
    <row r="1459" spans="1:97" s="21" customFormat="1" ht="31.5" customHeight="1" x14ac:dyDescent="0.8">
      <c r="A1459" s="262">
        <f>ROW()</f>
        <v>1459</v>
      </c>
      <c r="B1459" s="128"/>
      <c r="C1459" s="212"/>
      <c r="D1459" s="212"/>
      <c r="E1459" s="212"/>
      <c r="F1459" s="212"/>
      <c r="G1459" s="212"/>
      <c r="H1459" s="212"/>
      <c r="I1459" s="128"/>
      <c r="J1459" s="21" t="s">
        <v>377</v>
      </c>
      <c r="L1459" s="21" t="s">
        <v>378</v>
      </c>
      <c r="N1459" s="22"/>
      <c r="O1459" s="23" t="s">
        <v>357</v>
      </c>
      <c r="P1459" s="24">
        <f>V1459+AA1459+AH1459</f>
        <v>0</v>
      </c>
      <c r="Q1459" s="24"/>
      <c r="R1459" s="24"/>
      <c r="S1459" s="23"/>
      <c r="T1459" s="20"/>
      <c r="U1459" s="19" t="s">
        <v>351</v>
      </c>
      <c r="V1459" s="20">
        <f>W1459*80</f>
        <v>0</v>
      </c>
      <c r="W1459" s="69">
        <f>SUM(W1438:W1458)</f>
        <v>0</v>
      </c>
      <c r="X1459" s="70"/>
      <c r="Y1459" s="20" t="s">
        <v>352</v>
      </c>
      <c r="Z1459" s="2"/>
      <c r="AA1459" s="2">
        <f>SUM(AA1438:AA1458)</f>
        <v>0</v>
      </c>
      <c r="AB1459" s="71"/>
      <c r="AC1459" s="71"/>
      <c r="AD1459" s="71"/>
      <c r="AE1459" s="71"/>
      <c r="AF1459" s="20" t="s">
        <v>356</v>
      </c>
      <c r="AG1459" s="2"/>
      <c r="AH1459" s="2">
        <f>SUM(AH1438:AH1458)</f>
        <v>0</v>
      </c>
      <c r="AI1459" s="71"/>
      <c r="AJ1459" s="71"/>
      <c r="AK1459" s="71"/>
      <c r="AL1459" s="71"/>
      <c r="AM1459" s="150">
        <f>P1459</f>
        <v>0</v>
      </c>
      <c r="AO1459" s="286"/>
      <c r="AP1459" s="284">
        <f t="shared" si="661"/>
        <v>0</v>
      </c>
      <c r="AQ1459" s="281">
        <f t="shared" si="662"/>
        <v>0</v>
      </c>
      <c r="AR1459" s="284">
        <f t="shared" si="663"/>
        <v>0</v>
      </c>
      <c r="AS1459" s="281">
        <f t="shared" si="664"/>
        <v>0</v>
      </c>
      <c r="AT1459" s="284">
        <f t="shared" si="665"/>
        <v>0</v>
      </c>
    </row>
    <row r="1460" spans="1:97" s="234" customFormat="1" ht="154.30000000000001" x14ac:dyDescent="0.8">
      <c r="A1460" s="262">
        <f>ROW()</f>
        <v>1460</v>
      </c>
      <c r="B1460" s="234" t="s">
        <v>491</v>
      </c>
      <c r="C1460" s="217" t="str">
        <f>N1438</f>
        <v>common area split AC systems (local power supply)</v>
      </c>
      <c r="D1460" s="260" t="str">
        <f>IF(B1460="Shopping List",IF(ISNUMBER(SEARCH("MSSB",C1460)),"MSSB",IF(ISNUMBER(SEARCH("local",C1460)),"LOCAL","")))</f>
        <v>LOCAL</v>
      </c>
      <c r="E1460" s="238">
        <v>4</v>
      </c>
      <c r="F1460" s="217"/>
      <c r="G1460" s="217">
        <v>6</v>
      </c>
      <c r="H1460" s="245">
        <v>10</v>
      </c>
      <c r="I1460" s="270"/>
      <c r="J1460" s="241" t="str">
        <f>CONCATENATE(O1438," ",L1438, " (",M1438,") ",N1438,".", IF(M1438&gt;1," Each "," This "),"includes supply and install of ",O1439,O1440,O1441,O1442,O1443,O1444,O1445,O1446,O1447,O1448,O1449,O1450,O1451,O1452,O1453,O1454,O1455,O1456,O1457,O1458,J1439,J1440,J1441,J1442,J1443,J1444,J1445,J1446,J1447,J1448,J1449,J1450,J1451,J1452,J1453,J1454,J1455,J1456,J1457,J1458)</f>
        <v xml:space="preserve">Electrical power supply and controls cabling to Zero (0) common area split AC systems (local power supply). This includes supply and install of interconnect cabling,  power cabling from outdoor unit and local power isolator ( for Indoor unit). Each system includes install only of  proprietary controller. Power cabling from electricians isolator to outdoor unit. Coordination Note: - AC system supplier : Please refer to our exclusions relating to proprietary air-conditioning controllers. Coordination Note: - Builders Electrician : Please refer to our exclusions relating to local power supply and isolator for common area split AC systems condenser units. </v>
      </c>
      <c r="K1460" s="246">
        <f>P1459</f>
        <v>0</v>
      </c>
      <c r="L1460" s="234" t="str">
        <f>CONCATENATE(Q1439,Q1440,Q1441,Q1442,Q1443,Q1444,Q1445,Q1446,Q1447,Q1448,Q1449,Q1450,Q1451,Q1452,Q1453,Q1454,Q1455,Q1456,Q1457,Q1458,)</f>
        <v xml:space="preserve">proprietary air-conditioning controllers. local power supply and isolator for common area split AC systems condenser units. </v>
      </c>
      <c r="M1460" s="91" t="s">
        <v>367</v>
      </c>
      <c r="N1460" s="83" t="str">
        <f>N1438</f>
        <v>common area split AC systems (local power supply)</v>
      </c>
      <c r="O1460" s="83" t="s">
        <v>365</v>
      </c>
      <c r="P1460" s="64" t="e">
        <f>P1459/M1438</f>
        <v>#DIV/0!</v>
      </c>
      <c r="Q1460" s="84"/>
      <c r="R1460" s="84"/>
      <c r="S1460" s="83"/>
      <c r="T1460" s="84"/>
      <c r="U1460" s="503" t="s">
        <v>366</v>
      </c>
      <c r="V1460" s="503"/>
      <c r="W1460" s="85" t="e">
        <f>W1459/M1438</f>
        <v>#DIV/0!</v>
      </c>
      <c r="X1460" s="86"/>
      <c r="Y1460" s="501" t="s">
        <v>365</v>
      </c>
      <c r="Z1460" s="501"/>
      <c r="AA1460" s="87" t="e">
        <f>AA1459/M1438</f>
        <v>#DIV/0!</v>
      </c>
      <c r="AB1460" s="84"/>
      <c r="AC1460" s="84"/>
      <c r="AD1460" s="84"/>
      <c r="AE1460" s="84"/>
      <c r="AF1460" s="501" t="s">
        <v>365</v>
      </c>
      <c r="AG1460" s="501"/>
      <c r="AH1460" s="87" t="e">
        <f>AH1459/M1438</f>
        <v>#DIV/0!</v>
      </c>
      <c r="AI1460" s="84"/>
      <c r="AJ1460" s="84"/>
      <c r="AK1460" s="84"/>
      <c r="AL1460" s="247"/>
      <c r="AM1460" s="257"/>
      <c r="AN1460" s="236">
        <f>K1460*1.25</f>
        <v>0</v>
      </c>
      <c r="AO1460" s="286"/>
      <c r="AP1460" s="284">
        <f t="shared" si="661"/>
        <v>0</v>
      </c>
      <c r="AQ1460" s="281">
        <f t="shared" si="662"/>
        <v>0</v>
      </c>
      <c r="AR1460" s="284">
        <f t="shared" si="663"/>
        <v>0</v>
      </c>
      <c r="AS1460" s="281">
        <f t="shared" si="664"/>
        <v>0</v>
      </c>
      <c r="AT1460" s="284">
        <f t="shared" si="665"/>
        <v>0</v>
      </c>
      <c r="AU1460" s="117"/>
      <c r="AV1460" s="117"/>
      <c r="AW1460" s="117"/>
      <c r="AX1460" s="117"/>
      <c r="AY1460" s="117"/>
      <c r="AZ1460" s="117"/>
      <c r="BA1460" s="117"/>
      <c r="BB1460" s="117"/>
      <c r="BC1460" s="117"/>
      <c r="BD1460" s="117"/>
      <c r="BE1460" s="117"/>
      <c r="BF1460" s="117"/>
      <c r="BG1460" s="117"/>
      <c r="BH1460" s="117"/>
      <c r="BI1460" s="117"/>
      <c r="BJ1460" s="117"/>
      <c r="BK1460" s="117"/>
      <c r="BL1460" s="117"/>
      <c r="BM1460" s="117"/>
      <c r="BN1460" s="117"/>
      <c r="BO1460" s="117"/>
      <c r="BP1460" s="117"/>
      <c r="BQ1460" s="117"/>
      <c r="BR1460" s="117"/>
      <c r="BS1460" s="117"/>
      <c r="BT1460" s="117"/>
      <c r="BU1460" s="117"/>
      <c r="BV1460" s="117"/>
      <c r="BW1460" s="117"/>
      <c r="BX1460" s="117"/>
      <c r="BY1460" s="117"/>
      <c r="BZ1460" s="117"/>
      <c r="CA1460" s="117"/>
      <c r="CB1460" s="117"/>
      <c r="CC1460" s="117"/>
      <c r="CD1460" s="117"/>
      <c r="CE1460" s="117"/>
      <c r="CF1460" s="117"/>
      <c r="CG1460" s="117"/>
      <c r="CH1460" s="117"/>
      <c r="CI1460" s="117"/>
      <c r="CJ1460" s="117"/>
      <c r="CK1460" s="117"/>
      <c r="CL1460" s="117"/>
      <c r="CM1460" s="117"/>
      <c r="CN1460" s="117"/>
      <c r="CO1460" s="117"/>
      <c r="CP1460" s="117"/>
      <c r="CQ1460" s="117"/>
      <c r="CR1460" s="117"/>
      <c r="CS1460" s="117"/>
    </row>
    <row r="1461" spans="1:97" s="116" customFormat="1" ht="192.75" customHeight="1" x14ac:dyDescent="0.8">
      <c r="A1461" s="262">
        <f>ROW()</f>
        <v>1461</v>
      </c>
      <c r="C1461" s="211"/>
      <c r="D1461" s="211"/>
      <c r="E1461" s="211"/>
      <c r="F1461" s="211"/>
      <c r="G1461" s="211"/>
      <c r="H1461" s="211"/>
      <c r="K1461" s="116" t="s">
        <v>452</v>
      </c>
      <c r="M1461" s="116" t="s">
        <v>298</v>
      </c>
      <c r="N1461" s="116" t="s">
        <v>108</v>
      </c>
      <c r="O1461" s="170" t="s">
        <v>386</v>
      </c>
      <c r="P1461" s="502" t="s">
        <v>375</v>
      </c>
      <c r="Q1461" s="502"/>
      <c r="R1461" s="101" t="s">
        <v>452</v>
      </c>
      <c r="S1461" s="116" t="s">
        <v>0</v>
      </c>
      <c r="T1461" s="118"/>
      <c r="U1461" s="116" t="s">
        <v>287</v>
      </c>
      <c r="V1461" s="116" t="s">
        <v>288</v>
      </c>
      <c r="W1461" s="116" t="s">
        <v>291</v>
      </c>
      <c r="X1461" s="140"/>
      <c r="Y1461" s="116" t="s">
        <v>289</v>
      </c>
      <c r="Z1461" s="116" t="s">
        <v>354</v>
      </c>
      <c r="AA1461" s="116" t="s">
        <v>355</v>
      </c>
      <c r="AB1461" s="116" t="s">
        <v>317</v>
      </c>
      <c r="AC1461" s="116" t="s">
        <v>318</v>
      </c>
      <c r="AD1461" s="116" t="s">
        <v>316</v>
      </c>
      <c r="AE1461" s="140"/>
      <c r="AF1461" s="116" t="s">
        <v>293</v>
      </c>
      <c r="AG1461" s="116" t="s">
        <v>354</v>
      </c>
      <c r="AH1461" s="116" t="s">
        <v>355</v>
      </c>
      <c r="AI1461" s="116" t="s">
        <v>296</v>
      </c>
      <c r="AJ1461" s="116" t="s">
        <v>294</v>
      </c>
      <c r="AK1461" s="116" t="s">
        <v>295</v>
      </c>
      <c r="AL1461" s="140"/>
      <c r="AO1461" s="288"/>
      <c r="AP1461" s="284">
        <f t="shared" si="661"/>
        <v>0</v>
      </c>
      <c r="AQ1461" s="281">
        <f t="shared" si="662"/>
        <v>0</v>
      </c>
      <c r="AR1461" s="284">
        <f t="shared" si="663"/>
        <v>0</v>
      </c>
      <c r="AS1461" s="281">
        <f t="shared" si="664"/>
        <v>0</v>
      </c>
      <c r="AT1461" s="284">
        <f t="shared" si="665"/>
        <v>0</v>
      </c>
    </row>
    <row r="1462" spans="1:97" s="114" customFormat="1" ht="40.5" customHeight="1" x14ac:dyDescent="0.8">
      <c r="A1462" s="262">
        <f>ROW()</f>
        <v>1462</v>
      </c>
      <c r="C1462" s="208"/>
      <c r="D1462" s="208"/>
      <c r="E1462" s="208"/>
      <c r="F1462" s="208"/>
      <c r="G1462" s="208"/>
      <c r="H1462" s="208"/>
      <c r="L1462" s="124" t="str">
        <f>VLOOKUP(M1462,Sheet2!$D$2:$E$1024,2,FALSE)</f>
        <v>Zero</v>
      </c>
      <c r="M1462" s="121">
        <f>I1484</f>
        <v>0</v>
      </c>
      <c r="N1462" s="132" t="s">
        <v>643</v>
      </c>
      <c r="O1462" s="121" t="s">
        <v>138</v>
      </c>
      <c r="P1462" s="169" t="s">
        <v>379</v>
      </c>
      <c r="Q1462" s="169" t="s">
        <v>375</v>
      </c>
      <c r="R1462" s="169"/>
      <c r="S1462" s="133">
        <f>M1462</f>
        <v>0</v>
      </c>
      <c r="T1462" s="119"/>
      <c r="U1462" s="121" t="s">
        <v>292</v>
      </c>
      <c r="V1462" s="133">
        <f>S1462</f>
        <v>0</v>
      </c>
      <c r="W1462" s="133">
        <f>VLOOKUP(U1462,Sheet1!$B$6:$C$45,2,FALSE)*V1462</f>
        <v>0</v>
      </c>
      <c r="X1462" s="141"/>
      <c r="Y1462" s="121" t="s">
        <v>292</v>
      </c>
      <c r="Z1462" s="146">
        <f>VLOOKUP(Takeoffs!Y1462,Sheet1!$B$6:$C$124,2,FALSE)</f>
        <v>0</v>
      </c>
      <c r="AA1462" s="146">
        <f>Z1462*AB1462</f>
        <v>0</v>
      </c>
      <c r="AB1462" s="143">
        <f>AD1462*AC1462</f>
        <v>0</v>
      </c>
      <c r="AC1462" s="133">
        <f>S1462</f>
        <v>0</v>
      </c>
      <c r="AD1462" s="142">
        <v>1</v>
      </c>
      <c r="AE1462" s="141"/>
      <c r="AF1462" s="121" t="s">
        <v>292</v>
      </c>
      <c r="AG1462" s="146">
        <f>VLOOKUP(Takeoffs!AF1462,Sheet1!$B$6:$C$124,2,FALSE)</f>
        <v>0</v>
      </c>
      <c r="AH1462" s="146">
        <f>AG1462*AI1462</f>
        <v>0</v>
      </c>
      <c r="AI1462" s="143">
        <f>AK1462*AJ1462</f>
        <v>0</v>
      </c>
      <c r="AJ1462" s="133">
        <f>S1462</f>
        <v>0</v>
      </c>
      <c r="AK1462" s="142">
        <f>T1462</f>
        <v>0</v>
      </c>
      <c r="AL1462" s="141"/>
      <c r="AO1462" s="286"/>
      <c r="AP1462" s="284">
        <f t="shared" si="661"/>
        <v>0</v>
      </c>
      <c r="AQ1462" s="281">
        <f t="shared" si="662"/>
        <v>0</v>
      </c>
      <c r="AR1462" s="284">
        <f t="shared" si="663"/>
        <v>0</v>
      </c>
      <c r="AS1462" s="281">
        <f t="shared" si="664"/>
        <v>0</v>
      </c>
      <c r="AT1462" s="284">
        <f t="shared" si="665"/>
        <v>0</v>
      </c>
    </row>
    <row r="1463" spans="1:97" s="114" customFormat="1" ht="30.9" x14ac:dyDescent="0.8">
      <c r="A1463" s="262">
        <f>ROW()</f>
        <v>1463</v>
      </c>
      <c r="C1463" s="208"/>
      <c r="D1463" s="208"/>
      <c r="E1463" s="208"/>
      <c r="F1463" s="208"/>
      <c r="G1463" s="208"/>
      <c r="H1463" s="208"/>
      <c r="J1463" s="114" t="str">
        <f>IF(COUNTBLANK(Q1463)&gt;0,"",CONCATENATE("Coordination Note: - ",P1463,": Please refer to our exclusions relating to ",Q1463))</f>
        <v/>
      </c>
      <c r="K1463" s="114" t="str">
        <f>IF(COUNTBLANK(R1463)&gt;0,"",CONCATENATE(R1463," for ",N1462))</f>
        <v/>
      </c>
      <c r="M1463" s="117"/>
      <c r="N1463" s="123" t="s">
        <v>113</v>
      </c>
      <c r="O1463" s="66" t="s">
        <v>426</v>
      </c>
      <c r="P1463" s="121"/>
      <c r="Q1463" s="121"/>
      <c r="R1463" s="121"/>
      <c r="S1463" s="133">
        <f>M1462</f>
        <v>0</v>
      </c>
      <c r="T1463" s="120"/>
      <c r="U1463" s="121" t="s">
        <v>239</v>
      </c>
      <c r="V1463" s="133">
        <f t="shared" ref="V1463:V1482" si="675">S1463</f>
        <v>0</v>
      </c>
      <c r="W1463" s="133">
        <f>VLOOKUP(U1463,Sheet1!$B$6:$C$45,2,FALSE)*V1463</f>
        <v>0</v>
      </c>
      <c r="X1463" s="141"/>
      <c r="Y1463" s="121" t="s">
        <v>292</v>
      </c>
      <c r="Z1463" s="146">
        <f>VLOOKUP(Takeoffs!Y1463,Sheet1!$B$6:$C$124,2,FALSE)</f>
        <v>0</v>
      </c>
      <c r="AA1463" s="146">
        <f t="shared" ref="AA1463:AA1482" si="676">Z1463*AB1463</f>
        <v>0</v>
      </c>
      <c r="AB1463" s="143">
        <f t="shared" ref="AB1463:AB1482" si="677">AD1463*AC1463</f>
        <v>0</v>
      </c>
      <c r="AC1463" s="133">
        <f t="shared" ref="AC1463:AC1482" si="678">S1463</f>
        <v>0</v>
      </c>
      <c r="AD1463" s="142">
        <v>1</v>
      </c>
      <c r="AE1463" s="141"/>
      <c r="AF1463" s="122" t="s">
        <v>269</v>
      </c>
      <c r="AG1463" s="146">
        <f>VLOOKUP(Takeoffs!AF1463,Sheet1!$B$6:$C$124,2,FALSE)</f>
        <v>1.056</v>
      </c>
      <c r="AH1463" s="146">
        <f t="shared" ref="AH1463:AH1482" si="679">AG1463*AI1463</f>
        <v>0</v>
      </c>
      <c r="AI1463" s="143">
        <f t="shared" ref="AI1463:AI1482" si="680">AK1463*AJ1463</f>
        <v>0</v>
      </c>
      <c r="AJ1463" s="133">
        <f t="shared" ref="AJ1463:AJ1482" si="681">S1463</f>
        <v>0</v>
      </c>
      <c r="AK1463" s="142">
        <v>10</v>
      </c>
      <c r="AL1463" s="141"/>
      <c r="AO1463" s="286"/>
      <c r="AP1463" s="284">
        <f t="shared" si="661"/>
        <v>0</v>
      </c>
      <c r="AQ1463" s="281">
        <f t="shared" si="662"/>
        <v>0</v>
      </c>
      <c r="AR1463" s="284">
        <f t="shared" si="663"/>
        <v>0</v>
      </c>
      <c r="AS1463" s="281">
        <f t="shared" si="664"/>
        <v>0</v>
      </c>
      <c r="AT1463" s="284">
        <f t="shared" si="665"/>
        <v>0</v>
      </c>
    </row>
    <row r="1464" spans="1:97" s="114" customFormat="1" ht="30.9" x14ac:dyDescent="0.8">
      <c r="A1464" s="262">
        <f>ROW()</f>
        <v>1464</v>
      </c>
      <c r="C1464" s="208"/>
      <c r="D1464" s="208"/>
      <c r="E1464" s="208"/>
      <c r="F1464" s="208"/>
      <c r="G1464" s="208"/>
      <c r="H1464" s="208"/>
      <c r="J1464" s="114" t="str">
        <f t="shared" ref="J1464:J1482" si="682">IF(COUNTBLANK(Q1464)&gt;0,"",CONCATENATE("Coordination Note: - ",P1464,": Please refer to our exclusions relating to ",Q1464))</f>
        <v/>
      </c>
      <c r="K1464" s="114" t="str">
        <f>IF(COUNTBLANK(R1464)&gt;0,"",CONCATENATE(R1464," for ",N1462))</f>
        <v/>
      </c>
      <c r="M1464" s="117"/>
      <c r="N1464" s="123" t="s">
        <v>114</v>
      </c>
      <c r="O1464" s="66" t="s">
        <v>393</v>
      </c>
      <c r="P1464" s="121"/>
      <c r="Q1464" s="121"/>
      <c r="R1464" s="121"/>
      <c r="S1464" s="133">
        <f>M1462</f>
        <v>0</v>
      </c>
      <c r="T1464" s="120"/>
      <c r="U1464" s="121" t="s">
        <v>301</v>
      </c>
      <c r="V1464" s="133">
        <f t="shared" si="675"/>
        <v>0</v>
      </c>
      <c r="W1464" s="133">
        <f>VLOOKUP(U1464,Sheet1!$B$6:$C$45,2,FALSE)*V1464</f>
        <v>0</v>
      </c>
      <c r="X1464" s="141"/>
      <c r="Y1464" s="122" t="s">
        <v>253</v>
      </c>
      <c r="Z1464" s="146">
        <f>VLOOKUP(Takeoffs!Y1464,Sheet1!$B$6:$C$124,2,FALSE)</f>
        <v>10.139999999999999</v>
      </c>
      <c r="AA1464" s="146">
        <f t="shared" si="676"/>
        <v>0</v>
      </c>
      <c r="AB1464" s="143">
        <f t="shared" si="677"/>
        <v>0</v>
      </c>
      <c r="AC1464" s="133">
        <f t="shared" si="678"/>
        <v>0</v>
      </c>
      <c r="AD1464" s="142">
        <v>1</v>
      </c>
      <c r="AE1464" s="141"/>
      <c r="AF1464" s="122" t="s">
        <v>268</v>
      </c>
      <c r="AG1464" s="146">
        <f>VLOOKUP(Takeoffs!AF1464,Sheet1!$B$6:$C$124,2,FALSE)</f>
        <v>1.02</v>
      </c>
      <c r="AH1464" s="146">
        <f t="shared" si="679"/>
        <v>0</v>
      </c>
      <c r="AI1464" s="143">
        <f t="shared" si="680"/>
        <v>0</v>
      </c>
      <c r="AJ1464" s="133">
        <f t="shared" si="681"/>
        <v>0</v>
      </c>
      <c r="AK1464" s="142">
        <v>10</v>
      </c>
      <c r="AL1464" s="141"/>
      <c r="AO1464" s="286"/>
      <c r="AP1464" s="284">
        <f t="shared" si="661"/>
        <v>0</v>
      </c>
      <c r="AQ1464" s="281">
        <f t="shared" si="662"/>
        <v>0</v>
      </c>
      <c r="AR1464" s="284">
        <f t="shared" si="663"/>
        <v>0</v>
      </c>
      <c r="AS1464" s="281">
        <f t="shared" si="664"/>
        <v>0</v>
      </c>
      <c r="AT1464" s="284">
        <f t="shared" si="665"/>
        <v>0</v>
      </c>
    </row>
    <row r="1465" spans="1:97" s="114" customFormat="1" ht="30.9" x14ac:dyDescent="0.8">
      <c r="A1465" s="262">
        <f>ROW()</f>
        <v>1465</v>
      </c>
      <c r="C1465" s="208"/>
      <c r="D1465" s="208"/>
      <c r="E1465" s="208"/>
      <c r="F1465" s="208"/>
      <c r="G1465" s="208"/>
      <c r="H1465" s="208"/>
      <c r="J1465" s="114" t="str">
        <f t="shared" si="682"/>
        <v/>
      </c>
      <c r="K1465" s="114" t="str">
        <f>IF(COUNTBLANK(R1465)&gt;0,"",CONCATENATE(R1465," for ",N1462))</f>
        <v/>
      </c>
      <c r="M1465" s="117"/>
      <c r="N1465" s="123" t="s">
        <v>115</v>
      </c>
      <c r="O1465" s="66" t="s">
        <v>450</v>
      </c>
      <c r="P1465" s="121"/>
      <c r="Q1465" s="121"/>
      <c r="R1465" s="121"/>
      <c r="S1465" s="133">
        <f>M1462</f>
        <v>0</v>
      </c>
      <c r="T1465" s="120"/>
      <c r="U1465" s="121" t="s">
        <v>292</v>
      </c>
      <c r="V1465" s="133">
        <f t="shared" si="675"/>
        <v>0</v>
      </c>
      <c r="W1465" s="133">
        <f>VLOOKUP(U1465,Sheet1!$B$6:$C$45,2,FALSE)*V1465</f>
        <v>0</v>
      </c>
      <c r="X1465" s="141"/>
      <c r="Y1465" s="122" t="s">
        <v>247</v>
      </c>
      <c r="Z1465" s="146">
        <f>VLOOKUP(Takeoffs!Y1465,Sheet1!$B$6:$C$124,2,FALSE)</f>
        <v>23.76</v>
      </c>
      <c r="AA1465" s="146">
        <f t="shared" si="676"/>
        <v>0</v>
      </c>
      <c r="AB1465" s="143">
        <f t="shared" si="677"/>
        <v>0</v>
      </c>
      <c r="AC1465" s="133">
        <f t="shared" si="678"/>
        <v>0</v>
      </c>
      <c r="AD1465" s="142">
        <v>1</v>
      </c>
      <c r="AE1465" s="141"/>
      <c r="AF1465" s="121" t="s">
        <v>292</v>
      </c>
      <c r="AG1465" s="146">
        <f>VLOOKUP(Takeoffs!AF1465,Sheet1!$B$6:$C$124,2,FALSE)</f>
        <v>0</v>
      </c>
      <c r="AH1465" s="146">
        <f t="shared" si="679"/>
        <v>0</v>
      </c>
      <c r="AI1465" s="143">
        <f t="shared" si="680"/>
        <v>0</v>
      </c>
      <c r="AJ1465" s="133">
        <f t="shared" si="681"/>
        <v>0</v>
      </c>
      <c r="AK1465" s="142">
        <f>T1465</f>
        <v>0</v>
      </c>
      <c r="AL1465" s="141"/>
      <c r="AO1465" s="286"/>
      <c r="AP1465" s="284">
        <f t="shared" si="661"/>
        <v>0</v>
      </c>
      <c r="AQ1465" s="281">
        <f t="shared" si="662"/>
        <v>0</v>
      </c>
      <c r="AR1465" s="284">
        <f t="shared" si="663"/>
        <v>0</v>
      </c>
      <c r="AS1465" s="281">
        <f t="shared" si="664"/>
        <v>0</v>
      </c>
      <c r="AT1465" s="284">
        <f t="shared" si="665"/>
        <v>0</v>
      </c>
    </row>
    <row r="1466" spans="1:97" s="114" customFormat="1" ht="30.9" x14ac:dyDescent="0.8">
      <c r="A1466" s="262">
        <f>ROW()</f>
        <v>1466</v>
      </c>
      <c r="C1466" s="208"/>
      <c r="D1466" s="208"/>
      <c r="E1466" s="208"/>
      <c r="F1466" s="208"/>
      <c r="G1466" s="208"/>
      <c r="H1466" s="208"/>
      <c r="J1466" s="114" t="str">
        <f t="shared" si="682"/>
        <v>Coordination Note: - AC system supplier : Please refer to our exclusions relating to proprietary air-conditioning controllers.</v>
      </c>
      <c r="K1466" s="114" t="str">
        <f>IF(COUNTBLANK(R1466)&gt;0,"",CONCATENATE(R1466," for ",N1462))</f>
        <v/>
      </c>
      <c r="M1466" s="117"/>
      <c r="N1466" s="123" t="s">
        <v>116</v>
      </c>
      <c r="O1466" s="66" t="s">
        <v>414</v>
      </c>
      <c r="P1466" s="121" t="s">
        <v>447</v>
      </c>
      <c r="Q1466" s="121" t="s">
        <v>383</v>
      </c>
      <c r="R1466" s="121"/>
      <c r="S1466" s="133">
        <f>M1462</f>
        <v>0</v>
      </c>
      <c r="T1466" s="120"/>
      <c r="U1466" s="121" t="s">
        <v>230</v>
      </c>
      <c r="V1466" s="133">
        <f t="shared" si="675"/>
        <v>0</v>
      </c>
      <c r="W1466" s="133">
        <f>VLOOKUP(U1466,Sheet1!$B$6:$C$45,2,FALSE)*V1466</f>
        <v>0</v>
      </c>
      <c r="X1466" s="141"/>
      <c r="Y1466" s="121" t="s">
        <v>292</v>
      </c>
      <c r="Z1466" s="146">
        <f>VLOOKUP(Takeoffs!Y1466,Sheet1!$B$6:$C$124,2,FALSE)</f>
        <v>0</v>
      </c>
      <c r="AA1466" s="146">
        <f t="shared" si="676"/>
        <v>0</v>
      </c>
      <c r="AB1466" s="143">
        <f t="shared" si="677"/>
        <v>0</v>
      </c>
      <c r="AC1466" s="133">
        <f t="shared" si="678"/>
        <v>0</v>
      </c>
      <c r="AD1466" s="142">
        <v>1</v>
      </c>
      <c r="AE1466" s="141"/>
      <c r="AF1466" s="121" t="s">
        <v>292</v>
      </c>
      <c r="AG1466" s="146">
        <f>VLOOKUP(Takeoffs!AF1466,Sheet1!$B$6:$C$124,2,FALSE)</f>
        <v>0</v>
      </c>
      <c r="AH1466" s="146">
        <f t="shared" si="679"/>
        <v>0</v>
      </c>
      <c r="AI1466" s="143">
        <f t="shared" si="680"/>
        <v>0</v>
      </c>
      <c r="AJ1466" s="133">
        <f t="shared" si="681"/>
        <v>0</v>
      </c>
      <c r="AK1466" s="142">
        <f>T1466</f>
        <v>0</v>
      </c>
      <c r="AL1466" s="141"/>
      <c r="AO1466" s="286"/>
      <c r="AP1466" s="284">
        <f t="shared" si="661"/>
        <v>0</v>
      </c>
      <c r="AQ1466" s="281">
        <f t="shared" si="662"/>
        <v>0</v>
      </c>
      <c r="AR1466" s="284">
        <f t="shared" si="663"/>
        <v>0</v>
      </c>
      <c r="AS1466" s="281">
        <f t="shared" si="664"/>
        <v>0</v>
      </c>
      <c r="AT1466" s="284">
        <f t="shared" si="665"/>
        <v>0</v>
      </c>
    </row>
    <row r="1467" spans="1:97" s="114" customFormat="1" ht="30.9" x14ac:dyDescent="0.8">
      <c r="A1467" s="262">
        <f>ROW()</f>
        <v>1467</v>
      </c>
      <c r="C1467" s="208"/>
      <c r="D1467" s="208"/>
      <c r="E1467" s="208"/>
      <c r="F1467" s="208"/>
      <c r="G1467" s="208"/>
      <c r="H1467" s="208"/>
      <c r="J1467" s="114" t="str">
        <f t="shared" si="682"/>
        <v>Coordination Note: - AC system supplier : Please refer to our exclusions relating to AC interface card with on/off control contactors.</v>
      </c>
      <c r="K1467" s="114" t="str">
        <f>IF(COUNTBLANK(R1467)&gt;0,"",CONCATENATE(R1467," for ",N1462))</f>
        <v/>
      </c>
      <c r="M1467" s="117"/>
      <c r="N1467" s="123" t="s">
        <v>117</v>
      </c>
      <c r="O1467" s="66" t="s">
        <v>640</v>
      </c>
      <c r="P1467" s="121" t="s">
        <v>447</v>
      </c>
      <c r="Q1467" s="121" t="s">
        <v>644</v>
      </c>
      <c r="R1467" s="121"/>
      <c r="S1467" s="133">
        <f>M1462</f>
        <v>0</v>
      </c>
      <c r="T1467" s="120"/>
      <c r="U1467" s="117" t="s">
        <v>363</v>
      </c>
      <c r="V1467" s="133">
        <f t="shared" si="675"/>
        <v>0</v>
      </c>
      <c r="W1467" s="133">
        <f>VLOOKUP(U1467,Sheet1!$B$6:$C$45,2,FALSE)*V1467</f>
        <v>0</v>
      </c>
      <c r="X1467" s="141"/>
      <c r="Y1467" s="121" t="s">
        <v>292</v>
      </c>
      <c r="Z1467" s="146">
        <f>VLOOKUP(Takeoffs!Y1467,Sheet1!$B$6:$C$124,2,FALSE)</f>
        <v>0</v>
      </c>
      <c r="AA1467" s="146">
        <f t="shared" si="676"/>
        <v>0</v>
      </c>
      <c r="AB1467" s="143">
        <f t="shared" si="677"/>
        <v>0</v>
      </c>
      <c r="AC1467" s="133">
        <f t="shared" si="678"/>
        <v>0</v>
      </c>
      <c r="AD1467" s="142">
        <v>1</v>
      </c>
      <c r="AE1467" s="141"/>
      <c r="AF1467" s="122" t="s">
        <v>269</v>
      </c>
      <c r="AG1467" s="146">
        <f>VLOOKUP(Takeoffs!AF1467,Sheet1!$B$6:$C$124,2,FALSE)</f>
        <v>1.056</v>
      </c>
      <c r="AH1467" s="146">
        <f t="shared" si="679"/>
        <v>0</v>
      </c>
      <c r="AI1467" s="143">
        <f t="shared" si="680"/>
        <v>0</v>
      </c>
      <c r="AJ1467" s="133">
        <f t="shared" si="681"/>
        <v>0</v>
      </c>
      <c r="AK1467" s="142">
        <v>15</v>
      </c>
      <c r="AL1467" s="141"/>
      <c r="AO1467" s="286"/>
      <c r="AP1467" s="284">
        <f t="shared" si="661"/>
        <v>0</v>
      </c>
      <c r="AQ1467" s="281">
        <f t="shared" si="662"/>
        <v>0</v>
      </c>
      <c r="AR1467" s="284">
        <f t="shared" si="663"/>
        <v>0</v>
      </c>
      <c r="AS1467" s="281">
        <f t="shared" si="664"/>
        <v>0</v>
      </c>
      <c r="AT1467" s="284">
        <f t="shared" si="665"/>
        <v>0</v>
      </c>
    </row>
    <row r="1468" spans="1:97" s="114" customFormat="1" ht="30.9" x14ac:dyDescent="0.8">
      <c r="A1468" s="262">
        <f>ROW()</f>
        <v>1468</v>
      </c>
      <c r="C1468" s="208"/>
      <c r="D1468" s="208"/>
      <c r="E1468" s="208"/>
      <c r="F1468" s="208"/>
      <c r="G1468" s="208"/>
      <c r="H1468" s="208"/>
      <c r="J1468" s="114" t="str">
        <f t="shared" si="682"/>
        <v/>
      </c>
      <c r="K1468" s="114" t="str">
        <f>IF(COUNTBLANK(R1468)&gt;0,"",CONCATENATE(R1468," for ",N1462))</f>
        <v/>
      </c>
      <c r="M1468" s="117"/>
      <c r="N1468" s="123" t="s">
        <v>118</v>
      </c>
      <c r="O1468" s="66"/>
      <c r="P1468" s="121"/>
      <c r="Q1468" s="121"/>
      <c r="R1468" s="121"/>
      <c r="S1468" s="133">
        <f>M1462</f>
        <v>0</v>
      </c>
      <c r="T1468" s="120"/>
      <c r="U1468" s="121" t="s">
        <v>292</v>
      </c>
      <c r="V1468" s="133">
        <f t="shared" si="675"/>
        <v>0</v>
      </c>
      <c r="W1468" s="133">
        <f>VLOOKUP(U1468,Sheet1!$B$6:$C$45,2,FALSE)*V1468</f>
        <v>0</v>
      </c>
      <c r="X1468" s="141"/>
      <c r="Y1468" s="121" t="s">
        <v>292</v>
      </c>
      <c r="Z1468" s="146">
        <f>VLOOKUP(Takeoffs!Y1468,Sheet1!$B$6:$C$124,2,FALSE)</f>
        <v>0</v>
      </c>
      <c r="AA1468" s="146">
        <f t="shared" si="676"/>
        <v>0</v>
      </c>
      <c r="AB1468" s="143">
        <f t="shared" si="677"/>
        <v>0</v>
      </c>
      <c r="AC1468" s="133">
        <f t="shared" si="678"/>
        <v>0</v>
      </c>
      <c r="AD1468" s="142">
        <v>1</v>
      </c>
      <c r="AE1468" s="141"/>
      <c r="AF1468" s="121" t="s">
        <v>292</v>
      </c>
      <c r="AG1468" s="146">
        <f>VLOOKUP(Takeoffs!AF1468,Sheet1!$B$6:$C$124,2,FALSE)</f>
        <v>0</v>
      </c>
      <c r="AH1468" s="146">
        <f t="shared" si="679"/>
        <v>0</v>
      </c>
      <c r="AI1468" s="143">
        <f t="shared" si="680"/>
        <v>0</v>
      </c>
      <c r="AJ1468" s="133">
        <f t="shared" si="681"/>
        <v>0</v>
      </c>
      <c r="AK1468" s="142">
        <f t="shared" ref="AK1468:AK1482" si="683">T1468</f>
        <v>0</v>
      </c>
      <c r="AL1468" s="141"/>
      <c r="AO1468" s="286"/>
      <c r="AP1468" s="284">
        <f t="shared" si="661"/>
        <v>0</v>
      </c>
      <c r="AQ1468" s="281">
        <f t="shared" si="662"/>
        <v>0</v>
      </c>
      <c r="AR1468" s="284">
        <f t="shared" si="663"/>
        <v>0</v>
      </c>
      <c r="AS1468" s="281">
        <f t="shared" si="664"/>
        <v>0</v>
      </c>
      <c r="AT1468" s="284">
        <f t="shared" si="665"/>
        <v>0</v>
      </c>
    </row>
    <row r="1469" spans="1:97" s="114" customFormat="1" ht="30.9" x14ac:dyDescent="0.8">
      <c r="A1469" s="262">
        <f>ROW()</f>
        <v>1469</v>
      </c>
      <c r="C1469" s="208"/>
      <c r="D1469" s="208"/>
      <c r="E1469" s="208"/>
      <c r="F1469" s="208"/>
      <c r="G1469" s="208"/>
      <c r="H1469" s="208"/>
      <c r="J1469" s="114" t="str">
        <f t="shared" si="682"/>
        <v/>
      </c>
      <c r="K1469" s="114" t="str">
        <f>IF(COUNTBLANK(R1469)&gt;0,"",CONCATENATE(R1469," for ",N1462))</f>
        <v/>
      </c>
      <c r="N1469" s="123" t="s">
        <v>119</v>
      </c>
      <c r="O1469" s="66"/>
      <c r="P1469" s="121"/>
      <c r="Q1469" s="121"/>
      <c r="R1469" s="121"/>
      <c r="S1469" s="133">
        <f>M1462</f>
        <v>0</v>
      </c>
      <c r="T1469" s="120"/>
      <c r="U1469" s="121" t="s">
        <v>292</v>
      </c>
      <c r="V1469" s="133">
        <f t="shared" si="675"/>
        <v>0</v>
      </c>
      <c r="W1469" s="133">
        <f>VLOOKUP(U1469,Sheet1!$B$6:$C$45,2,FALSE)*V1469</f>
        <v>0</v>
      </c>
      <c r="X1469" s="141"/>
      <c r="Y1469" s="121" t="s">
        <v>292</v>
      </c>
      <c r="Z1469" s="146">
        <f>VLOOKUP(Takeoffs!Y1469,Sheet1!$B$6:$C$124,2,FALSE)</f>
        <v>0</v>
      </c>
      <c r="AA1469" s="146">
        <f t="shared" si="676"/>
        <v>0</v>
      </c>
      <c r="AB1469" s="143">
        <f t="shared" si="677"/>
        <v>0</v>
      </c>
      <c r="AC1469" s="133">
        <f t="shared" si="678"/>
        <v>0</v>
      </c>
      <c r="AD1469" s="142">
        <v>1</v>
      </c>
      <c r="AE1469" s="141"/>
      <c r="AF1469" s="121" t="s">
        <v>292</v>
      </c>
      <c r="AG1469" s="146">
        <f>VLOOKUP(Takeoffs!AF1469,Sheet1!$B$6:$C$124,2,FALSE)</f>
        <v>0</v>
      </c>
      <c r="AH1469" s="146">
        <f t="shared" si="679"/>
        <v>0</v>
      </c>
      <c r="AI1469" s="143">
        <f t="shared" si="680"/>
        <v>0</v>
      </c>
      <c r="AJ1469" s="133">
        <f t="shared" si="681"/>
        <v>0</v>
      </c>
      <c r="AK1469" s="142">
        <f t="shared" si="683"/>
        <v>0</v>
      </c>
      <c r="AL1469" s="141"/>
      <c r="AO1469" s="286"/>
      <c r="AP1469" s="284">
        <f t="shared" si="661"/>
        <v>0</v>
      </c>
      <c r="AQ1469" s="281">
        <f t="shared" si="662"/>
        <v>0</v>
      </c>
      <c r="AR1469" s="284">
        <f t="shared" si="663"/>
        <v>0</v>
      </c>
      <c r="AS1469" s="281">
        <f t="shared" si="664"/>
        <v>0</v>
      </c>
      <c r="AT1469" s="284">
        <f t="shared" si="665"/>
        <v>0</v>
      </c>
    </row>
    <row r="1470" spans="1:97" s="114" customFormat="1" ht="30.9" x14ac:dyDescent="0.8">
      <c r="A1470" s="262">
        <f>ROW()</f>
        <v>1470</v>
      </c>
      <c r="C1470" s="208"/>
      <c r="D1470" s="208"/>
      <c r="E1470" s="208"/>
      <c r="F1470" s="208"/>
      <c r="G1470" s="208"/>
      <c r="H1470" s="208"/>
      <c r="J1470" s="114" t="str">
        <f t="shared" si="682"/>
        <v/>
      </c>
      <c r="K1470" s="114" t="str">
        <f>IF(COUNTBLANK(R1470)&gt;0,"",CONCATENATE(R1470," for ",N1462))</f>
        <v/>
      </c>
      <c r="N1470" s="123" t="s">
        <v>120</v>
      </c>
      <c r="O1470" s="66"/>
      <c r="P1470" s="121"/>
      <c r="Q1470" s="121"/>
      <c r="R1470" s="121"/>
      <c r="S1470" s="133">
        <f>M1462</f>
        <v>0</v>
      </c>
      <c r="T1470" s="120"/>
      <c r="U1470" s="121" t="s">
        <v>292</v>
      </c>
      <c r="V1470" s="133">
        <f t="shared" si="675"/>
        <v>0</v>
      </c>
      <c r="W1470" s="133">
        <f>VLOOKUP(U1470,Sheet1!$B$6:$C$45,2,FALSE)*V1470</f>
        <v>0</v>
      </c>
      <c r="X1470" s="141"/>
      <c r="Y1470" s="121" t="s">
        <v>292</v>
      </c>
      <c r="Z1470" s="146">
        <f>VLOOKUP(Takeoffs!Y1470,Sheet1!$B$6:$C$124,2,FALSE)</f>
        <v>0</v>
      </c>
      <c r="AA1470" s="146">
        <f t="shared" si="676"/>
        <v>0</v>
      </c>
      <c r="AB1470" s="143">
        <f t="shared" si="677"/>
        <v>0</v>
      </c>
      <c r="AC1470" s="133">
        <f t="shared" si="678"/>
        <v>0</v>
      </c>
      <c r="AD1470" s="142">
        <v>1</v>
      </c>
      <c r="AE1470" s="141"/>
      <c r="AF1470" s="121" t="s">
        <v>292</v>
      </c>
      <c r="AG1470" s="146">
        <f>VLOOKUP(Takeoffs!AF1470,Sheet1!$B$6:$C$124,2,FALSE)</f>
        <v>0</v>
      </c>
      <c r="AH1470" s="146">
        <f t="shared" si="679"/>
        <v>0</v>
      </c>
      <c r="AI1470" s="143">
        <f t="shared" si="680"/>
        <v>0</v>
      </c>
      <c r="AJ1470" s="133">
        <f t="shared" si="681"/>
        <v>0</v>
      </c>
      <c r="AK1470" s="142">
        <f t="shared" si="683"/>
        <v>0</v>
      </c>
      <c r="AL1470" s="141"/>
      <c r="AO1470" s="286"/>
      <c r="AP1470" s="284">
        <f t="shared" si="661"/>
        <v>0</v>
      </c>
      <c r="AQ1470" s="281">
        <f t="shared" si="662"/>
        <v>0</v>
      </c>
      <c r="AR1470" s="284">
        <f t="shared" si="663"/>
        <v>0</v>
      </c>
      <c r="AS1470" s="281">
        <f t="shared" si="664"/>
        <v>0</v>
      </c>
      <c r="AT1470" s="284">
        <f t="shared" si="665"/>
        <v>0</v>
      </c>
    </row>
    <row r="1471" spans="1:97" s="114" customFormat="1" ht="30.9" x14ac:dyDescent="0.8">
      <c r="A1471" s="262">
        <f>ROW()</f>
        <v>1471</v>
      </c>
      <c r="C1471" s="208"/>
      <c r="D1471" s="208"/>
      <c r="E1471" s="208"/>
      <c r="F1471" s="208"/>
      <c r="G1471" s="208"/>
      <c r="H1471" s="208"/>
      <c r="J1471" s="114" t="str">
        <f t="shared" si="682"/>
        <v/>
      </c>
      <c r="K1471" s="114" t="str">
        <f>IF(COUNTBLANK(R1471)&gt;0,"",CONCATENATE(R1471," for ",N1462))</f>
        <v/>
      </c>
      <c r="N1471" s="123" t="s">
        <v>121</v>
      </c>
      <c r="O1471" s="66"/>
      <c r="P1471" s="121"/>
      <c r="Q1471" s="121"/>
      <c r="R1471" s="121"/>
      <c r="S1471" s="133">
        <f>M1462</f>
        <v>0</v>
      </c>
      <c r="T1471" s="120"/>
      <c r="U1471" s="121" t="s">
        <v>292</v>
      </c>
      <c r="V1471" s="133">
        <f t="shared" si="675"/>
        <v>0</v>
      </c>
      <c r="W1471" s="133">
        <f>VLOOKUP(U1471,Sheet1!$B$6:$C$45,2,FALSE)*V1471</f>
        <v>0</v>
      </c>
      <c r="X1471" s="141"/>
      <c r="Y1471" s="121" t="s">
        <v>292</v>
      </c>
      <c r="Z1471" s="146">
        <f>VLOOKUP(Takeoffs!Y1471,Sheet1!$B$6:$C$124,2,FALSE)</f>
        <v>0</v>
      </c>
      <c r="AA1471" s="146">
        <f t="shared" si="676"/>
        <v>0</v>
      </c>
      <c r="AB1471" s="143">
        <f t="shared" si="677"/>
        <v>0</v>
      </c>
      <c r="AC1471" s="133">
        <f t="shared" si="678"/>
        <v>0</v>
      </c>
      <c r="AD1471" s="142">
        <v>1</v>
      </c>
      <c r="AE1471" s="141"/>
      <c r="AF1471" s="121" t="s">
        <v>292</v>
      </c>
      <c r="AG1471" s="146">
        <f>VLOOKUP(Takeoffs!AF1471,Sheet1!$B$6:$C$124,2,FALSE)</f>
        <v>0</v>
      </c>
      <c r="AH1471" s="146">
        <f t="shared" si="679"/>
        <v>0</v>
      </c>
      <c r="AI1471" s="143">
        <f t="shared" si="680"/>
        <v>0</v>
      </c>
      <c r="AJ1471" s="133">
        <f t="shared" si="681"/>
        <v>0</v>
      </c>
      <c r="AK1471" s="142">
        <f t="shared" si="683"/>
        <v>0</v>
      </c>
      <c r="AL1471" s="141"/>
      <c r="AO1471" s="286"/>
      <c r="AP1471" s="284">
        <f t="shared" si="661"/>
        <v>0</v>
      </c>
      <c r="AQ1471" s="281">
        <f t="shared" si="662"/>
        <v>0</v>
      </c>
      <c r="AR1471" s="284">
        <f t="shared" si="663"/>
        <v>0</v>
      </c>
      <c r="AS1471" s="281">
        <f t="shared" si="664"/>
        <v>0</v>
      </c>
      <c r="AT1471" s="284">
        <f t="shared" si="665"/>
        <v>0</v>
      </c>
    </row>
    <row r="1472" spans="1:97" s="114" customFormat="1" ht="30.9" x14ac:dyDescent="0.8">
      <c r="A1472" s="262">
        <f>ROW()</f>
        <v>1472</v>
      </c>
      <c r="C1472" s="208"/>
      <c r="D1472" s="208"/>
      <c r="E1472" s="208"/>
      <c r="F1472" s="208"/>
      <c r="G1472" s="208"/>
      <c r="H1472" s="208"/>
      <c r="J1472" s="114" t="str">
        <f t="shared" si="682"/>
        <v/>
      </c>
      <c r="K1472" s="114" t="str">
        <f>IF(COUNTBLANK(R1472)&gt;0,"",CONCATENATE(R1472," for ",N1462))</f>
        <v/>
      </c>
      <c r="N1472" s="123" t="s">
        <v>122</v>
      </c>
      <c r="O1472" s="66"/>
      <c r="P1472" s="121"/>
      <c r="Q1472" s="121"/>
      <c r="R1472" s="121"/>
      <c r="S1472" s="133">
        <f>M1462</f>
        <v>0</v>
      </c>
      <c r="T1472" s="120"/>
      <c r="U1472" s="121" t="s">
        <v>292</v>
      </c>
      <c r="V1472" s="133">
        <f t="shared" si="675"/>
        <v>0</v>
      </c>
      <c r="W1472" s="133">
        <f>VLOOKUP(U1472,Sheet1!$B$6:$C$45,2,FALSE)*V1472</f>
        <v>0</v>
      </c>
      <c r="X1472" s="141"/>
      <c r="Y1472" s="121" t="s">
        <v>292</v>
      </c>
      <c r="Z1472" s="146">
        <f>VLOOKUP(Takeoffs!Y1472,Sheet1!$B$6:$C$124,2,FALSE)</f>
        <v>0</v>
      </c>
      <c r="AA1472" s="146">
        <f t="shared" si="676"/>
        <v>0</v>
      </c>
      <c r="AB1472" s="143">
        <f t="shared" si="677"/>
        <v>0</v>
      </c>
      <c r="AC1472" s="133">
        <f t="shared" si="678"/>
        <v>0</v>
      </c>
      <c r="AD1472" s="142">
        <v>1</v>
      </c>
      <c r="AE1472" s="141"/>
      <c r="AF1472" s="121" t="s">
        <v>292</v>
      </c>
      <c r="AG1472" s="146">
        <f>VLOOKUP(Takeoffs!AF1472,Sheet1!$B$6:$C$124,2,FALSE)</f>
        <v>0</v>
      </c>
      <c r="AH1472" s="146">
        <f t="shared" si="679"/>
        <v>0</v>
      </c>
      <c r="AI1472" s="143">
        <f t="shared" si="680"/>
        <v>0</v>
      </c>
      <c r="AJ1472" s="133">
        <f t="shared" si="681"/>
        <v>0</v>
      </c>
      <c r="AK1472" s="142">
        <f t="shared" si="683"/>
        <v>0</v>
      </c>
      <c r="AL1472" s="141"/>
      <c r="AO1472" s="286"/>
      <c r="AP1472" s="284">
        <f t="shared" si="661"/>
        <v>0</v>
      </c>
      <c r="AQ1472" s="281">
        <f t="shared" si="662"/>
        <v>0</v>
      </c>
      <c r="AR1472" s="284">
        <f t="shared" si="663"/>
        <v>0</v>
      </c>
      <c r="AS1472" s="281">
        <f t="shared" si="664"/>
        <v>0</v>
      </c>
      <c r="AT1472" s="284">
        <f t="shared" si="665"/>
        <v>0</v>
      </c>
    </row>
    <row r="1473" spans="1:97" s="114" customFormat="1" ht="30.9" x14ac:dyDescent="0.8">
      <c r="A1473" s="262">
        <f>ROW()</f>
        <v>1473</v>
      </c>
      <c r="C1473" s="208"/>
      <c r="D1473" s="208"/>
      <c r="E1473" s="208"/>
      <c r="F1473" s="208"/>
      <c r="G1473" s="208"/>
      <c r="H1473" s="208"/>
      <c r="J1473" s="114" t="str">
        <f t="shared" si="682"/>
        <v/>
      </c>
      <c r="K1473" s="114" t="str">
        <f>IF(COUNTBLANK(R1473)&gt;0,"",CONCATENATE(R1473," for ",N1462))</f>
        <v/>
      </c>
      <c r="N1473" s="123" t="s">
        <v>123</v>
      </c>
      <c r="O1473" s="66"/>
      <c r="P1473" s="121"/>
      <c r="Q1473" s="121"/>
      <c r="R1473" s="121"/>
      <c r="S1473" s="133">
        <f>M1462</f>
        <v>0</v>
      </c>
      <c r="T1473" s="120"/>
      <c r="U1473" s="121" t="s">
        <v>292</v>
      </c>
      <c r="V1473" s="133">
        <f t="shared" si="675"/>
        <v>0</v>
      </c>
      <c r="W1473" s="133">
        <f>VLOOKUP(U1473,Sheet1!$B$6:$C$45,2,FALSE)*V1473</f>
        <v>0</v>
      </c>
      <c r="X1473" s="141"/>
      <c r="Y1473" s="121" t="s">
        <v>292</v>
      </c>
      <c r="Z1473" s="146">
        <f>VLOOKUP(Takeoffs!Y1473,Sheet1!$B$6:$C$124,2,FALSE)</f>
        <v>0</v>
      </c>
      <c r="AA1473" s="146">
        <f t="shared" si="676"/>
        <v>0</v>
      </c>
      <c r="AB1473" s="143">
        <f t="shared" si="677"/>
        <v>0</v>
      </c>
      <c r="AC1473" s="133">
        <f t="shared" si="678"/>
        <v>0</v>
      </c>
      <c r="AD1473" s="142">
        <v>1</v>
      </c>
      <c r="AE1473" s="141"/>
      <c r="AF1473" s="121" t="s">
        <v>292</v>
      </c>
      <c r="AG1473" s="146">
        <f>VLOOKUP(Takeoffs!AF1473,Sheet1!$B$6:$C$124,2,FALSE)</f>
        <v>0</v>
      </c>
      <c r="AH1473" s="146">
        <f t="shared" si="679"/>
        <v>0</v>
      </c>
      <c r="AI1473" s="143">
        <f t="shared" si="680"/>
        <v>0</v>
      </c>
      <c r="AJ1473" s="133">
        <f t="shared" si="681"/>
        <v>0</v>
      </c>
      <c r="AK1473" s="142">
        <f t="shared" si="683"/>
        <v>0</v>
      </c>
      <c r="AL1473" s="141"/>
      <c r="AO1473" s="286"/>
      <c r="AP1473" s="284">
        <f t="shared" si="661"/>
        <v>0</v>
      </c>
      <c r="AQ1473" s="281">
        <f t="shared" si="662"/>
        <v>0</v>
      </c>
      <c r="AR1473" s="284">
        <f t="shared" si="663"/>
        <v>0</v>
      </c>
      <c r="AS1473" s="281">
        <f t="shared" si="664"/>
        <v>0</v>
      </c>
      <c r="AT1473" s="284">
        <f t="shared" si="665"/>
        <v>0</v>
      </c>
    </row>
    <row r="1474" spans="1:97" s="114" customFormat="1" ht="30.9" x14ac:dyDescent="0.8">
      <c r="A1474" s="262">
        <f>ROW()</f>
        <v>1474</v>
      </c>
      <c r="C1474" s="208"/>
      <c r="D1474" s="208"/>
      <c r="E1474" s="208"/>
      <c r="F1474" s="208"/>
      <c r="G1474" s="208"/>
      <c r="H1474" s="208"/>
      <c r="J1474" s="114" t="str">
        <f t="shared" si="682"/>
        <v/>
      </c>
      <c r="K1474" s="114" t="str">
        <f>IF(COUNTBLANK(R1474)&gt;0,"",CONCATENATE(R1474," for ",N1462))</f>
        <v/>
      </c>
      <c r="N1474" s="123" t="s">
        <v>124</v>
      </c>
      <c r="O1474" s="66"/>
      <c r="P1474" s="121"/>
      <c r="Q1474" s="121"/>
      <c r="R1474" s="121"/>
      <c r="S1474" s="133">
        <f>M1462</f>
        <v>0</v>
      </c>
      <c r="T1474" s="120"/>
      <c r="U1474" s="121" t="s">
        <v>292</v>
      </c>
      <c r="V1474" s="133">
        <f t="shared" si="675"/>
        <v>0</v>
      </c>
      <c r="W1474" s="133">
        <f>VLOOKUP(U1474,Sheet1!$B$6:$C$45,2,FALSE)*V1474</f>
        <v>0</v>
      </c>
      <c r="X1474" s="141"/>
      <c r="Y1474" s="121" t="s">
        <v>292</v>
      </c>
      <c r="Z1474" s="146">
        <f>VLOOKUP(Takeoffs!Y1474,Sheet1!$B$6:$C$124,2,FALSE)</f>
        <v>0</v>
      </c>
      <c r="AA1474" s="146">
        <f t="shared" si="676"/>
        <v>0</v>
      </c>
      <c r="AB1474" s="143">
        <f t="shared" si="677"/>
        <v>0</v>
      </c>
      <c r="AC1474" s="133">
        <f t="shared" si="678"/>
        <v>0</v>
      </c>
      <c r="AD1474" s="142">
        <v>1</v>
      </c>
      <c r="AE1474" s="141"/>
      <c r="AF1474" s="121" t="s">
        <v>292</v>
      </c>
      <c r="AG1474" s="146">
        <f>VLOOKUP(Takeoffs!AF1474,Sheet1!$B$6:$C$124,2,FALSE)</f>
        <v>0</v>
      </c>
      <c r="AH1474" s="146">
        <f t="shared" si="679"/>
        <v>0</v>
      </c>
      <c r="AI1474" s="143">
        <f t="shared" si="680"/>
        <v>0</v>
      </c>
      <c r="AJ1474" s="133">
        <f t="shared" si="681"/>
        <v>0</v>
      </c>
      <c r="AK1474" s="142">
        <f t="shared" si="683"/>
        <v>0</v>
      </c>
      <c r="AL1474" s="141"/>
      <c r="AO1474" s="286"/>
      <c r="AP1474" s="284">
        <f t="shared" si="661"/>
        <v>0</v>
      </c>
      <c r="AQ1474" s="281">
        <f t="shared" si="662"/>
        <v>0</v>
      </c>
      <c r="AR1474" s="284">
        <f t="shared" si="663"/>
        <v>0</v>
      </c>
      <c r="AS1474" s="281">
        <f t="shared" si="664"/>
        <v>0</v>
      </c>
      <c r="AT1474" s="284">
        <f t="shared" si="665"/>
        <v>0</v>
      </c>
    </row>
    <row r="1475" spans="1:97" s="114" customFormat="1" ht="30.9" x14ac:dyDescent="0.8">
      <c r="A1475" s="262">
        <f>ROW()</f>
        <v>1475</v>
      </c>
      <c r="C1475" s="208"/>
      <c r="D1475" s="208"/>
      <c r="E1475" s="208"/>
      <c r="F1475" s="208"/>
      <c r="G1475" s="208"/>
      <c r="H1475" s="208"/>
      <c r="J1475" s="114" t="str">
        <f t="shared" si="682"/>
        <v/>
      </c>
      <c r="K1475" s="114" t="str">
        <f>IF(COUNTBLANK(R1475)&gt;0,"",CONCATENATE(R1475," for ",N1462))</f>
        <v/>
      </c>
      <c r="N1475" s="123" t="s">
        <v>125</v>
      </c>
      <c r="O1475" s="66"/>
      <c r="P1475" s="121"/>
      <c r="Q1475" s="121"/>
      <c r="R1475" s="121"/>
      <c r="S1475" s="133">
        <f>M1462</f>
        <v>0</v>
      </c>
      <c r="T1475" s="120"/>
      <c r="U1475" s="121" t="s">
        <v>292</v>
      </c>
      <c r="V1475" s="133">
        <f t="shared" si="675"/>
        <v>0</v>
      </c>
      <c r="W1475" s="133">
        <f>VLOOKUP(U1475,Sheet1!$B$6:$C$45,2,FALSE)*V1475</f>
        <v>0</v>
      </c>
      <c r="X1475" s="141"/>
      <c r="Y1475" s="121" t="s">
        <v>292</v>
      </c>
      <c r="Z1475" s="146">
        <f>VLOOKUP(Takeoffs!Y1475,Sheet1!$B$6:$C$124,2,FALSE)</f>
        <v>0</v>
      </c>
      <c r="AA1475" s="146">
        <f t="shared" si="676"/>
        <v>0</v>
      </c>
      <c r="AB1475" s="143">
        <f t="shared" si="677"/>
        <v>0</v>
      </c>
      <c r="AC1475" s="133">
        <f t="shared" si="678"/>
        <v>0</v>
      </c>
      <c r="AD1475" s="142">
        <v>1</v>
      </c>
      <c r="AE1475" s="141"/>
      <c r="AF1475" s="121" t="s">
        <v>292</v>
      </c>
      <c r="AG1475" s="146">
        <f>VLOOKUP(Takeoffs!AF1475,Sheet1!$B$6:$C$124,2,FALSE)</f>
        <v>0</v>
      </c>
      <c r="AH1475" s="146">
        <f t="shared" si="679"/>
        <v>0</v>
      </c>
      <c r="AI1475" s="143">
        <f t="shared" si="680"/>
        <v>0</v>
      </c>
      <c r="AJ1475" s="133">
        <f t="shared" si="681"/>
        <v>0</v>
      </c>
      <c r="AK1475" s="142">
        <f t="shared" si="683"/>
        <v>0</v>
      </c>
      <c r="AL1475" s="141"/>
      <c r="AO1475" s="286"/>
      <c r="AP1475" s="284">
        <f t="shared" si="661"/>
        <v>0</v>
      </c>
      <c r="AQ1475" s="281">
        <f t="shared" si="662"/>
        <v>0</v>
      </c>
      <c r="AR1475" s="284">
        <f t="shared" si="663"/>
        <v>0</v>
      </c>
      <c r="AS1475" s="281">
        <f t="shared" si="664"/>
        <v>0</v>
      </c>
      <c r="AT1475" s="284">
        <f t="shared" si="665"/>
        <v>0</v>
      </c>
    </row>
    <row r="1476" spans="1:97" s="114" customFormat="1" ht="30.9" x14ac:dyDescent="0.8">
      <c r="A1476" s="262">
        <f>ROW()</f>
        <v>1476</v>
      </c>
      <c r="C1476" s="208"/>
      <c r="D1476" s="208"/>
      <c r="E1476" s="208"/>
      <c r="F1476" s="208"/>
      <c r="G1476" s="208"/>
      <c r="H1476" s="208"/>
      <c r="J1476" s="114" t="str">
        <f t="shared" si="682"/>
        <v/>
      </c>
      <c r="K1476" s="114" t="str">
        <f>IF(COUNTBLANK(R1476)&gt;0,"",CONCATENATE(R1476," for ",N1462))</f>
        <v/>
      </c>
      <c r="N1476" s="123" t="s">
        <v>126</v>
      </c>
      <c r="O1476" s="66"/>
      <c r="P1476" s="121"/>
      <c r="Q1476" s="121"/>
      <c r="R1476" s="121"/>
      <c r="S1476" s="133">
        <f>M1462</f>
        <v>0</v>
      </c>
      <c r="T1476" s="120"/>
      <c r="U1476" s="121" t="s">
        <v>292</v>
      </c>
      <c r="V1476" s="133">
        <f t="shared" si="675"/>
        <v>0</v>
      </c>
      <c r="W1476" s="133">
        <f>VLOOKUP(U1476,Sheet1!$B$6:$C$45,2,FALSE)*V1476</f>
        <v>0</v>
      </c>
      <c r="X1476" s="141"/>
      <c r="Y1476" s="121" t="s">
        <v>292</v>
      </c>
      <c r="Z1476" s="146">
        <f>VLOOKUP(Takeoffs!Y1476,Sheet1!$B$6:$C$124,2,FALSE)</f>
        <v>0</v>
      </c>
      <c r="AA1476" s="146">
        <f t="shared" si="676"/>
        <v>0</v>
      </c>
      <c r="AB1476" s="143">
        <f t="shared" si="677"/>
        <v>0</v>
      </c>
      <c r="AC1476" s="133">
        <f t="shared" si="678"/>
        <v>0</v>
      </c>
      <c r="AD1476" s="142">
        <v>1</v>
      </c>
      <c r="AE1476" s="141"/>
      <c r="AF1476" s="121" t="s">
        <v>292</v>
      </c>
      <c r="AG1476" s="146">
        <f>VLOOKUP(Takeoffs!AF1476,Sheet1!$B$6:$C$124,2,FALSE)</f>
        <v>0</v>
      </c>
      <c r="AH1476" s="146">
        <f t="shared" si="679"/>
        <v>0</v>
      </c>
      <c r="AI1476" s="143">
        <f t="shared" si="680"/>
        <v>0</v>
      </c>
      <c r="AJ1476" s="133">
        <f t="shared" si="681"/>
        <v>0</v>
      </c>
      <c r="AK1476" s="142">
        <f t="shared" si="683"/>
        <v>0</v>
      </c>
      <c r="AL1476" s="141"/>
      <c r="AO1476" s="286"/>
      <c r="AP1476" s="284">
        <f t="shared" si="661"/>
        <v>0</v>
      </c>
      <c r="AQ1476" s="281">
        <f t="shared" si="662"/>
        <v>0</v>
      </c>
      <c r="AR1476" s="284">
        <f t="shared" si="663"/>
        <v>0</v>
      </c>
      <c r="AS1476" s="281">
        <f t="shared" si="664"/>
        <v>0</v>
      </c>
      <c r="AT1476" s="284">
        <f t="shared" si="665"/>
        <v>0</v>
      </c>
    </row>
    <row r="1477" spans="1:97" s="114" customFormat="1" ht="30.9" x14ac:dyDescent="0.8">
      <c r="A1477" s="262">
        <f>ROW()</f>
        <v>1477</v>
      </c>
      <c r="C1477" s="208"/>
      <c r="D1477" s="208"/>
      <c r="E1477" s="208"/>
      <c r="F1477" s="208"/>
      <c r="G1477" s="208"/>
      <c r="H1477" s="208"/>
      <c r="J1477" s="114" t="str">
        <f t="shared" si="682"/>
        <v/>
      </c>
      <c r="K1477" s="114" t="str">
        <f>IF(COUNTBLANK(R1477)&gt;0,"",CONCATENATE(R1477," for ",N1462))</f>
        <v/>
      </c>
      <c r="N1477" s="123" t="s">
        <v>127</v>
      </c>
      <c r="O1477" s="66"/>
      <c r="P1477" s="121"/>
      <c r="Q1477" s="121"/>
      <c r="R1477" s="121"/>
      <c r="S1477" s="133">
        <f>M1462</f>
        <v>0</v>
      </c>
      <c r="T1477" s="120"/>
      <c r="U1477" s="121" t="s">
        <v>292</v>
      </c>
      <c r="V1477" s="133">
        <f t="shared" si="675"/>
        <v>0</v>
      </c>
      <c r="W1477" s="133">
        <f>VLOOKUP(U1477,Sheet1!$B$6:$C$45,2,FALSE)*V1477</f>
        <v>0</v>
      </c>
      <c r="X1477" s="141"/>
      <c r="Y1477" s="121" t="s">
        <v>292</v>
      </c>
      <c r="Z1477" s="146">
        <f>VLOOKUP(Takeoffs!Y1477,Sheet1!$B$6:$C$124,2,FALSE)</f>
        <v>0</v>
      </c>
      <c r="AA1477" s="146">
        <f t="shared" si="676"/>
        <v>0</v>
      </c>
      <c r="AB1477" s="143">
        <f t="shared" si="677"/>
        <v>0</v>
      </c>
      <c r="AC1477" s="133">
        <f t="shared" si="678"/>
        <v>0</v>
      </c>
      <c r="AD1477" s="142">
        <v>1</v>
      </c>
      <c r="AE1477" s="141"/>
      <c r="AF1477" s="121" t="s">
        <v>292</v>
      </c>
      <c r="AG1477" s="146">
        <f>VLOOKUP(Takeoffs!AF1477,Sheet1!$B$6:$C$124,2,FALSE)</f>
        <v>0</v>
      </c>
      <c r="AH1477" s="146">
        <f t="shared" si="679"/>
        <v>0</v>
      </c>
      <c r="AI1477" s="143">
        <f t="shared" si="680"/>
        <v>0</v>
      </c>
      <c r="AJ1477" s="133">
        <f t="shared" si="681"/>
        <v>0</v>
      </c>
      <c r="AK1477" s="142">
        <f t="shared" si="683"/>
        <v>0</v>
      </c>
      <c r="AL1477" s="141"/>
      <c r="AO1477" s="286"/>
      <c r="AP1477" s="284">
        <f t="shared" si="661"/>
        <v>0</v>
      </c>
      <c r="AQ1477" s="281">
        <f t="shared" si="662"/>
        <v>0</v>
      </c>
      <c r="AR1477" s="284">
        <f t="shared" si="663"/>
        <v>0</v>
      </c>
      <c r="AS1477" s="281">
        <f t="shared" si="664"/>
        <v>0</v>
      </c>
      <c r="AT1477" s="284">
        <f t="shared" si="665"/>
        <v>0</v>
      </c>
    </row>
    <row r="1478" spans="1:97" s="114" customFormat="1" ht="30.9" x14ac:dyDescent="0.8">
      <c r="A1478" s="262">
        <f>ROW()</f>
        <v>1478</v>
      </c>
      <c r="C1478" s="208"/>
      <c r="D1478" s="208"/>
      <c r="E1478" s="208"/>
      <c r="F1478" s="208"/>
      <c r="G1478" s="208"/>
      <c r="H1478" s="208"/>
      <c r="J1478" s="114" t="str">
        <f t="shared" si="682"/>
        <v/>
      </c>
      <c r="K1478" s="114" t="str">
        <f>IF(COUNTBLANK(R1478)&gt;0,"",CONCATENATE(R1478," for ",N1462))</f>
        <v/>
      </c>
      <c r="N1478" s="123" t="s">
        <v>128</v>
      </c>
      <c r="O1478" s="66"/>
      <c r="P1478" s="121"/>
      <c r="Q1478" s="121"/>
      <c r="R1478" s="121"/>
      <c r="S1478" s="133">
        <f>M1462</f>
        <v>0</v>
      </c>
      <c r="T1478" s="120"/>
      <c r="U1478" s="121" t="s">
        <v>292</v>
      </c>
      <c r="V1478" s="133">
        <f t="shared" si="675"/>
        <v>0</v>
      </c>
      <c r="W1478" s="133">
        <f>VLOOKUP(U1478,Sheet1!$B$6:$C$45,2,FALSE)*V1478</f>
        <v>0</v>
      </c>
      <c r="X1478" s="141"/>
      <c r="Y1478" s="121" t="s">
        <v>292</v>
      </c>
      <c r="Z1478" s="146">
        <f>VLOOKUP(Takeoffs!Y1478,Sheet1!$B$6:$C$124,2,FALSE)</f>
        <v>0</v>
      </c>
      <c r="AA1478" s="146">
        <f t="shared" si="676"/>
        <v>0</v>
      </c>
      <c r="AB1478" s="143">
        <f t="shared" si="677"/>
        <v>0</v>
      </c>
      <c r="AC1478" s="133">
        <f t="shared" si="678"/>
        <v>0</v>
      </c>
      <c r="AD1478" s="142">
        <v>1</v>
      </c>
      <c r="AE1478" s="141"/>
      <c r="AF1478" s="121" t="s">
        <v>292</v>
      </c>
      <c r="AG1478" s="146">
        <f>VLOOKUP(Takeoffs!AF1478,Sheet1!$B$6:$C$124,2,FALSE)</f>
        <v>0</v>
      </c>
      <c r="AH1478" s="146">
        <f t="shared" si="679"/>
        <v>0</v>
      </c>
      <c r="AI1478" s="143">
        <f t="shared" si="680"/>
        <v>0</v>
      </c>
      <c r="AJ1478" s="133">
        <f t="shared" si="681"/>
        <v>0</v>
      </c>
      <c r="AK1478" s="142">
        <f t="shared" si="683"/>
        <v>0</v>
      </c>
      <c r="AL1478" s="141"/>
      <c r="AO1478" s="286"/>
      <c r="AP1478" s="284">
        <f t="shared" si="661"/>
        <v>0</v>
      </c>
      <c r="AQ1478" s="281">
        <f t="shared" si="662"/>
        <v>0</v>
      </c>
      <c r="AR1478" s="284">
        <f t="shared" si="663"/>
        <v>0</v>
      </c>
      <c r="AS1478" s="281">
        <f t="shared" si="664"/>
        <v>0</v>
      </c>
      <c r="AT1478" s="284">
        <f t="shared" si="665"/>
        <v>0</v>
      </c>
    </row>
    <row r="1479" spans="1:97" s="114" customFormat="1" ht="30.9" x14ac:dyDescent="0.8">
      <c r="A1479" s="262">
        <f>ROW()</f>
        <v>1479</v>
      </c>
      <c r="C1479" s="208"/>
      <c r="D1479" s="208"/>
      <c r="E1479" s="208"/>
      <c r="F1479" s="208"/>
      <c r="G1479" s="208"/>
      <c r="H1479" s="208"/>
      <c r="J1479" s="114" t="str">
        <f t="shared" si="682"/>
        <v/>
      </c>
      <c r="K1479" s="114" t="str">
        <f>IF(COUNTBLANK(R1479)&gt;0,"",CONCATENATE(R1479," for ",N1462))</f>
        <v/>
      </c>
      <c r="N1479" s="123" t="s">
        <v>129</v>
      </c>
      <c r="O1479" s="66"/>
      <c r="P1479" s="121"/>
      <c r="Q1479" s="121"/>
      <c r="R1479" s="121"/>
      <c r="S1479" s="133">
        <f>M1462</f>
        <v>0</v>
      </c>
      <c r="T1479" s="120"/>
      <c r="U1479" s="121" t="s">
        <v>292</v>
      </c>
      <c r="V1479" s="133">
        <f t="shared" si="675"/>
        <v>0</v>
      </c>
      <c r="W1479" s="133">
        <f>VLOOKUP(U1479,Sheet1!$B$6:$C$45,2,FALSE)*V1479</f>
        <v>0</v>
      </c>
      <c r="X1479" s="141"/>
      <c r="Y1479" s="121" t="s">
        <v>292</v>
      </c>
      <c r="Z1479" s="146">
        <f>VLOOKUP(Takeoffs!Y1479,Sheet1!$B$6:$C$124,2,FALSE)</f>
        <v>0</v>
      </c>
      <c r="AA1479" s="146">
        <f t="shared" si="676"/>
        <v>0</v>
      </c>
      <c r="AB1479" s="143">
        <f t="shared" si="677"/>
        <v>0</v>
      </c>
      <c r="AC1479" s="133">
        <f t="shared" si="678"/>
        <v>0</v>
      </c>
      <c r="AD1479" s="142">
        <v>1</v>
      </c>
      <c r="AE1479" s="141"/>
      <c r="AF1479" s="121" t="s">
        <v>292</v>
      </c>
      <c r="AG1479" s="146">
        <f>VLOOKUP(Takeoffs!AF1479,Sheet1!$B$6:$C$124,2,FALSE)</f>
        <v>0</v>
      </c>
      <c r="AH1479" s="146">
        <f t="shared" si="679"/>
        <v>0</v>
      </c>
      <c r="AI1479" s="143">
        <f t="shared" si="680"/>
        <v>0</v>
      </c>
      <c r="AJ1479" s="133">
        <f t="shared" si="681"/>
        <v>0</v>
      </c>
      <c r="AK1479" s="142">
        <f t="shared" si="683"/>
        <v>0</v>
      </c>
      <c r="AL1479" s="141"/>
      <c r="AO1479" s="286"/>
      <c r="AP1479" s="284">
        <f t="shared" si="661"/>
        <v>0</v>
      </c>
      <c r="AQ1479" s="281">
        <f t="shared" si="662"/>
        <v>0</v>
      </c>
      <c r="AR1479" s="284">
        <f t="shared" si="663"/>
        <v>0</v>
      </c>
      <c r="AS1479" s="281">
        <f t="shared" si="664"/>
        <v>0</v>
      </c>
      <c r="AT1479" s="284">
        <f t="shared" si="665"/>
        <v>0</v>
      </c>
    </row>
    <row r="1480" spans="1:97" s="114" customFormat="1" ht="30.9" x14ac:dyDescent="0.8">
      <c r="A1480" s="262">
        <f>ROW()</f>
        <v>1480</v>
      </c>
      <c r="C1480" s="208"/>
      <c r="D1480" s="208"/>
      <c r="E1480" s="208"/>
      <c r="F1480" s="208"/>
      <c r="G1480" s="208"/>
      <c r="H1480" s="208"/>
      <c r="J1480" s="114" t="str">
        <f t="shared" si="682"/>
        <v/>
      </c>
      <c r="K1480" s="114" t="str">
        <f>IF(COUNTBLANK(R1480)&gt;0,"",CONCATENATE(R1480," for ",N1462))</f>
        <v/>
      </c>
      <c r="N1480" s="123" t="s">
        <v>130</v>
      </c>
      <c r="O1480" s="66"/>
      <c r="P1480" s="121"/>
      <c r="Q1480" s="121"/>
      <c r="R1480" s="121"/>
      <c r="S1480" s="133">
        <f>M1462</f>
        <v>0</v>
      </c>
      <c r="T1480" s="120"/>
      <c r="U1480" s="121" t="s">
        <v>292</v>
      </c>
      <c r="V1480" s="133">
        <f t="shared" si="675"/>
        <v>0</v>
      </c>
      <c r="W1480" s="133">
        <f>VLOOKUP(U1480,Sheet1!$B$6:$C$45,2,FALSE)*V1480</f>
        <v>0</v>
      </c>
      <c r="X1480" s="141"/>
      <c r="Y1480" s="121" t="s">
        <v>292</v>
      </c>
      <c r="Z1480" s="146">
        <f>VLOOKUP(Takeoffs!Y1480,Sheet1!$B$6:$C$124,2,FALSE)</f>
        <v>0</v>
      </c>
      <c r="AA1480" s="146">
        <f t="shared" si="676"/>
        <v>0</v>
      </c>
      <c r="AB1480" s="143">
        <f t="shared" si="677"/>
        <v>0</v>
      </c>
      <c r="AC1480" s="133">
        <f t="shared" si="678"/>
        <v>0</v>
      </c>
      <c r="AD1480" s="142">
        <v>1</v>
      </c>
      <c r="AE1480" s="141"/>
      <c r="AF1480" s="121" t="s">
        <v>292</v>
      </c>
      <c r="AG1480" s="146">
        <f>VLOOKUP(Takeoffs!AF1480,Sheet1!$B$6:$C$124,2,FALSE)</f>
        <v>0</v>
      </c>
      <c r="AH1480" s="146">
        <f t="shared" si="679"/>
        <v>0</v>
      </c>
      <c r="AI1480" s="143">
        <f t="shared" si="680"/>
        <v>0</v>
      </c>
      <c r="AJ1480" s="133">
        <f t="shared" si="681"/>
        <v>0</v>
      </c>
      <c r="AK1480" s="142">
        <f t="shared" si="683"/>
        <v>0</v>
      </c>
      <c r="AL1480" s="141"/>
      <c r="AO1480" s="286"/>
      <c r="AP1480" s="284">
        <f t="shared" si="661"/>
        <v>0</v>
      </c>
      <c r="AQ1480" s="281">
        <f t="shared" si="662"/>
        <v>0</v>
      </c>
      <c r="AR1480" s="284">
        <f t="shared" si="663"/>
        <v>0</v>
      </c>
      <c r="AS1480" s="281">
        <f t="shared" si="664"/>
        <v>0</v>
      </c>
      <c r="AT1480" s="284">
        <f t="shared" si="665"/>
        <v>0</v>
      </c>
    </row>
    <row r="1481" spans="1:97" s="114" customFormat="1" ht="30.9" x14ac:dyDescent="0.8">
      <c r="A1481" s="262">
        <f>ROW()</f>
        <v>1481</v>
      </c>
      <c r="C1481" s="208"/>
      <c r="D1481" s="208"/>
      <c r="E1481" s="208"/>
      <c r="F1481" s="208"/>
      <c r="G1481" s="208"/>
      <c r="H1481" s="208"/>
      <c r="J1481" s="114" t="str">
        <f t="shared" si="682"/>
        <v/>
      </c>
      <c r="K1481" s="114" t="str">
        <f>IF(COUNTBLANK(R1481)&gt;0,"",CONCATENATE(R1481," for ",N1462))</f>
        <v/>
      </c>
      <c r="N1481" s="123" t="s">
        <v>131</v>
      </c>
      <c r="O1481" s="66"/>
      <c r="P1481" s="121"/>
      <c r="Q1481" s="121"/>
      <c r="R1481" s="121"/>
      <c r="S1481" s="133">
        <f>M1462</f>
        <v>0</v>
      </c>
      <c r="T1481" s="120"/>
      <c r="U1481" s="121" t="s">
        <v>292</v>
      </c>
      <c r="V1481" s="133">
        <f t="shared" si="675"/>
        <v>0</v>
      </c>
      <c r="W1481" s="133">
        <f>VLOOKUP(U1481,Sheet1!$B$6:$C$45,2,FALSE)*V1481</f>
        <v>0</v>
      </c>
      <c r="X1481" s="141"/>
      <c r="Y1481" s="121" t="s">
        <v>292</v>
      </c>
      <c r="Z1481" s="146">
        <f>VLOOKUP(Takeoffs!Y1481,Sheet1!$B$6:$C$124,2,FALSE)</f>
        <v>0</v>
      </c>
      <c r="AA1481" s="146">
        <f t="shared" si="676"/>
        <v>0</v>
      </c>
      <c r="AB1481" s="143">
        <f t="shared" si="677"/>
        <v>0</v>
      </c>
      <c r="AC1481" s="133">
        <f t="shared" si="678"/>
        <v>0</v>
      </c>
      <c r="AD1481" s="142">
        <v>1</v>
      </c>
      <c r="AE1481" s="141"/>
      <c r="AF1481" s="121" t="s">
        <v>292</v>
      </c>
      <c r="AG1481" s="146">
        <f>VLOOKUP(Takeoffs!AF1481,Sheet1!$B$6:$C$124,2,FALSE)</f>
        <v>0</v>
      </c>
      <c r="AH1481" s="146">
        <f t="shared" si="679"/>
        <v>0</v>
      </c>
      <c r="AI1481" s="143">
        <f t="shared" si="680"/>
        <v>0</v>
      </c>
      <c r="AJ1481" s="133">
        <f t="shared" si="681"/>
        <v>0</v>
      </c>
      <c r="AK1481" s="142">
        <f t="shared" si="683"/>
        <v>0</v>
      </c>
      <c r="AL1481" s="141"/>
      <c r="AO1481" s="286"/>
      <c r="AP1481" s="284">
        <f t="shared" si="661"/>
        <v>0</v>
      </c>
      <c r="AQ1481" s="281">
        <f t="shared" si="662"/>
        <v>0</v>
      </c>
      <c r="AR1481" s="284">
        <f t="shared" si="663"/>
        <v>0</v>
      </c>
      <c r="AS1481" s="281">
        <f t="shared" si="664"/>
        <v>0</v>
      </c>
      <c r="AT1481" s="284">
        <f t="shared" si="665"/>
        <v>0</v>
      </c>
    </row>
    <row r="1482" spans="1:97" s="114" customFormat="1" ht="30.9" x14ac:dyDescent="0.8">
      <c r="A1482" s="262">
        <f>ROW()</f>
        <v>1482</v>
      </c>
      <c r="C1482" s="208"/>
      <c r="D1482" s="208"/>
      <c r="E1482" s="208"/>
      <c r="F1482" s="208"/>
      <c r="G1482" s="208"/>
      <c r="H1482" s="208"/>
      <c r="J1482" s="114" t="str">
        <f t="shared" si="682"/>
        <v/>
      </c>
      <c r="K1482" s="114" t="str">
        <f>IF(COUNTBLANK(R1482)&gt;0,"",CONCATENATE(R1482," for ",N1462))</f>
        <v/>
      </c>
      <c r="N1482" s="123" t="s">
        <v>132</v>
      </c>
      <c r="O1482" s="66"/>
      <c r="P1482" s="121"/>
      <c r="Q1482" s="121"/>
      <c r="R1482" s="121"/>
      <c r="S1482" s="133">
        <f>M1462</f>
        <v>0</v>
      </c>
      <c r="T1482" s="120"/>
      <c r="U1482" s="121" t="s">
        <v>292</v>
      </c>
      <c r="V1482" s="133">
        <f t="shared" si="675"/>
        <v>0</v>
      </c>
      <c r="W1482" s="133">
        <f>VLOOKUP(U1482,Sheet1!$B$6:$C$45,2,FALSE)*V1482</f>
        <v>0</v>
      </c>
      <c r="X1482" s="141"/>
      <c r="Y1482" s="121" t="s">
        <v>292</v>
      </c>
      <c r="Z1482" s="146">
        <f>VLOOKUP(Takeoffs!Y1482,Sheet1!$B$6:$C$124,2,FALSE)</f>
        <v>0</v>
      </c>
      <c r="AA1482" s="146">
        <f t="shared" si="676"/>
        <v>0</v>
      </c>
      <c r="AB1482" s="143">
        <f t="shared" si="677"/>
        <v>0</v>
      </c>
      <c r="AC1482" s="133">
        <f t="shared" si="678"/>
        <v>0</v>
      </c>
      <c r="AD1482" s="142">
        <v>1</v>
      </c>
      <c r="AE1482" s="141"/>
      <c r="AF1482" s="121" t="s">
        <v>292</v>
      </c>
      <c r="AG1482" s="146">
        <f>VLOOKUP(Takeoffs!AF1482,Sheet1!$B$6:$C$124,2,FALSE)</f>
        <v>0</v>
      </c>
      <c r="AH1482" s="146">
        <f t="shared" si="679"/>
        <v>0</v>
      </c>
      <c r="AI1482" s="143">
        <f t="shared" si="680"/>
        <v>0</v>
      </c>
      <c r="AJ1482" s="133">
        <f t="shared" si="681"/>
        <v>0</v>
      </c>
      <c r="AK1482" s="142">
        <f t="shared" si="683"/>
        <v>0</v>
      </c>
      <c r="AL1482" s="141"/>
      <c r="AO1482" s="286"/>
      <c r="AP1482" s="284">
        <f t="shared" si="661"/>
        <v>0</v>
      </c>
      <c r="AQ1482" s="281">
        <f t="shared" si="662"/>
        <v>0</v>
      </c>
      <c r="AR1482" s="284">
        <f t="shared" si="663"/>
        <v>0</v>
      </c>
      <c r="AS1482" s="281">
        <f t="shared" si="664"/>
        <v>0</v>
      </c>
      <c r="AT1482" s="284">
        <f t="shared" si="665"/>
        <v>0</v>
      </c>
    </row>
    <row r="1483" spans="1:97" s="128" customFormat="1" ht="31.5" customHeight="1" x14ac:dyDescent="0.8">
      <c r="A1483" s="262">
        <f>ROW()</f>
        <v>1483</v>
      </c>
      <c r="C1483" s="212"/>
      <c r="D1483" s="212"/>
      <c r="E1483" s="212"/>
      <c r="F1483" s="212"/>
      <c r="G1483" s="212"/>
      <c r="H1483" s="212"/>
      <c r="J1483" s="128" t="s">
        <v>377</v>
      </c>
      <c r="L1483" s="128" t="s">
        <v>378</v>
      </c>
      <c r="N1483" s="129"/>
      <c r="O1483" s="130" t="s">
        <v>357</v>
      </c>
      <c r="P1483" s="131">
        <f>V1483+AA1483+AH1483</f>
        <v>0</v>
      </c>
      <c r="Q1483" s="131"/>
      <c r="R1483" s="131"/>
      <c r="S1483" s="130"/>
      <c r="T1483" s="127"/>
      <c r="U1483" s="126" t="s">
        <v>351</v>
      </c>
      <c r="V1483" s="127">
        <f>W1483*80</f>
        <v>0</v>
      </c>
      <c r="W1483" s="147">
        <f>SUM(W1462:W1482)</f>
        <v>0</v>
      </c>
      <c r="X1483" s="148"/>
      <c r="Y1483" s="127" t="s">
        <v>352</v>
      </c>
      <c r="Z1483" s="116"/>
      <c r="AA1483" s="116">
        <f>SUM(AA1462:AA1482)</f>
        <v>0</v>
      </c>
      <c r="AB1483" s="149"/>
      <c r="AC1483" s="149"/>
      <c r="AD1483" s="149"/>
      <c r="AE1483" s="149"/>
      <c r="AF1483" s="127" t="s">
        <v>356</v>
      </c>
      <c r="AG1483" s="116"/>
      <c r="AH1483" s="116">
        <f>SUM(AH1462:AH1482)</f>
        <v>0</v>
      </c>
      <c r="AI1483" s="149"/>
      <c r="AJ1483" s="149"/>
      <c r="AK1483" s="149"/>
      <c r="AL1483" s="149"/>
      <c r="AM1483" s="150">
        <f>P1483</f>
        <v>0</v>
      </c>
      <c r="AO1483" s="286"/>
      <c r="AP1483" s="284">
        <f t="shared" si="661"/>
        <v>0</v>
      </c>
      <c r="AQ1483" s="281">
        <f t="shared" si="662"/>
        <v>0</v>
      </c>
      <c r="AR1483" s="284">
        <f t="shared" si="663"/>
        <v>0</v>
      </c>
      <c r="AS1483" s="281">
        <f t="shared" si="664"/>
        <v>0</v>
      </c>
      <c r="AT1483" s="284">
        <f t="shared" si="665"/>
        <v>0</v>
      </c>
    </row>
    <row r="1484" spans="1:97" s="234" customFormat="1" ht="154.30000000000001" x14ac:dyDescent="0.8">
      <c r="A1484" s="262">
        <f>ROW()</f>
        <v>1484</v>
      </c>
      <c r="B1484" s="234" t="s">
        <v>491</v>
      </c>
      <c r="C1484" s="217" t="str">
        <f>N1462</f>
        <v>VRF indoor units with cabling for on/off control from other system/s to unit</v>
      </c>
      <c r="D1484" s="260" t="s">
        <v>678</v>
      </c>
      <c r="E1484" s="238"/>
      <c r="F1484" s="217"/>
      <c r="G1484" s="217"/>
      <c r="H1484" s="245"/>
      <c r="I1484" s="270"/>
      <c r="J1484" s="241" t="str">
        <f>CONCATENATE(O1462," ",L1462, " (",M1462,") ",N1462,".", IF(M1462&gt;1," Each "," This "),"includes supply and install of ",O1463,O1464,O1465,O1466,O1467,O1468,O1469,O1470,O1471,O1472,O1473,O1474,O1475,O1476,O1477,O1478,O1479,O1480,O1481,O1482,J1463,J1464,J1465,J1466,J1467,J1468,J1469,J1470,J1471,J1472,J1473,J1474,J1475,J1476,J1477,J1478,J1479,J1480,J1481,J1482)</f>
        <v>Electrical power supply and controls cabling to Zero (0) VRF indoor units with cabling for on/off control from other system/s to unit.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on/off control contactors.</v>
      </c>
      <c r="K1484" s="246">
        <f>P1483</f>
        <v>0</v>
      </c>
      <c r="L1484" s="234" t="str">
        <f>CONCATENATE(Q1463,Q1464,Q1465,Q1466,Q1467,Q1468,Q1469,Q1470,Q1471,Q1472,Q1473,Q1474,Q1475,Q1476,Q1477,Q1478,Q1479,Q1480,Q1481,Q1482,)</f>
        <v>proprietary air-conditioning controllers.AC interface card with on/off control contactors.</v>
      </c>
      <c r="M1484" s="166" t="s">
        <v>367</v>
      </c>
      <c r="N1484" s="160" t="str">
        <f>N1462</f>
        <v>VRF indoor units with cabling for on/off control from other system/s to unit</v>
      </c>
      <c r="O1484" s="160" t="s">
        <v>365</v>
      </c>
      <c r="P1484" s="82" t="e">
        <f>P1483/M1462</f>
        <v>#DIV/0!</v>
      </c>
      <c r="Q1484" s="161"/>
      <c r="R1484" s="161"/>
      <c r="S1484" s="160"/>
      <c r="T1484" s="161"/>
      <c r="U1484" s="503" t="s">
        <v>366</v>
      </c>
      <c r="V1484" s="503"/>
      <c r="W1484" s="162" t="e">
        <f>W1483/M1462</f>
        <v>#DIV/0!</v>
      </c>
      <c r="X1484" s="163"/>
      <c r="Y1484" s="501" t="s">
        <v>365</v>
      </c>
      <c r="Z1484" s="501"/>
      <c r="AA1484" s="164" t="e">
        <f>AA1483/M1462</f>
        <v>#DIV/0!</v>
      </c>
      <c r="AB1484" s="161"/>
      <c r="AC1484" s="161"/>
      <c r="AD1484" s="161"/>
      <c r="AE1484" s="161"/>
      <c r="AF1484" s="501" t="s">
        <v>365</v>
      </c>
      <c r="AG1484" s="501"/>
      <c r="AH1484" s="164" t="e">
        <f>AH1483/M1462</f>
        <v>#DIV/0!</v>
      </c>
      <c r="AI1484" s="161"/>
      <c r="AJ1484" s="161"/>
      <c r="AK1484" s="161"/>
      <c r="AL1484" s="247"/>
      <c r="AM1484" s="257"/>
      <c r="AN1484" s="236">
        <f>K1484*1.25</f>
        <v>0</v>
      </c>
      <c r="AO1484" s="286"/>
      <c r="AP1484" s="284">
        <f t="shared" si="661"/>
        <v>0</v>
      </c>
      <c r="AQ1484" s="281">
        <f t="shared" si="662"/>
        <v>0</v>
      </c>
      <c r="AR1484" s="284">
        <f t="shared" si="663"/>
        <v>0</v>
      </c>
      <c r="AS1484" s="281">
        <f t="shared" si="664"/>
        <v>0</v>
      </c>
      <c r="AT1484" s="284">
        <f t="shared" si="665"/>
        <v>0</v>
      </c>
      <c r="AU1484" s="117"/>
      <c r="AV1484" s="117"/>
      <c r="AW1484" s="117"/>
      <c r="AX1484" s="117"/>
      <c r="AY1484" s="117"/>
      <c r="AZ1484" s="117"/>
      <c r="BA1484" s="117"/>
      <c r="BB1484" s="117"/>
      <c r="BC1484" s="117"/>
      <c r="BD1484" s="117"/>
      <c r="BE1484" s="117"/>
      <c r="BF1484" s="117"/>
      <c r="BG1484" s="117"/>
      <c r="BH1484" s="117"/>
      <c r="BI1484" s="117"/>
      <c r="BJ1484" s="117"/>
      <c r="BK1484" s="117"/>
      <c r="BL1484" s="117"/>
      <c r="BM1484" s="117"/>
      <c r="BN1484" s="117"/>
      <c r="BO1484" s="117"/>
      <c r="BP1484" s="117"/>
      <c r="BQ1484" s="117"/>
      <c r="BR1484" s="117"/>
      <c r="BS1484" s="117"/>
      <c r="BT1484" s="117"/>
      <c r="BU1484" s="117"/>
      <c r="BV1484" s="117"/>
      <c r="BW1484" s="117"/>
      <c r="BX1484" s="117"/>
      <c r="BY1484" s="117"/>
      <c r="BZ1484" s="117"/>
      <c r="CA1484" s="117"/>
      <c r="CB1484" s="117"/>
      <c r="CC1484" s="117"/>
      <c r="CD1484" s="117"/>
      <c r="CE1484" s="117"/>
      <c r="CF1484" s="117"/>
      <c r="CG1484" s="117"/>
      <c r="CH1484" s="117"/>
      <c r="CI1484" s="117"/>
      <c r="CJ1484" s="117"/>
      <c r="CK1484" s="117"/>
      <c r="CL1484" s="117"/>
      <c r="CM1484" s="117"/>
      <c r="CN1484" s="117"/>
      <c r="CO1484" s="117"/>
      <c r="CP1484" s="117"/>
      <c r="CQ1484" s="117"/>
      <c r="CR1484" s="117"/>
      <c r="CS1484" s="117"/>
    </row>
    <row r="1485" spans="1:97" s="116" customFormat="1" ht="192.75" customHeight="1" x14ac:dyDescent="0.8">
      <c r="A1485" s="262">
        <f>ROW()</f>
        <v>1485</v>
      </c>
      <c r="C1485" s="211"/>
      <c r="D1485" s="211"/>
      <c r="E1485" s="211"/>
      <c r="F1485" s="211"/>
      <c r="G1485" s="211"/>
      <c r="H1485" s="211"/>
      <c r="K1485" s="116" t="s">
        <v>452</v>
      </c>
      <c r="M1485" s="116" t="s">
        <v>298</v>
      </c>
      <c r="N1485" s="116" t="s">
        <v>108</v>
      </c>
      <c r="O1485" s="170" t="s">
        <v>386</v>
      </c>
      <c r="P1485" s="502" t="s">
        <v>375</v>
      </c>
      <c r="Q1485" s="502"/>
      <c r="R1485" s="101" t="s">
        <v>452</v>
      </c>
      <c r="S1485" s="116" t="s">
        <v>0</v>
      </c>
      <c r="T1485" s="118"/>
      <c r="U1485" s="116" t="s">
        <v>287</v>
      </c>
      <c r="V1485" s="116" t="s">
        <v>288</v>
      </c>
      <c r="W1485" s="116" t="s">
        <v>291</v>
      </c>
      <c r="X1485" s="140"/>
      <c r="Y1485" s="116" t="s">
        <v>289</v>
      </c>
      <c r="Z1485" s="116" t="s">
        <v>354</v>
      </c>
      <c r="AA1485" s="116" t="s">
        <v>355</v>
      </c>
      <c r="AB1485" s="116" t="s">
        <v>317</v>
      </c>
      <c r="AC1485" s="116" t="s">
        <v>318</v>
      </c>
      <c r="AD1485" s="116" t="s">
        <v>316</v>
      </c>
      <c r="AE1485" s="140"/>
      <c r="AF1485" s="116" t="s">
        <v>293</v>
      </c>
      <c r="AG1485" s="116" t="s">
        <v>354</v>
      </c>
      <c r="AH1485" s="116" t="s">
        <v>355</v>
      </c>
      <c r="AI1485" s="116" t="s">
        <v>296</v>
      </c>
      <c r="AJ1485" s="116" t="s">
        <v>294</v>
      </c>
      <c r="AK1485" s="116" t="s">
        <v>295</v>
      </c>
      <c r="AL1485" s="140"/>
      <c r="AO1485" s="288"/>
      <c r="AP1485" s="284">
        <f t="shared" si="661"/>
        <v>0</v>
      </c>
      <c r="AQ1485" s="281">
        <f t="shared" si="662"/>
        <v>0</v>
      </c>
      <c r="AR1485" s="284">
        <f t="shared" si="663"/>
        <v>0</v>
      </c>
      <c r="AS1485" s="281">
        <f t="shared" si="664"/>
        <v>0</v>
      </c>
      <c r="AT1485" s="284">
        <f t="shared" si="665"/>
        <v>0</v>
      </c>
    </row>
    <row r="1486" spans="1:97" s="114" customFormat="1" ht="40.5" customHeight="1" x14ac:dyDescent="0.8">
      <c r="A1486" s="262">
        <f>ROW()</f>
        <v>1486</v>
      </c>
      <c r="C1486" s="208"/>
      <c r="D1486" s="208"/>
      <c r="E1486" s="208"/>
      <c r="F1486" s="208"/>
      <c r="G1486" s="208"/>
      <c r="H1486" s="208"/>
      <c r="L1486" s="124" t="str">
        <f>VLOOKUP(M1486,Sheet2!$D$2:$E$1024,2,FALSE)</f>
        <v>Zero</v>
      </c>
      <c r="M1486" s="121">
        <f>I1508</f>
        <v>0</v>
      </c>
      <c r="N1486" s="132" t="s">
        <v>642</v>
      </c>
      <c r="O1486" s="121" t="s">
        <v>138</v>
      </c>
      <c r="P1486" s="169" t="s">
        <v>379</v>
      </c>
      <c r="Q1486" s="169" t="s">
        <v>375</v>
      </c>
      <c r="R1486" s="169"/>
      <c r="S1486" s="133">
        <f>M1486</f>
        <v>0</v>
      </c>
      <c r="T1486" s="119"/>
      <c r="U1486" s="121" t="s">
        <v>292</v>
      </c>
      <c r="V1486" s="133">
        <f>S1486</f>
        <v>0</v>
      </c>
      <c r="W1486" s="133">
        <f>VLOOKUP(U1486,Sheet1!$B$6:$C$45,2,FALSE)*V1486</f>
        <v>0</v>
      </c>
      <c r="X1486" s="141"/>
      <c r="Y1486" s="121" t="s">
        <v>292</v>
      </c>
      <c r="Z1486" s="146">
        <f>VLOOKUP(Takeoffs!Y1486,Sheet1!$B$6:$C$124,2,FALSE)</f>
        <v>0</v>
      </c>
      <c r="AA1486" s="146">
        <f>Z1486*AB1486</f>
        <v>0</v>
      </c>
      <c r="AB1486" s="143">
        <f>AD1486*AC1486</f>
        <v>0</v>
      </c>
      <c r="AC1486" s="133">
        <f>S1486</f>
        <v>0</v>
      </c>
      <c r="AD1486" s="142">
        <v>1</v>
      </c>
      <c r="AE1486" s="141"/>
      <c r="AF1486" s="121" t="s">
        <v>292</v>
      </c>
      <c r="AG1486" s="146">
        <f>VLOOKUP(Takeoffs!AF1486,Sheet1!$B$6:$C$124,2,FALSE)</f>
        <v>0</v>
      </c>
      <c r="AH1486" s="146">
        <f>AG1486*AI1486</f>
        <v>0</v>
      </c>
      <c r="AI1486" s="143">
        <f>AK1486*AJ1486</f>
        <v>0</v>
      </c>
      <c r="AJ1486" s="133">
        <f>S1486</f>
        <v>0</v>
      </c>
      <c r="AK1486" s="142">
        <f>T1486</f>
        <v>0</v>
      </c>
      <c r="AL1486" s="141"/>
      <c r="AO1486" s="286"/>
      <c r="AP1486" s="284">
        <f t="shared" si="661"/>
        <v>0</v>
      </c>
      <c r="AQ1486" s="281">
        <f t="shared" si="662"/>
        <v>0</v>
      </c>
      <c r="AR1486" s="284">
        <f t="shared" si="663"/>
        <v>0</v>
      </c>
      <c r="AS1486" s="281">
        <f t="shared" si="664"/>
        <v>0</v>
      </c>
      <c r="AT1486" s="284">
        <f t="shared" si="665"/>
        <v>0</v>
      </c>
    </row>
    <row r="1487" spans="1:97" s="114" customFormat="1" ht="30.9" x14ac:dyDescent="0.8">
      <c r="A1487" s="262">
        <f>ROW()</f>
        <v>1487</v>
      </c>
      <c r="C1487" s="208"/>
      <c r="D1487" s="208"/>
      <c r="E1487" s="208"/>
      <c r="F1487" s="208"/>
      <c r="G1487" s="208"/>
      <c r="H1487" s="208"/>
      <c r="J1487" s="114" t="str">
        <f>IF(COUNTBLANK(Q1487)&gt;0,"",CONCATENATE("Coordination Note: - ",P1487,": Please refer to our exclusions relating to ",Q1487))</f>
        <v/>
      </c>
      <c r="K1487" s="114" t="str">
        <f>IF(COUNTBLANK(R1487)&gt;0,"",CONCATENATE(R1487," for ",N1486))</f>
        <v/>
      </c>
      <c r="M1487" s="117"/>
      <c r="N1487" s="123" t="s">
        <v>113</v>
      </c>
      <c r="O1487" s="66" t="s">
        <v>426</v>
      </c>
      <c r="P1487" s="121"/>
      <c r="Q1487" s="121"/>
      <c r="R1487" s="121"/>
      <c r="S1487" s="133">
        <f>M1486</f>
        <v>0</v>
      </c>
      <c r="T1487" s="120"/>
      <c r="U1487" s="121" t="s">
        <v>239</v>
      </c>
      <c r="V1487" s="133">
        <f t="shared" ref="V1487:V1506" si="684">S1487</f>
        <v>0</v>
      </c>
      <c r="W1487" s="133">
        <f>VLOOKUP(U1487,Sheet1!$B$6:$C$45,2,FALSE)*V1487</f>
        <v>0</v>
      </c>
      <c r="X1487" s="141"/>
      <c r="Y1487" s="121" t="s">
        <v>292</v>
      </c>
      <c r="Z1487" s="146">
        <f>VLOOKUP(Takeoffs!Y1487,Sheet1!$B$6:$C$124,2,FALSE)</f>
        <v>0</v>
      </c>
      <c r="AA1487" s="146">
        <f t="shared" ref="AA1487:AA1506" si="685">Z1487*AB1487</f>
        <v>0</v>
      </c>
      <c r="AB1487" s="143">
        <f t="shared" ref="AB1487:AB1506" si="686">AD1487*AC1487</f>
        <v>0</v>
      </c>
      <c r="AC1487" s="133">
        <f t="shared" ref="AC1487:AC1506" si="687">S1487</f>
        <v>0</v>
      </c>
      <c r="AD1487" s="142">
        <v>1</v>
      </c>
      <c r="AE1487" s="141"/>
      <c r="AF1487" s="122" t="s">
        <v>269</v>
      </c>
      <c r="AG1487" s="146">
        <f>VLOOKUP(Takeoffs!AF1487,Sheet1!$B$6:$C$124,2,FALSE)</f>
        <v>1.056</v>
      </c>
      <c r="AH1487" s="146">
        <f t="shared" ref="AH1487:AH1506" si="688">AG1487*AI1487</f>
        <v>0</v>
      </c>
      <c r="AI1487" s="143">
        <f t="shared" ref="AI1487:AI1506" si="689">AK1487*AJ1487</f>
        <v>0</v>
      </c>
      <c r="AJ1487" s="133">
        <f t="shared" ref="AJ1487:AJ1506" si="690">S1487</f>
        <v>0</v>
      </c>
      <c r="AK1487" s="142">
        <v>10</v>
      </c>
      <c r="AL1487" s="141"/>
      <c r="AO1487" s="286"/>
      <c r="AP1487" s="284">
        <f t="shared" si="661"/>
        <v>0</v>
      </c>
      <c r="AQ1487" s="281">
        <f t="shared" si="662"/>
        <v>0</v>
      </c>
      <c r="AR1487" s="284">
        <f t="shared" si="663"/>
        <v>0</v>
      </c>
      <c r="AS1487" s="281">
        <f t="shared" si="664"/>
        <v>0</v>
      </c>
      <c r="AT1487" s="284">
        <f t="shared" si="665"/>
        <v>0</v>
      </c>
    </row>
    <row r="1488" spans="1:97" s="114" customFormat="1" ht="30.9" x14ac:dyDescent="0.8">
      <c r="A1488" s="262">
        <f>ROW()</f>
        <v>1488</v>
      </c>
      <c r="C1488" s="208"/>
      <c r="D1488" s="208"/>
      <c r="E1488" s="208"/>
      <c r="F1488" s="208"/>
      <c r="G1488" s="208"/>
      <c r="H1488" s="208"/>
      <c r="J1488" s="114" t="str">
        <f t="shared" ref="J1488:J1506" si="691">IF(COUNTBLANK(Q1488)&gt;0,"",CONCATENATE("Coordination Note: - ",P1488,": Please refer to our exclusions relating to ",Q1488))</f>
        <v/>
      </c>
      <c r="K1488" s="114" t="str">
        <f>IF(COUNTBLANK(R1488)&gt;0,"",CONCATENATE(R1488," for ",N1486))</f>
        <v/>
      </c>
      <c r="M1488" s="117"/>
      <c r="N1488" s="123" t="s">
        <v>114</v>
      </c>
      <c r="O1488" s="66" t="s">
        <v>393</v>
      </c>
      <c r="P1488" s="121"/>
      <c r="Q1488" s="121"/>
      <c r="R1488" s="121"/>
      <c r="S1488" s="133">
        <f>M1486</f>
        <v>0</v>
      </c>
      <c r="T1488" s="120"/>
      <c r="U1488" s="121" t="s">
        <v>301</v>
      </c>
      <c r="V1488" s="133">
        <f t="shared" si="684"/>
        <v>0</v>
      </c>
      <c r="W1488" s="133">
        <f>VLOOKUP(U1488,Sheet1!$B$6:$C$45,2,FALSE)*V1488</f>
        <v>0</v>
      </c>
      <c r="X1488" s="141"/>
      <c r="Y1488" s="122" t="s">
        <v>253</v>
      </c>
      <c r="Z1488" s="146">
        <f>VLOOKUP(Takeoffs!Y1488,Sheet1!$B$6:$C$124,2,FALSE)</f>
        <v>10.139999999999999</v>
      </c>
      <c r="AA1488" s="146">
        <f t="shared" si="685"/>
        <v>0</v>
      </c>
      <c r="AB1488" s="143">
        <f t="shared" si="686"/>
        <v>0</v>
      </c>
      <c r="AC1488" s="133">
        <f t="shared" si="687"/>
        <v>0</v>
      </c>
      <c r="AD1488" s="142">
        <v>1</v>
      </c>
      <c r="AE1488" s="141"/>
      <c r="AF1488" s="122" t="s">
        <v>268</v>
      </c>
      <c r="AG1488" s="146">
        <f>VLOOKUP(Takeoffs!AF1488,Sheet1!$B$6:$C$124,2,FALSE)</f>
        <v>1.02</v>
      </c>
      <c r="AH1488" s="146">
        <f t="shared" si="688"/>
        <v>0</v>
      </c>
      <c r="AI1488" s="143">
        <f t="shared" si="689"/>
        <v>0</v>
      </c>
      <c r="AJ1488" s="133">
        <f t="shared" si="690"/>
        <v>0</v>
      </c>
      <c r="AK1488" s="142">
        <v>10</v>
      </c>
      <c r="AL1488" s="141"/>
      <c r="AO1488" s="286"/>
      <c r="AP1488" s="284">
        <f t="shared" si="661"/>
        <v>0</v>
      </c>
      <c r="AQ1488" s="281">
        <f t="shared" si="662"/>
        <v>0</v>
      </c>
      <c r="AR1488" s="284">
        <f t="shared" si="663"/>
        <v>0</v>
      </c>
      <c r="AS1488" s="281">
        <f t="shared" si="664"/>
        <v>0</v>
      </c>
      <c r="AT1488" s="284">
        <f t="shared" si="665"/>
        <v>0</v>
      </c>
    </row>
    <row r="1489" spans="1:46" s="114" customFormat="1" ht="30.9" x14ac:dyDescent="0.8">
      <c r="A1489" s="262">
        <f>ROW()</f>
        <v>1489</v>
      </c>
      <c r="C1489" s="208"/>
      <c r="D1489" s="208"/>
      <c r="E1489" s="208"/>
      <c r="F1489" s="208"/>
      <c r="G1489" s="208"/>
      <c r="H1489" s="208"/>
      <c r="J1489" s="114" t="str">
        <f t="shared" si="691"/>
        <v/>
      </c>
      <c r="K1489" s="114" t="str">
        <f>IF(COUNTBLANK(R1489)&gt;0,"",CONCATENATE(R1489," for ",N1486))</f>
        <v/>
      </c>
      <c r="M1489" s="117"/>
      <c r="N1489" s="123" t="s">
        <v>115</v>
      </c>
      <c r="O1489" s="66" t="s">
        <v>450</v>
      </c>
      <c r="P1489" s="121"/>
      <c r="Q1489" s="121"/>
      <c r="R1489" s="121"/>
      <c r="S1489" s="133">
        <f>M1486</f>
        <v>0</v>
      </c>
      <c r="T1489" s="120"/>
      <c r="U1489" s="121" t="s">
        <v>292</v>
      </c>
      <c r="V1489" s="133">
        <f t="shared" si="684"/>
        <v>0</v>
      </c>
      <c r="W1489" s="133">
        <f>VLOOKUP(U1489,Sheet1!$B$6:$C$45,2,FALSE)*V1489</f>
        <v>0</v>
      </c>
      <c r="X1489" s="141"/>
      <c r="Y1489" s="122" t="s">
        <v>247</v>
      </c>
      <c r="Z1489" s="146">
        <f>VLOOKUP(Takeoffs!Y1489,Sheet1!$B$6:$C$124,2,FALSE)</f>
        <v>23.76</v>
      </c>
      <c r="AA1489" s="146">
        <f t="shared" si="685"/>
        <v>0</v>
      </c>
      <c r="AB1489" s="143">
        <f t="shared" si="686"/>
        <v>0</v>
      </c>
      <c r="AC1489" s="133">
        <f t="shared" si="687"/>
        <v>0</v>
      </c>
      <c r="AD1489" s="142">
        <v>1</v>
      </c>
      <c r="AE1489" s="141"/>
      <c r="AF1489" s="121" t="s">
        <v>292</v>
      </c>
      <c r="AG1489" s="146">
        <f>VLOOKUP(Takeoffs!AF1489,Sheet1!$B$6:$C$124,2,FALSE)</f>
        <v>0</v>
      </c>
      <c r="AH1489" s="146">
        <f t="shared" si="688"/>
        <v>0</v>
      </c>
      <c r="AI1489" s="143">
        <f t="shared" si="689"/>
        <v>0</v>
      </c>
      <c r="AJ1489" s="133">
        <f t="shared" si="690"/>
        <v>0</v>
      </c>
      <c r="AK1489" s="142">
        <f t="shared" ref="AK1489:AK1506" si="692">T1489</f>
        <v>0</v>
      </c>
      <c r="AL1489" s="141"/>
      <c r="AO1489" s="286"/>
      <c r="AP1489" s="284">
        <f t="shared" si="661"/>
        <v>0</v>
      </c>
      <c r="AQ1489" s="281">
        <f t="shared" si="662"/>
        <v>0</v>
      </c>
      <c r="AR1489" s="284">
        <f t="shared" si="663"/>
        <v>0</v>
      </c>
      <c r="AS1489" s="281">
        <f t="shared" si="664"/>
        <v>0</v>
      </c>
      <c r="AT1489" s="284">
        <f t="shared" si="665"/>
        <v>0</v>
      </c>
    </row>
    <row r="1490" spans="1:46" s="114" customFormat="1" ht="30.9" x14ac:dyDescent="0.8">
      <c r="A1490" s="262">
        <f>ROW()</f>
        <v>1490</v>
      </c>
      <c r="C1490" s="208"/>
      <c r="D1490" s="208"/>
      <c r="E1490" s="208"/>
      <c r="F1490" s="208"/>
      <c r="G1490" s="208"/>
      <c r="H1490" s="208"/>
      <c r="J1490" s="114" t="str">
        <f t="shared" si="691"/>
        <v>Coordination Note: - AC system supplier : Please refer to our exclusions relating to proprietary air-conditioning controllers.</v>
      </c>
      <c r="K1490" s="114" t="str">
        <f>IF(COUNTBLANK(R1490)&gt;0,"",CONCATENATE(R1490," for ",N1486))</f>
        <v/>
      </c>
      <c r="M1490" s="117"/>
      <c r="N1490" s="123" t="s">
        <v>116</v>
      </c>
      <c r="O1490" s="66" t="s">
        <v>414</v>
      </c>
      <c r="P1490" s="121" t="s">
        <v>447</v>
      </c>
      <c r="Q1490" s="121" t="s">
        <v>383</v>
      </c>
      <c r="R1490" s="121"/>
      <c r="S1490" s="133">
        <f>M1486</f>
        <v>0</v>
      </c>
      <c r="T1490" s="120"/>
      <c r="U1490" s="121" t="s">
        <v>230</v>
      </c>
      <c r="V1490" s="133">
        <f t="shared" si="684"/>
        <v>0</v>
      </c>
      <c r="W1490" s="133">
        <f>VLOOKUP(U1490,Sheet1!$B$6:$C$45,2,FALSE)*V1490</f>
        <v>0</v>
      </c>
      <c r="X1490" s="141"/>
      <c r="Y1490" s="121" t="s">
        <v>292</v>
      </c>
      <c r="Z1490" s="146">
        <f>VLOOKUP(Takeoffs!Y1490,Sheet1!$B$6:$C$124,2,FALSE)</f>
        <v>0</v>
      </c>
      <c r="AA1490" s="146">
        <f t="shared" si="685"/>
        <v>0</v>
      </c>
      <c r="AB1490" s="143">
        <f t="shared" si="686"/>
        <v>0</v>
      </c>
      <c r="AC1490" s="133">
        <f t="shared" si="687"/>
        <v>0</v>
      </c>
      <c r="AD1490" s="142">
        <v>1</v>
      </c>
      <c r="AE1490" s="141"/>
      <c r="AF1490" s="121" t="s">
        <v>292</v>
      </c>
      <c r="AG1490" s="146">
        <f>VLOOKUP(Takeoffs!AF1490,Sheet1!$B$6:$C$124,2,FALSE)</f>
        <v>0</v>
      </c>
      <c r="AH1490" s="146">
        <f t="shared" si="688"/>
        <v>0</v>
      </c>
      <c r="AI1490" s="143">
        <f t="shared" si="689"/>
        <v>0</v>
      </c>
      <c r="AJ1490" s="133">
        <f t="shared" si="690"/>
        <v>0</v>
      </c>
      <c r="AK1490" s="142">
        <f t="shared" si="692"/>
        <v>0</v>
      </c>
      <c r="AL1490" s="141"/>
      <c r="AO1490" s="286"/>
      <c r="AP1490" s="284">
        <f t="shared" si="661"/>
        <v>0</v>
      </c>
      <c r="AQ1490" s="281">
        <f t="shared" si="662"/>
        <v>0</v>
      </c>
      <c r="AR1490" s="284">
        <f t="shared" si="663"/>
        <v>0</v>
      </c>
      <c r="AS1490" s="281">
        <f t="shared" si="664"/>
        <v>0</v>
      </c>
      <c r="AT1490" s="284">
        <f t="shared" si="665"/>
        <v>0</v>
      </c>
    </row>
    <row r="1491" spans="1:46" s="114" customFormat="1" ht="30.9" x14ac:dyDescent="0.8">
      <c r="A1491" s="262">
        <f>ROW()</f>
        <v>1491</v>
      </c>
      <c r="C1491" s="208"/>
      <c r="D1491" s="208"/>
      <c r="E1491" s="208"/>
      <c r="F1491" s="208"/>
      <c r="G1491" s="208"/>
      <c r="H1491" s="208"/>
      <c r="J1491" s="114" t="str">
        <f t="shared" si="691"/>
        <v>Coordination Note: - AC system supplier : Please refer to our exclusions relating to AC interface card with system status contactors.</v>
      </c>
      <c r="K1491" s="114" t="str">
        <f>IF(COUNTBLANK(R1491)&gt;0,"",CONCATENATE(R1491," for ",N1486))</f>
        <v/>
      </c>
      <c r="M1491" s="117"/>
      <c r="N1491" s="123" t="s">
        <v>117</v>
      </c>
      <c r="O1491" s="66" t="s">
        <v>640</v>
      </c>
      <c r="P1491" s="121" t="s">
        <v>447</v>
      </c>
      <c r="Q1491" s="121" t="s">
        <v>641</v>
      </c>
      <c r="R1491" s="121"/>
      <c r="S1491" s="133">
        <f>M1486</f>
        <v>0</v>
      </c>
      <c r="T1491" s="120"/>
      <c r="U1491" s="117" t="s">
        <v>363</v>
      </c>
      <c r="V1491" s="133">
        <f t="shared" si="684"/>
        <v>0</v>
      </c>
      <c r="W1491" s="133">
        <f>VLOOKUP(U1491,Sheet1!$B$6:$C$45,2,FALSE)*V1491</f>
        <v>0</v>
      </c>
      <c r="X1491" s="141"/>
      <c r="Y1491" s="121" t="s">
        <v>292</v>
      </c>
      <c r="Z1491" s="146">
        <f>VLOOKUP(Takeoffs!Y1491,Sheet1!$B$6:$C$124,2,FALSE)</f>
        <v>0</v>
      </c>
      <c r="AA1491" s="146">
        <f t="shared" si="685"/>
        <v>0</v>
      </c>
      <c r="AB1491" s="143">
        <f t="shared" si="686"/>
        <v>0</v>
      </c>
      <c r="AC1491" s="133">
        <f t="shared" si="687"/>
        <v>0</v>
      </c>
      <c r="AD1491" s="142">
        <v>1</v>
      </c>
      <c r="AE1491" s="141"/>
      <c r="AF1491" s="122" t="s">
        <v>269</v>
      </c>
      <c r="AG1491" s="146">
        <f>VLOOKUP(Takeoffs!AF1491,Sheet1!$B$6:$C$124,2,FALSE)</f>
        <v>1.056</v>
      </c>
      <c r="AH1491" s="146">
        <f t="shared" si="688"/>
        <v>0</v>
      </c>
      <c r="AI1491" s="143">
        <f t="shared" si="689"/>
        <v>0</v>
      </c>
      <c r="AJ1491" s="133">
        <f t="shared" si="690"/>
        <v>0</v>
      </c>
      <c r="AK1491" s="142">
        <v>15</v>
      </c>
      <c r="AL1491" s="141"/>
      <c r="AO1491" s="286"/>
      <c r="AP1491" s="284">
        <f t="shared" si="661"/>
        <v>0</v>
      </c>
      <c r="AQ1491" s="281">
        <f t="shared" si="662"/>
        <v>0</v>
      </c>
      <c r="AR1491" s="284">
        <f t="shared" si="663"/>
        <v>0</v>
      </c>
      <c r="AS1491" s="281">
        <f t="shared" si="664"/>
        <v>0</v>
      </c>
      <c r="AT1491" s="284">
        <f t="shared" si="665"/>
        <v>0</v>
      </c>
    </row>
    <row r="1492" spans="1:46" s="114" customFormat="1" ht="30.9" x14ac:dyDescent="0.8">
      <c r="A1492" s="262">
        <f>ROW()</f>
        <v>1492</v>
      </c>
      <c r="C1492" s="208"/>
      <c r="D1492" s="208"/>
      <c r="E1492" s="208"/>
      <c r="F1492" s="208"/>
      <c r="G1492" s="208"/>
      <c r="H1492" s="208"/>
      <c r="J1492" s="114" t="str">
        <f t="shared" si="691"/>
        <v/>
      </c>
      <c r="K1492" s="114" t="str">
        <f>IF(COUNTBLANK(R1492)&gt;0,"",CONCATENATE(R1492," for ",N1486))</f>
        <v/>
      </c>
      <c r="M1492" s="117"/>
      <c r="N1492" s="123" t="s">
        <v>118</v>
      </c>
      <c r="O1492" s="66"/>
      <c r="P1492" s="121"/>
      <c r="Q1492" s="121"/>
      <c r="R1492" s="121"/>
      <c r="S1492" s="133">
        <f>M1486</f>
        <v>0</v>
      </c>
      <c r="T1492" s="120"/>
      <c r="U1492" s="121" t="s">
        <v>292</v>
      </c>
      <c r="V1492" s="133">
        <f t="shared" si="684"/>
        <v>0</v>
      </c>
      <c r="W1492" s="133">
        <f>VLOOKUP(U1492,Sheet1!$B$6:$C$45,2,FALSE)*V1492</f>
        <v>0</v>
      </c>
      <c r="X1492" s="141"/>
      <c r="Y1492" s="121" t="s">
        <v>292</v>
      </c>
      <c r="Z1492" s="146">
        <f>VLOOKUP(Takeoffs!Y1492,Sheet1!$B$6:$C$124,2,FALSE)</f>
        <v>0</v>
      </c>
      <c r="AA1492" s="146">
        <f t="shared" si="685"/>
        <v>0</v>
      </c>
      <c r="AB1492" s="143">
        <f t="shared" si="686"/>
        <v>0</v>
      </c>
      <c r="AC1492" s="133">
        <f t="shared" si="687"/>
        <v>0</v>
      </c>
      <c r="AD1492" s="142">
        <v>1</v>
      </c>
      <c r="AE1492" s="141"/>
      <c r="AF1492" s="121" t="s">
        <v>292</v>
      </c>
      <c r="AG1492" s="146">
        <f>VLOOKUP(Takeoffs!AF1492,Sheet1!$B$6:$C$124,2,FALSE)</f>
        <v>0</v>
      </c>
      <c r="AH1492" s="146">
        <f t="shared" si="688"/>
        <v>0</v>
      </c>
      <c r="AI1492" s="143">
        <f t="shared" si="689"/>
        <v>0</v>
      </c>
      <c r="AJ1492" s="133">
        <f t="shared" si="690"/>
        <v>0</v>
      </c>
      <c r="AK1492" s="142">
        <f t="shared" si="692"/>
        <v>0</v>
      </c>
      <c r="AL1492" s="141"/>
      <c r="AO1492" s="286"/>
      <c r="AP1492" s="284">
        <f t="shared" ref="AP1492:AP1555" si="693">IF(AND(I1492&gt;0, ISNUMBER(I1492)),I1492*P1492,0)</f>
        <v>0</v>
      </c>
      <c r="AQ1492" s="281">
        <f t="shared" ref="AQ1492:AQ1555" si="694">IF(AND(I1492&gt;0, ISNUMBER(I1492)),I1492*W1492*80,0)</f>
        <v>0</v>
      </c>
      <c r="AR1492" s="284">
        <f t="shared" ref="AR1492:AR1555" si="695">IF(AND(I1492&gt;0, ISNUMBER(I1492)),I1492*AA1492,0)</f>
        <v>0</v>
      </c>
      <c r="AS1492" s="281">
        <f t="shared" ref="AS1492:AS1555" si="696">IF(AND(I1492&gt;0, ISNUMBER(I1492)),I1492*AH1492,0)</f>
        <v>0</v>
      </c>
      <c r="AT1492" s="284">
        <f t="shared" ref="AT1492:AT1555" si="697">IF(AND(I1492&gt;0, ISNUMBER(I1492)),I1492*(AP1492-(AQ1492+AR1492+AS1492)),0)</f>
        <v>0</v>
      </c>
    </row>
    <row r="1493" spans="1:46" s="114" customFormat="1" ht="30.9" x14ac:dyDescent="0.8">
      <c r="A1493" s="262">
        <f>ROW()</f>
        <v>1493</v>
      </c>
      <c r="C1493" s="208"/>
      <c r="D1493" s="208"/>
      <c r="E1493" s="208"/>
      <c r="F1493" s="208"/>
      <c r="G1493" s="208"/>
      <c r="H1493" s="208"/>
      <c r="J1493" s="114" t="str">
        <f t="shared" si="691"/>
        <v/>
      </c>
      <c r="K1493" s="114" t="str">
        <f>IF(COUNTBLANK(R1493)&gt;0,"",CONCATENATE(R1493," for ",N1486))</f>
        <v/>
      </c>
      <c r="N1493" s="123" t="s">
        <v>119</v>
      </c>
      <c r="O1493" s="66"/>
      <c r="P1493" s="121"/>
      <c r="Q1493" s="121"/>
      <c r="R1493" s="121"/>
      <c r="S1493" s="133">
        <f>M1486</f>
        <v>0</v>
      </c>
      <c r="T1493" s="120"/>
      <c r="U1493" s="121" t="s">
        <v>292</v>
      </c>
      <c r="V1493" s="133">
        <f t="shared" si="684"/>
        <v>0</v>
      </c>
      <c r="W1493" s="133">
        <f>VLOOKUP(U1493,Sheet1!$B$6:$C$45,2,FALSE)*V1493</f>
        <v>0</v>
      </c>
      <c r="X1493" s="141"/>
      <c r="Y1493" s="121" t="s">
        <v>292</v>
      </c>
      <c r="Z1493" s="146">
        <f>VLOOKUP(Takeoffs!Y1493,Sheet1!$B$6:$C$124,2,FALSE)</f>
        <v>0</v>
      </c>
      <c r="AA1493" s="146">
        <f t="shared" si="685"/>
        <v>0</v>
      </c>
      <c r="AB1493" s="143">
        <f t="shared" si="686"/>
        <v>0</v>
      </c>
      <c r="AC1493" s="133">
        <f t="shared" si="687"/>
        <v>0</v>
      </c>
      <c r="AD1493" s="142">
        <v>1</v>
      </c>
      <c r="AE1493" s="141"/>
      <c r="AF1493" s="121" t="s">
        <v>292</v>
      </c>
      <c r="AG1493" s="146">
        <f>VLOOKUP(Takeoffs!AF1493,Sheet1!$B$6:$C$124,2,FALSE)</f>
        <v>0</v>
      </c>
      <c r="AH1493" s="146">
        <f t="shared" si="688"/>
        <v>0</v>
      </c>
      <c r="AI1493" s="143">
        <f t="shared" si="689"/>
        <v>0</v>
      </c>
      <c r="AJ1493" s="133">
        <f t="shared" si="690"/>
        <v>0</v>
      </c>
      <c r="AK1493" s="142">
        <f t="shared" si="692"/>
        <v>0</v>
      </c>
      <c r="AL1493" s="141"/>
      <c r="AO1493" s="286"/>
      <c r="AP1493" s="284">
        <f t="shared" si="693"/>
        <v>0</v>
      </c>
      <c r="AQ1493" s="281">
        <f t="shared" si="694"/>
        <v>0</v>
      </c>
      <c r="AR1493" s="284">
        <f t="shared" si="695"/>
        <v>0</v>
      </c>
      <c r="AS1493" s="281">
        <f t="shared" si="696"/>
        <v>0</v>
      </c>
      <c r="AT1493" s="284">
        <f t="shared" si="697"/>
        <v>0</v>
      </c>
    </row>
    <row r="1494" spans="1:46" s="114" customFormat="1" ht="30.9" x14ac:dyDescent="0.8">
      <c r="A1494" s="262">
        <f>ROW()</f>
        <v>1494</v>
      </c>
      <c r="C1494" s="208"/>
      <c r="D1494" s="208"/>
      <c r="E1494" s="208"/>
      <c r="F1494" s="208"/>
      <c r="G1494" s="208"/>
      <c r="H1494" s="208"/>
      <c r="J1494" s="114" t="str">
        <f t="shared" si="691"/>
        <v/>
      </c>
      <c r="K1494" s="114" t="str">
        <f>IF(COUNTBLANK(R1494)&gt;0,"",CONCATENATE(R1494," for ",N1486))</f>
        <v/>
      </c>
      <c r="N1494" s="123" t="s">
        <v>120</v>
      </c>
      <c r="O1494" s="66"/>
      <c r="P1494" s="121"/>
      <c r="Q1494" s="121"/>
      <c r="R1494" s="121"/>
      <c r="S1494" s="133">
        <f>M1486</f>
        <v>0</v>
      </c>
      <c r="T1494" s="120"/>
      <c r="U1494" s="121" t="s">
        <v>292</v>
      </c>
      <c r="V1494" s="133">
        <f t="shared" si="684"/>
        <v>0</v>
      </c>
      <c r="W1494" s="133">
        <f>VLOOKUP(U1494,Sheet1!$B$6:$C$45,2,FALSE)*V1494</f>
        <v>0</v>
      </c>
      <c r="X1494" s="141"/>
      <c r="Y1494" s="121" t="s">
        <v>292</v>
      </c>
      <c r="Z1494" s="146">
        <f>VLOOKUP(Takeoffs!Y1494,Sheet1!$B$6:$C$124,2,FALSE)</f>
        <v>0</v>
      </c>
      <c r="AA1494" s="146">
        <f t="shared" si="685"/>
        <v>0</v>
      </c>
      <c r="AB1494" s="143">
        <f t="shared" si="686"/>
        <v>0</v>
      </c>
      <c r="AC1494" s="133">
        <f t="shared" si="687"/>
        <v>0</v>
      </c>
      <c r="AD1494" s="142">
        <v>1</v>
      </c>
      <c r="AE1494" s="141"/>
      <c r="AF1494" s="121" t="s">
        <v>292</v>
      </c>
      <c r="AG1494" s="146">
        <f>VLOOKUP(Takeoffs!AF1494,Sheet1!$B$6:$C$124,2,FALSE)</f>
        <v>0</v>
      </c>
      <c r="AH1494" s="146">
        <f t="shared" si="688"/>
        <v>0</v>
      </c>
      <c r="AI1494" s="143">
        <f t="shared" si="689"/>
        <v>0</v>
      </c>
      <c r="AJ1494" s="133">
        <f t="shared" si="690"/>
        <v>0</v>
      </c>
      <c r="AK1494" s="142">
        <f t="shared" si="692"/>
        <v>0</v>
      </c>
      <c r="AL1494" s="141"/>
      <c r="AO1494" s="286"/>
      <c r="AP1494" s="284">
        <f t="shared" si="693"/>
        <v>0</v>
      </c>
      <c r="AQ1494" s="281">
        <f t="shared" si="694"/>
        <v>0</v>
      </c>
      <c r="AR1494" s="284">
        <f t="shared" si="695"/>
        <v>0</v>
      </c>
      <c r="AS1494" s="281">
        <f t="shared" si="696"/>
        <v>0</v>
      </c>
      <c r="AT1494" s="284">
        <f t="shared" si="697"/>
        <v>0</v>
      </c>
    </row>
    <row r="1495" spans="1:46" s="114" customFormat="1" ht="30.9" x14ac:dyDescent="0.8">
      <c r="A1495" s="262">
        <f>ROW()</f>
        <v>1495</v>
      </c>
      <c r="C1495" s="208"/>
      <c r="D1495" s="208"/>
      <c r="E1495" s="208"/>
      <c r="F1495" s="208"/>
      <c r="G1495" s="208"/>
      <c r="H1495" s="208"/>
      <c r="J1495" s="114" t="str">
        <f t="shared" si="691"/>
        <v/>
      </c>
      <c r="K1495" s="114" t="str">
        <f>IF(COUNTBLANK(R1495)&gt;0,"",CONCATENATE(R1495," for ",N1486))</f>
        <v/>
      </c>
      <c r="N1495" s="123" t="s">
        <v>121</v>
      </c>
      <c r="O1495" s="66"/>
      <c r="P1495" s="121"/>
      <c r="Q1495" s="121"/>
      <c r="R1495" s="121"/>
      <c r="S1495" s="133">
        <f>M1486</f>
        <v>0</v>
      </c>
      <c r="T1495" s="120"/>
      <c r="U1495" s="121" t="s">
        <v>292</v>
      </c>
      <c r="V1495" s="133">
        <f t="shared" si="684"/>
        <v>0</v>
      </c>
      <c r="W1495" s="133">
        <f>VLOOKUP(U1495,Sheet1!$B$6:$C$45,2,FALSE)*V1495</f>
        <v>0</v>
      </c>
      <c r="X1495" s="141"/>
      <c r="Y1495" s="121" t="s">
        <v>292</v>
      </c>
      <c r="Z1495" s="146">
        <f>VLOOKUP(Takeoffs!Y1495,Sheet1!$B$6:$C$124,2,FALSE)</f>
        <v>0</v>
      </c>
      <c r="AA1495" s="146">
        <f t="shared" si="685"/>
        <v>0</v>
      </c>
      <c r="AB1495" s="143">
        <f t="shared" si="686"/>
        <v>0</v>
      </c>
      <c r="AC1495" s="133">
        <f t="shared" si="687"/>
        <v>0</v>
      </c>
      <c r="AD1495" s="142">
        <v>1</v>
      </c>
      <c r="AE1495" s="141"/>
      <c r="AF1495" s="121" t="s">
        <v>292</v>
      </c>
      <c r="AG1495" s="146">
        <f>VLOOKUP(Takeoffs!AF1495,Sheet1!$B$6:$C$124,2,FALSE)</f>
        <v>0</v>
      </c>
      <c r="AH1495" s="146">
        <f t="shared" si="688"/>
        <v>0</v>
      </c>
      <c r="AI1495" s="143">
        <f t="shared" si="689"/>
        <v>0</v>
      </c>
      <c r="AJ1495" s="133">
        <f t="shared" si="690"/>
        <v>0</v>
      </c>
      <c r="AK1495" s="142">
        <f t="shared" si="692"/>
        <v>0</v>
      </c>
      <c r="AL1495" s="141"/>
      <c r="AO1495" s="286"/>
      <c r="AP1495" s="284">
        <f t="shared" si="693"/>
        <v>0</v>
      </c>
      <c r="AQ1495" s="281">
        <f t="shared" si="694"/>
        <v>0</v>
      </c>
      <c r="AR1495" s="284">
        <f t="shared" si="695"/>
        <v>0</v>
      </c>
      <c r="AS1495" s="281">
        <f t="shared" si="696"/>
        <v>0</v>
      </c>
      <c r="AT1495" s="284">
        <f t="shared" si="697"/>
        <v>0</v>
      </c>
    </row>
    <row r="1496" spans="1:46" s="114" customFormat="1" ht="30.9" x14ac:dyDescent="0.8">
      <c r="A1496" s="262">
        <f>ROW()</f>
        <v>1496</v>
      </c>
      <c r="C1496" s="208"/>
      <c r="D1496" s="208"/>
      <c r="E1496" s="208"/>
      <c r="F1496" s="208"/>
      <c r="G1496" s="208"/>
      <c r="H1496" s="208"/>
      <c r="J1496" s="114" t="str">
        <f t="shared" si="691"/>
        <v/>
      </c>
      <c r="K1496" s="114" t="str">
        <f>IF(COUNTBLANK(R1496)&gt;0,"",CONCATENATE(R1496," for ",N1486))</f>
        <v/>
      </c>
      <c r="N1496" s="123" t="s">
        <v>122</v>
      </c>
      <c r="O1496" s="66"/>
      <c r="P1496" s="121"/>
      <c r="Q1496" s="121"/>
      <c r="R1496" s="121"/>
      <c r="S1496" s="133">
        <f>M1486</f>
        <v>0</v>
      </c>
      <c r="T1496" s="120"/>
      <c r="U1496" s="121" t="s">
        <v>292</v>
      </c>
      <c r="V1496" s="133">
        <f t="shared" si="684"/>
        <v>0</v>
      </c>
      <c r="W1496" s="133">
        <f>VLOOKUP(U1496,Sheet1!$B$6:$C$45,2,FALSE)*V1496</f>
        <v>0</v>
      </c>
      <c r="X1496" s="141"/>
      <c r="Y1496" s="121" t="s">
        <v>292</v>
      </c>
      <c r="Z1496" s="146">
        <f>VLOOKUP(Takeoffs!Y1496,Sheet1!$B$6:$C$124,2,FALSE)</f>
        <v>0</v>
      </c>
      <c r="AA1496" s="146">
        <f t="shared" si="685"/>
        <v>0</v>
      </c>
      <c r="AB1496" s="143">
        <f t="shared" si="686"/>
        <v>0</v>
      </c>
      <c r="AC1496" s="133">
        <f t="shared" si="687"/>
        <v>0</v>
      </c>
      <c r="AD1496" s="142">
        <v>1</v>
      </c>
      <c r="AE1496" s="141"/>
      <c r="AF1496" s="121" t="s">
        <v>292</v>
      </c>
      <c r="AG1496" s="146">
        <f>VLOOKUP(Takeoffs!AF1496,Sheet1!$B$6:$C$124,2,FALSE)</f>
        <v>0</v>
      </c>
      <c r="AH1496" s="146">
        <f t="shared" si="688"/>
        <v>0</v>
      </c>
      <c r="AI1496" s="143">
        <f t="shared" si="689"/>
        <v>0</v>
      </c>
      <c r="AJ1496" s="133">
        <f t="shared" si="690"/>
        <v>0</v>
      </c>
      <c r="AK1496" s="142">
        <f t="shared" si="692"/>
        <v>0</v>
      </c>
      <c r="AL1496" s="141"/>
      <c r="AO1496" s="286"/>
      <c r="AP1496" s="284">
        <f t="shared" si="693"/>
        <v>0</v>
      </c>
      <c r="AQ1496" s="281">
        <f t="shared" si="694"/>
        <v>0</v>
      </c>
      <c r="AR1496" s="284">
        <f t="shared" si="695"/>
        <v>0</v>
      </c>
      <c r="AS1496" s="281">
        <f t="shared" si="696"/>
        <v>0</v>
      </c>
      <c r="AT1496" s="284">
        <f t="shared" si="697"/>
        <v>0</v>
      </c>
    </row>
    <row r="1497" spans="1:46" s="114" customFormat="1" ht="30.9" x14ac:dyDescent="0.8">
      <c r="A1497" s="262">
        <f>ROW()</f>
        <v>1497</v>
      </c>
      <c r="C1497" s="208"/>
      <c r="D1497" s="208"/>
      <c r="E1497" s="208"/>
      <c r="F1497" s="208"/>
      <c r="G1497" s="208"/>
      <c r="H1497" s="208"/>
      <c r="J1497" s="114" t="str">
        <f t="shared" si="691"/>
        <v/>
      </c>
      <c r="K1497" s="114" t="str">
        <f>IF(COUNTBLANK(R1497)&gt;0,"",CONCATENATE(R1497," for ",N1486))</f>
        <v/>
      </c>
      <c r="N1497" s="123" t="s">
        <v>123</v>
      </c>
      <c r="O1497" s="66"/>
      <c r="P1497" s="121"/>
      <c r="Q1497" s="121"/>
      <c r="R1497" s="121"/>
      <c r="S1497" s="133">
        <f>M1486</f>
        <v>0</v>
      </c>
      <c r="T1497" s="120"/>
      <c r="U1497" s="121" t="s">
        <v>292</v>
      </c>
      <c r="V1497" s="133">
        <f t="shared" si="684"/>
        <v>0</v>
      </c>
      <c r="W1497" s="133">
        <f>VLOOKUP(U1497,Sheet1!$B$6:$C$45,2,FALSE)*V1497</f>
        <v>0</v>
      </c>
      <c r="X1497" s="141"/>
      <c r="Y1497" s="121" t="s">
        <v>292</v>
      </c>
      <c r="Z1497" s="146">
        <f>VLOOKUP(Takeoffs!Y1497,Sheet1!$B$6:$C$124,2,FALSE)</f>
        <v>0</v>
      </c>
      <c r="AA1497" s="146">
        <f t="shared" si="685"/>
        <v>0</v>
      </c>
      <c r="AB1497" s="143">
        <f t="shared" si="686"/>
        <v>0</v>
      </c>
      <c r="AC1497" s="133">
        <f t="shared" si="687"/>
        <v>0</v>
      </c>
      <c r="AD1497" s="142">
        <v>1</v>
      </c>
      <c r="AE1497" s="141"/>
      <c r="AF1497" s="121" t="s">
        <v>292</v>
      </c>
      <c r="AG1497" s="146">
        <f>VLOOKUP(Takeoffs!AF1497,Sheet1!$B$6:$C$124,2,FALSE)</f>
        <v>0</v>
      </c>
      <c r="AH1497" s="146">
        <f t="shared" si="688"/>
        <v>0</v>
      </c>
      <c r="AI1497" s="143">
        <f t="shared" si="689"/>
        <v>0</v>
      </c>
      <c r="AJ1497" s="133">
        <f t="shared" si="690"/>
        <v>0</v>
      </c>
      <c r="AK1497" s="142">
        <f t="shared" si="692"/>
        <v>0</v>
      </c>
      <c r="AL1497" s="141"/>
      <c r="AO1497" s="286"/>
      <c r="AP1497" s="284">
        <f t="shared" si="693"/>
        <v>0</v>
      </c>
      <c r="AQ1497" s="281">
        <f t="shared" si="694"/>
        <v>0</v>
      </c>
      <c r="AR1497" s="284">
        <f t="shared" si="695"/>
        <v>0</v>
      </c>
      <c r="AS1497" s="281">
        <f t="shared" si="696"/>
        <v>0</v>
      </c>
      <c r="AT1497" s="284">
        <f t="shared" si="697"/>
        <v>0</v>
      </c>
    </row>
    <row r="1498" spans="1:46" s="114" customFormat="1" ht="30.9" x14ac:dyDescent="0.8">
      <c r="A1498" s="262">
        <f>ROW()</f>
        <v>1498</v>
      </c>
      <c r="C1498" s="208"/>
      <c r="D1498" s="208"/>
      <c r="E1498" s="208"/>
      <c r="F1498" s="208"/>
      <c r="G1498" s="208"/>
      <c r="H1498" s="208"/>
      <c r="J1498" s="114" t="str">
        <f t="shared" si="691"/>
        <v/>
      </c>
      <c r="K1498" s="114" t="str">
        <f>IF(COUNTBLANK(R1498)&gt;0,"",CONCATENATE(R1498," for ",N1486))</f>
        <v/>
      </c>
      <c r="N1498" s="123" t="s">
        <v>124</v>
      </c>
      <c r="O1498" s="66"/>
      <c r="P1498" s="121"/>
      <c r="Q1498" s="121"/>
      <c r="R1498" s="121"/>
      <c r="S1498" s="133">
        <f>M1486</f>
        <v>0</v>
      </c>
      <c r="T1498" s="120"/>
      <c r="U1498" s="121" t="s">
        <v>292</v>
      </c>
      <c r="V1498" s="133">
        <f t="shared" si="684"/>
        <v>0</v>
      </c>
      <c r="W1498" s="133">
        <f>VLOOKUP(U1498,Sheet1!$B$6:$C$45,2,FALSE)*V1498</f>
        <v>0</v>
      </c>
      <c r="X1498" s="141"/>
      <c r="Y1498" s="121" t="s">
        <v>292</v>
      </c>
      <c r="Z1498" s="146">
        <f>VLOOKUP(Takeoffs!Y1498,Sheet1!$B$6:$C$124,2,FALSE)</f>
        <v>0</v>
      </c>
      <c r="AA1498" s="146">
        <f t="shared" si="685"/>
        <v>0</v>
      </c>
      <c r="AB1498" s="143">
        <f t="shared" si="686"/>
        <v>0</v>
      </c>
      <c r="AC1498" s="133">
        <f t="shared" si="687"/>
        <v>0</v>
      </c>
      <c r="AD1498" s="142">
        <v>1</v>
      </c>
      <c r="AE1498" s="141"/>
      <c r="AF1498" s="121" t="s">
        <v>292</v>
      </c>
      <c r="AG1498" s="146">
        <f>VLOOKUP(Takeoffs!AF1498,Sheet1!$B$6:$C$124,2,FALSE)</f>
        <v>0</v>
      </c>
      <c r="AH1498" s="146">
        <f t="shared" si="688"/>
        <v>0</v>
      </c>
      <c r="AI1498" s="143">
        <f t="shared" si="689"/>
        <v>0</v>
      </c>
      <c r="AJ1498" s="133">
        <f t="shared" si="690"/>
        <v>0</v>
      </c>
      <c r="AK1498" s="142">
        <f t="shared" si="692"/>
        <v>0</v>
      </c>
      <c r="AL1498" s="141"/>
      <c r="AO1498" s="286"/>
      <c r="AP1498" s="284">
        <f t="shared" si="693"/>
        <v>0</v>
      </c>
      <c r="AQ1498" s="281">
        <f t="shared" si="694"/>
        <v>0</v>
      </c>
      <c r="AR1498" s="284">
        <f t="shared" si="695"/>
        <v>0</v>
      </c>
      <c r="AS1498" s="281">
        <f t="shared" si="696"/>
        <v>0</v>
      </c>
      <c r="AT1498" s="284">
        <f t="shared" si="697"/>
        <v>0</v>
      </c>
    </row>
    <row r="1499" spans="1:46" s="114" customFormat="1" ht="30.9" x14ac:dyDescent="0.8">
      <c r="A1499" s="262">
        <f>ROW()</f>
        <v>1499</v>
      </c>
      <c r="C1499" s="208"/>
      <c r="D1499" s="208"/>
      <c r="E1499" s="208"/>
      <c r="F1499" s="208"/>
      <c r="G1499" s="208"/>
      <c r="H1499" s="208"/>
      <c r="J1499" s="114" t="str">
        <f t="shared" si="691"/>
        <v/>
      </c>
      <c r="K1499" s="114" t="str">
        <f>IF(COUNTBLANK(R1499)&gt;0,"",CONCATENATE(R1499," for ",N1486))</f>
        <v/>
      </c>
      <c r="N1499" s="123" t="s">
        <v>125</v>
      </c>
      <c r="O1499" s="66"/>
      <c r="P1499" s="121"/>
      <c r="Q1499" s="121"/>
      <c r="R1499" s="121"/>
      <c r="S1499" s="133">
        <f>M1486</f>
        <v>0</v>
      </c>
      <c r="T1499" s="120"/>
      <c r="U1499" s="121" t="s">
        <v>292</v>
      </c>
      <c r="V1499" s="133">
        <f t="shared" si="684"/>
        <v>0</v>
      </c>
      <c r="W1499" s="133">
        <f>VLOOKUP(U1499,Sheet1!$B$6:$C$45,2,FALSE)*V1499</f>
        <v>0</v>
      </c>
      <c r="X1499" s="141"/>
      <c r="Y1499" s="121" t="s">
        <v>292</v>
      </c>
      <c r="Z1499" s="146">
        <f>VLOOKUP(Takeoffs!Y1499,Sheet1!$B$6:$C$124,2,FALSE)</f>
        <v>0</v>
      </c>
      <c r="AA1499" s="146">
        <f t="shared" si="685"/>
        <v>0</v>
      </c>
      <c r="AB1499" s="143">
        <f t="shared" si="686"/>
        <v>0</v>
      </c>
      <c r="AC1499" s="133">
        <f t="shared" si="687"/>
        <v>0</v>
      </c>
      <c r="AD1499" s="142">
        <v>1</v>
      </c>
      <c r="AE1499" s="141"/>
      <c r="AF1499" s="121" t="s">
        <v>292</v>
      </c>
      <c r="AG1499" s="146">
        <f>VLOOKUP(Takeoffs!AF1499,Sheet1!$B$6:$C$124,2,FALSE)</f>
        <v>0</v>
      </c>
      <c r="AH1499" s="146">
        <f t="shared" si="688"/>
        <v>0</v>
      </c>
      <c r="AI1499" s="143">
        <f t="shared" si="689"/>
        <v>0</v>
      </c>
      <c r="AJ1499" s="133">
        <f t="shared" si="690"/>
        <v>0</v>
      </c>
      <c r="AK1499" s="142">
        <f t="shared" si="692"/>
        <v>0</v>
      </c>
      <c r="AL1499" s="141"/>
      <c r="AO1499" s="286"/>
      <c r="AP1499" s="284">
        <f t="shared" si="693"/>
        <v>0</v>
      </c>
      <c r="AQ1499" s="281">
        <f t="shared" si="694"/>
        <v>0</v>
      </c>
      <c r="AR1499" s="284">
        <f t="shared" si="695"/>
        <v>0</v>
      </c>
      <c r="AS1499" s="281">
        <f t="shared" si="696"/>
        <v>0</v>
      </c>
      <c r="AT1499" s="284">
        <f t="shared" si="697"/>
        <v>0</v>
      </c>
    </row>
    <row r="1500" spans="1:46" s="114" customFormat="1" ht="30.9" x14ac:dyDescent="0.8">
      <c r="A1500" s="262">
        <f>ROW()</f>
        <v>1500</v>
      </c>
      <c r="C1500" s="208"/>
      <c r="D1500" s="208"/>
      <c r="E1500" s="208"/>
      <c r="F1500" s="208"/>
      <c r="G1500" s="208"/>
      <c r="H1500" s="208"/>
      <c r="J1500" s="114" t="str">
        <f t="shared" si="691"/>
        <v/>
      </c>
      <c r="K1500" s="114" t="str">
        <f>IF(COUNTBLANK(R1500)&gt;0,"",CONCATENATE(R1500," for ",N1486))</f>
        <v/>
      </c>
      <c r="N1500" s="123" t="s">
        <v>126</v>
      </c>
      <c r="O1500" s="66"/>
      <c r="P1500" s="121"/>
      <c r="Q1500" s="121"/>
      <c r="R1500" s="121"/>
      <c r="S1500" s="133">
        <f>M1486</f>
        <v>0</v>
      </c>
      <c r="T1500" s="120"/>
      <c r="U1500" s="121" t="s">
        <v>292</v>
      </c>
      <c r="V1500" s="133">
        <f t="shared" si="684"/>
        <v>0</v>
      </c>
      <c r="W1500" s="133">
        <f>VLOOKUP(U1500,Sheet1!$B$6:$C$45,2,FALSE)*V1500</f>
        <v>0</v>
      </c>
      <c r="X1500" s="141"/>
      <c r="Y1500" s="121" t="s">
        <v>292</v>
      </c>
      <c r="Z1500" s="146">
        <f>VLOOKUP(Takeoffs!Y1500,Sheet1!$B$6:$C$124,2,FALSE)</f>
        <v>0</v>
      </c>
      <c r="AA1500" s="146">
        <f t="shared" si="685"/>
        <v>0</v>
      </c>
      <c r="AB1500" s="143">
        <f t="shared" si="686"/>
        <v>0</v>
      </c>
      <c r="AC1500" s="133">
        <f t="shared" si="687"/>
        <v>0</v>
      </c>
      <c r="AD1500" s="142">
        <v>1</v>
      </c>
      <c r="AE1500" s="141"/>
      <c r="AF1500" s="121" t="s">
        <v>292</v>
      </c>
      <c r="AG1500" s="146">
        <f>VLOOKUP(Takeoffs!AF1500,Sheet1!$B$6:$C$124,2,FALSE)</f>
        <v>0</v>
      </c>
      <c r="AH1500" s="146">
        <f t="shared" si="688"/>
        <v>0</v>
      </c>
      <c r="AI1500" s="143">
        <f t="shared" si="689"/>
        <v>0</v>
      </c>
      <c r="AJ1500" s="133">
        <f t="shared" si="690"/>
        <v>0</v>
      </c>
      <c r="AK1500" s="142">
        <f t="shared" si="692"/>
        <v>0</v>
      </c>
      <c r="AL1500" s="141"/>
      <c r="AO1500" s="286"/>
      <c r="AP1500" s="284">
        <f t="shared" si="693"/>
        <v>0</v>
      </c>
      <c r="AQ1500" s="281">
        <f t="shared" si="694"/>
        <v>0</v>
      </c>
      <c r="AR1500" s="284">
        <f t="shared" si="695"/>
        <v>0</v>
      </c>
      <c r="AS1500" s="281">
        <f t="shared" si="696"/>
        <v>0</v>
      </c>
      <c r="AT1500" s="284">
        <f t="shared" si="697"/>
        <v>0</v>
      </c>
    </row>
    <row r="1501" spans="1:46" s="114" customFormat="1" ht="30.9" x14ac:dyDescent="0.8">
      <c r="A1501" s="262">
        <f>ROW()</f>
        <v>1501</v>
      </c>
      <c r="C1501" s="208"/>
      <c r="D1501" s="208"/>
      <c r="E1501" s="208"/>
      <c r="F1501" s="208"/>
      <c r="G1501" s="208"/>
      <c r="H1501" s="208"/>
      <c r="J1501" s="114" t="str">
        <f t="shared" si="691"/>
        <v/>
      </c>
      <c r="K1501" s="114" t="str">
        <f>IF(COUNTBLANK(R1501)&gt;0,"",CONCATENATE(R1501," for ",N1486))</f>
        <v/>
      </c>
      <c r="N1501" s="123" t="s">
        <v>127</v>
      </c>
      <c r="O1501" s="66"/>
      <c r="P1501" s="121"/>
      <c r="Q1501" s="121"/>
      <c r="R1501" s="121"/>
      <c r="S1501" s="133">
        <f>M1486</f>
        <v>0</v>
      </c>
      <c r="T1501" s="120"/>
      <c r="U1501" s="121" t="s">
        <v>292</v>
      </c>
      <c r="V1501" s="133">
        <f t="shared" si="684"/>
        <v>0</v>
      </c>
      <c r="W1501" s="133">
        <f>VLOOKUP(U1501,Sheet1!$B$6:$C$45,2,FALSE)*V1501</f>
        <v>0</v>
      </c>
      <c r="X1501" s="141"/>
      <c r="Y1501" s="121" t="s">
        <v>292</v>
      </c>
      <c r="Z1501" s="146">
        <f>VLOOKUP(Takeoffs!Y1501,Sheet1!$B$6:$C$124,2,FALSE)</f>
        <v>0</v>
      </c>
      <c r="AA1501" s="146">
        <f t="shared" si="685"/>
        <v>0</v>
      </c>
      <c r="AB1501" s="143">
        <f t="shared" si="686"/>
        <v>0</v>
      </c>
      <c r="AC1501" s="133">
        <f t="shared" si="687"/>
        <v>0</v>
      </c>
      <c r="AD1501" s="142">
        <v>1</v>
      </c>
      <c r="AE1501" s="141"/>
      <c r="AF1501" s="121" t="s">
        <v>292</v>
      </c>
      <c r="AG1501" s="146">
        <f>VLOOKUP(Takeoffs!AF1501,Sheet1!$B$6:$C$124,2,FALSE)</f>
        <v>0</v>
      </c>
      <c r="AH1501" s="146">
        <f t="shared" si="688"/>
        <v>0</v>
      </c>
      <c r="AI1501" s="143">
        <f t="shared" si="689"/>
        <v>0</v>
      </c>
      <c r="AJ1501" s="133">
        <f t="shared" si="690"/>
        <v>0</v>
      </c>
      <c r="AK1501" s="142">
        <f t="shared" si="692"/>
        <v>0</v>
      </c>
      <c r="AL1501" s="141"/>
      <c r="AO1501" s="286"/>
      <c r="AP1501" s="284">
        <f t="shared" si="693"/>
        <v>0</v>
      </c>
      <c r="AQ1501" s="281">
        <f t="shared" si="694"/>
        <v>0</v>
      </c>
      <c r="AR1501" s="284">
        <f t="shared" si="695"/>
        <v>0</v>
      </c>
      <c r="AS1501" s="281">
        <f t="shared" si="696"/>
        <v>0</v>
      </c>
      <c r="AT1501" s="284">
        <f t="shared" si="697"/>
        <v>0</v>
      </c>
    </row>
    <row r="1502" spans="1:46" s="114" customFormat="1" ht="30.9" x14ac:dyDescent="0.8">
      <c r="A1502" s="262">
        <f>ROW()</f>
        <v>1502</v>
      </c>
      <c r="C1502" s="208"/>
      <c r="D1502" s="208"/>
      <c r="E1502" s="208"/>
      <c r="F1502" s="208"/>
      <c r="G1502" s="208"/>
      <c r="H1502" s="208"/>
      <c r="J1502" s="114" t="str">
        <f t="shared" si="691"/>
        <v/>
      </c>
      <c r="K1502" s="114" t="str">
        <f>IF(COUNTBLANK(R1502)&gt;0,"",CONCATENATE(R1502," for ",N1486))</f>
        <v/>
      </c>
      <c r="N1502" s="123" t="s">
        <v>128</v>
      </c>
      <c r="O1502" s="66"/>
      <c r="P1502" s="121"/>
      <c r="Q1502" s="121"/>
      <c r="R1502" s="121"/>
      <c r="S1502" s="133">
        <f>M1486</f>
        <v>0</v>
      </c>
      <c r="T1502" s="120"/>
      <c r="U1502" s="121" t="s">
        <v>292</v>
      </c>
      <c r="V1502" s="133">
        <f t="shared" si="684"/>
        <v>0</v>
      </c>
      <c r="W1502" s="133">
        <f>VLOOKUP(U1502,Sheet1!$B$6:$C$45,2,FALSE)*V1502</f>
        <v>0</v>
      </c>
      <c r="X1502" s="141"/>
      <c r="Y1502" s="121" t="s">
        <v>292</v>
      </c>
      <c r="Z1502" s="146">
        <f>VLOOKUP(Takeoffs!Y1502,Sheet1!$B$6:$C$124,2,FALSE)</f>
        <v>0</v>
      </c>
      <c r="AA1502" s="146">
        <f t="shared" si="685"/>
        <v>0</v>
      </c>
      <c r="AB1502" s="143">
        <f t="shared" si="686"/>
        <v>0</v>
      </c>
      <c r="AC1502" s="133">
        <f t="shared" si="687"/>
        <v>0</v>
      </c>
      <c r="AD1502" s="142">
        <v>1</v>
      </c>
      <c r="AE1502" s="141"/>
      <c r="AF1502" s="121" t="s">
        <v>292</v>
      </c>
      <c r="AG1502" s="146">
        <f>VLOOKUP(Takeoffs!AF1502,Sheet1!$B$6:$C$124,2,FALSE)</f>
        <v>0</v>
      </c>
      <c r="AH1502" s="146">
        <f t="shared" si="688"/>
        <v>0</v>
      </c>
      <c r="AI1502" s="143">
        <f t="shared" si="689"/>
        <v>0</v>
      </c>
      <c r="AJ1502" s="133">
        <f t="shared" si="690"/>
        <v>0</v>
      </c>
      <c r="AK1502" s="142">
        <f t="shared" si="692"/>
        <v>0</v>
      </c>
      <c r="AL1502" s="141"/>
      <c r="AO1502" s="286"/>
      <c r="AP1502" s="284">
        <f t="shared" si="693"/>
        <v>0</v>
      </c>
      <c r="AQ1502" s="281">
        <f t="shared" si="694"/>
        <v>0</v>
      </c>
      <c r="AR1502" s="284">
        <f t="shared" si="695"/>
        <v>0</v>
      </c>
      <c r="AS1502" s="281">
        <f t="shared" si="696"/>
        <v>0</v>
      </c>
      <c r="AT1502" s="284">
        <f t="shared" si="697"/>
        <v>0</v>
      </c>
    </row>
    <row r="1503" spans="1:46" s="114" customFormat="1" ht="30.9" x14ac:dyDescent="0.8">
      <c r="A1503" s="262">
        <f>ROW()</f>
        <v>1503</v>
      </c>
      <c r="C1503" s="208"/>
      <c r="D1503" s="208"/>
      <c r="E1503" s="208"/>
      <c r="F1503" s="208"/>
      <c r="G1503" s="208"/>
      <c r="H1503" s="208"/>
      <c r="J1503" s="114" t="str">
        <f t="shared" si="691"/>
        <v/>
      </c>
      <c r="K1503" s="114" t="str">
        <f>IF(COUNTBLANK(R1503)&gt;0,"",CONCATENATE(R1503," for ",N1486))</f>
        <v/>
      </c>
      <c r="N1503" s="123" t="s">
        <v>129</v>
      </c>
      <c r="O1503" s="66"/>
      <c r="P1503" s="121"/>
      <c r="Q1503" s="121"/>
      <c r="R1503" s="121"/>
      <c r="S1503" s="133">
        <f>M1486</f>
        <v>0</v>
      </c>
      <c r="T1503" s="120"/>
      <c r="U1503" s="121" t="s">
        <v>292</v>
      </c>
      <c r="V1503" s="133">
        <f t="shared" si="684"/>
        <v>0</v>
      </c>
      <c r="W1503" s="133">
        <f>VLOOKUP(U1503,Sheet1!$B$6:$C$45,2,FALSE)*V1503</f>
        <v>0</v>
      </c>
      <c r="X1503" s="141"/>
      <c r="Y1503" s="121" t="s">
        <v>292</v>
      </c>
      <c r="Z1503" s="146">
        <f>VLOOKUP(Takeoffs!Y1503,Sheet1!$B$6:$C$124,2,FALSE)</f>
        <v>0</v>
      </c>
      <c r="AA1503" s="146">
        <f t="shared" si="685"/>
        <v>0</v>
      </c>
      <c r="AB1503" s="143">
        <f t="shared" si="686"/>
        <v>0</v>
      </c>
      <c r="AC1503" s="133">
        <f t="shared" si="687"/>
        <v>0</v>
      </c>
      <c r="AD1503" s="142">
        <v>1</v>
      </c>
      <c r="AE1503" s="141"/>
      <c r="AF1503" s="121" t="s">
        <v>292</v>
      </c>
      <c r="AG1503" s="146">
        <f>VLOOKUP(Takeoffs!AF1503,Sheet1!$B$6:$C$124,2,FALSE)</f>
        <v>0</v>
      </c>
      <c r="AH1503" s="146">
        <f t="shared" si="688"/>
        <v>0</v>
      </c>
      <c r="AI1503" s="143">
        <f t="shared" si="689"/>
        <v>0</v>
      </c>
      <c r="AJ1503" s="133">
        <f t="shared" si="690"/>
        <v>0</v>
      </c>
      <c r="AK1503" s="142">
        <f t="shared" si="692"/>
        <v>0</v>
      </c>
      <c r="AL1503" s="141"/>
      <c r="AO1503" s="286"/>
      <c r="AP1503" s="284">
        <f t="shared" si="693"/>
        <v>0</v>
      </c>
      <c r="AQ1503" s="281">
        <f t="shared" si="694"/>
        <v>0</v>
      </c>
      <c r="AR1503" s="284">
        <f t="shared" si="695"/>
        <v>0</v>
      </c>
      <c r="AS1503" s="281">
        <f t="shared" si="696"/>
        <v>0</v>
      </c>
      <c r="AT1503" s="284">
        <f t="shared" si="697"/>
        <v>0</v>
      </c>
    </row>
    <row r="1504" spans="1:46" s="114" customFormat="1" ht="30.9" x14ac:dyDescent="0.8">
      <c r="A1504" s="262">
        <f>ROW()</f>
        <v>1504</v>
      </c>
      <c r="C1504" s="208"/>
      <c r="D1504" s="208"/>
      <c r="E1504" s="208"/>
      <c r="F1504" s="208"/>
      <c r="G1504" s="208"/>
      <c r="H1504" s="208"/>
      <c r="J1504" s="114" t="str">
        <f t="shared" si="691"/>
        <v/>
      </c>
      <c r="K1504" s="114" t="str">
        <f>IF(COUNTBLANK(R1504)&gt;0,"",CONCATENATE(R1504," for ",N1486))</f>
        <v/>
      </c>
      <c r="N1504" s="123" t="s">
        <v>130</v>
      </c>
      <c r="O1504" s="66"/>
      <c r="P1504" s="121"/>
      <c r="Q1504" s="121"/>
      <c r="R1504" s="121"/>
      <c r="S1504" s="133">
        <f>M1486</f>
        <v>0</v>
      </c>
      <c r="T1504" s="120"/>
      <c r="U1504" s="121" t="s">
        <v>292</v>
      </c>
      <c r="V1504" s="133">
        <f t="shared" si="684"/>
        <v>0</v>
      </c>
      <c r="W1504" s="133">
        <f>VLOOKUP(U1504,Sheet1!$B$6:$C$45,2,FALSE)*V1504</f>
        <v>0</v>
      </c>
      <c r="X1504" s="141"/>
      <c r="Y1504" s="121" t="s">
        <v>292</v>
      </c>
      <c r="Z1504" s="146">
        <f>VLOOKUP(Takeoffs!Y1504,Sheet1!$B$6:$C$124,2,FALSE)</f>
        <v>0</v>
      </c>
      <c r="AA1504" s="146">
        <f t="shared" si="685"/>
        <v>0</v>
      </c>
      <c r="AB1504" s="143">
        <f t="shared" si="686"/>
        <v>0</v>
      </c>
      <c r="AC1504" s="133">
        <f t="shared" si="687"/>
        <v>0</v>
      </c>
      <c r="AD1504" s="142">
        <v>1</v>
      </c>
      <c r="AE1504" s="141"/>
      <c r="AF1504" s="121" t="s">
        <v>292</v>
      </c>
      <c r="AG1504" s="146">
        <f>VLOOKUP(Takeoffs!AF1504,Sheet1!$B$6:$C$124,2,FALSE)</f>
        <v>0</v>
      </c>
      <c r="AH1504" s="146">
        <f t="shared" si="688"/>
        <v>0</v>
      </c>
      <c r="AI1504" s="143">
        <f t="shared" si="689"/>
        <v>0</v>
      </c>
      <c r="AJ1504" s="133">
        <f t="shared" si="690"/>
        <v>0</v>
      </c>
      <c r="AK1504" s="142">
        <f t="shared" si="692"/>
        <v>0</v>
      </c>
      <c r="AL1504" s="141"/>
      <c r="AO1504" s="286"/>
      <c r="AP1504" s="284">
        <f t="shared" si="693"/>
        <v>0</v>
      </c>
      <c r="AQ1504" s="281">
        <f t="shared" si="694"/>
        <v>0</v>
      </c>
      <c r="AR1504" s="284">
        <f t="shared" si="695"/>
        <v>0</v>
      </c>
      <c r="AS1504" s="281">
        <f t="shared" si="696"/>
        <v>0</v>
      </c>
      <c r="AT1504" s="284">
        <f t="shared" si="697"/>
        <v>0</v>
      </c>
    </row>
    <row r="1505" spans="1:97" s="114" customFormat="1" ht="30.9" x14ac:dyDescent="0.8">
      <c r="A1505" s="262">
        <f>ROW()</f>
        <v>1505</v>
      </c>
      <c r="C1505" s="208"/>
      <c r="D1505" s="208"/>
      <c r="E1505" s="208"/>
      <c r="F1505" s="208"/>
      <c r="G1505" s="208"/>
      <c r="H1505" s="208"/>
      <c r="J1505" s="114" t="str">
        <f t="shared" si="691"/>
        <v/>
      </c>
      <c r="K1505" s="114" t="str">
        <f>IF(COUNTBLANK(R1505)&gt;0,"",CONCATENATE(R1505," for ",N1486))</f>
        <v/>
      </c>
      <c r="N1505" s="123" t="s">
        <v>131</v>
      </c>
      <c r="O1505" s="66"/>
      <c r="P1505" s="121"/>
      <c r="Q1505" s="121"/>
      <c r="R1505" s="121"/>
      <c r="S1505" s="133">
        <f>M1486</f>
        <v>0</v>
      </c>
      <c r="T1505" s="120"/>
      <c r="U1505" s="121" t="s">
        <v>292</v>
      </c>
      <c r="V1505" s="133">
        <f t="shared" si="684"/>
        <v>0</v>
      </c>
      <c r="W1505" s="133">
        <f>VLOOKUP(U1505,Sheet1!$B$6:$C$45,2,FALSE)*V1505</f>
        <v>0</v>
      </c>
      <c r="X1505" s="141"/>
      <c r="Y1505" s="121" t="s">
        <v>292</v>
      </c>
      <c r="Z1505" s="146">
        <f>VLOOKUP(Takeoffs!Y1505,Sheet1!$B$6:$C$124,2,FALSE)</f>
        <v>0</v>
      </c>
      <c r="AA1505" s="146">
        <f t="shared" si="685"/>
        <v>0</v>
      </c>
      <c r="AB1505" s="143">
        <f t="shared" si="686"/>
        <v>0</v>
      </c>
      <c r="AC1505" s="133">
        <f t="shared" si="687"/>
        <v>0</v>
      </c>
      <c r="AD1505" s="142">
        <v>1</v>
      </c>
      <c r="AE1505" s="141"/>
      <c r="AF1505" s="121" t="s">
        <v>292</v>
      </c>
      <c r="AG1505" s="146">
        <f>VLOOKUP(Takeoffs!AF1505,Sheet1!$B$6:$C$124,2,FALSE)</f>
        <v>0</v>
      </c>
      <c r="AH1505" s="146">
        <f t="shared" si="688"/>
        <v>0</v>
      </c>
      <c r="AI1505" s="143">
        <f t="shared" si="689"/>
        <v>0</v>
      </c>
      <c r="AJ1505" s="133">
        <f t="shared" si="690"/>
        <v>0</v>
      </c>
      <c r="AK1505" s="142">
        <f t="shared" si="692"/>
        <v>0</v>
      </c>
      <c r="AL1505" s="141"/>
      <c r="AO1505" s="286"/>
      <c r="AP1505" s="284">
        <f t="shared" si="693"/>
        <v>0</v>
      </c>
      <c r="AQ1505" s="281">
        <f t="shared" si="694"/>
        <v>0</v>
      </c>
      <c r="AR1505" s="284">
        <f t="shared" si="695"/>
        <v>0</v>
      </c>
      <c r="AS1505" s="281">
        <f t="shared" si="696"/>
        <v>0</v>
      </c>
      <c r="AT1505" s="284">
        <f t="shared" si="697"/>
        <v>0</v>
      </c>
    </row>
    <row r="1506" spans="1:97" s="114" customFormat="1" ht="30.9" x14ac:dyDescent="0.8">
      <c r="A1506" s="262">
        <f>ROW()</f>
        <v>1506</v>
      </c>
      <c r="C1506" s="208"/>
      <c r="D1506" s="208"/>
      <c r="E1506" s="208"/>
      <c r="F1506" s="208"/>
      <c r="G1506" s="208"/>
      <c r="H1506" s="208"/>
      <c r="J1506" s="114" t="str">
        <f t="shared" si="691"/>
        <v/>
      </c>
      <c r="K1506" s="114" t="str">
        <f>IF(COUNTBLANK(R1506)&gt;0,"",CONCATENATE(R1506," for ",N1486))</f>
        <v/>
      </c>
      <c r="N1506" s="123" t="s">
        <v>132</v>
      </c>
      <c r="O1506" s="66"/>
      <c r="P1506" s="121"/>
      <c r="Q1506" s="121"/>
      <c r="R1506" s="121"/>
      <c r="S1506" s="133">
        <f>M1486</f>
        <v>0</v>
      </c>
      <c r="T1506" s="120"/>
      <c r="U1506" s="121" t="s">
        <v>292</v>
      </c>
      <c r="V1506" s="133">
        <f t="shared" si="684"/>
        <v>0</v>
      </c>
      <c r="W1506" s="133">
        <f>VLOOKUP(U1506,Sheet1!$B$6:$C$45,2,FALSE)*V1506</f>
        <v>0</v>
      </c>
      <c r="X1506" s="141"/>
      <c r="Y1506" s="121" t="s">
        <v>292</v>
      </c>
      <c r="Z1506" s="146">
        <f>VLOOKUP(Takeoffs!Y1506,Sheet1!$B$6:$C$124,2,FALSE)</f>
        <v>0</v>
      </c>
      <c r="AA1506" s="146">
        <f t="shared" si="685"/>
        <v>0</v>
      </c>
      <c r="AB1506" s="143">
        <f t="shared" si="686"/>
        <v>0</v>
      </c>
      <c r="AC1506" s="133">
        <f t="shared" si="687"/>
        <v>0</v>
      </c>
      <c r="AD1506" s="142">
        <v>1</v>
      </c>
      <c r="AE1506" s="141"/>
      <c r="AF1506" s="121" t="s">
        <v>292</v>
      </c>
      <c r="AG1506" s="146">
        <f>VLOOKUP(Takeoffs!AF1506,Sheet1!$B$6:$C$124,2,FALSE)</f>
        <v>0</v>
      </c>
      <c r="AH1506" s="146">
        <f t="shared" si="688"/>
        <v>0</v>
      </c>
      <c r="AI1506" s="143">
        <f t="shared" si="689"/>
        <v>0</v>
      </c>
      <c r="AJ1506" s="133">
        <f t="shared" si="690"/>
        <v>0</v>
      </c>
      <c r="AK1506" s="142">
        <f t="shared" si="692"/>
        <v>0</v>
      </c>
      <c r="AL1506" s="141"/>
      <c r="AO1506" s="286"/>
      <c r="AP1506" s="284">
        <f t="shared" si="693"/>
        <v>0</v>
      </c>
      <c r="AQ1506" s="281">
        <f t="shared" si="694"/>
        <v>0</v>
      </c>
      <c r="AR1506" s="284">
        <f t="shared" si="695"/>
        <v>0</v>
      </c>
      <c r="AS1506" s="281">
        <f t="shared" si="696"/>
        <v>0</v>
      </c>
      <c r="AT1506" s="284">
        <f t="shared" si="697"/>
        <v>0</v>
      </c>
    </row>
    <row r="1507" spans="1:97" s="128" customFormat="1" ht="31.5" customHeight="1" x14ac:dyDescent="0.8">
      <c r="A1507" s="262">
        <f>ROW()</f>
        <v>1507</v>
      </c>
      <c r="C1507" s="212"/>
      <c r="D1507" s="212"/>
      <c r="E1507" s="212"/>
      <c r="F1507" s="212"/>
      <c r="G1507" s="212"/>
      <c r="H1507" s="212"/>
      <c r="J1507" s="128" t="s">
        <v>377</v>
      </c>
      <c r="L1507" s="128" t="s">
        <v>378</v>
      </c>
      <c r="N1507" s="129"/>
      <c r="O1507" s="130" t="s">
        <v>357</v>
      </c>
      <c r="P1507" s="131">
        <f>V1507+AA1507+AH1507</f>
        <v>0</v>
      </c>
      <c r="Q1507" s="131"/>
      <c r="R1507" s="131"/>
      <c r="S1507" s="130"/>
      <c r="T1507" s="127"/>
      <c r="U1507" s="126" t="s">
        <v>351</v>
      </c>
      <c r="V1507" s="127">
        <f>W1507*80</f>
        <v>0</v>
      </c>
      <c r="W1507" s="147">
        <f>SUM(W1486:W1506)</f>
        <v>0</v>
      </c>
      <c r="X1507" s="148"/>
      <c r="Y1507" s="127" t="s">
        <v>352</v>
      </c>
      <c r="Z1507" s="116"/>
      <c r="AA1507" s="116">
        <f>SUM(AA1486:AA1506)</f>
        <v>0</v>
      </c>
      <c r="AB1507" s="149"/>
      <c r="AC1507" s="149"/>
      <c r="AD1507" s="149"/>
      <c r="AE1507" s="149"/>
      <c r="AF1507" s="127" t="s">
        <v>356</v>
      </c>
      <c r="AG1507" s="116"/>
      <c r="AH1507" s="116">
        <f>SUM(AH1486:AH1506)</f>
        <v>0</v>
      </c>
      <c r="AI1507" s="149"/>
      <c r="AJ1507" s="149"/>
      <c r="AK1507" s="149"/>
      <c r="AL1507" s="149"/>
      <c r="AM1507" s="150">
        <f>P1507</f>
        <v>0</v>
      </c>
      <c r="AO1507" s="286"/>
      <c r="AP1507" s="284">
        <f t="shared" si="693"/>
        <v>0</v>
      </c>
      <c r="AQ1507" s="281">
        <f t="shared" si="694"/>
        <v>0</v>
      </c>
      <c r="AR1507" s="284">
        <f t="shared" si="695"/>
        <v>0</v>
      </c>
      <c r="AS1507" s="281">
        <f t="shared" si="696"/>
        <v>0</v>
      </c>
      <c r="AT1507" s="284">
        <f t="shared" si="697"/>
        <v>0</v>
      </c>
    </row>
    <row r="1508" spans="1:97" s="234" customFormat="1" ht="154.30000000000001" x14ac:dyDescent="0.8">
      <c r="A1508" s="262">
        <f>ROW()</f>
        <v>1508</v>
      </c>
      <c r="B1508" s="234" t="s">
        <v>491</v>
      </c>
      <c r="C1508" s="217" t="str">
        <f>N1486</f>
        <v>VRF indoor units with cabling for run status from unit to other system/s</v>
      </c>
      <c r="D1508" s="260" t="s">
        <v>678</v>
      </c>
      <c r="E1508" s="238"/>
      <c r="F1508" s="217"/>
      <c r="G1508" s="217"/>
      <c r="H1508" s="245"/>
      <c r="I1508" s="270"/>
      <c r="J1508" s="241" t="str">
        <f>CONCATENATE(O1486," ",L1486, " (",M1486,") ",N1486,".", IF(M1486&gt;1," Each "," This "),"includes supply and install of ",O1487,O1488,O1489,O1490,O1491,O1492,O1493,O1494,O1495,O1496,O1497,O1498,O1499,O1500,O1501,O1502,O1503,O1504,O1505,O1506,J1487,J1488,J1489,J1490,J1491,J1492,J1493,J1494,J1495,J1496,J1497,J1498,J1499,J1500,J1501,J1502,J1503,J1504,J1505,J1506)</f>
        <v>Electrical power supply and controls cabling to Zero (0) VRF indoor units with cabling for run status from unit to other system/s. This includes supply and install of interconnect cabling, CB, power cabling from outdoor unit and local power isolator. Each system includes install only of  proprietary controller. Each system includes cabling from units for interlock with other system. Coordination Note: - AC system supplier : Please refer to our exclusions relating to proprietary air-conditioning controllers.Coordination Note: - AC system supplier : Please refer to our exclusions relating to AC interface card with system status contactors.</v>
      </c>
      <c r="K1508" s="246">
        <f>P1507</f>
        <v>0</v>
      </c>
      <c r="L1508" s="234" t="str">
        <f>CONCATENATE(Q1487,Q1488,Q1489,Q1490,Q1491,Q1492,Q1493,Q1494,Q1495,Q1496,Q1497,Q1498,Q1499,Q1500,Q1501,Q1502,Q1503,Q1504,Q1505,Q1506,)</f>
        <v>proprietary air-conditioning controllers.AC interface card with system status contactors.</v>
      </c>
      <c r="M1508" s="166" t="s">
        <v>367</v>
      </c>
      <c r="N1508" s="160" t="str">
        <f>N1486</f>
        <v>VRF indoor units with cabling for run status from unit to other system/s</v>
      </c>
      <c r="O1508" s="160" t="s">
        <v>365</v>
      </c>
      <c r="P1508" s="82" t="e">
        <f>P1507/M1486</f>
        <v>#DIV/0!</v>
      </c>
      <c r="Q1508" s="161"/>
      <c r="R1508" s="161"/>
      <c r="S1508" s="160"/>
      <c r="T1508" s="161"/>
      <c r="U1508" s="503" t="s">
        <v>366</v>
      </c>
      <c r="V1508" s="503"/>
      <c r="W1508" s="162" t="e">
        <f>W1507/M1486</f>
        <v>#DIV/0!</v>
      </c>
      <c r="X1508" s="163"/>
      <c r="Y1508" s="501" t="s">
        <v>365</v>
      </c>
      <c r="Z1508" s="501"/>
      <c r="AA1508" s="164" t="e">
        <f>AA1507/M1486</f>
        <v>#DIV/0!</v>
      </c>
      <c r="AB1508" s="161"/>
      <c r="AC1508" s="161"/>
      <c r="AD1508" s="161"/>
      <c r="AE1508" s="161"/>
      <c r="AF1508" s="501" t="s">
        <v>365</v>
      </c>
      <c r="AG1508" s="501"/>
      <c r="AH1508" s="164" t="e">
        <f>AH1507/M1486</f>
        <v>#DIV/0!</v>
      </c>
      <c r="AI1508" s="161"/>
      <c r="AJ1508" s="161"/>
      <c r="AK1508" s="161"/>
      <c r="AL1508" s="247"/>
      <c r="AM1508" s="257"/>
      <c r="AN1508" s="236">
        <f>K1508*1.25</f>
        <v>0</v>
      </c>
      <c r="AO1508" s="286"/>
      <c r="AP1508" s="284">
        <f t="shared" si="693"/>
        <v>0</v>
      </c>
      <c r="AQ1508" s="281">
        <f t="shared" si="694"/>
        <v>0</v>
      </c>
      <c r="AR1508" s="284">
        <f t="shared" si="695"/>
        <v>0</v>
      </c>
      <c r="AS1508" s="281">
        <f t="shared" si="696"/>
        <v>0</v>
      </c>
      <c r="AT1508" s="284">
        <f t="shared" si="697"/>
        <v>0</v>
      </c>
      <c r="AU1508" s="117"/>
      <c r="AV1508" s="117"/>
      <c r="AW1508" s="117"/>
      <c r="AX1508" s="117"/>
      <c r="AY1508" s="117"/>
      <c r="AZ1508" s="117"/>
      <c r="BA1508" s="117"/>
      <c r="BB1508" s="117"/>
      <c r="BC1508" s="117"/>
      <c r="BD1508" s="117"/>
      <c r="BE1508" s="117"/>
      <c r="BF1508" s="117"/>
      <c r="BG1508" s="117"/>
      <c r="BH1508" s="117"/>
      <c r="BI1508" s="117"/>
      <c r="BJ1508" s="117"/>
      <c r="BK1508" s="117"/>
      <c r="BL1508" s="117"/>
      <c r="BM1508" s="117"/>
      <c r="BN1508" s="117"/>
      <c r="BO1508" s="117"/>
      <c r="BP1508" s="117"/>
      <c r="BQ1508" s="117"/>
      <c r="BR1508" s="117"/>
      <c r="BS1508" s="117"/>
      <c r="BT1508" s="117"/>
      <c r="BU1508" s="117"/>
      <c r="BV1508" s="117"/>
      <c r="BW1508" s="117"/>
      <c r="BX1508" s="117"/>
      <c r="BY1508" s="117"/>
      <c r="BZ1508" s="117"/>
      <c r="CA1508" s="117"/>
      <c r="CB1508" s="117"/>
      <c r="CC1508" s="117"/>
      <c r="CD1508" s="117"/>
      <c r="CE1508" s="117"/>
      <c r="CF1508" s="117"/>
      <c r="CG1508" s="117"/>
      <c r="CH1508" s="117"/>
      <c r="CI1508" s="117"/>
      <c r="CJ1508" s="117"/>
      <c r="CK1508" s="117"/>
      <c r="CL1508" s="117"/>
      <c r="CM1508" s="117"/>
      <c r="CN1508" s="117"/>
      <c r="CO1508" s="117"/>
      <c r="CP1508" s="117"/>
      <c r="CQ1508" s="117"/>
      <c r="CR1508" s="117"/>
      <c r="CS1508" s="117"/>
    </row>
    <row r="1509" spans="1:97" s="2" customFormat="1" ht="192.75" customHeight="1" x14ac:dyDescent="0.8">
      <c r="A1509" s="262">
        <f>ROW()</f>
        <v>1509</v>
      </c>
      <c r="B1509" s="116"/>
      <c r="C1509" s="211"/>
      <c r="D1509" s="211"/>
      <c r="E1509" s="211"/>
      <c r="F1509" s="211"/>
      <c r="G1509" s="211"/>
      <c r="H1509" s="211"/>
      <c r="I1509" s="116"/>
      <c r="K1509" s="2" t="s">
        <v>452</v>
      </c>
      <c r="M1509" s="2" t="s">
        <v>298</v>
      </c>
      <c r="N1509" s="2" t="s">
        <v>108</v>
      </c>
      <c r="O1509" s="97" t="s">
        <v>386</v>
      </c>
      <c r="P1509" s="502" t="s">
        <v>375</v>
      </c>
      <c r="Q1509" s="502"/>
      <c r="R1509" s="101" t="s">
        <v>452</v>
      </c>
      <c r="S1509" s="2" t="s">
        <v>0</v>
      </c>
      <c r="T1509" s="9"/>
      <c r="U1509" s="2" t="s">
        <v>287</v>
      </c>
      <c r="V1509" s="2" t="s">
        <v>288</v>
      </c>
      <c r="W1509" s="2" t="s">
        <v>291</v>
      </c>
      <c r="X1509" s="58"/>
      <c r="Y1509" s="2" t="s">
        <v>289</v>
      </c>
      <c r="Z1509" s="2" t="s">
        <v>354</v>
      </c>
      <c r="AA1509" s="2" t="s">
        <v>355</v>
      </c>
      <c r="AB1509" s="2" t="s">
        <v>317</v>
      </c>
      <c r="AC1509" s="2" t="s">
        <v>318</v>
      </c>
      <c r="AD1509" s="2" t="s">
        <v>316</v>
      </c>
      <c r="AE1509" s="58"/>
      <c r="AF1509" s="2" t="s">
        <v>293</v>
      </c>
      <c r="AG1509" s="2" t="s">
        <v>354</v>
      </c>
      <c r="AH1509" s="2" t="s">
        <v>355</v>
      </c>
      <c r="AI1509" s="2" t="s">
        <v>296</v>
      </c>
      <c r="AJ1509" s="2" t="s">
        <v>294</v>
      </c>
      <c r="AK1509" s="2" t="s">
        <v>295</v>
      </c>
      <c r="AL1509" s="58"/>
      <c r="AO1509" s="288"/>
      <c r="AP1509" s="284">
        <f t="shared" si="693"/>
        <v>0</v>
      </c>
      <c r="AQ1509" s="281">
        <f t="shared" si="694"/>
        <v>0</v>
      </c>
      <c r="AR1509" s="284">
        <f t="shared" si="695"/>
        <v>0</v>
      </c>
      <c r="AS1509" s="281">
        <f t="shared" si="696"/>
        <v>0</v>
      </c>
      <c r="AT1509" s="284">
        <f t="shared" si="697"/>
        <v>0</v>
      </c>
    </row>
    <row r="1510" spans="1:97" s="32" customFormat="1" ht="40.5" customHeight="1" x14ac:dyDescent="0.8">
      <c r="A1510" s="262">
        <f>ROW()</f>
        <v>1510</v>
      </c>
      <c r="B1510" s="114"/>
      <c r="C1510" s="208"/>
      <c r="D1510" s="208"/>
      <c r="E1510" s="208"/>
      <c r="F1510" s="208"/>
      <c r="G1510" s="208"/>
      <c r="H1510" s="208"/>
      <c r="I1510" s="114"/>
      <c r="L1510" s="16" t="str">
        <f>VLOOKUP(M1510,Sheet2!$D$2:$E$1024,2,FALSE)</f>
        <v>Zero</v>
      </c>
      <c r="M1510" s="121">
        <f>I1532</f>
        <v>0</v>
      </c>
      <c r="N1510" s="27" t="s">
        <v>636</v>
      </c>
      <c r="O1510" s="12" t="s">
        <v>138</v>
      </c>
      <c r="P1510" s="96" t="s">
        <v>379</v>
      </c>
      <c r="Q1510" s="96" t="s">
        <v>375</v>
      </c>
      <c r="R1510" s="96"/>
      <c r="S1510" s="28">
        <f>M1510</f>
        <v>0</v>
      </c>
      <c r="T1510" s="10"/>
      <c r="U1510" s="12" t="s">
        <v>292</v>
      </c>
      <c r="V1510" s="28">
        <f>S1510</f>
        <v>0</v>
      </c>
      <c r="W1510" s="28">
        <f>VLOOKUP(U1510,Sheet1!$B$6:$C$45,2,FALSE)*V1510</f>
        <v>0</v>
      </c>
      <c r="X1510" s="59"/>
      <c r="Y1510" s="12" t="s">
        <v>292</v>
      </c>
      <c r="Z1510" s="68">
        <f>VLOOKUP(Takeoffs!Y1510,Sheet1!$B$6:$C$124,2,FALSE)</f>
        <v>0</v>
      </c>
      <c r="AA1510" s="68">
        <f>Z1510*AB1510</f>
        <v>0</v>
      </c>
      <c r="AB1510" s="63">
        <f>AD1510*AC1510</f>
        <v>0</v>
      </c>
      <c r="AC1510" s="28">
        <f>S1510</f>
        <v>0</v>
      </c>
      <c r="AD1510" s="61">
        <v>1</v>
      </c>
      <c r="AE1510" s="59"/>
      <c r="AF1510" s="12" t="s">
        <v>292</v>
      </c>
      <c r="AG1510" s="68">
        <f>VLOOKUP(Takeoffs!AF1510,Sheet1!$B$6:$C$124,2,FALSE)</f>
        <v>0</v>
      </c>
      <c r="AH1510" s="68">
        <f>AG1510*AI1510</f>
        <v>0</v>
      </c>
      <c r="AI1510" s="63">
        <f>AK1510*AJ1510</f>
        <v>0</v>
      </c>
      <c r="AJ1510" s="28">
        <f>S1510</f>
        <v>0</v>
      </c>
      <c r="AK1510" s="61">
        <f>T1510</f>
        <v>0</v>
      </c>
      <c r="AL1510" s="59"/>
      <c r="AO1510" s="286"/>
      <c r="AP1510" s="284">
        <f t="shared" si="693"/>
        <v>0</v>
      </c>
      <c r="AQ1510" s="281">
        <f t="shared" si="694"/>
        <v>0</v>
      </c>
      <c r="AR1510" s="284">
        <f t="shared" si="695"/>
        <v>0</v>
      </c>
      <c r="AS1510" s="281">
        <f t="shared" si="696"/>
        <v>0</v>
      </c>
      <c r="AT1510" s="284">
        <f t="shared" si="697"/>
        <v>0</v>
      </c>
    </row>
    <row r="1511" spans="1:97" s="32" customFormat="1" ht="30.9" x14ac:dyDescent="0.8">
      <c r="A1511" s="262">
        <f>ROW()</f>
        <v>1511</v>
      </c>
      <c r="B1511" s="114"/>
      <c r="C1511" s="208"/>
      <c r="D1511" s="208"/>
      <c r="E1511" s="208"/>
      <c r="F1511" s="208"/>
      <c r="G1511" s="208"/>
      <c r="H1511" s="208"/>
      <c r="I1511" s="114"/>
      <c r="J1511" s="32" t="str">
        <f>IF(COUNTBLANK(Q1511)&gt;0,"",CONCATENATE("Coordination Note: - ",P1511,": Please refer to our exclusions relating to ",Q1511))</f>
        <v/>
      </c>
      <c r="K1511" s="32" t="str">
        <f>IF(COUNTBLANK(R1511)&gt;0,"",CONCATENATE(R1511," for ",N1510))</f>
        <v/>
      </c>
      <c r="M1511" s="38"/>
      <c r="N1511" s="15" t="s">
        <v>113</v>
      </c>
      <c r="O1511" s="66" t="s">
        <v>140</v>
      </c>
      <c r="P1511" s="12"/>
      <c r="Q1511" s="12"/>
      <c r="R1511" s="12"/>
      <c r="S1511" s="28">
        <f>M1510</f>
        <v>0</v>
      </c>
      <c r="T1511" s="11"/>
      <c r="U1511" s="12" t="s">
        <v>239</v>
      </c>
      <c r="V1511" s="28">
        <f t="shared" ref="V1511:V1530" si="698">S1511</f>
        <v>0</v>
      </c>
      <c r="W1511" s="28">
        <f>VLOOKUP(U1511,Sheet1!$B$6:$C$45,2,FALSE)*V1511</f>
        <v>0</v>
      </c>
      <c r="X1511" s="59"/>
      <c r="Y1511" s="12" t="s">
        <v>292</v>
      </c>
      <c r="Z1511" s="68">
        <f>VLOOKUP(Takeoffs!Y1511,Sheet1!$B$6:$C$124,2,FALSE)</f>
        <v>0</v>
      </c>
      <c r="AA1511" s="68">
        <f t="shared" ref="AA1511:AA1530" si="699">Z1511*AB1511</f>
        <v>0</v>
      </c>
      <c r="AB1511" s="63">
        <f t="shared" ref="AB1511:AB1530" si="700">AD1511*AC1511</f>
        <v>0</v>
      </c>
      <c r="AC1511" s="28">
        <f>S1511</f>
        <v>0</v>
      </c>
      <c r="AD1511" s="61">
        <v>1</v>
      </c>
      <c r="AE1511" s="59"/>
      <c r="AF1511" s="13" t="s">
        <v>269</v>
      </c>
      <c r="AG1511" s="68">
        <f>VLOOKUP(Takeoffs!AF1511,Sheet1!$B$6:$C$124,2,FALSE)</f>
        <v>1.056</v>
      </c>
      <c r="AH1511" s="68">
        <f t="shared" ref="AH1511:AH1530" si="701">AG1511*AI1511</f>
        <v>0</v>
      </c>
      <c r="AI1511" s="63">
        <f t="shared" ref="AI1511:AI1530" si="702">AK1511*AJ1511</f>
        <v>0</v>
      </c>
      <c r="AJ1511" s="28">
        <f t="shared" ref="AJ1511:AJ1530" si="703">S1511</f>
        <v>0</v>
      </c>
      <c r="AK1511" s="61">
        <v>10</v>
      </c>
      <c r="AL1511" s="59"/>
      <c r="AO1511" s="286"/>
      <c r="AP1511" s="284">
        <f t="shared" si="693"/>
        <v>0</v>
      </c>
      <c r="AQ1511" s="281">
        <f t="shared" si="694"/>
        <v>0</v>
      </c>
      <c r="AR1511" s="284">
        <f t="shared" si="695"/>
        <v>0</v>
      </c>
      <c r="AS1511" s="281">
        <f t="shared" si="696"/>
        <v>0</v>
      </c>
      <c r="AT1511" s="284">
        <f t="shared" si="697"/>
        <v>0</v>
      </c>
    </row>
    <row r="1512" spans="1:97" s="32" customFormat="1" ht="30.9" x14ac:dyDescent="0.8">
      <c r="A1512" s="262">
        <f>ROW()</f>
        <v>1512</v>
      </c>
      <c r="B1512" s="114"/>
      <c r="C1512" s="208"/>
      <c r="D1512" s="208"/>
      <c r="E1512" s="208"/>
      <c r="F1512" s="208"/>
      <c r="G1512" s="208"/>
      <c r="H1512" s="208"/>
      <c r="I1512" s="114"/>
      <c r="J1512" s="32" t="str">
        <f t="shared" ref="J1512:J1530" si="704">IF(COUNTBLANK(Q1512)&gt;0,"",CONCATENATE("Coordination Note: - ",P1512,": Please refer to our exclusions relating to ",Q1512))</f>
        <v/>
      </c>
      <c r="K1512" s="32" t="str">
        <f>IF(COUNTBLANK(R1512)&gt;0,"",CONCATENATE(R1512," for ",N1510))</f>
        <v/>
      </c>
      <c r="M1512" s="38"/>
      <c r="N1512" s="15" t="s">
        <v>114</v>
      </c>
      <c r="O1512" s="66" t="s">
        <v>393</v>
      </c>
      <c r="P1512" s="12"/>
      <c r="Q1512" s="12"/>
      <c r="R1512" s="12"/>
      <c r="S1512" s="28">
        <f>M1510</f>
        <v>0</v>
      </c>
      <c r="T1512" s="11"/>
      <c r="U1512" s="12" t="s">
        <v>301</v>
      </c>
      <c r="V1512" s="28">
        <f t="shared" si="698"/>
        <v>0</v>
      </c>
      <c r="W1512" s="28">
        <f>VLOOKUP(U1512,Sheet1!$B$6:$C$45,2,FALSE)*V1512</f>
        <v>0</v>
      </c>
      <c r="X1512" s="59"/>
      <c r="Y1512" s="13" t="s">
        <v>253</v>
      </c>
      <c r="Z1512" s="68">
        <f>VLOOKUP(Takeoffs!Y1512,Sheet1!$B$6:$C$124,2,FALSE)</f>
        <v>10.139999999999999</v>
      </c>
      <c r="AA1512" s="68">
        <f t="shared" si="699"/>
        <v>0</v>
      </c>
      <c r="AB1512" s="63">
        <f t="shared" si="700"/>
        <v>0</v>
      </c>
      <c r="AC1512" s="28">
        <f>S1512</f>
        <v>0</v>
      </c>
      <c r="AD1512" s="61">
        <v>1</v>
      </c>
      <c r="AE1512" s="59"/>
      <c r="AF1512" s="13" t="s">
        <v>268</v>
      </c>
      <c r="AG1512" s="68">
        <f>VLOOKUP(Takeoffs!AF1512,Sheet1!$B$6:$C$124,2,FALSE)</f>
        <v>1.02</v>
      </c>
      <c r="AH1512" s="68">
        <f t="shared" si="701"/>
        <v>0</v>
      </c>
      <c r="AI1512" s="63">
        <f t="shared" si="702"/>
        <v>0</v>
      </c>
      <c r="AJ1512" s="28">
        <f t="shared" si="703"/>
        <v>0</v>
      </c>
      <c r="AK1512" s="61">
        <v>10</v>
      </c>
      <c r="AL1512" s="59"/>
      <c r="AO1512" s="286"/>
      <c r="AP1512" s="284">
        <f t="shared" si="693"/>
        <v>0</v>
      </c>
      <c r="AQ1512" s="281">
        <f t="shared" si="694"/>
        <v>0</v>
      </c>
      <c r="AR1512" s="284">
        <f t="shared" si="695"/>
        <v>0</v>
      </c>
      <c r="AS1512" s="281">
        <f t="shared" si="696"/>
        <v>0</v>
      </c>
      <c r="AT1512" s="284">
        <f t="shared" si="697"/>
        <v>0</v>
      </c>
    </row>
    <row r="1513" spans="1:97" s="32" customFormat="1" ht="30.9" x14ac:dyDescent="0.8">
      <c r="A1513" s="262">
        <f>ROW()</f>
        <v>1513</v>
      </c>
      <c r="B1513" s="114"/>
      <c r="C1513" s="208"/>
      <c r="D1513" s="208"/>
      <c r="E1513" s="208"/>
      <c r="F1513" s="208"/>
      <c r="G1513" s="208"/>
      <c r="H1513" s="208"/>
      <c r="I1513" s="114"/>
      <c r="J1513" s="32" t="str">
        <f t="shared" si="704"/>
        <v/>
      </c>
      <c r="K1513" s="32" t="str">
        <f>IF(COUNTBLANK(R1513)&gt;0,"",CONCATENATE(R1513," for ",N1510))</f>
        <v/>
      </c>
      <c r="M1513" s="38"/>
      <c r="N1513" s="15" t="s">
        <v>115</v>
      </c>
      <c r="O1513" s="66" t="s">
        <v>450</v>
      </c>
      <c r="P1513" s="12"/>
      <c r="Q1513" s="12"/>
      <c r="R1513" s="12"/>
      <c r="S1513" s="28">
        <f>M1510</f>
        <v>0</v>
      </c>
      <c r="T1513" s="11"/>
      <c r="U1513" s="12" t="s">
        <v>292</v>
      </c>
      <c r="V1513" s="28">
        <f t="shared" si="698"/>
        <v>0</v>
      </c>
      <c r="W1513" s="28">
        <f>VLOOKUP(U1513,Sheet1!$B$6:$C$45,2,FALSE)*V1513</f>
        <v>0</v>
      </c>
      <c r="X1513" s="59"/>
      <c r="Y1513" s="13" t="s">
        <v>247</v>
      </c>
      <c r="Z1513" s="68">
        <f>VLOOKUP(Takeoffs!Y1513,Sheet1!$B$6:$C$124,2,FALSE)</f>
        <v>23.76</v>
      </c>
      <c r="AA1513" s="68">
        <f t="shared" si="699"/>
        <v>0</v>
      </c>
      <c r="AB1513" s="63">
        <f t="shared" si="700"/>
        <v>0</v>
      </c>
      <c r="AC1513" s="28">
        <f t="shared" ref="AC1513:AC1530" si="705">S1513</f>
        <v>0</v>
      </c>
      <c r="AD1513" s="61">
        <v>1</v>
      </c>
      <c r="AE1513" s="59"/>
      <c r="AF1513" s="12" t="s">
        <v>292</v>
      </c>
      <c r="AG1513" s="68">
        <f>VLOOKUP(Takeoffs!AF1513,Sheet1!$B$6:$C$124,2,FALSE)</f>
        <v>0</v>
      </c>
      <c r="AH1513" s="68">
        <f t="shared" si="701"/>
        <v>0</v>
      </c>
      <c r="AI1513" s="63">
        <f t="shared" si="702"/>
        <v>0</v>
      </c>
      <c r="AJ1513" s="28">
        <f t="shared" si="703"/>
        <v>0</v>
      </c>
      <c r="AK1513" s="61">
        <f t="shared" ref="AK1513:AK1530" si="706">T1513</f>
        <v>0</v>
      </c>
      <c r="AL1513" s="59"/>
      <c r="AO1513" s="286"/>
      <c r="AP1513" s="284">
        <f t="shared" si="693"/>
        <v>0</v>
      </c>
      <c r="AQ1513" s="281">
        <f t="shared" si="694"/>
        <v>0</v>
      </c>
      <c r="AR1513" s="284">
        <f t="shared" si="695"/>
        <v>0</v>
      </c>
      <c r="AS1513" s="281">
        <f t="shared" si="696"/>
        <v>0</v>
      </c>
      <c r="AT1513" s="284">
        <f t="shared" si="697"/>
        <v>0</v>
      </c>
    </row>
    <row r="1514" spans="1:97" s="32" customFormat="1" ht="30.9" x14ac:dyDescent="0.8">
      <c r="A1514" s="262">
        <f>ROW()</f>
        <v>1514</v>
      </c>
      <c r="B1514" s="114"/>
      <c r="C1514" s="208"/>
      <c r="D1514" s="208"/>
      <c r="E1514" s="208"/>
      <c r="F1514" s="208"/>
      <c r="G1514" s="208"/>
      <c r="H1514" s="208"/>
      <c r="I1514" s="114"/>
      <c r="J1514" s="32" t="str">
        <f t="shared" si="704"/>
        <v>Coordination Note: - AC system supplier : Please refer to our exclusions relating to proprietary air-conditioning controllers.</v>
      </c>
      <c r="K1514" s="32" t="str">
        <f>IF(COUNTBLANK(R1514)&gt;0,"",CONCATENATE(R1514," for ",N1510))</f>
        <v/>
      </c>
      <c r="M1514" s="38"/>
      <c r="N1514" s="15" t="s">
        <v>116</v>
      </c>
      <c r="O1514" s="66" t="s">
        <v>414</v>
      </c>
      <c r="P1514" s="12" t="s">
        <v>447</v>
      </c>
      <c r="Q1514" s="12" t="s">
        <v>383</v>
      </c>
      <c r="R1514" s="12"/>
      <c r="S1514" s="28">
        <f>M1510</f>
        <v>0</v>
      </c>
      <c r="T1514" s="11"/>
      <c r="U1514" s="12" t="s">
        <v>230</v>
      </c>
      <c r="V1514" s="28">
        <f t="shared" si="698"/>
        <v>0</v>
      </c>
      <c r="W1514" s="28">
        <f>VLOOKUP(U1514,Sheet1!$B$6:$C$45,2,FALSE)*V1514</f>
        <v>0</v>
      </c>
      <c r="X1514" s="59"/>
      <c r="Y1514" s="12" t="s">
        <v>292</v>
      </c>
      <c r="Z1514" s="68">
        <f>VLOOKUP(Takeoffs!Y1514,Sheet1!$B$6:$C$124,2,FALSE)</f>
        <v>0</v>
      </c>
      <c r="AA1514" s="68">
        <f t="shared" si="699"/>
        <v>0</v>
      </c>
      <c r="AB1514" s="63">
        <f t="shared" si="700"/>
        <v>0</v>
      </c>
      <c r="AC1514" s="28">
        <f t="shared" si="705"/>
        <v>0</v>
      </c>
      <c r="AD1514" s="61">
        <v>1</v>
      </c>
      <c r="AE1514" s="59"/>
      <c r="AF1514" s="12" t="s">
        <v>292</v>
      </c>
      <c r="AG1514" s="68">
        <f>VLOOKUP(Takeoffs!AF1514,Sheet1!$B$6:$C$124,2,FALSE)</f>
        <v>0</v>
      </c>
      <c r="AH1514" s="68">
        <f t="shared" si="701"/>
        <v>0</v>
      </c>
      <c r="AI1514" s="63">
        <f t="shared" si="702"/>
        <v>0</v>
      </c>
      <c r="AJ1514" s="28">
        <f t="shared" si="703"/>
        <v>0</v>
      </c>
      <c r="AK1514" s="61">
        <f t="shared" si="706"/>
        <v>0</v>
      </c>
      <c r="AL1514" s="59"/>
      <c r="AO1514" s="286"/>
      <c r="AP1514" s="284">
        <f t="shared" si="693"/>
        <v>0</v>
      </c>
      <c r="AQ1514" s="281">
        <f t="shared" si="694"/>
        <v>0</v>
      </c>
      <c r="AR1514" s="284">
        <f t="shared" si="695"/>
        <v>0</v>
      </c>
      <c r="AS1514" s="281">
        <f t="shared" si="696"/>
        <v>0</v>
      </c>
      <c r="AT1514" s="284">
        <f t="shared" si="697"/>
        <v>0</v>
      </c>
    </row>
    <row r="1515" spans="1:97" s="32" customFormat="1" ht="30.9" x14ac:dyDescent="0.8">
      <c r="A1515" s="262">
        <f>ROW()</f>
        <v>1515</v>
      </c>
      <c r="B1515" s="114"/>
      <c r="C1515" s="208"/>
      <c r="D1515" s="208"/>
      <c r="E1515" s="208"/>
      <c r="F1515" s="208"/>
      <c r="G1515" s="208"/>
      <c r="H1515" s="208"/>
      <c r="I1515" s="114"/>
      <c r="J1515" s="32" t="str">
        <f t="shared" si="704"/>
        <v/>
      </c>
      <c r="K1515" s="32" t="str">
        <f>IF(COUNTBLANK(R1515)&gt;0,"",CONCATENATE(R1515," for ",N1510))</f>
        <v/>
      </c>
      <c r="M1515" s="38"/>
      <c r="N1515" s="15" t="s">
        <v>117</v>
      </c>
      <c r="O1515" s="66"/>
      <c r="P1515" s="12"/>
      <c r="Q1515" s="12"/>
      <c r="R1515" s="12"/>
      <c r="S1515" s="28">
        <f>M1510</f>
        <v>0</v>
      </c>
      <c r="T1515" s="11"/>
      <c r="U1515" s="12" t="s">
        <v>292</v>
      </c>
      <c r="V1515" s="28">
        <f t="shared" si="698"/>
        <v>0</v>
      </c>
      <c r="W1515" s="28">
        <f>VLOOKUP(U1515,Sheet1!$B$6:$C$45,2,FALSE)*V1515</f>
        <v>0</v>
      </c>
      <c r="X1515" s="59"/>
      <c r="Y1515" s="12" t="s">
        <v>292</v>
      </c>
      <c r="Z1515" s="68">
        <f>VLOOKUP(Takeoffs!Y1515,Sheet1!$B$6:$C$124,2,FALSE)</f>
        <v>0</v>
      </c>
      <c r="AA1515" s="68">
        <f t="shared" si="699"/>
        <v>0</v>
      </c>
      <c r="AB1515" s="63">
        <f t="shared" si="700"/>
        <v>0</v>
      </c>
      <c r="AC1515" s="28">
        <f t="shared" si="705"/>
        <v>0</v>
      </c>
      <c r="AD1515" s="61">
        <v>1</v>
      </c>
      <c r="AE1515" s="59"/>
      <c r="AF1515" s="12" t="s">
        <v>292</v>
      </c>
      <c r="AG1515" s="68">
        <f>VLOOKUP(Takeoffs!AF1515,Sheet1!$B$6:$C$124,2,FALSE)</f>
        <v>0</v>
      </c>
      <c r="AH1515" s="68">
        <f t="shared" si="701"/>
        <v>0</v>
      </c>
      <c r="AI1515" s="63">
        <f t="shared" si="702"/>
        <v>0</v>
      </c>
      <c r="AJ1515" s="28">
        <f t="shared" si="703"/>
        <v>0</v>
      </c>
      <c r="AK1515" s="61">
        <f t="shared" si="706"/>
        <v>0</v>
      </c>
      <c r="AL1515" s="59"/>
      <c r="AO1515" s="286"/>
      <c r="AP1515" s="284">
        <f t="shared" si="693"/>
        <v>0</v>
      </c>
      <c r="AQ1515" s="281">
        <f t="shared" si="694"/>
        <v>0</v>
      </c>
      <c r="AR1515" s="284">
        <f t="shared" si="695"/>
        <v>0</v>
      </c>
      <c r="AS1515" s="281">
        <f t="shared" si="696"/>
        <v>0</v>
      </c>
      <c r="AT1515" s="284">
        <f t="shared" si="697"/>
        <v>0</v>
      </c>
    </row>
    <row r="1516" spans="1:97" s="32" customFormat="1" ht="30.9" x14ac:dyDescent="0.8">
      <c r="A1516" s="262">
        <f>ROW()</f>
        <v>1516</v>
      </c>
      <c r="B1516" s="114"/>
      <c r="C1516" s="208"/>
      <c r="D1516" s="208"/>
      <c r="E1516" s="208"/>
      <c r="F1516" s="208"/>
      <c r="G1516" s="208"/>
      <c r="H1516" s="208"/>
      <c r="I1516" s="114"/>
      <c r="J1516" s="32" t="str">
        <f t="shared" si="704"/>
        <v/>
      </c>
      <c r="K1516" s="32" t="str">
        <f>IF(COUNTBLANK(R1516)&gt;0,"",CONCATENATE(R1516," for ",N1510))</f>
        <v/>
      </c>
      <c r="M1516" s="38"/>
      <c r="N1516" s="15" t="s">
        <v>118</v>
      </c>
      <c r="O1516" s="66"/>
      <c r="P1516" s="12"/>
      <c r="Q1516" s="12"/>
      <c r="R1516" s="12"/>
      <c r="S1516" s="28">
        <f>M1510</f>
        <v>0</v>
      </c>
      <c r="T1516" s="11"/>
      <c r="U1516" s="12" t="s">
        <v>292</v>
      </c>
      <c r="V1516" s="28">
        <f t="shared" si="698"/>
        <v>0</v>
      </c>
      <c r="W1516" s="28">
        <f>VLOOKUP(U1516,Sheet1!$B$6:$C$45,2,FALSE)*V1516</f>
        <v>0</v>
      </c>
      <c r="X1516" s="59"/>
      <c r="Y1516" s="12" t="s">
        <v>292</v>
      </c>
      <c r="Z1516" s="68">
        <f>VLOOKUP(Takeoffs!Y1516,Sheet1!$B$6:$C$124,2,FALSE)</f>
        <v>0</v>
      </c>
      <c r="AA1516" s="68">
        <f t="shared" si="699"/>
        <v>0</v>
      </c>
      <c r="AB1516" s="63">
        <f t="shared" si="700"/>
        <v>0</v>
      </c>
      <c r="AC1516" s="28">
        <f t="shared" si="705"/>
        <v>0</v>
      </c>
      <c r="AD1516" s="61">
        <v>1</v>
      </c>
      <c r="AE1516" s="59"/>
      <c r="AF1516" s="12" t="s">
        <v>292</v>
      </c>
      <c r="AG1516" s="68">
        <f>VLOOKUP(Takeoffs!AF1516,Sheet1!$B$6:$C$124,2,FALSE)</f>
        <v>0</v>
      </c>
      <c r="AH1516" s="68">
        <f t="shared" si="701"/>
        <v>0</v>
      </c>
      <c r="AI1516" s="63">
        <f t="shared" si="702"/>
        <v>0</v>
      </c>
      <c r="AJ1516" s="28">
        <f t="shared" si="703"/>
        <v>0</v>
      </c>
      <c r="AK1516" s="61">
        <f t="shared" si="706"/>
        <v>0</v>
      </c>
      <c r="AL1516" s="59"/>
      <c r="AO1516" s="286"/>
      <c r="AP1516" s="284">
        <f t="shared" si="693"/>
        <v>0</v>
      </c>
      <c r="AQ1516" s="281">
        <f t="shared" si="694"/>
        <v>0</v>
      </c>
      <c r="AR1516" s="284">
        <f t="shared" si="695"/>
        <v>0</v>
      </c>
      <c r="AS1516" s="281">
        <f t="shared" si="696"/>
        <v>0</v>
      </c>
      <c r="AT1516" s="284">
        <f t="shared" si="697"/>
        <v>0</v>
      </c>
    </row>
    <row r="1517" spans="1:97" s="32" customFormat="1" ht="30.9" x14ac:dyDescent="0.8">
      <c r="A1517" s="262">
        <f>ROW()</f>
        <v>1517</v>
      </c>
      <c r="B1517" s="114"/>
      <c r="C1517" s="208"/>
      <c r="D1517" s="208"/>
      <c r="E1517" s="208"/>
      <c r="F1517" s="208"/>
      <c r="G1517" s="208"/>
      <c r="H1517" s="208"/>
      <c r="I1517" s="114"/>
      <c r="J1517" s="32" t="str">
        <f t="shared" si="704"/>
        <v/>
      </c>
      <c r="K1517" s="32" t="str">
        <f>IF(COUNTBLANK(R1517)&gt;0,"",CONCATENATE(R1517," for ",N1510))</f>
        <v/>
      </c>
      <c r="N1517" s="15" t="s">
        <v>119</v>
      </c>
      <c r="O1517" s="66"/>
      <c r="P1517" s="12"/>
      <c r="Q1517" s="12"/>
      <c r="R1517" s="12"/>
      <c r="S1517" s="28">
        <f>M1510</f>
        <v>0</v>
      </c>
      <c r="T1517" s="11"/>
      <c r="U1517" s="12" t="s">
        <v>292</v>
      </c>
      <c r="V1517" s="28">
        <f t="shared" si="698"/>
        <v>0</v>
      </c>
      <c r="W1517" s="28">
        <f>VLOOKUP(U1517,Sheet1!$B$6:$C$45,2,FALSE)*V1517</f>
        <v>0</v>
      </c>
      <c r="X1517" s="59"/>
      <c r="Y1517" s="12" t="s">
        <v>292</v>
      </c>
      <c r="Z1517" s="68">
        <f>VLOOKUP(Takeoffs!Y1517,Sheet1!$B$6:$C$124,2,FALSE)</f>
        <v>0</v>
      </c>
      <c r="AA1517" s="68">
        <f t="shared" si="699"/>
        <v>0</v>
      </c>
      <c r="AB1517" s="63">
        <f t="shared" si="700"/>
        <v>0</v>
      </c>
      <c r="AC1517" s="28">
        <f t="shared" si="705"/>
        <v>0</v>
      </c>
      <c r="AD1517" s="61">
        <v>1</v>
      </c>
      <c r="AE1517" s="59"/>
      <c r="AF1517" s="12" t="s">
        <v>292</v>
      </c>
      <c r="AG1517" s="68">
        <f>VLOOKUP(Takeoffs!AF1517,Sheet1!$B$6:$C$124,2,FALSE)</f>
        <v>0</v>
      </c>
      <c r="AH1517" s="68">
        <f t="shared" si="701"/>
        <v>0</v>
      </c>
      <c r="AI1517" s="63">
        <f t="shared" si="702"/>
        <v>0</v>
      </c>
      <c r="AJ1517" s="28">
        <f t="shared" si="703"/>
        <v>0</v>
      </c>
      <c r="AK1517" s="61">
        <f t="shared" si="706"/>
        <v>0</v>
      </c>
      <c r="AL1517" s="59"/>
      <c r="AO1517" s="286"/>
      <c r="AP1517" s="284">
        <f t="shared" si="693"/>
        <v>0</v>
      </c>
      <c r="AQ1517" s="281">
        <f t="shared" si="694"/>
        <v>0</v>
      </c>
      <c r="AR1517" s="284">
        <f t="shared" si="695"/>
        <v>0</v>
      </c>
      <c r="AS1517" s="281">
        <f t="shared" si="696"/>
        <v>0</v>
      </c>
      <c r="AT1517" s="284">
        <f t="shared" si="697"/>
        <v>0</v>
      </c>
    </row>
    <row r="1518" spans="1:97" s="32" customFormat="1" ht="30.9" x14ac:dyDescent="0.8">
      <c r="A1518" s="262">
        <f>ROW()</f>
        <v>1518</v>
      </c>
      <c r="B1518" s="114"/>
      <c r="C1518" s="208"/>
      <c r="D1518" s="208"/>
      <c r="E1518" s="208"/>
      <c r="F1518" s="208"/>
      <c r="G1518" s="208"/>
      <c r="H1518" s="208"/>
      <c r="I1518" s="114"/>
      <c r="J1518" s="32" t="str">
        <f t="shared" si="704"/>
        <v/>
      </c>
      <c r="K1518" s="32" t="str">
        <f>IF(COUNTBLANK(R1518)&gt;0,"",CONCATENATE(R1518," for ",N1510))</f>
        <v/>
      </c>
      <c r="N1518" s="15" t="s">
        <v>120</v>
      </c>
      <c r="O1518" s="66"/>
      <c r="P1518" s="12"/>
      <c r="Q1518" s="12"/>
      <c r="R1518" s="12"/>
      <c r="S1518" s="28">
        <f>M1510</f>
        <v>0</v>
      </c>
      <c r="T1518" s="11"/>
      <c r="U1518" s="12" t="s">
        <v>292</v>
      </c>
      <c r="V1518" s="28">
        <f t="shared" si="698"/>
        <v>0</v>
      </c>
      <c r="W1518" s="28">
        <f>VLOOKUP(U1518,Sheet1!$B$6:$C$45,2,FALSE)*V1518</f>
        <v>0</v>
      </c>
      <c r="X1518" s="59"/>
      <c r="Y1518" s="12" t="s">
        <v>292</v>
      </c>
      <c r="Z1518" s="68">
        <f>VLOOKUP(Takeoffs!Y1518,Sheet1!$B$6:$C$124,2,FALSE)</f>
        <v>0</v>
      </c>
      <c r="AA1518" s="68">
        <f t="shared" si="699"/>
        <v>0</v>
      </c>
      <c r="AB1518" s="63">
        <f t="shared" si="700"/>
        <v>0</v>
      </c>
      <c r="AC1518" s="28">
        <f t="shared" si="705"/>
        <v>0</v>
      </c>
      <c r="AD1518" s="61">
        <v>1</v>
      </c>
      <c r="AE1518" s="59"/>
      <c r="AF1518" s="12" t="s">
        <v>292</v>
      </c>
      <c r="AG1518" s="68">
        <f>VLOOKUP(Takeoffs!AF1518,Sheet1!$B$6:$C$124,2,FALSE)</f>
        <v>0</v>
      </c>
      <c r="AH1518" s="68">
        <f t="shared" si="701"/>
        <v>0</v>
      </c>
      <c r="AI1518" s="63">
        <f t="shared" si="702"/>
        <v>0</v>
      </c>
      <c r="AJ1518" s="28">
        <f t="shared" si="703"/>
        <v>0</v>
      </c>
      <c r="AK1518" s="61">
        <f t="shared" si="706"/>
        <v>0</v>
      </c>
      <c r="AL1518" s="59"/>
      <c r="AO1518" s="286"/>
      <c r="AP1518" s="284">
        <f t="shared" si="693"/>
        <v>0</v>
      </c>
      <c r="AQ1518" s="281">
        <f t="shared" si="694"/>
        <v>0</v>
      </c>
      <c r="AR1518" s="284">
        <f t="shared" si="695"/>
        <v>0</v>
      </c>
      <c r="AS1518" s="281">
        <f t="shared" si="696"/>
        <v>0</v>
      </c>
      <c r="AT1518" s="284">
        <f t="shared" si="697"/>
        <v>0</v>
      </c>
    </row>
    <row r="1519" spans="1:97" s="32" customFormat="1" ht="30.9" x14ac:dyDescent="0.8">
      <c r="A1519" s="262">
        <f>ROW()</f>
        <v>1519</v>
      </c>
      <c r="B1519" s="114"/>
      <c r="C1519" s="208"/>
      <c r="D1519" s="208"/>
      <c r="E1519" s="208"/>
      <c r="F1519" s="208"/>
      <c r="G1519" s="208"/>
      <c r="H1519" s="208"/>
      <c r="I1519" s="114"/>
      <c r="J1519" s="32" t="str">
        <f t="shared" si="704"/>
        <v/>
      </c>
      <c r="K1519" s="32" t="str">
        <f>IF(COUNTBLANK(R1519)&gt;0,"",CONCATENATE(R1519," for ",N1510))</f>
        <v/>
      </c>
      <c r="N1519" s="15" t="s">
        <v>121</v>
      </c>
      <c r="O1519" s="66"/>
      <c r="P1519" s="12"/>
      <c r="Q1519" s="12"/>
      <c r="R1519" s="12"/>
      <c r="S1519" s="28">
        <f>M1510</f>
        <v>0</v>
      </c>
      <c r="T1519" s="11"/>
      <c r="U1519" s="12" t="s">
        <v>292</v>
      </c>
      <c r="V1519" s="28">
        <f t="shared" si="698"/>
        <v>0</v>
      </c>
      <c r="W1519" s="28">
        <f>VLOOKUP(U1519,Sheet1!$B$6:$C$45,2,FALSE)*V1519</f>
        <v>0</v>
      </c>
      <c r="X1519" s="59"/>
      <c r="Y1519" s="12" t="s">
        <v>292</v>
      </c>
      <c r="Z1519" s="68">
        <f>VLOOKUP(Takeoffs!Y1519,Sheet1!$B$6:$C$124,2,FALSE)</f>
        <v>0</v>
      </c>
      <c r="AA1519" s="68">
        <f t="shared" si="699"/>
        <v>0</v>
      </c>
      <c r="AB1519" s="63">
        <f t="shared" si="700"/>
        <v>0</v>
      </c>
      <c r="AC1519" s="28">
        <f t="shared" si="705"/>
        <v>0</v>
      </c>
      <c r="AD1519" s="61">
        <v>1</v>
      </c>
      <c r="AE1519" s="59"/>
      <c r="AF1519" s="12" t="s">
        <v>292</v>
      </c>
      <c r="AG1519" s="68">
        <f>VLOOKUP(Takeoffs!AF1519,Sheet1!$B$6:$C$124,2,FALSE)</f>
        <v>0</v>
      </c>
      <c r="AH1519" s="68">
        <f t="shared" si="701"/>
        <v>0</v>
      </c>
      <c r="AI1519" s="63">
        <f t="shared" si="702"/>
        <v>0</v>
      </c>
      <c r="AJ1519" s="28">
        <f t="shared" si="703"/>
        <v>0</v>
      </c>
      <c r="AK1519" s="61">
        <f t="shared" si="706"/>
        <v>0</v>
      </c>
      <c r="AL1519" s="59"/>
      <c r="AO1519" s="286"/>
      <c r="AP1519" s="284">
        <f t="shared" si="693"/>
        <v>0</v>
      </c>
      <c r="AQ1519" s="281">
        <f t="shared" si="694"/>
        <v>0</v>
      </c>
      <c r="AR1519" s="284">
        <f t="shared" si="695"/>
        <v>0</v>
      </c>
      <c r="AS1519" s="281">
        <f t="shared" si="696"/>
        <v>0</v>
      </c>
      <c r="AT1519" s="284">
        <f t="shared" si="697"/>
        <v>0</v>
      </c>
    </row>
    <row r="1520" spans="1:97" s="32" customFormat="1" ht="30.9" x14ac:dyDescent="0.8">
      <c r="A1520" s="262">
        <f>ROW()</f>
        <v>1520</v>
      </c>
      <c r="B1520" s="114"/>
      <c r="C1520" s="208"/>
      <c r="D1520" s="208"/>
      <c r="E1520" s="208"/>
      <c r="F1520" s="208"/>
      <c r="G1520" s="208"/>
      <c r="H1520" s="208"/>
      <c r="I1520" s="114"/>
      <c r="J1520" s="32" t="str">
        <f t="shared" si="704"/>
        <v/>
      </c>
      <c r="K1520" s="32" t="str">
        <f>IF(COUNTBLANK(R1520)&gt;0,"",CONCATENATE(R1520," for ",N1510))</f>
        <v/>
      </c>
      <c r="N1520" s="15" t="s">
        <v>122</v>
      </c>
      <c r="O1520" s="66"/>
      <c r="P1520" s="12"/>
      <c r="Q1520" s="12"/>
      <c r="R1520" s="12"/>
      <c r="S1520" s="28">
        <f>M1510</f>
        <v>0</v>
      </c>
      <c r="T1520" s="11"/>
      <c r="U1520" s="12" t="s">
        <v>292</v>
      </c>
      <c r="V1520" s="28">
        <f t="shared" si="698"/>
        <v>0</v>
      </c>
      <c r="W1520" s="28">
        <f>VLOOKUP(U1520,Sheet1!$B$6:$C$45,2,FALSE)*V1520</f>
        <v>0</v>
      </c>
      <c r="X1520" s="59"/>
      <c r="Y1520" s="12" t="s">
        <v>292</v>
      </c>
      <c r="Z1520" s="68">
        <f>VLOOKUP(Takeoffs!Y1520,Sheet1!$B$6:$C$124,2,FALSE)</f>
        <v>0</v>
      </c>
      <c r="AA1520" s="68">
        <f t="shared" si="699"/>
        <v>0</v>
      </c>
      <c r="AB1520" s="63">
        <f t="shared" si="700"/>
        <v>0</v>
      </c>
      <c r="AC1520" s="28">
        <f t="shared" si="705"/>
        <v>0</v>
      </c>
      <c r="AD1520" s="61">
        <v>1</v>
      </c>
      <c r="AE1520" s="59"/>
      <c r="AF1520" s="12" t="s">
        <v>292</v>
      </c>
      <c r="AG1520" s="68">
        <f>VLOOKUP(Takeoffs!AF1520,Sheet1!$B$6:$C$124,2,FALSE)</f>
        <v>0</v>
      </c>
      <c r="AH1520" s="68">
        <f t="shared" si="701"/>
        <v>0</v>
      </c>
      <c r="AI1520" s="63">
        <f t="shared" si="702"/>
        <v>0</v>
      </c>
      <c r="AJ1520" s="28">
        <f t="shared" si="703"/>
        <v>0</v>
      </c>
      <c r="AK1520" s="61">
        <f t="shared" si="706"/>
        <v>0</v>
      </c>
      <c r="AL1520" s="59"/>
      <c r="AO1520" s="286"/>
      <c r="AP1520" s="284">
        <f t="shared" si="693"/>
        <v>0</v>
      </c>
      <c r="AQ1520" s="281">
        <f t="shared" si="694"/>
        <v>0</v>
      </c>
      <c r="AR1520" s="284">
        <f t="shared" si="695"/>
        <v>0</v>
      </c>
      <c r="AS1520" s="281">
        <f t="shared" si="696"/>
        <v>0</v>
      </c>
      <c r="AT1520" s="284">
        <f t="shared" si="697"/>
        <v>0</v>
      </c>
    </row>
    <row r="1521" spans="1:97" s="32" customFormat="1" ht="30.9" x14ac:dyDescent="0.8">
      <c r="A1521" s="262">
        <f>ROW()</f>
        <v>1521</v>
      </c>
      <c r="B1521" s="114"/>
      <c r="C1521" s="208"/>
      <c r="D1521" s="208"/>
      <c r="E1521" s="208"/>
      <c r="F1521" s="208"/>
      <c r="G1521" s="208"/>
      <c r="H1521" s="208"/>
      <c r="I1521" s="114"/>
      <c r="J1521" s="32" t="str">
        <f t="shared" si="704"/>
        <v/>
      </c>
      <c r="K1521" s="32" t="str">
        <f>IF(COUNTBLANK(R1521)&gt;0,"",CONCATENATE(R1521," for ",N1510))</f>
        <v/>
      </c>
      <c r="N1521" s="15" t="s">
        <v>123</v>
      </c>
      <c r="O1521" s="66"/>
      <c r="P1521" s="12"/>
      <c r="Q1521" s="12"/>
      <c r="R1521" s="12"/>
      <c r="S1521" s="28">
        <f>M1510</f>
        <v>0</v>
      </c>
      <c r="T1521" s="11"/>
      <c r="U1521" s="12" t="s">
        <v>292</v>
      </c>
      <c r="V1521" s="28">
        <f t="shared" si="698"/>
        <v>0</v>
      </c>
      <c r="W1521" s="28">
        <f>VLOOKUP(U1521,Sheet1!$B$6:$C$45,2,FALSE)*V1521</f>
        <v>0</v>
      </c>
      <c r="X1521" s="59"/>
      <c r="Y1521" s="12" t="s">
        <v>292</v>
      </c>
      <c r="Z1521" s="68">
        <f>VLOOKUP(Takeoffs!Y1521,Sheet1!$B$6:$C$124,2,FALSE)</f>
        <v>0</v>
      </c>
      <c r="AA1521" s="68">
        <f t="shared" si="699"/>
        <v>0</v>
      </c>
      <c r="AB1521" s="63">
        <f t="shared" si="700"/>
        <v>0</v>
      </c>
      <c r="AC1521" s="28">
        <f t="shared" si="705"/>
        <v>0</v>
      </c>
      <c r="AD1521" s="61">
        <v>1</v>
      </c>
      <c r="AE1521" s="59"/>
      <c r="AF1521" s="12" t="s">
        <v>292</v>
      </c>
      <c r="AG1521" s="68">
        <f>VLOOKUP(Takeoffs!AF1521,Sheet1!$B$6:$C$124,2,FALSE)</f>
        <v>0</v>
      </c>
      <c r="AH1521" s="68">
        <f t="shared" si="701"/>
        <v>0</v>
      </c>
      <c r="AI1521" s="63">
        <f t="shared" si="702"/>
        <v>0</v>
      </c>
      <c r="AJ1521" s="28">
        <f t="shared" si="703"/>
        <v>0</v>
      </c>
      <c r="AK1521" s="61">
        <f t="shared" si="706"/>
        <v>0</v>
      </c>
      <c r="AL1521" s="59"/>
      <c r="AO1521" s="286"/>
      <c r="AP1521" s="284">
        <f t="shared" si="693"/>
        <v>0</v>
      </c>
      <c r="AQ1521" s="281">
        <f t="shared" si="694"/>
        <v>0</v>
      </c>
      <c r="AR1521" s="284">
        <f t="shared" si="695"/>
        <v>0</v>
      </c>
      <c r="AS1521" s="281">
        <f t="shared" si="696"/>
        <v>0</v>
      </c>
      <c r="AT1521" s="284">
        <f t="shared" si="697"/>
        <v>0</v>
      </c>
    </row>
    <row r="1522" spans="1:97" s="32" customFormat="1" ht="30.9" x14ac:dyDescent="0.8">
      <c r="A1522" s="262">
        <f>ROW()</f>
        <v>1522</v>
      </c>
      <c r="B1522" s="114"/>
      <c r="C1522" s="208"/>
      <c r="D1522" s="208"/>
      <c r="E1522" s="208"/>
      <c r="F1522" s="208"/>
      <c r="G1522" s="208"/>
      <c r="H1522" s="208"/>
      <c r="I1522" s="114"/>
      <c r="J1522" s="32" t="str">
        <f t="shared" si="704"/>
        <v/>
      </c>
      <c r="K1522" s="32" t="str">
        <f>IF(COUNTBLANK(R1522)&gt;0,"",CONCATENATE(R1522," for ",N1510))</f>
        <v/>
      </c>
      <c r="N1522" s="15" t="s">
        <v>124</v>
      </c>
      <c r="O1522" s="66"/>
      <c r="P1522" s="12"/>
      <c r="Q1522" s="12"/>
      <c r="R1522" s="12"/>
      <c r="S1522" s="28">
        <f>M1510</f>
        <v>0</v>
      </c>
      <c r="T1522" s="11"/>
      <c r="U1522" s="12" t="s">
        <v>292</v>
      </c>
      <c r="V1522" s="28">
        <f t="shared" si="698"/>
        <v>0</v>
      </c>
      <c r="W1522" s="28">
        <f>VLOOKUP(U1522,Sheet1!$B$6:$C$45,2,FALSE)*V1522</f>
        <v>0</v>
      </c>
      <c r="X1522" s="59"/>
      <c r="Y1522" s="12" t="s">
        <v>292</v>
      </c>
      <c r="Z1522" s="68">
        <f>VLOOKUP(Takeoffs!Y1522,Sheet1!$B$6:$C$124,2,FALSE)</f>
        <v>0</v>
      </c>
      <c r="AA1522" s="68">
        <f t="shared" si="699"/>
        <v>0</v>
      </c>
      <c r="AB1522" s="63">
        <f t="shared" si="700"/>
        <v>0</v>
      </c>
      <c r="AC1522" s="28">
        <f t="shared" si="705"/>
        <v>0</v>
      </c>
      <c r="AD1522" s="61">
        <v>1</v>
      </c>
      <c r="AE1522" s="59"/>
      <c r="AF1522" s="12" t="s">
        <v>292</v>
      </c>
      <c r="AG1522" s="68">
        <f>VLOOKUP(Takeoffs!AF1522,Sheet1!$B$6:$C$124,2,FALSE)</f>
        <v>0</v>
      </c>
      <c r="AH1522" s="68">
        <f t="shared" si="701"/>
        <v>0</v>
      </c>
      <c r="AI1522" s="63">
        <f t="shared" si="702"/>
        <v>0</v>
      </c>
      <c r="AJ1522" s="28">
        <f t="shared" si="703"/>
        <v>0</v>
      </c>
      <c r="AK1522" s="61">
        <f t="shared" si="706"/>
        <v>0</v>
      </c>
      <c r="AL1522" s="59"/>
      <c r="AO1522" s="286"/>
      <c r="AP1522" s="284">
        <f t="shared" si="693"/>
        <v>0</v>
      </c>
      <c r="AQ1522" s="281">
        <f t="shared" si="694"/>
        <v>0</v>
      </c>
      <c r="AR1522" s="284">
        <f t="shared" si="695"/>
        <v>0</v>
      </c>
      <c r="AS1522" s="281">
        <f t="shared" si="696"/>
        <v>0</v>
      </c>
      <c r="AT1522" s="284">
        <f t="shared" si="697"/>
        <v>0</v>
      </c>
    </row>
    <row r="1523" spans="1:97" s="32" customFormat="1" ht="30.9" x14ac:dyDescent="0.8">
      <c r="A1523" s="262">
        <f>ROW()</f>
        <v>1523</v>
      </c>
      <c r="B1523" s="114"/>
      <c r="C1523" s="208"/>
      <c r="D1523" s="208"/>
      <c r="E1523" s="208"/>
      <c r="F1523" s="208"/>
      <c r="G1523" s="208"/>
      <c r="H1523" s="208"/>
      <c r="I1523" s="114"/>
      <c r="J1523" s="32" t="str">
        <f t="shared" si="704"/>
        <v/>
      </c>
      <c r="K1523" s="32" t="str">
        <f>IF(COUNTBLANK(R1523)&gt;0,"",CONCATENATE(R1523," for ",N1510))</f>
        <v/>
      </c>
      <c r="N1523" s="15" t="s">
        <v>125</v>
      </c>
      <c r="O1523" s="66"/>
      <c r="P1523" s="12"/>
      <c r="Q1523" s="12"/>
      <c r="R1523" s="12"/>
      <c r="S1523" s="28">
        <f>M1510</f>
        <v>0</v>
      </c>
      <c r="T1523" s="11"/>
      <c r="U1523" s="12" t="s">
        <v>292</v>
      </c>
      <c r="V1523" s="28">
        <f t="shared" si="698"/>
        <v>0</v>
      </c>
      <c r="W1523" s="28">
        <f>VLOOKUP(U1523,Sheet1!$B$6:$C$45,2,FALSE)*V1523</f>
        <v>0</v>
      </c>
      <c r="X1523" s="59"/>
      <c r="Y1523" s="12" t="s">
        <v>292</v>
      </c>
      <c r="Z1523" s="68">
        <f>VLOOKUP(Takeoffs!Y1523,Sheet1!$B$6:$C$124,2,FALSE)</f>
        <v>0</v>
      </c>
      <c r="AA1523" s="68">
        <f t="shared" si="699"/>
        <v>0</v>
      </c>
      <c r="AB1523" s="63">
        <f t="shared" si="700"/>
        <v>0</v>
      </c>
      <c r="AC1523" s="28">
        <f t="shared" si="705"/>
        <v>0</v>
      </c>
      <c r="AD1523" s="61">
        <v>1</v>
      </c>
      <c r="AE1523" s="59"/>
      <c r="AF1523" s="12" t="s">
        <v>292</v>
      </c>
      <c r="AG1523" s="68">
        <f>VLOOKUP(Takeoffs!AF1523,Sheet1!$B$6:$C$124,2,FALSE)</f>
        <v>0</v>
      </c>
      <c r="AH1523" s="68">
        <f t="shared" si="701"/>
        <v>0</v>
      </c>
      <c r="AI1523" s="63">
        <f t="shared" si="702"/>
        <v>0</v>
      </c>
      <c r="AJ1523" s="28">
        <f t="shared" si="703"/>
        <v>0</v>
      </c>
      <c r="AK1523" s="61">
        <f t="shared" si="706"/>
        <v>0</v>
      </c>
      <c r="AL1523" s="59"/>
      <c r="AO1523" s="286"/>
      <c r="AP1523" s="284">
        <f t="shared" si="693"/>
        <v>0</v>
      </c>
      <c r="AQ1523" s="281">
        <f t="shared" si="694"/>
        <v>0</v>
      </c>
      <c r="AR1523" s="284">
        <f t="shared" si="695"/>
        <v>0</v>
      </c>
      <c r="AS1523" s="281">
        <f t="shared" si="696"/>
        <v>0</v>
      </c>
      <c r="AT1523" s="284">
        <f t="shared" si="697"/>
        <v>0</v>
      </c>
    </row>
    <row r="1524" spans="1:97" s="32" customFormat="1" ht="30.9" x14ac:dyDescent="0.8">
      <c r="A1524" s="262">
        <f>ROW()</f>
        <v>1524</v>
      </c>
      <c r="B1524" s="114"/>
      <c r="C1524" s="208"/>
      <c r="D1524" s="208"/>
      <c r="E1524" s="208"/>
      <c r="F1524" s="208"/>
      <c r="G1524" s="208"/>
      <c r="H1524" s="208"/>
      <c r="I1524" s="114"/>
      <c r="J1524" s="32" t="str">
        <f t="shared" si="704"/>
        <v/>
      </c>
      <c r="K1524" s="32" t="str">
        <f>IF(COUNTBLANK(R1524)&gt;0,"",CONCATENATE(R1524," for ",N1510))</f>
        <v/>
      </c>
      <c r="N1524" s="15" t="s">
        <v>126</v>
      </c>
      <c r="O1524" s="66"/>
      <c r="P1524" s="12"/>
      <c r="Q1524" s="12"/>
      <c r="R1524" s="12"/>
      <c r="S1524" s="28">
        <f>M1510</f>
        <v>0</v>
      </c>
      <c r="T1524" s="11"/>
      <c r="U1524" s="12" t="s">
        <v>292</v>
      </c>
      <c r="V1524" s="28">
        <f t="shared" si="698"/>
        <v>0</v>
      </c>
      <c r="W1524" s="28">
        <f>VLOOKUP(U1524,Sheet1!$B$6:$C$45,2,FALSE)*V1524</f>
        <v>0</v>
      </c>
      <c r="X1524" s="59"/>
      <c r="Y1524" s="12" t="s">
        <v>292</v>
      </c>
      <c r="Z1524" s="68">
        <f>VLOOKUP(Takeoffs!Y1524,Sheet1!$B$6:$C$124,2,FALSE)</f>
        <v>0</v>
      </c>
      <c r="AA1524" s="68">
        <f t="shared" si="699"/>
        <v>0</v>
      </c>
      <c r="AB1524" s="63">
        <f t="shared" si="700"/>
        <v>0</v>
      </c>
      <c r="AC1524" s="28">
        <f t="shared" si="705"/>
        <v>0</v>
      </c>
      <c r="AD1524" s="61">
        <v>1</v>
      </c>
      <c r="AE1524" s="59"/>
      <c r="AF1524" s="12" t="s">
        <v>292</v>
      </c>
      <c r="AG1524" s="68">
        <f>VLOOKUP(Takeoffs!AF1524,Sheet1!$B$6:$C$124,2,FALSE)</f>
        <v>0</v>
      </c>
      <c r="AH1524" s="68">
        <f t="shared" si="701"/>
        <v>0</v>
      </c>
      <c r="AI1524" s="63">
        <f t="shared" si="702"/>
        <v>0</v>
      </c>
      <c r="AJ1524" s="28">
        <f t="shared" si="703"/>
        <v>0</v>
      </c>
      <c r="AK1524" s="61">
        <f t="shared" si="706"/>
        <v>0</v>
      </c>
      <c r="AL1524" s="59"/>
      <c r="AO1524" s="286"/>
      <c r="AP1524" s="284">
        <f t="shared" si="693"/>
        <v>0</v>
      </c>
      <c r="AQ1524" s="281">
        <f t="shared" si="694"/>
        <v>0</v>
      </c>
      <c r="AR1524" s="284">
        <f t="shared" si="695"/>
        <v>0</v>
      </c>
      <c r="AS1524" s="281">
        <f t="shared" si="696"/>
        <v>0</v>
      </c>
      <c r="AT1524" s="284">
        <f t="shared" si="697"/>
        <v>0</v>
      </c>
    </row>
    <row r="1525" spans="1:97" s="32" customFormat="1" ht="30.9" x14ac:dyDescent="0.8">
      <c r="A1525" s="262">
        <f>ROW()</f>
        <v>1525</v>
      </c>
      <c r="B1525" s="114"/>
      <c r="C1525" s="208"/>
      <c r="D1525" s="208"/>
      <c r="E1525" s="208"/>
      <c r="F1525" s="208"/>
      <c r="G1525" s="208"/>
      <c r="H1525" s="208"/>
      <c r="I1525" s="114"/>
      <c r="J1525" s="32" t="str">
        <f t="shared" si="704"/>
        <v/>
      </c>
      <c r="K1525" s="32" t="str">
        <f>IF(COUNTBLANK(R1525)&gt;0,"",CONCATENATE(R1525," for ",N1510))</f>
        <v/>
      </c>
      <c r="N1525" s="15" t="s">
        <v>127</v>
      </c>
      <c r="O1525" s="66"/>
      <c r="P1525" s="12"/>
      <c r="Q1525" s="12"/>
      <c r="R1525" s="12"/>
      <c r="S1525" s="28">
        <f>M1510</f>
        <v>0</v>
      </c>
      <c r="T1525" s="11"/>
      <c r="U1525" s="12" t="s">
        <v>292</v>
      </c>
      <c r="V1525" s="28">
        <f t="shared" si="698"/>
        <v>0</v>
      </c>
      <c r="W1525" s="28">
        <f>VLOOKUP(U1525,Sheet1!$B$6:$C$45,2,FALSE)*V1525</f>
        <v>0</v>
      </c>
      <c r="X1525" s="59"/>
      <c r="Y1525" s="12" t="s">
        <v>292</v>
      </c>
      <c r="Z1525" s="68">
        <f>VLOOKUP(Takeoffs!Y1525,Sheet1!$B$6:$C$124,2,FALSE)</f>
        <v>0</v>
      </c>
      <c r="AA1525" s="68">
        <f t="shared" si="699"/>
        <v>0</v>
      </c>
      <c r="AB1525" s="63">
        <f t="shared" si="700"/>
        <v>0</v>
      </c>
      <c r="AC1525" s="28">
        <f t="shared" si="705"/>
        <v>0</v>
      </c>
      <c r="AD1525" s="61">
        <v>1</v>
      </c>
      <c r="AE1525" s="59"/>
      <c r="AF1525" s="12" t="s">
        <v>292</v>
      </c>
      <c r="AG1525" s="68">
        <f>VLOOKUP(Takeoffs!AF1525,Sheet1!$B$6:$C$124,2,FALSE)</f>
        <v>0</v>
      </c>
      <c r="AH1525" s="68">
        <f t="shared" si="701"/>
        <v>0</v>
      </c>
      <c r="AI1525" s="63">
        <f t="shared" si="702"/>
        <v>0</v>
      </c>
      <c r="AJ1525" s="28">
        <f t="shared" si="703"/>
        <v>0</v>
      </c>
      <c r="AK1525" s="61">
        <f t="shared" si="706"/>
        <v>0</v>
      </c>
      <c r="AL1525" s="59"/>
      <c r="AO1525" s="286"/>
      <c r="AP1525" s="284">
        <f t="shared" si="693"/>
        <v>0</v>
      </c>
      <c r="AQ1525" s="281">
        <f t="shared" si="694"/>
        <v>0</v>
      </c>
      <c r="AR1525" s="284">
        <f t="shared" si="695"/>
        <v>0</v>
      </c>
      <c r="AS1525" s="281">
        <f t="shared" si="696"/>
        <v>0</v>
      </c>
      <c r="AT1525" s="284">
        <f t="shared" si="697"/>
        <v>0</v>
      </c>
    </row>
    <row r="1526" spans="1:97" s="32" customFormat="1" ht="30.9" x14ac:dyDescent="0.8">
      <c r="A1526" s="262">
        <f>ROW()</f>
        <v>1526</v>
      </c>
      <c r="B1526" s="114"/>
      <c r="C1526" s="208"/>
      <c r="D1526" s="208"/>
      <c r="E1526" s="208"/>
      <c r="F1526" s="208"/>
      <c r="G1526" s="208"/>
      <c r="H1526" s="208"/>
      <c r="I1526" s="114"/>
      <c r="J1526" s="32" t="str">
        <f t="shared" si="704"/>
        <v/>
      </c>
      <c r="K1526" s="32" t="str">
        <f>IF(COUNTBLANK(R1526)&gt;0,"",CONCATENATE(R1526," for ",N1510))</f>
        <v/>
      </c>
      <c r="N1526" s="15" t="s">
        <v>128</v>
      </c>
      <c r="O1526" s="66"/>
      <c r="P1526" s="12"/>
      <c r="Q1526" s="12"/>
      <c r="R1526" s="12"/>
      <c r="S1526" s="28">
        <f>M1510</f>
        <v>0</v>
      </c>
      <c r="T1526" s="11"/>
      <c r="U1526" s="12" t="s">
        <v>292</v>
      </c>
      <c r="V1526" s="28">
        <f t="shared" si="698"/>
        <v>0</v>
      </c>
      <c r="W1526" s="28">
        <f>VLOOKUP(U1526,Sheet1!$B$6:$C$45,2,FALSE)*V1526</f>
        <v>0</v>
      </c>
      <c r="X1526" s="59"/>
      <c r="Y1526" s="12" t="s">
        <v>292</v>
      </c>
      <c r="Z1526" s="68">
        <f>VLOOKUP(Takeoffs!Y1526,Sheet1!$B$6:$C$124,2,FALSE)</f>
        <v>0</v>
      </c>
      <c r="AA1526" s="68">
        <f t="shared" si="699"/>
        <v>0</v>
      </c>
      <c r="AB1526" s="63">
        <f t="shared" si="700"/>
        <v>0</v>
      </c>
      <c r="AC1526" s="28">
        <f t="shared" si="705"/>
        <v>0</v>
      </c>
      <c r="AD1526" s="61">
        <v>1</v>
      </c>
      <c r="AE1526" s="59"/>
      <c r="AF1526" s="12" t="s">
        <v>292</v>
      </c>
      <c r="AG1526" s="68">
        <f>VLOOKUP(Takeoffs!AF1526,Sheet1!$B$6:$C$124,2,FALSE)</f>
        <v>0</v>
      </c>
      <c r="AH1526" s="68">
        <f t="shared" si="701"/>
        <v>0</v>
      </c>
      <c r="AI1526" s="63">
        <f t="shared" si="702"/>
        <v>0</v>
      </c>
      <c r="AJ1526" s="28">
        <f t="shared" si="703"/>
        <v>0</v>
      </c>
      <c r="AK1526" s="61">
        <f t="shared" si="706"/>
        <v>0</v>
      </c>
      <c r="AL1526" s="59"/>
      <c r="AO1526" s="286"/>
      <c r="AP1526" s="284">
        <f t="shared" si="693"/>
        <v>0</v>
      </c>
      <c r="AQ1526" s="281">
        <f t="shared" si="694"/>
        <v>0</v>
      </c>
      <c r="AR1526" s="284">
        <f t="shared" si="695"/>
        <v>0</v>
      </c>
      <c r="AS1526" s="281">
        <f t="shared" si="696"/>
        <v>0</v>
      </c>
      <c r="AT1526" s="284">
        <f t="shared" si="697"/>
        <v>0</v>
      </c>
    </row>
    <row r="1527" spans="1:97" s="32" customFormat="1" ht="30.9" x14ac:dyDescent="0.8">
      <c r="A1527" s="262">
        <f>ROW()</f>
        <v>1527</v>
      </c>
      <c r="B1527" s="114"/>
      <c r="C1527" s="208"/>
      <c r="D1527" s="208"/>
      <c r="E1527" s="208"/>
      <c r="F1527" s="208"/>
      <c r="G1527" s="208"/>
      <c r="H1527" s="208"/>
      <c r="I1527" s="114"/>
      <c r="J1527" s="32" t="str">
        <f t="shared" si="704"/>
        <v/>
      </c>
      <c r="K1527" s="32" t="str">
        <f>IF(COUNTBLANK(R1527)&gt;0,"",CONCATENATE(R1527," for ",N1510))</f>
        <v/>
      </c>
      <c r="N1527" s="15" t="s">
        <v>129</v>
      </c>
      <c r="O1527" s="66"/>
      <c r="P1527" s="12"/>
      <c r="Q1527" s="12"/>
      <c r="R1527" s="12"/>
      <c r="S1527" s="28">
        <f>M1510</f>
        <v>0</v>
      </c>
      <c r="T1527" s="11"/>
      <c r="U1527" s="12" t="s">
        <v>292</v>
      </c>
      <c r="V1527" s="28">
        <f t="shared" si="698"/>
        <v>0</v>
      </c>
      <c r="W1527" s="28">
        <f>VLOOKUP(U1527,Sheet1!$B$6:$C$45,2,FALSE)*V1527</f>
        <v>0</v>
      </c>
      <c r="X1527" s="59"/>
      <c r="Y1527" s="12" t="s">
        <v>292</v>
      </c>
      <c r="Z1527" s="68">
        <f>VLOOKUP(Takeoffs!Y1527,Sheet1!$B$6:$C$124,2,FALSE)</f>
        <v>0</v>
      </c>
      <c r="AA1527" s="68">
        <f t="shared" si="699"/>
        <v>0</v>
      </c>
      <c r="AB1527" s="63">
        <f t="shared" si="700"/>
        <v>0</v>
      </c>
      <c r="AC1527" s="28">
        <f t="shared" si="705"/>
        <v>0</v>
      </c>
      <c r="AD1527" s="61">
        <v>1</v>
      </c>
      <c r="AE1527" s="59"/>
      <c r="AF1527" s="12" t="s">
        <v>292</v>
      </c>
      <c r="AG1527" s="68">
        <f>VLOOKUP(Takeoffs!AF1527,Sheet1!$B$6:$C$124,2,FALSE)</f>
        <v>0</v>
      </c>
      <c r="AH1527" s="68">
        <f t="shared" si="701"/>
        <v>0</v>
      </c>
      <c r="AI1527" s="63">
        <f t="shared" si="702"/>
        <v>0</v>
      </c>
      <c r="AJ1527" s="28">
        <f t="shared" si="703"/>
        <v>0</v>
      </c>
      <c r="AK1527" s="61">
        <f t="shared" si="706"/>
        <v>0</v>
      </c>
      <c r="AL1527" s="59"/>
      <c r="AO1527" s="286"/>
      <c r="AP1527" s="284">
        <f t="shared" si="693"/>
        <v>0</v>
      </c>
      <c r="AQ1527" s="281">
        <f t="shared" si="694"/>
        <v>0</v>
      </c>
      <c r="AR1527" s="284">
        <f t="shared" si="695"/>
        <v>0</v>
      </c>
      <c r="AS1527" s="281">
        <f t="shared" si="696"/>
        <v>0</v>
      </c>
      <c r="AT1527" s="284">
        <f t="shared" si="697"/>
        <v>0</v>
      </c>
    </row>
    <row r="1528" spans="1:97" s="32" customFormat="1" ht="30.9" x14ac:dyDescent="0.8">
      <c r="A1528" s="262">
        <f>ROW()</f>
        <v>1528</v>
      </c>
      <c r="B1528" s="114"/>
      <c r="C1528" s="208"/>
      <c r="D1528" s="208"/>
      <c r="E1528" s="208"/>
      <c r="F1528" s="208"/>
      <c r="G1528" s="208"/>
      <c r="H1528" s="208"/>
      <c r="I1528" s="114"/>
      <c r="J1528" s="32" t="str">
        <f t="shared" si="704"/>
        <v/>
      </c>
      <c r="K1528" s="32" t="str">
        <f>IF(COUNTBLANK(R1528)&gt;0,"",CONCATENATE(R1528," for ",N1510))</f>
        <v/>
      </c>
      <c r="N1528" s="15" t="s">
        <v>130</v>
      </c>
      <c r="O1528" s="66"/>
      <c r="P1528" s="12"/>
      <c r="Q1528" s="12"/>
      <c r="R1528" s="12"/>
      <c r="S1528" s="28">
        <f>M1510</f>
        <v>0</v>
      </c>
      <c r="T1528" s="11"/>
      <c r="U1528" s="12" t="s">
        <v>292</v>
      </c>
      <c r="V1528" s="28">
        <f t="shared" si="698"/>
        <v>0</v>
      </c>
      <c r="W1528" s="28">
        <f>VLOOKUP(U1528,Sheet1!$B$6:$C$45,2,FALSE)*V1528</f>
        <v>0</v>
      </c>
      <c r="X1528" s="59"/>
      <c r="Y1528" s="12" t="s">
        <v>292</v>
      </c>
      <c r="Z1528" s="68">
        <f>VLOOKUP(Takeoffs!Y1528,Sheet1!$B$6:$C$124,2,FALSE)</f>
        <v>0</v>
      </c>
      <c r="AA1528" s="68">
        <f t="shared" si="699"/>
        <v>0</v>
      </c>
      <c r="AB1528" s="63">
        <f t="shared" si="700"/>
        <v>0</v>
      </c>
      <c r="AC1528" s="28">
        <f t="shared" si="705"/>
        <v>0</v>
      </c>
      <c r="AD1528" s="61">
        <v>1</v>
      </c>
      <c r="AE1528" s="59"/>
      <c r="AF1528" s="12" t="s">
        <v>292</v>
      </c>
      <c r="AG1528" s="68">
        <f>VLOOKUP(Takeoffs!AF1528,Sheet1!$B$6:$C$124,2,FALSE)</f>
        <v>0</v>
      </c>
      <c r="AH1528" s="68">
        <f t="shared" si="701"/>
        <v>0</v>
      </c>
      <c r="AI1528" s="63">
        <f t="shared" si="702"/>
        <v>0</v>
      </c>
      <c r="AJ1528" s="28">
        <f t="shared" si="703"/>
        <v>0</v>
      </c>
      <c r="AK1528" s="61">
        <f t="shared" si="706"/>
        <v>0</v>
      </c>
      <c r="AL1528" s="59"/>
      <c r="AO1528" s="286"/>
      <c r="AP1528" s="284">
        <f t="shared" si="693"/>
        <v>0</v>
      </c>
      <c r="AQ1528" s="281">
        <f t="shared" si="694"/>
        <v>0</v>
      </c>
      <c r="AR1528" s="284">
        <f t="shared" si="695"/>
        <v>0</v>
      </c>
      <c r="AS1528" s="281">
        <f t="shared" si="696"/>
        <v>0</v>
      </c>
      <c r="AT1528" s="284">
        <f t="shared" si="697"/>
        <v>0</v>
      </c>
    </row>
    <row r="1529" spans="1:97" s="32" customFormat="1" ht="30.9" x14ac:dyDescent="0.8">
      <c r="A1529" s="262">
        <f>ROW()</f>
        <v>1529</v>
      </c>
      <c r="B1529" s="114"/>
      <c r="C1529" s="208"/>
      <c r="D1529" s="208"/>
      <c r="E1529" s="208"/>
      <c r="F1529" s="208"/>
      <c r="G1529" s="208"/>
      <c r="H1529" s="208"/>
      <c r="I1529" s="114"/>
      <c r="J1529" s="32" t="str">
        <f t="shared" si="704"/>
        <v/>
      </c>
      <c r="K1529" s="32" t="str">
        <f>IF(COUNTBLANK(R1529)&gt;0,"",CONCATENATE(R1529," for ",N1510))</f>
        <v/>
      </c>
      <c r="N1529" s="15" t="s">
        <v>131</v>
      </c>
      <c r="O1529" s="66"/>
      <c r="P1529" s="12"/>
      <c r="Q1529" s="12"/>
      <c r="R1529" s="12"/>
      <c r="S1529" s="28">
        <f>M1510</f>
        <v>0</v>
      </c>
      <c r="T1529" s="11"/>
      <c r="U1529" s="12" t="s">
        <v>292</v>
      </c>
      <c r="V1529" s="28">
        <f t="shared" si="698"/>
        <v>0</v>
      </c>
      <c r="W1529" s="28">
        <f>VLOOKUP(U1529,Sheet1!$B$6:$C$45,2,FALSE)*V1529</f>
        <v>0</v>
      </c>
      <c r="X1529" s="59"/>
      <c r="Y1529" s="12" t="s">
        <v>292</v>
      </c>
      <c r="Z1529" s="68">
        <f>VLOOKUP(Takeoffs!Y1529,Sheet1!$B$6:$C$124,2,FALSE)</f>
        <v>0</v>
      </c>
      <c r="AA1529" s="68">
        <f t="shared" si="699"/>
        <v>0</v>
      </c>
      <c r="AB1529" s="63">
        <f t="shared" si="700"/>
        <v>0</v>
      </c>
      <c r="AC1529" s="28">
        <f t="shared" si="705"/>
        <v>0</v>
      </c>
      <c r="AD1529" s="61">
        <v>1</v>
      </c>
      <c r="AE1529" s="59"/>
      <c r="AF1529" s="12" t="s">
        <v>292</v>
      </c>
      <c r="AG1529" s="68">
        <f>VLOOKUP(Takeoffs!AF1529,Sheet1!$B$6:$C$124,2,FALSE)</f>
        <v>0</v>
      </c>
      <c r="AH1529" s="68">
        <f t="shared" si="701"/>
        <v>0</v>
      </c>
      <c r="AI1529" s="63">
        <f t="shared" si="702"/>
        <v>0</v>
      </c>
      <c r="AJ1529" s="28">
        <f t="shared" si="703"/>
        <v>0</v>
      </c>
      <c r="AK1529" s="61">
        <f t="shared" si="706"/>
        <v>0</v>
      </c>
      <c r="AL1529" s="59"/>
      <c r="AO1529" s="286"/>
      <c r="AP1529" s="284">
        <f t="shared" si="693"/>
        <v>0</v>
      </c>
      <c r="AQ1529" s="281">
        <f t="shared" si="694"/>
        <v>0</v>
      </c>
      <c r="AR1529" s="284">
        <f t="shared" si="695"/>
        <v>0</v>
      </c>
      <c r="AS1529" s="281">
        <f t="shared" si="696"/>
        <v>0</v>
      </c>
      <c r="AT1529" s="284">
        <f t="shared" si="697"/>
        <v>0</v>
      </c>
    </row>
    <row r="1530" spans="1:97" s="32" customFormat="1" ht="30.9" x14ac:dyDescent="0.8">
      <c r="A1530" s="262">
        <f>ROW()</f>
        <v>1530</v>
      </c>
      <c r="B1530" s="114"/>
      <c r="C1530" s="208"/>
      <c r="D1530" s="208"/>
      <c r="E1530" s="208"/>
      <c r="F1530" s="208"/>
      <c r="G1530" s="208"/>
      <c r="H1530" s="208"/>
      <c r="I1530" s="114"/>
      <c r="J1530" s="32" t="str">
        <f t="shared" si="704"/>
        <v/>
      </c>
      <c r="K1530" s="32" t="str">
        <f>IF(COUNTBLANK(R1530)&gt;0,"",CONCATENATE(R1530," for ",N1510))</f>
        <v/>
      </c>
      <c r="N1530" s="15" t="s">
        <v>132</v>
      </c>
      <c r="O1530" s="66"/>
      <c r="P1530" s="12"/>
      <c r="Q1530" s="12"/>
      <c r="R1530" s="12"/>
      <c r="S1530" s="28">
        <f>M1510</f>
        <v>0</v>
      </c>
      <c r="T1530" s="11"/>
      <c r="U1530" s="12" t="s">
        <v>292</v>
      </c>
      <c r="V1530" s="28">
        <f t="shared" si="698"/>
        <v>0</v>
      </c>
      <c r="W1530" s="28">
        <f>VLOOKUP(U1530,Sheet1!$B$6:$C$45,2,FALSE)*V1530</f>
        <v>0</v>
      </c>
      <c r="X1530" s="59"/>
      <c r="Y1530" s="12" t="s">
        <v>292</v>
      </c>
      <c r="Z1530" s="68">
        <f>VLOOKUP(Takeoffs!Y1530,Sheet1!$B$6:$C$124,2,FALSE)</f>
        <v>0</v>
      </c>
      <c r="AA1530" s="68">
        <f t="shared" si="699"/>
        <v>0</v>
      </c>
      <c r="AB1530" s="63">
        <f t="shared" si="700"/>
        <v>0</v>
      </c>
      <c r="AC1530" s="28">
        <f t="shared" si="705"/>
        <v>0</v>
      </c>
      <c r="AD1530" s="61">
        <v>1</v>
      </c>
      <c r="AE1530" s="59"/>
      <c r="AF1530" s="12" t="s">
        <v>292</v>
      </c>
      <c r="AG1530" s="68">
        <f>VLOOKUP(Takeoffs!AF1530,Sheet1!$B$6:$C$124,2,FALSE)</f>
        <v>0</v>
      </c>
      <c r="AH1530" s="68">
        <f t="shared" si="701"/>
        <v>0</v>
      </c>
      <c r="AI1530" s="63">
        <f t="shared" si="702"/>
        <v>0</v>
      </c>
      <c r="AJ1530" s="28">
        <f t="shared" si="703"/>
        <v>0</v>
      </c>
      <c r="AK1530" s="61">
        <f t="shared" si="706"/>
        <v>0</v>
      </c>
      <c r="AL1530" s="59"/>
      <c r="AO1530" s="286"/>
      <c r="AP1530" s="284">
        <f t="shared" si="693"/>
        <v>0</v>
      </c>
      <c r="AQ1530" s="281">
        <f t="shared" si="694"/>
        <v>0</v>
      </c>
      <c r="AR1530" s="284">
        <f t="shared" si="695"/>
        <v>0</v>
      </c>
      <c r="AS1530" s="281">
        <f t="shared" si="696"/>
        <v>0</v>
      </c>
      <c r="AT1530" s="284">
        <f t="shared" si="697"/>
        <v>0</v>
      </c>
    </row>
    <row r="1531" spans="1:97" s="21" customFormat="1" ht="31.5" customHeight="1" x14ac:dyDescent="0.8">
      <c r="A1531" s="262">
        <f>ROW()</f>
        <v>1531</v>
      </c>
      <c r="B1531" s="128"/>
      <c r="C1531" s="212"/>
      <c r="D1531" s="212"/>
      <c r="E1531" s="212"/>
      <c r="F1531" s="212"/>
      <c r="G1531" s="212"/>
      <c r="H1531" s="212"/>
      <c r="I1531" s="128"/>
      <c r="J1531" s="21" t="s">
        <v>377</v>
      </c>
      <c r="L1531" s="21" t="s">
        <v>378</v>
      </c>
      <c r="N1531" s="22"/>
      <c r="O1531" s="23" t="s">
        <v>357</v>
      </c>
      <c r="P1531" s="24">
        <f>V1531+AA1531+AH1531</f>
        <v>0</v>
      </c>
      <c r="Q1531" s="24"/>
      <c r="R1531" s="24"/>
      <c r="S1531" s="23"/>
      <c r="T1531" s="20"/>
      <c r="U1531" s="19" t="s">
        <v>351</v>
      </c>
      <c r="V1531" s="20">
        <f>W1531*80</f>
        <v>0</v>
      </c>
      <c r="W1531" s="69">
        <f>SUM(W1510:W1530)</f>
        <v>0</v>
      </c>
      <c r="X1531" s="70"/>
      <c r="Y1531" s="20" t="s">
        <v>352</v>
      </c>
      <c r="Z1531" s="2"/>
      <c r="AA1531" s="2">
        <f>SUM(AA1510:AA1530)</f>
        <v>0</v>
      </c>
      <c r="AB1531" s="71"/>
      <c r="AC1531" s="71"/>
      <c r="AD1531" s="71"/>
      <c r="AE1531" s="71"/>
      <c r="AF1531" s="20" t="s">
        <v>356</v>
      </c>
      <c r="AG1531" s="2"/>
      <c r="AH1531" s="2">
        <f>SUM(AH1510:AH1530)</f>
        <v>0</v>
      </c>
      <c r="AI1531" s="71"/>
      <c r="AJ1531" s="71"/>
      <c r="AK1531" s="71"/>
      <c r="AL1531" s="71"/>
      <c r="AM1531" s="150">
        <f>P1531</f>
        <v>0</v>
      </c>
      <c r="AO1531" s="286"/>
      <c r="AP1531" s="284">
        <f t="shared" si="693"/>
        <v>0</v>
      </c>
      <c r="AQ1531" s="281">
        <f t="shared" si="694"/>
        <v>0</v>
      </c>
      <c r="AR1531" s="284">
        <f t="shared" si="695"/>
        <v>0</v>
      </c>
      <c r="AS1531" s="281">
        <f t="shared" si="696"/>
        <v>0</v>
      </c>
      <c r="AT1531" s="284">
        <f t="shared" si="697"/>
        <v>0</v>
      </c>
    </row>
    <row r="1532" spans="1:97" s="234" customFormat="1" ht="92.6" x14ac:dyDescent="0.8">
      <c r="A1532" s="262">
        <f>ROW()</f>
        <v>1532</v>
      </c>
      <c r="B1532" s="234" t="s">
        <v>491</v>
      </c>
      <c r="C1532" s="217" t="str">
        <f>N1510</f>
        <v>VRF indoor units</v>
      </c>
      <c r="D1532" s="260" t="s">
        <v>677</v>
      </c>
      <c r="E1532" s="238"/>
      <c r="F1532" s="217"/>
      <c r="G1532" s="217"/>
      <c r="H1532" s="245"/>
      <c r="I1532" s="270"/>
      <c r="J1532" s="241" t="str">
        <f>CONCATENATE(O1510," ",L1510, " (",M1510,") ",N1510,".", IF(M1510&gt;1," Each "," This "),"includes supply and install of ",O1511,O1512,O1513,O1514,O1515,O1516,O1517,O1518,O1519,O1520,O1521,O1522,O1523,O1524,O1525,O1526,O1527,O1528,O1529,O1530,J1511,J1512,J1513,J1514,J1515,J1516,J1517,J1518,J1519,J1520,J1521,J1522,J1523,J1524,J1525,J1526,J1527,J1528,J1529,J1530)</f>
        <v>Electrical power supply and controls cabling to Zero (0) VRF indoor units. This includes supply and install of controls cabling, CB, power cabling from outdoor unit and local power isolator. Each system includes install only of  proprietary controller. Coordination Note: - AC system supplier : Please refer to our exclusions relating to proprietary air-conditioning controllers.</v>
      </c>
      <c r="K1532" s="246">
        <f>P1531</f>
        <v>0</v>
      </c>
      <c r="L1532" s="234" t="str">
        <f>CONCATENATE(Q1511,Q1512,Q1513,Q1514,Q1515,Q1516,Q1517,Q1518,Q1519,Q1520,Q1521,Q1522,Q1523,Q1524,Q1525,Q1526,Q1527,Q1528,Q1529,Q1530,)</f>
        <v>proprietary air-conditioning controllers.</v>
      </c>
      <c r="M1532" s="91" t="s">
        <v>367</v>
      </c>
      <c r="N1532" s="83" t="str">
        <f>N1510</f>
        <v>VRF indoor units</v>
      </c>
      <c r="O1532" s="83" t="s">
        <v>365</v>
      </c>
      <c r="P1532" s="82" t="e">
        <f>P1531/M1510</f>
        <v>#DIV/0!</v>
      </c>
      <c r="Q1532" s="84"/>
      <c r="R1532" s="84"/>
      <c r="S1532" s="83"/>
      <c r="T1532" s="84"/>
      <c r="U1532" s="503" t="s">
        <v>366</v>
      </c>
      <c r="V1532" s="503"/>
      <c r="W1532" s="85" t="e">
        <f>W1531/M1510</f>
        <v>#DIV/0!</v>
      </c>
      <c r="X1532" s="86"/>
      <c r="Y1532" s="501" t="s">
        <v>365</v>
      </c>
      <c r="Z1532" s="501"/>
      <c r="AA1532" s="87" t="e">
        <f>AA1531/M1510</f>
        <v>#DIV/0!</v>
      </c>
      <c r="AB1532" s="84"/>
      <c r="AC1532" s="84"/>
      <c r="AD1532" s="84"/>
      <c r="AE1532" s="84"/>
      <c r="AF1532" s="501" t="s">
        <v>365</v>
      </c>
      <c r="AG1532" s="501"/>
      <c r="AH1532" s="87" t="e">
        <f>AH1531/M1510</f>
        <v>#DIV/0!</v>
      </c>
      <c r="AI1532" s="84"/>
      <c r="AJ1532" s="84"/>
      <c r="AK1532" s="84"/>
      <c r="AL1532" s="247"/>
      <c r="AM1532" s="257"/>
      <c r="AN1532" s="236">
        <f>K1532*1.25</f>
        <v>0</v>
      </c>
      <c r="AO1532" s="286"/>
      <c r="AP1532" s="284">
        <f t="shared" si="693"/>
        <v>0</v>
      </c>
      <c r="AQ1532" s="281">
        <f t="shared" si="694"/>
        <v>0</v>
      </c>
      <c r="AR1532" s="284">
        <f t="shared" si="695"/>
        <v>0</v>
      </c>
      <c r="AS1532" s="281">
        <f t="shared" si="696"/>
        <v>0</v>
      </c>
      <c r="AT1532" s="284">
        <f t="shared" si="697"/>
        <v>0</v>
      </c>
      <c r="AU1532" s="117"/>
      <c r="AV1532" s="117"/>
      <c r="AW1532" s="117"/>
      <c r="AX1532" s="117"/>
      <c r="AY1532" s="117"/>
      <c r="AZ1532" s="117"/>
      <c r="BA1532" s="117"/>
      <c r="BB1532" s="117"/>
      <c r="BC1532" s="117"/>
      <c r="BD1532" s="117"/>
      <c r="BE1532" s="117"/>
      <c r="BF1532" s="117"/>
      <c r="BG1532" s="117"/>
      <c r="BH1532" s="117"/>
      <c r="BI1532" s="117"/>
      <c r="BJ1532" s="117"/>
      <c r="BK1532" s="117"/>
      <c r="BL1532" s="117"/>
      <c r="BM1532" s="117"/>
      <c r="BN1532" s="117"/>
      <c r="BO1532" s="117"/>
      <c r="BP1532" s="117"/>
      <c r="BQ1532" s="117"/>
      <c r="BR1532" s="117"/>
      <c r="BS1532" s="117"/>
      <c r="BT1532" s="117"/>
      <c r="BU1532" s="117"/>
      <c r="BV1532" s="117"/>
      <c r="BW1532" s="117"/>
      <c r="BX1532" s="117"/>
      <c r="BY1532" s="117"/>
      <c r="BZ1532" s="117"/>
      <c r="CA1532" s="117"/>
      <c r="CB1532" s="117"/>
      <c r="CC1532" s="117"/>
      <c r="CD1532" s="117"/>
      <c r="CE1532" s="117"/>
      <c r="CF1532" s="117"/>
      <c r="CG1532" s="117"/>
      <c r="CH1532" s="117"/>
      <c r="CI1532" s="117"/>
      <c r="CJ1532" s="117"/>
      <c r="CK1532" s="117"/>
      <c r="CL1532" s="117"/>
      <c r="CM1532" s="117"/>
      <c r="CN1532" s="117"/>
      <c r="CO1532" s="117"/>
      <c r="CP1532" s="117"/>
      <c r="CQ1532" s="117"/>
      <c r="CR1532" s="117"/>
      <c r="CS1532" s="117"/>
    </row>
    <row r="1533" spans="1:97" s="2" customFormat="1" ht="192.75" customHeight="1" x14ac:dyDescent="0.8">
      <c r="A1533" s="262">
        <f>ROW()</f>
        <v>1533</v>
      </c>
      <c r="B1533" s="116"/>
      <c r="C1533" s="211"/>
      <c r="D1533" s="211"/>
      <c r="E1533" s="211"/>
      <c r="F1533" s="211"/>
      <c r="G1533" s="211"/>
      <c r="H1533" s="211"/>
      <c r="I1533" s="116"/>
      <c r="K1533" s="2" t="s">
        <v>452</v>
      </c>
      <c r="M1533" s="2" t="s">
        <v>298</v>
      </c>
      <c r="N1533" s="2" t="s">
        <v>108</v>
      </c>
      <c r="O1533" s="97" t="s">
        <v>386</v>
      </c>
      <c r="P1533" s="502" t="s">
        <v>375</v>
      </c>
      <c r="Q1533" s="502"/>
      <c r="R1533" s="101" t="s">
        <v>452</v>
      </c>
      <c r="S1533" s="2" t="s">
        <v>0</v>
      </c>
      <c r="T1533" s="9"/>
      <c r="U1533" s="2" t="s">
        <v>287</v>
      </c>
      <c r="V1533" s="2" t="s">
        <v>288</v>
      </c>
      <c r="W1533" s="2" t="s">
        <v>291</v>
      </c>
      <c r="X1533" s="58"/>
      <c r="Y1533" s="2" t="s">
        <v>289</v>
      </c>
      <c r="Z1533" s="2" t="s">
        <v>354</v>
      </c>
      <c r="AA1533" s="2" t="s">
        <v>355</v>
      </c>
      <c r="AB1533" s="2" t="s">
        <v>317</v>
      </c>
      <c r="AC1533" s="2" t="s">
        <v>318</v>
      </c>
      <c r="AD1533" s="2" t="s">
        <v>316</v>
      </c>
      <c r="AE1533" s="58"/>
      <c r="AF1533" s="2" t="s">
        <v>293</v>
      </c>
      <c r="AG1533" s="2" t="s">
        <v>354</v>
      </c>
      <c r="AH1533" s="2" t="s">
        <v>355</v>
      </c>
      <c r="AI1533" s="2" t="s">
        <v>296</v>
      </c>
      <c r="AJ1533" s="2" t="s">
        <v>294</v>
      </c>
      <c r="AK1533" s="2" t="s">
        <v>295</v>
      </c>
      <c r="AL1533" s="58"/>
      <c r="AO1533" s="288"/>
      <c r="AP1533" s="284">
        <f t="shared" si="693"/>
        <v>0</v>
      </c>
      <c r="AQ1533" s="281">
        <f t="shared" si="694"/>
        <v>0</v>
      </c>
      <c r="AR1533" s="284">
        <f t="shared" si="695"/>
        <v>0</v>
      </c>
      <c r="AS1533" s="281">
        <f t="shared" si="696"/>
        <v>0</v>
      </c>
      <c r="AT1533" s="284">
        <f t="shared" si="697"/>
        <v>0</v>
      </c>
    </row>
    <row r="1534" spans="1:97" s="32" customFormat="1" ht="31.5" customHeight="1" x14ac:dyDescent="0.8">
      <c r="A1534" s="262">
        <f>ROW()</f>
        <v>1534</v>
      </c>
      <c r="B1534" s="114"/>
      <c r="C1534" s="208"/>
      <c r="D1534" s="208"/>
      <c r="E1534" s="208"/>
      <c r="F1534" s="208"/>
      <c r="G1534" s="208"/>
      <c r="H1534" s="208"/>
      <c r="I1534" s="114"/>
      <c r="L1534" s="16" t="str">
        <f>VLOOKUP(M1534,Sheet2!$D$2:$E$1024,2,FALSE)</f>
        <v>Zero</v>
      </c>
      <c r="M1534" s="121">
        <f>I1556</f>
        <v>0</v>
      </c>
      <c r="N1534" s="27" t="s">
        <v>573</v>
      </c>
      <c r="O1534" s="12" t="s">
        <v>138</v>
      </c>
      <c r="P1534" s="96" t="s">
        <v>379</v>
      </c>
      <c r="Q1534" s="96" t="s">
        <v>375</v>
      </c>
      <c r="R1534" s="96"/>
      <c r="S1534" s="28">
        <f>M1534</f>
        <v>0</v>
      </c>
      <c r="T1534" s="10"/>
      <c r="U1534" s="12" t="s">
        <v>292</v>
      </c>
      <c r="V1534" s="28">
        <f>S1534</f>
        <v>0</v>
      </c>
      <c r="W1534" s="28">
        <f>VLOOKUP(U1534,Sheet1!$B$6:$C$45,2,FALSE)*V1534</f>
        <v>0</v>
      </c>
      <c r="X1534" s="59"/>
      <c r="Y1534" s="12" t="s">
        <v>292</v>
      </c>
      <c r="Z1534" s="68">
        <f>VLOOKUP(Takeoffs!Y1534,Sheet1!$B$6:$C$124,2,FALSE)</f>
        <v>0</v>
      </c>
      <c r="AA1534" s="68">
        <f>Z1534*AB1534</f>
        <v>0</v>
      </c>
      <c r="AB1534" s="63">
        <f>AD1534*AC1534</f>
        <v>0</v>
      </c>
      <c r="AC1534" s="28">
        <f>S1534</f>
        <v>0</v>
      </c>
      <c r="AD1534" s="61">
        <v>1</v>
      </c>
      <c r="AE1534" s="59"/>
      <c r="AF1534" s="12" t="s">
        <v>292</v>
      </c>
      <c r="AG1534" s="68">
        <f>VLOOKUP(Takeoffs!AF1534,Sheet1!$B$6:$C$124,2,FALSE)</f>
        <v>0</v>
      </c>
      <c r="AH1534" s="68">
        <f>AG1534*AI1534</f>
        <v>0</v>
      </c>
      <c r="AI1534" s="63">
        <f>AK1534*AJ1534</f>
        <v>0</v>
      </c>
      <c r="AJ1534" s="28">
        <f>S1534</f>
        <v>0</v>
      </c>
      <c r="AK1534" s="61">
        <f>T1534</f>
        <v>0</v>
      </c>
      <c r="AL1534" s="59"/>
      <c r="AO1534" s="286"/>
      <c r="AP1534" s="284">
        <f t="shared" si="693"/>
        <v>0</v>
      </c>
      <c r="AQ1534" s="281">
        <f t="shared" si="694"/>
        <v>0</v>
      </c>
      <c r="AR1534" s="284">
        <f t="shared" si="695"/>
        <v>0</v>
      </c>
      <c r="AS1534" s="281">
        <f t="shared" si="696"/>
        <v>0</v>
      </c>
      <c r="AT1534" s="284">
        <f t="shared" si="697"/>
        <v>0</v>
      </c>
    </row>
    <row r="1535" spans="1:97" s="32" customFormat="1" ht="30.9" x14ac:dyDescent="0.8">
      <c r="A1535" s="262">
        <f>ROW()</f>
        <v>1535</v>
      </c>
      <c r="B1535" s="114"/>
      <c r="C1535" s="208"/>
      <c r="D1535" s="208"/>
      <c r="E1535" s="208"/>
      <c r="F1535" s="208"/>
      <c r="G1535" s="208"/>
      <c r="H1535" s="208"/>
      <c r="I1535" s="114"/>
      <c r="J1535" s="32" t="str">
        <f>IF(COUNTBLANK(Q1535)&gt;0,"",CONCATENATE("Coordination Note: - ",P1535,": Please refer to our exclusions relating to ",Q1535))</f>
        <v/>
      </c>
      <c r="K1535" s="32" t="str">
        <f>IF(COUNTBLANK(R1535)&gt;0,"",CONCATENATE(R1535," for ",N1534))</f>
        <v/>
      </c>
      <c r="M1535" s="38"/>
      <c r="N1535" s="15" t="s">
        <v>113</v>
      </c>
      <c r="O1535" s="66" t="s">
        <v>140</v>
      </c>
      <c r="P1535" s="12"/>
      <c r="Q1535" s="12"/>
      <c r="R1535" s="12"/>
      <c r="S1535" s="28">
        <f>M1534</f>
        <v>0</v>
      </c>
      <c r="T1535" s="11"/>
      <c r="U1535" s="12" t="s">
        <v>239</v>
      </c>
      <c r="V1535" s="28">
        <f t="shared" ref="V1535:V1554" si="707">S1535</f>
        <v>0</v>
      </c>
      <c r="W1535" s="28">
        <f>VLOOKUP(U1535,Sheet1!$B$6:$C$45,2,FALSE)*V1535</f>
        <v>0</v>
      </c>
      <c r="X1535" s="59"/>
      <c r="Y1535" s="12" t="s">
        <v>292</v>
      </c>
      <c r="Z1535" s="68">
        <f>VLOOKUP(Takeoffs!Y1535,Sheet1!$B$6:$C$124,2,FALSE)</f>
        <v>0</v>
      </c>
      <c r="AA1535" s="68">
        <f t="shared" ref="AA1535:AA1554" si="708">Z1535*AB1535</f>
        <v>0</v>
      </c>
      <c r="AB1535" s="63">
        <f t="shared" ref="AB1535:AB1554" si="709">AD1535*AC1535</f>
        <v>0</v>
      </c>
      <c r="AC1535" s="28">
        <f>S1535</f>
        <v>0</v>
      </c>
      <c r="AD1535" s="61">
        <v>1</v>
      </c>
      <c r="AE1535" s="59"/>
      <c r="AF1535" s="13" t="s">
        <v>269</v>
      </c>
      <c r="AG1535" s="68">
        <f>VLOOKUP(Takeoffs!AF1535,Sheet1!$B$6:$C$124,2,FALSE)</f>
        <v>1.056</v>
      </c>
      <c r="AH1535" s="68">
        <f t="shared" ref="AH1535:AH1554" si="710">AG1535*AI1535</f>
        <v>0</v>
      </c>
      <c r="AI1535" s="63">
        <f t="shared" ref="AI1535:AI1554" si="711">AK1535*AJ1535</f>
        <v>0</v>
      </c>
      <c r="AJ1535" s="28">
        <f t="shared" ref="AJ1535:AJ1554" si="712">S1535</f>
        <v>0</v>
      </c>
      <c r="AK1535" s="61">
        <v>30</v>
      </c>
      <c r="AL1535" s="59"/>
      <c r="AO1535" s="286"/>
      <c r="AP1535" s="284">
        <f t="shared" si="693"/>
        <v>0</v>
      </c>
      <c r="AQ1535" s="281">
        <f t="shared" si="694"/>
        <v>0</v>
      </c>
      <c r="AR1535" s="284">
        <f t="shared" si="695"/>
        <v>0</v>
      </c>
      <c r="AS1535" s="281">
        <f t="shared" si="696"/>
        <v>0</v>
      </c>
      <c r="AT1535" s="284">
        <f t="shared" si="697"/>
        <v>0</v>
      </c>
    </row>
    <row r="1536" spans="1:97" s="32" customFormat="1" ht="30.9" x14ac:dyDescent="0.8">
      <c r="A1536" s="262">
        <f>ROW()</f>
        <v>1536</v>
      </c>
      <c r="B1536" s="114"/>
      <c r="C1536" s="208"/>
      <c r="D1536" s="208"/>
      <c r="E1536" s="208"/>
      <c r="F1536" s="208"/>
      <c r="G1536" s="208"/>
      <c r="H1536" s="208"/>
      <c r="I1536" s="114"/>
      <c r="J1536" s="32" t="str">
        <f t="shared" ref="J1536:J1554" si="713">IF(COUNTBLANK(Q1536)&gt;0,"",CONCATENATE("Coordination Note: - ",P1536,": Please refer to our exclusions relating to ",Q1536))</f>
        <v/>
      </c>
      <c r="K1536" s="32" t="str">
        <f>IF(COUNTBLANK(R1536)&gt;0,"",CONCATENATE(R1536," for ",N1534))</f>
        <v/>
      </c>
      <c r="M1536" s="38"/>
      <c r="N1536" s="15" t="s">
        <v>114</v>
      </c>
      <c r="O1536" s="66" t="s">
        <v>393</v>
      </c>
      <c r="P1536" s="12"/>
      <c r="Q1536" s="12"/>
      <c r="R1536" s="12"/>
      <c r="S1536" s="28">
        <f>M1534</f>
        <v>0</v>
      </c>
      <c r="T1536" s="11"/>
      <c r="U1536" s="73" t="s">
        <v>428</v>
      </c>
      <c r="V1536" s="28">
        <f t="shared" si="707"/>
        <v>0</v>
      </c>
      <c r="W1536" s="28">
        <f>VLOOKUP(U1536,Sheet1!$B$6:$C$45,2,FALSE)*V1536</f>
        <v>0</v>
      </c>
      <c r="X1536" s="59"/>
      <c r="Y1536" s="13" t="s">
        <v>253</v>
      </c>
      <c r="Z1536" s="68">
        <f>VLOOKUP(Takeoffs!Y1536,Sheet1!$B$6:$C$124,2,FALSE)</f>
        <v>10.139999999999999</v>
      </c>
      <c r="AA1536" s="68">
        <f t="shared" si="708"/>
        <v>0</v>
      </c>
      <c r="AB1536" s="63">
        <f t="shared" si="709"/>
        <v>0</v>
      </c>
      <c r="AC1536" s="28">
        <f>S1536</f>
        <v>0</v>
      </c>
      <c r="AD1536" s="61">
        <v>1</v>
      </c>
      <c r="AE1536" s="59"/>
      <c r="AF1536" s="13" t="s">
        <v>268</v>
      </c>
      <c r="AG1536" s="68">
        <f>VLOOKUP(Takeoffs!AF1536,Sheet1!$B$6:$C$124,2,FALSE)</f>
        <v>1.02</v>
      </c>
      <c r="AH1536" s="68">
        <f t="shared" si="710"/>
        <v>0</v>
      </c>
      <c r="AI1536" s="63">
        <f t="shared" si="711"/>
        <v>0</v>
      </c>
      <c r="AJ1536" s="28">
        <f t="shared" si="712"/>
        <v>0</v>
      </c>
      <c r="AK1536" s="61">
        <v>30</v>
      </c>
      <c r="AL1536" s="59"/>
      <c r="AO1536" s="286"/>
      <c r="AP1536" s="284">
        <f t="shared" si="693"/>
        <v>0</v>
      </c>
      <c r="AQ1536" s="281">
        <f t="shared" si="694"/>
        <v>0</v>
      </c>
      <c r="AR1536" s="284">
        <f t="shared" si="695"/>
        <v>0</v>
      </c>
      <c r="AS1536" s="281">
        <f t="shared" si="696"/>
        <v>0</v>
      </c>
      <c r="AT1536" s="284">
        <f t="shared" si="697"/>
        <v>0</v>
      </c>
    </row>
    <row r="1537" spans="1:46" s="32" customFormat="1" ht="30.9" x14ac:dyDescent="0.8">
      <c r="A1537" s="262">
        <f>ROW()</f>
        <v>1537</v>
      </c>
      <c r="B1537" s="114"/>
      <c r="C1537" s="208"/>
      <c r="D1537" s="208"/>
      <c r="E1537" s="208"/>
      <c r="F1537" s="208"/>
      <c r="G1537" s="208"/>
      <c r="H1537" s="208"/>
      <c r="I1537" s="114"/>
      <c r="J1537" s="32" t="str">
        <f t="shared" si="713"/>
        <v/>
      </c>
      <c r="K1537" s="32" t="str">
        <f>IF(COUNTBLANK(R1537)&gt;0,"",CONCATENATE(R1537," for ",N1534))</f>
        <v/>
      </c>
      <c r="M1537" s="38"/>
      <c r="N1537" s="15" t="s">
        <v>115</v>
      </c>
      <c r="O1537" s="66" t="s">
        <v>450</v>
      </c>
      <c r="P1537" s="12"/>
      <c r="Q1537" s="12"/>
      <c r="R1537" s="12"/>
      <c r="S1537" s="28">
        <f>M1534</f>
        <v>0</v>
      </c>
      <c r="T1537" s="11"/>
      <c r="U1537" s="12" t="s">
        <v>292</v>
      </c>
      <c r="V1537" s="28">
        <f t="shared" si="707"/>
        <v>0</v>
      </c>
      <c r="W1537" s="28">
        <f>VLOOKUP(U1537,Sheet1!$B$6:$C$45,2,FALSE)*V1537</f>
        <v>0</v>
      </c>
      <c r="X1537" s="59"/>
      <c r="Y1537" s="12" t="s">
        <v>292</v>
      </c>
      <c r="Z1537" s="68">
        <f>VLOOKUP(Takeoffs!Y1537,Sheet1!$B$6:$C$124,2,FALSE)</f>
        <v>0</v>
      </c>
      <c r="AA1537" s="68">
        <f t="shared" si="708"/>
        <v>0</v>
      </c>
      <c r="AB1537" s="63">
        <f t="shared" si="709"/>
        <v>0</v>
      </c>
      <c r="AC1537" s="28">
        <f t="shared" ref="AC1537:AC1554" si="714">S1537</f>
        <v>0</v>
      </c>
      <c r="AD1537" s="61">
        <v>1</v>
      </c>
      <c r="AE1537" s="59"/>
      <c r="AF1537" s="12" t="s">
        <v>292</v>
      </c>
      <c r="AG1537" s="68">
        <f>VLOOKUP(Takeoffs!AF1537,Sheet1!$B$6:$C$124,2,FALSE)</f>
        <v>0</v>
      </c>
      <c r="AH1537" s="68">
        <f t="shared" si="710"/>
        <v>0</v>
      </c>
      <c r="AI1537" s="63">
        <f t="shared" si="711"/>
        <v>0</v>
      </c>
      <c r="AJ1537" s="28">
        <f t="shared" si="712"/>
        <v>0</v>
      </c>
      <c r="AK1537" s="61">
        <f t="shared" ref="AK1537:AK1554" si="715">T1537</f>
        <v>0</v>
      </c>
      <c r="AL1537" s="59"/>
      <c r="AO1537" s="286"/>
      <c r="AP1537" s="284">
        <f t="shared" si="693"/>
        <v>0</v>
      </c>
      <c r="AQ1537" s="281">
        <f t="shared" si="694"/>
        <v>0</v>
      </c>
      <c r="AR1537" s="284">
        <f t="shared" si="695"/>
        <v>0</v>
      </c>
      <c r="AS1537" s="281">
        <f t="shared" si="696"/>
        <v>0</v>
      </c>
      <c r="AT1537" s="284">
        <f t="shared" si="697"/>
        <v>0</v>
      </c>
    </row>
    <row r="1538" spans="1:46" s="32" customFormat="1" ht="30.9" x14ac:dyDescent="0.8">
      <c r="A1538" s="262">
        <f>ROW()</f>
        <v>1538</v>
      </c>
      <c r="B1538" s="114"/>
      <c r="C1538" s="208"/>
      <c r="D1538" s="208"/>
      <c r="E1538" s="208"/>
      <c r="F1538" s="208"/>
      <c r="G1538" s="208"/>
      <c r="H1538" s="208"/>
      <c r="I1538" s="114"/>
      <c r="J1538" s="32" t="str">
        <f t="shared" si="713"/>
        <v xml:space="preserve">Coordination Note: - AC system supplier: Please refer to our exclusions relating to proprietary air-conditioning controllers. </v>
      </c>
      <c r="K1538" s="32" t="str">
        <f>IF(COUNTBLANK(R1538)&gt;0,"",CONCATENATE(R1538," for ",N1534))</f>
        <v/>
      </c>
      <c r="M1538" s="38"/>
      <c r="N1538" s="15" t="s">
        <v>116</v>
      </c>
      <c r="O1538" s="66" t="s">
        <v>394</v>
      </c>
      <c r="P1538" s="12" t="s">
        <v>381</v>
      </c>
      <c r="Q1538" s="12" t="s">
        <v>449</v>
      </c>
      <c r="R1538" s="12"/>
      <c r="S1538" s="28">
        <f>M1534</f>
        <v>0</v>
      </c>
      <c r="T1538" s="11"/>
      <c r="U1538" s="12" t="s">
        <v>230</v>
      </c>
      <c r="V1538" s="28">
        <f t="shared" si="707"/>
        <v>0</v>
      </c>
      <c r="W1538" s="28">
        <f>VLOOKUP(U1538,Sheet1!$B$6:$C$45,2,FALSE)*V1538</f>
        <v>0</v>
      </c>
      <c r="X1538" s="59"/>
      <c r="Y1538" s="12" t="s">
        <v>292</v>
      </c>
      <c r="Z1538" s="68">
        <f>VLOOKUP(Takeoffs!Y1538,Sheet1!$B$6:$C$124,2,FALSE)</f>
        <v>0</v>
      </c>
      <c r="AA1538" s="68">
        <f t="shared" si="708"/>
        <v>0</v>
      </c>
      <c r="AB1538" s="63">
        <f t="shared" si="709"/>
        <v>0</v>
      </c>
      <c r="AC1538" s="28">
        <f t="shared" si="714"/>
        <v>0</v>
      </c>
      <c r="AD1538" s="61">
        <v>1</v>
      </c>
      <c r="AE1538" s="59"/>
      <c r="AF1538" s="12" t="s">
        <v>292</v>
      </c>
      <c r="AG1538" s="68">
        <f>VLOOKUP(Takeoffs!AF1538,Sheet1!$B$6:$C$124,2,FALSE)</f>
        <v>0</v>
      </c>
      <c r="AH1538" s="68">
        <f t="shared" si="710"/>
        <v>0</v>
      </c>
      <c r="AI1538" s="63">
        <f t="shared" si="711"/>
        <v>0</v>
      </c>
      <c r="AJ1538" s="28">
        <f t="shared" si="712"/>
        <v>0</v>
      </c>
      <c r="AK1538" s="61">
        <f t="shared" si="715"/>
        <v>0</v>
      </c>
      <c r="AL1538" s="59"/>
      <c r="AO1538" s="286"/>
      <c r="AP1538" s="284">
        <f t="shared" si="693"/>
        <v>0</v>
      </c>
      <c r="AQ1538" s="281">
        <f t="shared" si="694"/>
        <v>0</v>
      </c>
      <c r="AR1538" s="284">
        <f t="shared" si="695"/>
        <v>0</v>
      </c>
      <c r="AS1538" s="281">
        <f t="shared" si="696"/>
        <v>0</v>
      </c>
      <c r="AT1538" s="284">
        <f t="shared" si="697"/>
        <v>0</v>
      </c>
    </row>
    <row r="1539" spans="1:46" s="32" customFormat="1" ht="30.9" x14ac:dyDescent="0.8">
      <c r="A1539" s="262">
        <f>ROW()</f>
        <v>1539</v>
      </c>
      <c r="B1539" s="114"/>
      <c r="C1539" s="208"/>
      <c r="D1539" s="208"/>
      <c r="E1539" s="208"/>
      <c r="F1539" s="208"/>
      <c r="G1539" s="208"/>
      <c r="H1539" s="208"/>
      <c r="I1539" s="114"/>
      <c r="J1539" s="32" t="str">
        <f t="shared" si="713"/>
        <v>Coordination Note: - AC system supplier: Please refer to our exclusions relating to proprietary air-conditioning interconnect cabling for branch connector boxes.</v>
      </c>
      <c r="K1539" s="32" t="str">
        <f>IF(COUNTBLANK(R1539)&gt;0,"",CONCATENATE(R1539," for ",N1534))</f>
        <v/>
      </c>
      <c r="M1539" s="38"/>
      <c r="N1539" s="15" t="s">
        <v>117</v>
      </c>
      <c r="O1539" s="66" t="s">
        <v>451</v>
      </c>
      <c r="P1539" s="12" t="s">
        <v>381</v>
      </c>
      <c r="Q1539" s="12" t="s">
        <v>382</v>
      </c>
      <c r="R1539" s="12"/>
      <c r="S1539" s="28">
        <f>M1534</f>
        <v>0</v>
      </c>
      <c r="T1539" s="11"/>
      <c r="U1539" s="12" t="s">
        <v>226</v>
      </c>
      <c r="V1539" s="28">
        <f t="shared" si="707"/>
        <v>0</v>
      </c>
      <c r="W1539" s="28">
        <f>VLOOKUP(U1539,Sheet1!$B$6:$C$45,2,FALSE)*V1539</f>
        <v>0</v>
      </c>
      <c r="X1539" s="59"/>
      <c r="Y1539" s="12" t="s">
        <v>292</v>
      </c>
      <c r="Z1539" s="68">
        <f>VLOOKUP(Takeoffs!Y1539,Sheet1!$B$6:$C$124,2,FALSE)</f>
        <v>0</v>
      </c>
      <c r="AA1539" s="68">
        <f t="shared" si="708"/>
        <v>0</v>
      </c>
      <c r="AB1539" s="63">
        <f t="shared" si="709"/>
        <v>0</v>
      </c>
      <c r="AC1539" s="28">
        <f t="shared" si="714"/>
        <v>0</v>
      </c>
      <c r="AD1539" s="61">
        <v>1</v>
      </c>
      <c r="AE1539" s="59"/>
      <c r="AF1539" s="12" t="s">
        <v>292</v>
      </c>
      <c r="AG1539" s="68">
        <f>VLOOKUP(Takeoffs!AF1539,Sheet1!$B$6:$C$124,2,FALSE)</f>
        <v>0</v>
      </c>
      <c r="AH1539" s="68">
        <f t="shared" si="710"/>
        <v>0</v>
      </c>
      <c r="AI1539" s="63">
        <f t="shared" si="711"/>
        <v>0</v>
      </c>
      <c r="AJ1539" s="28">
        <f t="shared" si="712"/>
        <v>0</v>
      </c>
      <c r="AK1539" s="61">
        <f t="shared" si="715"/>
        <v>0</v>
      </c>
      <c r="AL1539" s="59"/>
      <c r="AO1539" s="286"/>
      <c r="AP1539" s="284">
        <f t="shared" si="693"/>
        <v>0</v>
      </c>
      <c r="AQ1539" s="281">
        <f t="shared" si="694"/>
        <v>0</v>
      </c>
      <c r="AR1539" s="284">
        <f t="shared" si="695"/>
        <v>0</v>
      </c>
      <c r="AS1539" s="281">
        <f t="shared" si="696"/>
        <v>0</v>
      </c>
      <c r="AT1539" s="284">
        <f t="shared" si="697"/>
        <v>0</v>
      </c>
    </row>
    <row r="1540" spans="1:46" s="32" customFormat="1" ht="30.9" x14ac:dyDescent="0.8">
      <c r="A1540" s="262">
        <f>ROW()</f>
        <v>1540</v>
      </c>
      <c r="B1540" s="114"/>
      <c r="C1540" s="208"/>
      <c r="D1540" s="208"/>
      <c r="E1540" s="208"/>
      <c r="F1540" s="208"/>
      <c r="G1540" s="208"/>
      <c r="H1540" s="208"/>
      <c r="I1540" s="114"/>
      <c r="J1540" s="32" t="str">
        <f t="shared" si="713"/>
        <v/>
      </c>
      <c r="K1540" s="32" t="str">
        <f>IF(COUNTBLANK(R1540)&gt;0,"",CONCATENATE(R1540," for ",N1534))</f>
        <v/>
      </c>
      <c r="M1540" s="38"/>
      <c r="N1540" s="15" t="s">
        <v>118</v>
      </c>
      <c r="O1540" s="66"/>
      <c r="P1540" s="12"/>
      <c r="Q1540" s="12"/>
      <c r="R1540" s="12"/>
      <c r="S1540" s="28">
        <f>M1534</f>
        <v>0</v>
      </c>
      <c r="T1540" s="11"/>
      <c r="U1540" s="12" t="s">
        <v>292</v>
      </c>
      <c r="V1540" s="28">
        <f t="shared" si="707"/>
        <v>0</v>
      </c>
      <c r="W1540" s="28">
        <f>VLOOKUP(U1540,Sheet1!$B$6:$C$45,2,FALSE)*V1540</f>
        <v>0</v>
      </c>
      <c r="X1540" s="59"/>
      <c r="Y1540" s="12" t="s">
        <v>292</v>
      </c>
      <c r="Z1540" s="68">
        <f>VLOOKUP(Takeoffs!Y1540,Sheet1!$B$6:$C$124,2,FALSE)</f>
        <v>0</v>
      </c>
      <c r="AA1540" s="68">
        <f t="shared" si="708"/>
        <v>0</v>
      </c>
      <c r="AB1540" s="63">
        <f t="shared" si="709"/>
        <v>0</v>
      </c>
      <c r="AC1540" s="28">
        <f t="shared" si="714"/>
        <v>0</v>
      </c>
      <c r="AD1540" s="61">
        <v>1</v>
      </c>
      <c r="AE1540" s="59"/>
      <c r="AF1540" s="12" t="s">
        <v>292</v>
      </c>
      <c r="AG1540" s="68">
        <f>VLOOKUP(Takeoffs!AF1540,Sheet1!$B$6:$C$124,2,FALSE)</f>
        <v>0</v>
      </c>
      <c r="AH1540" s="68">
        <f t="shared" si="710"/>
        <v>0</v>
      </c>
      <c r="AI1540" s="63">
        <f t="shared" si="711"/>
        <v>0</v>
      </c>
      <c r="AJ1540" s="28">
        <f t="shared" si="712"/>
        <v>0</v>
      </c>
      <c r="AK1540" s="61">
        <f t="shared" si="715"/>
        <v>0</v>
      </c>
      <c r="AL1540" s="59"/>
      <c r="AO1540" s="286"/>
      <c r="AP1540" s="284">
        <f t="shared" si="693"/>
        <v>0</v>
      </c>
      <c r="AQ1540" s="281">
        <f t="shared" si="694"/>
        <v>0</v>
      </c>
      <c r="AR1540" s="284">
        <f t="shared" si="695"/>
        <v>0</v>
      </c>
      <c r="AS1540" s="281">
        <f t="shared" si="696"/>
        <v>0</v>
      </c>
      <c r="AT1540" s="284">
        <f t="shared" si="697"/>
        <v>0</v>
      </c>
    </row>
    <row r="1541" spans="1:46" s="32" customFormat="1" ht="30.9" x14ac:dyDescent="0.8">
      <c r="A1541" s="262">
        <f>ROW()</f>
        <v>1541</v>
      </c>
      <c r="B1541" s="114"/>
      <c r="C1541" s="208"/>
      <c r="D1541" s="208"/>
      <c r="E1541" s="208"/>
      <c r="F1541" s="208"/>
      <c r="G1541" s="208"/>
      <c r="H1541" s="208"/>
      <c r="I1541" s="114"/>
      <c r="J1541" s="32" t="str">
        <f t="shared" si="713"/>
        <v/>
      </c>
      <c r="K1541" s="32" t="str">
        <f>IF(COUNTBLANK(R1541)&gt;0,"",CONCATENATE(R1541," for ",N1534))</f>
        <v/>
      </c>
      <c r="N1541" s="15" t="s">
        <v>119</v>
      </c>
      <c r="O1541" s="66"/>
      <c r="P1541" s="12"/>
      <c r="Q1541" s="12"/>
      <c r="R1541" s="12"/>
      <c r="S1541" s="28">
        <f>M1534</f>
        <v>0</v>
      </c>
      <c r="T1541" s="11"/>
      <c r="U1541" s="12" t="s">
        <v>292</v>
      </c>
      <c r="V1541" s="28">
        <f t="shared" si="707"/>
        <v>0</v>
      </c>
      <c r="W1541" s="28">
        <f>VLOOKUP(U1541,Sheet1!$B$6:$C$45,2,FALSE)*V1541</f>
        <v>0</v>
      </c>
      <c r="X1541" s="59"/>
      <c r="Y1541" s="12" t="s">
        <v>292</v>
      </c>
      <c r="Z1541" s="68">
        <f>VLOOKUP(Takeoffs!Y1541,Sheet1!$B$6:$C$124,2,FALSE)</f>
        <v>0</v>
      </c>
      <c r="AA1541" s="68">
        <f t="shared" si="708"/>
        <v>0</v>
      </c>
      <c r="AB1541" s="63">
        <f t="shared" si="709"/>
        <v>0</v>
      </c>
      <c r="AC1541" s="28">
        <f t="shared" si="714"/>
        <v>0</v>
      </c>
      <c r="AD1541" s="61">
        <v>1</v>
      </c>
      <c r="AE1541" s="59"/>
      <c r="AF1541" s="12" t="s">
        <v>292</v>
      </c>
      <c r="AG1541" s="68">
        <f>VLOOKUP(Takeoffs!AF1541,Sheet1!$B$6:$C$124,2,FALSE)</f>
        <v>0</v>
      </c>
      <c r="AH1541" s="68">
        <f t="shared" si="710"/>
        <v>0</v>
      </c>
      <c r="AI1541" s="63">
        <f t="shared" si="711"/>
        <v>0</v>
      </c>
      <c r="AJ1541" s="28">
        <f t="shared" si="712"/>
        <v>0</v>
      </c>
      <c r="AK1541" s="61">
        <f t="shared" si="715"/>
        <v>0</v>
      </c>
      <c r="AL1541" s="59"/>
      <c r="AO1541" s="286"/>
      <c r="AP1541" s="284">
        <f t="shared" si="693"/>
        <v>0</v>
      </c>
      <c r="AQ1541" s="281">
        <f t="shared" si="694"/>
        <v>0</v>
      </c>
      <c r="AR1541" s="284">
        <f t="shared" si="695"/>
        <v>0</v>
      </c>
      <c r="AS1541" s="281">
        <f t="shared" si="696"/>
        <v>0</v>
      </c>
      <c r="AT1541" s="284">
        <f t="shared" si="697"/>
        <v>0</v>
      </c>
    </row>
    <row r="1542" spans="1:46" s="32" customFormat="1" ht="30.9" x14ac:dyDescent="0.8">
      <c r="A1542" s="262">
        <f>ROW()</f>
        <v>1542</v>
      </c>
      <c r="B1542" s="114"/>
      <c r="C1542" s="208"/>
      <c r="D1542" s="208"/>
      <c r="E1542" s="208"/>
      <c r="F1542" s="208"/>
      <c r="G1542" s="208"/>
      <c r="H1542" s="208"/>
      <c r="I1542" s="114"/>
      <c r="J1542" s="32" t="str">
        <f t="shared" si="713"/>
        <v/>
      </c>
      <c r="K1542" s="32" t="str">
        <f>IF(COUNTBLANK(R1542)&gt;0,"",CONCATENATE(R1542," for ",N1534))</f>
        <v/>
      </c>
      <c r="N1542" s="15" t="s">
        <v>120</v>
      </c>
      <c r="O1542" s="66"/>
      <c r="P1542" s="12"/>
      <c r="Q1542" s="12"/>
      <c r="R1542" s="12"/>
      <c r="S1542" s="28">
        <f>M1534</f>
        <v>0</v>
      </c>
      <c r="T1542" s="11"/>
      <c r="U1542" s="12" t="s">
        <v>292</v>
      </c>
      <c r="V1542" s="28">
        <f t="shared" si="707"/>
        <v>0</v>
      </c>
      <c r="W1542" s="28">
        <f>VLOOKUP(U1542,Sheet1!$B$6:$C$45,2,FALSE)*V1542</f>
        <v>0</v>
      </c>
      <c r="X1542" s="59"/>
      <c r="Y1542" s="12" t="s">
        <v>292</v>
      </c>
      <c r="Z1542" s="68">
        <f>VLOOKUP(Takeoffs!Y1542,Sheet1!$B$6:$C$124,2,FALSE)</f>
        <v>0</v>
      </c>
      <c r="AA1542" s="68">
        <f t="shared" si="708"/>
        <v>0</v>
      </c>
      <c r="AB1542" s="63">
        <f t="shared" si="709"/>
        <v>0</v>
      </c>
      <c r="AC1542" s="28">
        <f t="shared" si="714"/>
        <v>0</v>
      </c>
      <c r="AD1542" s="61">
        <v>1</v>
      </c>
      <c r="AE1542" s="59"/>
      <c r="AF1542" s="12" t="s">
        <v>292</v>
      </c>
      <c r="AG1542" s="68">
        <f>VLOOKUP(Takeoffs!AF1542,Sheet1!$B$6:$C$124,2,FALSE)</f>
        <v>0</v>
      </c>
      <c r="AH1542" s="68">
        <f t="shared" si="710"/>
        <v>0</v>
      </c>
      <c r="AI1542" s="63">
        <f t="shared" si="711"/>
        <v>0</v>
      </c>
      <c r="AJ1542" s="28">
        <f t="shared" si="712"/>
        <v>0</v>
      </c>
      <c r="AK1542" s="61">
        <f t="shared" si="715"/>
        <v>0</v>
      </c>
      <c r="AL1542" s="59"/>
      <c r="AO1542" s="286"/>
      <c r="AP1542" s="284">
        <f t="shared" si="693"/>
        <v>0</v>
      </c>
      <c r="AQ1542" s="281">
        <f t="shared" si="694"/>
        <v>0</v>
      </c>
      <c r="AR1542" s="284">
        <f t="shared" si="695"/>
        <v>0</v>
      </c>
      <c r="AS1542" s="281">
        <f t="shared" si="696"/>
        <v>0</v>
      </c>
      <c r="AT1542" s="284">
        <f t="shared" si="697"/>
        <v>0</v>
      </c>
    </row>
    <row r="1543" spans="1:46" s="32" customFormat="1" ht="30.9" x14ac:dyDescent="0.8">
      <c r="A1543" s="262">
        <f>ROW()</f>
        <v>1543</v>
      </c>
      <c r="B1543" s="114"/>
      <c r="C1543" s="208"/>
      <c r="D1543" s="208"/>
      <c r="E1543" s="208"/>
      <c r="F1543" s="208"/>
      <c r="G1543" s="208"/>
      <c r="H1543" s="208"/>
      <c r="I1543" s="114"/>
      <c r="J1543" s="32" t="str">
        <f t="shared" si="713"/>
        <v/>
      </c>
      <c r="K1543" s="32" t="str">
        <f>IF(COUNTBLANK(R1543)&gt;0,"",CONCATENATE(R1543," for ",N1534))</f>
        <v/>
      </c>
      <c r="N1543" s="15" t="s">
        <v>121</v>
      </c>
      <c r="O1543" s="66"/>
      <c r="P1543" s="12"/>
      <c r="Q1543" s="12"/>
      <c r="R1543" s="12"/>
      <c r="S1543" s="28">
        <f>M1534</f>
        <v>0</v>
      </c>
      <c r="T1543" s="11"/>
      <c r="U1543" s="12" t="s">
        <v>292</v>
      </c>
      <c r="V1543" s="28">
        <f t="shared" si="707"/>
        <v>0</v>
      </c>
      <c r="W1543" s="28">
        <f>VLOOKUP(U1543,Sheet1!$B$6:$C$45,2,FALSE)*V1543</f>
        <v>0</v>
      </c>
      <c r="X1543" s="59"/>
      <c r="Y1543" s="12" t="s">
        <v>292</v>
      </c>
      <c r="Z1543" s="68">
        <f>VLOOKUP(Takeoffs!Y1543,Sheet1!$B$6:$C$124,2,FALSE)</f>
        <v>0</v>
      </c>
      <c r="AA1543" s="68">
        <f t="shared" si="708"/>
        <v>0</v>
      </c>
      <c r="AB1543" s="63">
        <f t="shared" si="709"/>
        <v>0</v>
      </c>
      <c r="AC1543" s="28">
        <f t="shared" si="714"/>
        <v>0</v>
      </c>
      <c r="AD1543" s="61">
        <v>1</v>
      </c>
      <c r="AE1543" s="59"/>
      <c r="AF1543" s="12" t="s">
        <v>292</v>
      </c>
      <c r="AG1543" s="68">
        <f>VLOOKUP(Takeoffs!AF1543,Sheet1!$B$6:$C$124,2,FALSE)</f>
        <v>0</v>
      </c>
      <c r="AH1543" s="68">
        <f t="shared" si="710"/>
        <v>0</v>
      </c>
      <c r="AI1543" s="63">
        <f t="shared" si="711"/>
        <v>0</v>
      </c>
      <c r="AJ1543" s="28">
        <f t="shared" si="712"/>
        <v>0</v>
      </c>
      <c r="AK1543" s="61">
        <f t="shared" si="715"/>
        <v>0</v>
      </c>
      <c r="AL1543" s="59"/>
      <c r="AO1543" s="286"/>
      <c r="AP1543" s="284">
        <f t="shared" si="693"/>
        <v>0</v>
      </c>
      <c r="AQ1543" s="281">
        <f t="shared" si="694"/>
        <v>0</v>
      </c>
      <c r="AR1543" s="284">
        <f t="shared" si="695"/>
        <v>0</v>
      </c>
      <c r="AS1543" s="281">
        <f t="shared" si="696"/>
        <v>0</v>
      </c>
      <c r="AT1543" s="284">
        <f t="shared" si="697"/>
        <v>0</v>
      </c>
    </row>
    <row r="1544" spans="1:46" s="32" customFormat="1" ht="30.9" x14ac:dyDescent="0.8">
      <c r="A1544" s="262">
        <f>ROW()</f>
        <v>1544</v>
      </c>
      <c r="B1544" s="114"/>
      <c r="C1544" s="208"/>
      <c r="D1544" s="208"/>
      <c r="E1544" s="208"/>
      <c r="F1544" s="208"/>
      <c r="G1544" s="208"/>
      <c r="H1544" s="208"/>
      <c r="I1544" s="114"/>
      <c r="J1544" s="32" t="str">
        <f t="shared" si="713"/>
        <v/>
      </c>
      <c r="K1544" s="32" t="str">
        <f>IF(COUNTBLANK(R1544)&gt;0,"",CONCATENATE(R1544," for ",N1534))</f>
        <v/>
      </c>
      <c r="N1544" s="15" t="s">
        <v>122</v>
      </c>
      <c r="O1544" s="66"/>
      <c r="P1544" s="12"/>
      <c r="Q1544" s="12"/>
      <c r="R1544" s="12"/>
      <c r="S1544" s="28">
        <f>M1534</f>
        <v>0</v>
      </c>
      <c r="T1544" s="11"/>
      <c r="U1544" s="12" t="s">
        <v>292</v>
      </c>
      <c r="V1544" s="28">
        <f t="shared" si="707"/>
        <v>0</v>
      </c>
      <c r="W1544" s="28">
        <f>VLOOKUP(U1544,Sheet1!$B$6:$C$45,2,FALSE)*V1544</f>
        <v>0</v>
      </c>
      <c r="X1544" s="59"/>
      <c r="Y1544" s="12" t="s">
        <v>292</v>
      </c>
      <c r="Z1544" s="68">
        <f>VLOOKUP(Takeoffs!Y1544,Sheet1!$B$6:$C$124,2,FALSE)</f>
        <v>0</v>
      </c>
      <c r="AA1544" s="68">
        <f t="shared" si="708"/>
        <v>0</v>
      </c>
      <c r="AB1544" s="63">
        <f t="shared" si="709"/>
        <v>0</v>
      </c>
      <c r="AC1544" s="28">
        <f t="shared" si="714"/>
        <v>0</v>
      </c>
      <c r="AD1544" s="61">
        <v>1</v>
      </c>
      <c r="AE1544" s="59"/>
      <c r="AF1544" s="12" t="s">
        <v>292</v>
      </c>
      <c r="AG1544" s="68">
        <f>VLOOKUP(Takeoffs!AF1544,Sheet1!$B$6:$C$124,2,FALSE)</f>
        <v>0</v>
      </c>
      <c r="AH1544" s="68">
        <f t="shared" si="710"/>
        <v>0</v>
      </c>
      <c r="AI1544" s="63">
        <f t="shared" si="711"/>
        <v>0</v>
      </c>
      <c r="AJ1544" s="28">
        <f t="shared" si="712"/>
        <v>0</v>
      </c>
      <c r="AK1544" s="61">
        <f t="shared" si="715"/>
        <v>0</v>
      </c>
      <c r="AL1544" s="59"/>
      <c r="AO1544" s="286"/>
      <c r="AP1544" s="284">
        <f t="shared" si="693"/>
        <v>0</v>
      </c>
      <c r="AQ1544" s="281">
        <f t="shared" si="694"/>
        <v>0</v>
      </c>
      <c r="AR1544" s="284">
        <f t="shared" si="695"/>
        <v>0</v>
      </c>
      <c r="AS1544" s="281">
        <f t="shared" si="696"/>
        <v>0</v>
      </c>
      <c r="AT1544" s="284">
        <f t="shared" si="697"/>
        <v>0</v>
      </c>
    </row>
    <row r="1545" spans="1:46" s="32" customFormat="1" ht="30.9" x14ac:dyDescent="0.8">
      <c r="A1545" s="262">
        <f>ROW()</f>
        <v>1545</v>
      </c>
      <c r="B1545" s="114"/>
      <c r="C1545" s="208"/>
      <c r="D1545" s="208"/>
      <c r="E1545" s="208"/>
      <c r="F1545" s="208"/>
      <c r="G1545" s="208"/>
      <c r="H1545" s="208"/>
      <c r="I1545" s="114"/>
      <c r="J1545" s="32" t="str">
        <f t="shared" si="713"/>
        <v/>
      </c>
      <c r="K1545" s="32" t="str">
        <f>IF(COUNTBLANK(R1545)&gt;0,"",CONCATENATE(R1545," for ",N1534))</f>
        <v/>
      </c>
      <c r="N1545" s="15" t="s">
        <v>123</v>
      </c>
      <c r="O1545" s="66"/>
      <c r="P1545" s="12"/>
      <c r="Q1545" s="12"/>
      <c r="R1545" s="12"/>
      <c r="S1545" s="28">
        <f>M1534</f>
        <v>0</v>
      </c>
      <c r="T1545" s="11"/>
      <c r="U1545" s="12" t="s">
        <v>292</v>
      </c>
      <c r="V1545" s="28">
        <f t="shared" si="707"/>
        <v>0</v>
      </c>
      <c r="W1545" s="28">
        <f>VLOOKUP(U1545,Sheet1!$B$6:$C$45,2,FALSE)*V1545</f>
        <v>0</v>
      </c>
      <c r="X1545" s="59"/>
      <c r="Y1545" s="12" t="s">
        <v>292</v>
      </c>
      <c r="Z1545" s="68">
        <f>VLOOKUP(Takeoffs!Y1545,Sheet1!$B$6:$C$124,2,FALSE)</f>
        <v>0</v>
      </c>
      <c r="AA1545" s="68">
        <f t="shared" si="708"/>
        <v>0</v>
      </c>
      <c r="AB1545" s="63">
        <f t="shared" si="709"/>
        <v>0</v>
      </c>
      <c r="AC1545" s="28">
        <f t="shared" si="714"/>
        <v>0</v>
      </c>
      <c r="AD1545" s="61">
        <v>1</v>
      </c>
      <c r="AE1545" s="59"/>
      <c r="AF1545" s="12" t="s">
        <v>292</v>
      </c>
      <c r="AG1545" s="68">
        <f>VLOOKUP(Takeoffs!AF1545,Sheet1!$B$6:$C$124,2,FALSE)</f>
        <v>0</v>
      </c>
      <c r="AH1545" s="68">
        <f t="shared" si="710"/>
        <v>0</v>
      </c>
      <c r="AI1545" s="63">
        <f t="shared" si="711"/>
        <v>0</v>
      </c>
      <c r="AJ1545" s="28">
        <f t="shared" si="712"/>
        <v>0</v>
      </c>
      <c r="AK1545" s="61">
        <f t="shared" si="715"/>
        <v>0</v>
      </c>
      <c r="AL1545" s="59"/>
      <c r="AO1545" s="286"/>
      <c r="AP1545" s="284">
        <f t="shared" si="693"/>
        <v>0</v>
      </c>
      <c r="AQ1545" s="281">
        <f t="shared" si="694"/>
        <v>0</v>
      </c>
      <c r="AR1545" s="284">
        <f t="shared" si="695"/>
        <v>0</v>
      </c>
      <c r="AS1545" s="281">
        <f t="shared" si="696"/>
        <v>0</v>
      </c>
      <c r="AT1545" s="284">
        <f t="shared" si="697"/>
        <v>0</v>
      </c>
    </row>
    <row r="1546" spans="1:46" s="32" customFormat="1" ht="30.9" x14ac:dyDescent="0.8">
      <c r="A1546" s="262">
        <f>ROW()</f>
        <v>1546</v>
      </c>
      <c r="B1546" s="114"/>
      <c r="C1546" s="208"/>
      <c r="D1546" s="208"/>
      <c r="E1546" s="208"/>
      <c r="F1546" s="208"/>
      <c r="G1546" s="208"/>
      <c r="H1546" s="208"/>
      <c r="I1546" s="114"/>
      <c r="J1546" s="32" t="str">
        <f t="shared" si="713"/>
        <v/>
      </c>
      <c r="K1546" s="32" t="str">
        <f>IF(COUNTBLANK(R1546)&gt;0,"",CONCATENATE(R1546," for ",N1534))</f>
        <v/>
      </c>
      <c r="N1546" s="15" t="s">
        <v>124</v>
      </c>
      <c r="O1546" s="66"/>
      <c r="P1546" s="12"/>
      <c r="Q1546" s="12"/>
      <c r="R1546" s="12"/>
      <c r="S1546" s="28">
        <f>M1534</f>
        <v>0</v>
      </c>
      <c r="T1546" s="11"/>
      <c r="U1546" s="12" t="s">
        <v>292</v>
      </c>
      <c r="V1546" s="28">
        <f t="shared" si="707"/>
        <v>0</v>
      </c>
      <c r="W1546" s="28">
        <f>VLOOKUP(U1546,Sheet1!$B$6:$C$45,2,FALSE)*V1546</f>
        <v>0</v>
      </c>
      <c r="X1546" s="59"/>
      <c r="Y1546" s="12" t="s">
        <v>292</v>
      </c>
      <c r="Z1546" s="68">
        <f>VLOOKUP(Takeoffs!Y1546,Sheet1!$B$6:$C$124,2,FALSE)</f>
        <v>0</v>
      </c>
      <c r="AA1546" s="68">
        <f t="shared" si="708"/>
        <v>0</v>
      </c>
      <c r="AB1546" s="63">
        <f t="shared" si="709"/>
        <v>0</v>
      </c>
      <c r="AC1546" s="28">
        <f t="shared" si="714"/>
        <v>0</v>
      </c>
      <c r="AD1546" s="61">
        <v>1</v>
      </c>
      <c r="AE1546" s="59"/>
      <c r="AF1546" s="12" t="s">
        <v>292</v>
      </c>
      <c r="AG1546" s="68">
        <f>VLOOKUP(Takeoffs!AF1546,Sheet1!$B$6:$C$124,2,FALSE)</f>
        <v>0</v>
      </c>
      <c r="AH1546" s="68">
        <f t="shared" si="710"/>
        <v>0</v>
      </c>
      <c r="AI1546" s="63">
        <f t="shared" si="711"/>
        <v>0</v>
      </c>
      <c r="AJ1546" s="28">
        <f t="shared" si="712"/>
        <v>0</v>
      </c>
      <c r="AK1546" s="61">
        <f t="shared" si="715"/>
        <v>0</v>
      </c>
      <c r="AL1546" s="59"/>
      <c r="AO1546" s="286"/>
      <c r="AP1546" s="284">
        <f t="shared" si="693"/>
        <v>0</v>
      </c>
      <c r="AQ1546" s="281">
        <f t="shared" si="694"/>
        <v>0</v>
      </c>
      <c r="AR1546" s="284">
        <f t="shared" si="695"/>
        <v>0</v>
      </c>
      <c r="AS1546" s="281">
        <f t="shared" si="696"/>
        <v>0</v>
      </c>
      <c r="AT1546" s="284">
        <f t="shared" si="697"/>
        <v>0</v>
      </c>
    </row>
    <row r="1547" spans="1:46" s="32" customFormat="1" ht="30.9" x14ac:dyDescent="0.8">
      <c r="A1547" s="262">
        <f>ROW()</f>
        <v>1547</v>
      </c>
      <c r="B1547" s="114"/>
      <c r="C1547" s="208"/>
      <c r="D1547" s="208"/>
      <c r="E1547" s="208"/>
      <c r="F1547" s="208"/>
      <c r="G1547" s="208"/>
      <c r="H1547" s="208"/>
      <c r="I1547" s="114"/>
      <c r="J1547" s="32" t="str">
        <f t="shared" si="713"/>
        <v/>
      </c>
      <c r="K1547" s="32" t="str">
        <f>IF(COUNTBLANK(R1547)&gt;0,"",CONCATENATE(R1547," for ",N1534))</f>
        <v/>
      </c>
      <c r="N1547" s="15" t="s">
        <v>125</v>
      </c>
      <c r="O1547" s="66"/>
      <c r="P1547" s="12"/>
      <c r="Q1547" s="12"/>
      <c r="R1547" s="12"/>
      <c r="S1547" s="28">
        <f>M1534</f>
        <v>0</v>
      </c>
      <c r="T1547" s="11"/>
      <c r="U1547" s="12" t="s">
        <v>292</v>
      </c>
      <c r="V1547" s="28">
        <f t="shared" si="707"/>
        <v>0</v>
      </c>
      <c r="W1547" s="28">
        <f>VLOOKUP(U1547,Sheet1!$B$6:$C$45,2,FALSE)*V1547</f>
        <v>0</v>
      </c>
      <c r="X1547" s="59"/>
      <c r="Y1547" s="12" t="s">
        <v>292</v>
      </c>
      <c r="Z1547" s="68">
        <f>VLOOKUP(Takeoffs!Y1547,Sheet1!$B$6:$C$124,2,FALSE)</f>
        <v>0</v>
      </c>
      <c r="AA1547" s="68">
        <f t="shared" si="708"/>
        <v>0</v>
      </c>
      <c r="AB1547" s="63">
        <f t="shared" si="709"/>
        <v>0</v>
      </c>
      <c r="AC1547" s="28">
        <f t="shared" si="714"/>
        <v>0</v>
      </c>
      <c r="AD1547" s="61">
        <v>1</v>
      </c>
      <c r="AE1547" s="59"/>
      <c r="AF1547" s="12" t="s">
        <v>292</v>
      </c>
      <c r="AG1547" s="68">
        <f>VLOOKUP(Takeoffs!AF1547,Sheet1!$B$6:$C$124,2,FALSE)</f>
        <v>0</v>
      </c>
      <c r="AH1547" s="68">
        <f t="shared" si="710"/>
        <v>0</v>
      </c>
      <c r="AI1547" s="63">
        <f t="shared" si="711"/>
        <v>0</v>
      </c>
      <c r="AJ1547" s="28">
        <f t="shared" si="712"/>
        <v>0</v>
      </c>
      <c r="AK1547" s="61">
        <f t="shared" si="715"/>
        <v>0</v>
      </c>
      <c r="AL1547" s="59"/>
      <c r="AO1547" s="286"/>
      <c r="AP1547" s="284">
        <f t="shared" si="693"/>
        <v>0</v>
      </c>
      <c r="AQ1547" s="281">
        <f t="shared" si="694"/>
        <v>0</v>
      </c>
      <c r="AR1547" s="284">
        <f t="shared" si="695"/>
        <v>0</v>
      </c>
      <c r="AS1547" s="281">
        <f t="shared" si="696"/>
        <v>0</v>
      </c>
      <c r="AT1547" s="284">
        <f t="shared" si="697"/>
        <v>0</v>
      </c>
    </row>
    <row r="1548" spans="1:46" s="32" customFormat="1" ht="30.9" x14ac:dyDescent="0.8">
      <c r="A1548" s="262">
        <f>ROW()</f>
        <v>1548</v>
      </c>
      <c r="B1548" s="114"/>
      <c r="C1548" s="208"/>
      <c r="D1548" s="208"/>
      <c r="E1548" s="208"/>
      <c r="F1548" s="208"/>
      <c r="G1548" s="208"/>
      <c r="H1548" s="208"/>
      <c r="I1548" s="114"/>
      <c r="J1548" s="32" t="str">
        <f t="shared" si="713"/>
        <v/>
      </c>
      <c r="K1548" s="32" t="str">
        <f>IF(COUNTBLANK(R1548)&gt;0,"",CONCATENATE(R1548," for ",N1534))</f>
        <v/>
      </c>
      <c r="N1548" s="15" t="s">
        <v>126</v>
      </c>
      <c r="O1548" s="66"/>
      <c r="P1548" s="12"/>
      <c r="Q1548" s="12"/>
      <c r="R1548" s="12"/>
      <c r="S1548" s="28">
        <f>M1534</f>
        <v>0</v>
      </c>
      <c r="T1548" s="11"/>
      <c r="U1548" s="12" t="s">
        <v>292</v>
      </c>
      <c r="V1548" s="28">
        <f t="shared" si="707"/>
        <v>0</v>
      </c>
      <c r="W1548" s="28">
        <f>VLOOKUP(U1548,Sheet1!$B$6:$C$45,2,FALSE)*V1548</f>
        <v>0</v>
      </c>
      <c r="X1548" s="59"/>
      <c r="Y1548" s="12" t="s">
        <v>292</v>
      </c>
      <c r="Z1548" s="68">
        <f>VLOOKUP(Takeoffs!Y1548,Sheet1!$B$6:$C$124,2,FALSE)</f>
        <v>0</v>
      </c>
      <c r="AA1548" s="68">
        <f t="shared" si="708"/>
        <v>0</v>
      </c>
      <c r="AB1548" s="63">
        <f t="shared" si="709"/>
        <v>0</v>
      </c>
      <c r="AC1548" s="28">
        <f t="shared" si="714"/>
        <v>0</v>
      </c>
      <c r="AD1548" s="61">
        <v>1</v>
      </c>
      <c r="AE1548" s="59"/>
      <c r="AF1548" s="12" t="s">
        <v>292</v>
      </c>
      <c r="AG1548" s="68">
        <f>VLOOKUP(Takeoffs!AF1548,Sheet1!$B$6:$C$124,2,FALSE)</f>
        <v>0</v>
      </c>
      <c r="AH1548" s="68">
        <f t="shared" si="710"/>
        <v>0</v>
      </c>
      <c r="AI1548" s="63">
        <f t="shared" si="711"/>
        <v>0</v>
      </c>
      <c r="AJ1548" s="28">
        <f t="shared" si="712"/>
        <v>0</v>
      </c>
      <c r="AK1548" s="61">
        <f t="shared" si="715"/>
        <v>0</v>
      </c>
      <c r="AL1548" s="59"/>
      <c r="AO1548" s="286"/>
      <c r="AP1548" s="284">
        <f t="shared" si="693"/>
        <v>0</v>
      </c>
      <c r="AQ1548" s="281">
        <f t="shared" si="694"/>
        <v>0</v>
      </c>
      <c r="AR1548" s="284">
        <f t="shared" si="695"/>
        <v>0</v>
      </c>
      <c r="AS1548" s="281">
        <f t="shared" si="696"/>
        <v>0</v>
      </c>
      <c r="AT1548" s="284">
        <f t="shared" si="697"/>
        <v>0</v>
      </c>
    </row>
    <row r="1549" spans="1:46" s="32" customFormat="1" ht="30.9" x14ac:dyDescent="0.8">
      <c r="A1549" s="262">
        <f>ROW()</f>
        <v>1549</v>
      </c>
      <c r="B1549" s="114"/>
      <c r="C1549" s="208"/>
      <c r="D1549" s="208"/>
      <c r="E1549" s="208"/>
      <c r="F1549" s="208"/>
      <c r="G1549" s="208"/>
      <c r="H1549" s="208"/>
      <c r="I1549" s="114"/>
      <c r="J1549" s="32" t="str">
        <f t="shared" si="713"/>
        <v/>
      </c>
      <c r="K1549" s="32" t="str">
        <f>IF(COUNTBLANK(R1549)&gt;0,"",CONCATENATE(R1549," for ",N1534))</f>
        <v/>
      </c>
      <c r="N1549" s="15" t="s">
        <v>127</v>
      </c>
      <c r="O1549" s="66"/>
      <c r="P1549" s="12"/>
      <c r="Q1549" s="12"/>
      <c r="R1549" s="12"/>
      <c r="S1549" s="28">
        <f>M1534</f>
        <v>0</v>
      </c>
      <c r="T1549" s="11"/>
      <c r="U1549" s="12" t="s">
        <v>292</v>
      </c>
      <c r="V1549" s="28">
        <f t="shared" si="707"/>
        <v>0</v>
      </c>
      <c r="W1549" s="28">
        <f>VLOOKUP(U1549,Sheet1!$B$6:$C$45,2,FALSE)*V1549</f>
        <v>0</v>
      </c>
      <c r="X1549" s="59"/>
      <c r="Y1549" s="12" t="s">
        <v>292</v>
      </c>
      <c r="Z1549" s="68">
        <f>VLOOKUP(Takeoffs!Y1549,Sheet1!$B$6:$C$124,2,FALSE)</f>
        <v>0</v>
      </c>
      <c r="AA1549" s="68">
        <f t="shared" si="708"/>
        <v>0</v>
      </c>
      <c r="AB1549" s="63">
        <f t="shared" si="709"/>
        <v>0</v>
      </c>
      <c r="AC1549" s="28">
        <f t="shared" si="714"/>
        <v>0</v>
      </c>
      <c r="AD1549" s="61">
        <v>1</v>
      </c>
      <c r="AE1549" s="59"/>
      <c r="AF1549" s="12" t="s">
        <v>292</v>
      </c>
      <c r="AG1549" s="68">
        <f>VLOOKUP(Takeoffs!AF1549,Sheet1!$B$6:$C$124,2,FALSE)</f>
        <v>0</v>
      </c>
      <c r="AH1549" s="68">
        <f t="shared" si="710"/>
        <v>0</v>
      </c>
      <c r="AI1549" s="63">
        <f t="shared" si="711"/>
        <v>0</v>
      </c>
      <c r="AJ1549" s="28">
        <f t="shared" si="712"/>
        <v>0</v>
      </c>
      <c r="AK1549" s="61">
        <f t="shared" si="715"/>
        <v>0</v>
      </c>
      <c r="AL1549" s="59"/>
      <c r="AO1549" s="286"/>
      <c r="AP1549" s="284">
        <f t="shared" si="693"/>
        <v>0</v>
      </c>
      <c r="AQ1549" s="281">
        <f t="shared" si="694"/>
        <v>0</v>
      </c>
      <c r="AR1549" s="284">
        <f t="shared" si="695"/>
        <v>0</v>
      </c>
      <c r="AS1549" s="281">
        <f t="shared" si="696"/>
        <v>0</v>
      </c>
      <c r="AT1549" s="284">
        <f t="shared" si="697"/>
        <v>0</v>
      </c>
    </row>
    <row r="1550" spans="1:46" s="32" customFormat="1" ht="30.9" x14ac:dyDescent="0.8">
      <c r="A1550" s="262">
        <f>ROW()</f>
        <v>1550</v>
      </c>
      <c r="B1550" s="114"/>
      <c r="C1550" s="208"/>
      <c r="D1550" s="208"/>
      <c r="E1550" s="208"/>
      <c r="F1550" s="208"/>
      <c r="G1550" s="208"/>
      <c r="H1550" s="208"/>
      <c r="I1550" s="114"/>
      <c r="J1550" s="32" t="str">
        <f t="shared" si="713"/>
        <v/>
      </c>
      <c r="K1550" s="32" t="str">
        <f>IF(COUNTBLANK(R1550)&gt;0,"",CONCATENATE(R1550," for ",N1534))</f>
        <v/>
      </c>
      <c r="N1550" s="15" t="s">
        <v>128</v>
      </c>
      <c r="O1550" s="66"/>
      <c r="P1550" s="12"/>
      <c r="Q1550" s="12"/>
      <c r="R1550" s="12"/>
      <c r="S1550" s="28">
        <f>M1534</f>
        <v>0</v>
      </c>
      <c r="T1550" s="11"/>
      <c r="U1550" s="12" t="s">
        <v>292</v>
      </c>
      <c r="V1550" s="28">
        <f t="shared" si="707"/>
        <v>0</v>
      </c>
      <c r="W1550" s="28">
        <f>VLOOKUP(U1550,Sheet1!$B$6:$C$45,2,FALSE)*V1550</f>
        <v>0</v>
      </c>
      <c r="X1550" s="59"/>
      <c r="Y1550" s="12" t="s">
        <v>292</v>
      </c>
      <c r="Z1550" s="68">
        <f>VLOOKUP(Takeoffs!Y1550,Sheet1!$B$6:$C$124,2,FALSE)</f>
        <v>0</v>
      </c>
      <c r="AA1550" s="68">
        <f t="shared" si="708"/>
        <v>0</v>
      </c>
      <c r="AB1550" s="63">
        <f t="shared" si="709"/>
        <v>0</v>
      </c>
      <c r="AC1550" s="28">
        <f t="shared" si="714"/>
        <v>0</v>
      </c>
      <c r="AD1550" s="61">
        <v>1</v>
      </c>
      <c r="AE1550" s="59"/>
      <c r="AF1550" s="12" t="s">
        <v>292</v>
      </c>
      <c r="AG1550" s="68">
        <f>VLOOKUP(Takeoffs!AF1550,Sheet1!$B$6:$C$124,2,FALSE)</f>
        <v>0</v>
      </c>
      <c r="AH1550" s="68">
        <f t="shared" si="710"/>
        <v>0</v>
      </c>
      <c r="AI1550" s="63">
        <f t="shared" si="711"/>
        <v>0</v>
      </c>
      <c r="AJ1550" s="28">
        <f t="shared" si="712"/>
        <v>0</v>
      </c>
      <c r="AK1550" s="61">
        <f t="shared" si="715"/>
        <v>0</v>
      </c>
      <c r="AL1550" s="59"/>
      <c r="AO1550" s="286"/>
      <c r="AP1550" s="284">
        <f t="shared" si="693"/>
        <v>0</v>
      </c>
      <c r="AQ1550" s="281">
        <f t="shared" si="694"/>
        <v>0</v>
      </c>
      <c r="AR1550" s="284">
        <f t="shared" si="695"/>
        <v>0</v>
      </c>
      <c r="AS1550" s="281">
        <f t="shared" si="696"/>
        <v>0</v>
      </c>
      <c r="AT1550" s="284">
        <f t="shared" si="697"/>
        <v>0</v>
      </c>
    </row>
    <row r="1551" spans="1:46" s="32" customFormat="1" ht="30.9" x14ac:dyDescent="0.8">
      <c r="A1551" s="262">
        <f>ROW()</f>
        <v>1551</v>
      </c>
      <c r="B1551" s="114"/>
      <c r="C1551" s="208"/>
      <c r="D1551" s="208"/>
      <c r="E1551" s="208"/>
      <c r="F1551" s="208"/>
      <c r="G1551" s="208"/>
      <c r="H1551" s="208"/>
      <c r="I1551" s="114"/>
      <c r="J1551" s="32" t="str">
        <f t="shared" si="713"/>
        <v/>
      </c>
      <c r="K1551" s="32" t="str">
        <f>IF(COUNTBLANK(R1551)&gt;0,"",CONCATENATE(R1551," for ",N1534))</f>
        <v/>
      </c>
      <c r="N1551" s="15" t="s">
        <v>129</v>
      </c>
      <c r="O1551" s="66"/>
      <c r="P1551" s="12"/>
      <c r="Q1551" s="12"/>
      <c r="R1551" s="12"/>
      <c r="S1551" s="28">
        <f>M1534</f>
        <v>0</v>
      </c>
      <c r="T1551" s="11"/>
      <c r="U1551" s="12" t="s">
        <v>292</v>
      </c>
      <c r="V1551" s="28">
        <f t="shared" si="707"/>
        <v>0</v>
      </c>
      <c r="W1551" s="28">
        <f>VLOOKUP(U1551,Sheet1!$B$6:$C$45,2,FALSE)*V1551</f>
        <v>0</v>
      </c>
      <c r="X1551" s="59"/>
      <c r="Y1551" s="12" t="s">
        <v>292</v>
      </c>
      <c r="Z1551" s="68">
        <f>VLOOKUP(Takeoffs!Y1551,Sheet1!$B$6:$C$124,2,FALSE)</f>
        <v>0</v>
      </c>
      <c r="AA1551" s="68">
        <f t="shared" si="708"/>
        <v>0</v>
      </c>
      <c r="AB1551" s="63">
        <f t="shared" si="709"/>
        <v>0</v>
      </c>
      <c r="AC1551" s="28">
        <f t="shared" si="714"/>
        <v>0</v>
      </c>
      <c r="AD1551" s="61">
        <v>1</v>
      </c>
      <c r="AE1551" s="59"/>
      <c r="AF1551" s="12" t="s">
        <v>292</v>
      </c>
      <c r="AG1551" s="68">
        <f>VLOOKUP(Takeoffs!AF1551,Sheet1!$B$6:$C$124,2,FALSE)</f>
        <v>0</v>
      </c>
      <c r="AH1551" s="68">
        <f t="shared" si="710"/>
        <v>0</v>
      </c>
      <c r="AI1551" s="63">
        <f t="shared" si="711"/>
        <v>0</v>
      </c>
      <c r="AJ1551" s="28">
        <f t="shared" si="712"/>
        <v>0</v>
      </c>
      <c r="AK1551" s="61">
        <f t="shared" si="715"/>
        <v>0</v>
      </c>
      <c r="AL1551" s="59"/>
      <c r="AO1551" s="286"/>
      <c r="AP1551" s="284">
        <f t="shared" si="693"/>
        <v>0</v>
      </c>
      <c r="AQ1551" s="281">
        <f t="shared" si="694"/>
        <v>0</v>
      </c>
      <c r="AR1551" s="284">
        <f t="shared" si="695"/>
        <v>0</v>
      </c>
      <c r="AS1551" s="281">
        <f t="shared" si="696"/>
        <v>0</v>
      </c>
      <c r="AT1551" s="284">
        <f t="shared" si="697"/>
        <v>0</v>
      </c>
    </row>
    <row r="1552" spans="1:46" s="32" customFormat="1" ht="30.9" x14ac:dyDescent="0.8">
      <c r="A1552" s="262">
        <f>ROW()</f>
        <v>1552</v>
      </c>
      <c r="B1552" s="114"/>
      <c r="C1552" s="208"/>
      <c r="D1552" s="208"/>
      <c r="E1552" s="208"/>
      <c r="F1552" s="208"/>
      <c r="G1552" s="208"/>
      <c r="H1552" s="208"/>
      <c r="I1552" s="114"/>
      <c r="J1552" s="32" t="str">
        <f t="shared" si="713"/>
        <v/>
      </c>
      <c r="K1552" s="32" t="str">
        <f>IF(COUNTBLANK(R1552)&gt;0,"",CONCATENATE(R1552," for ",N1534))</f>
        <v/>
      </c>
      <c r="N1552" s="15" t="s">
        <v>130</v>
      </c>
      <c r="O1552" s="66"/>
      <c r="P1552" s="12"/>
      <c r="Q1552" s="12"/>
      <c r="R1552" s="12"/>
      <c r="S1552" s="28">
        <f>M1534</f>
        <v>0</v>
      </c>
      <c r="T1552" s="11"/>
      <c r="U1552" s="12" t="s">
        <v>292</v>
      </c>
      <c r="V1552" s="28">
        <f t="shared" si="707"/>
        <v>0</v>
      </c>
      <c r="W1552" s="28">
        <f>VLOOKUP(U1552,Sheet1!$B$6:$C$45,2,FALSE)*V1552</f>
        <v>0</v>
      </c>
      <c r="X1552" s="59"/>
      <c r="Y1552" s="12" t="s">
        <v>292</v>
      </c>
      <c r="Z1552" s="68">
        <f>VLOOKUP(Takeoffs!Y1552,Sheet1!$B$6:$C$124,2,FALSE)</f>
        <v>0</v>
      </c>
      <c r="AA1552" s="68">
        <f t="shared" si="708"/>
        <v>0</v>
      </c>
      <c r="AB1552" s="63">
        <f t="shared" si="709"/>
        <v>0</v>
      </c>
      <c r="AC1552" s="28">
        <f t="shared" si="714"/>
        <v>0</v>
      </c>
      <c r="AD1552" s="61">
        <v>1</v>
      </c>
      <c r="AE1552" s="59"/>
      <c r="AF1552" s="12" t="s">
        <v>292</v>
      </c>
      <c r="AG1552" s="68">
        <f>VLOOKUP(Takeoffs!AF1552,Sheet1!$B$6:$C$124,2,FALSE)</f>
        <v>0</v>
      </c>
      <c r="AH1552" s="68">
        <f t="shared" si="710"/>
        <v>0</v>
      </c>
      <c r="AI1552" s="63">
        <f t="shared" si="711"/>
        <v>0</v>
      </c>
      <c r="AJ1552" s="28">
        <f t="shared" si="712"/>
        <v>0</v>
      </c>
      <c r="AK1552" s="61">
        <f t="shared" si="715"/>
        <v>0</v>
      </c>
      <c r="AL1552" s="59"/>
      <c r="AO1552" s="286"/>
      <c r="AP1552" s="284">
        <f t="shared" si="693"/>
        <v>0</v>
      </c>
      <c r="AQ1552" s="281">
        <f t="shared" si="694"/>
        <v>0</v>
      </c>
      <c r="AR1552" s="284">
        <f t="shared" si="695"/>
        <v>0</v>
      </c>
      <c r="AS1552" s="281">
        <f t="shared" si="696"/>
        <v>0</v>
      </c>
      <c r="AT1552" s="284">
        <f t="shared" si="697"/>
        <v>0</v>
      </c>
    </row>
    <row r="1553" spans="1:97" s="32" customFormat="1" ht="30.9" x14ac:dyDescent="0.8">
      <c r="A1553" s="262">
        <f>ROW()</f>
        <v>1553</v>
      </c>
      <c r="B1553" s="114"/>
      <c r="C1553" s="208"/>
      <c r="D1553" s="208"/>
      <c r="E1553" s="208"/>
      <c r="F1553" s="208"/>
      <c r="G1553" s="208"/>
      <c r="H1553" s="208"/>
      <c r="I1553" s="114"/>
      <c r="J1553" s="32" t="str">
        <f t="shared" si="713"/>
        <v/>
      </c>
      <c r="K1553" s="32" t="str">
        <f>IF(COUNTBLANK(R1553)&gt;0,"",CONCATENATE(R1553," for ",N1534))</f>
        <v/>
      </c>
      <c r="N1553" s="15" t="s">
        <v>131</v>
      </c>
      <c r="O1553" s="66"/>
      <c r="P1553" s="12"/>
      <c r="Q1553" s="12"/>
      <c r="R1553" s="12"/>
      <c r="S1553" s="28">
        <f>M1534</f>
        <v>0</v>
      </c>
      <c r="T1553" s="11"/>
      <c r="U1553" s="12" t="s">
        <v>292</v>
      </c>
      <c r="V1553" s="28">
        <f t="shared" si="707"/>
        <v>0</v>
      </c>
      <c r="W1553" s="28">
        <f>VLOOKUP(U1553,Sheet1!$B$6:$C$45,2,FALSE)*V1553</f>
        <v>0</v>
      </c>
      <c r="X1553" s="59"/>
      <c r="Y1553" s="12" t="s">
        <v>292</v>
      </c>
      <c r="Z1553" s="68">
        <f>VLOOKUP(Takeoffs!Y1553,Sheet1!$B$6:$C$124,2,FALSE)</f>
        <v>0</v>
      </c>
      <c r="AA1553" s="68">
        <f t="shared" si="708"/>
        <v>0</v>
      </c>
      <c r="AB1553" s="63">
        <f t="shared" si="709"/>
        <v>0</v>
      </c>
      <c r="AC1553" s="28">
        <f t="shared" si="714"/>
        <v>0</v>
      </c>
      <c r="AD1553" s="61">
        <v>1</v>
      </c>
      <c r="AE1553" s="59"/>
      <c r="AF1553" s="12" t="s">
        <v>292</v>
      </c>
      <c r="AG1553" s="68">
        <f>VLOOKUP(Takeoffs!AF1553,Sheet1!$B$6:$C$124,2,FALSE)</f>
        <v>0</v>
      </c>
      <c r="AH1553" s="68">
        <f t="shared" si="710"/>
        <v>0</v>
      </c>
      <c r="AI1553" s="63">
        <f t="shared" si="711"/>
        <v>0</v>
      </c>
      <c r="AJ1553" s="28">
        <f t="shared" si="712"/>
        <v>0</v>
      </c>
      <c r="AK1553" s="61">
        <f t="shared" si="715"/>
        <v>0</v>
      </c>
      <c r="AL1553" s="59"/>
      <c r="AO1553" s="286"/>
      <c r="AP1553" s="284">
        <f t="shared" si="693"/>
        <v>0</v>
      </c>
      <c r="AQ1553" s="281">
        <f t="shared" si="694"/>
        <v>0</v>
      </c>
      <c r="AR1553" s="284">
        <f t="shared" si="695"/>
        <v>0</v>
      </c>
      <c r="AS1553" s="281">
        <f t="shared" si="696"/>
        <v>0</v>
      </c>
      <c r="AT1553" s="284">
        <f t="shared" si="697"/>
        <v>0</v>
      </c>
    </row>
    <row r="1554" spans="1:97" s="32" customFormat="1" ht="30.9" x14ac:dyDescent="0.8">
      <c r="A1554" s="262">
        <f>ROW()</f>
        <v>1554</v>
      </c>
      <c r="B1554" s="114"/>
      <c r="C1554" s="208"/>
      <c r="D1554" s="208"/>
      <c r="E1554" s="208"/>
      <c r="F1554" s="208"/>
      <c r="G1554" s="208"/>
      <c r="H1554" s="208"/>
      <c r="I1554" s="114"/>
      <c r="J1554" s="32" t="str">
        <f t="shared" si="713"/>
        <v/>
      </c>
      <c r="K1554" s="32" t="str">
        <f>IF(COUNTBLANK(R1554)&gt;0,"",CONCATENATE(R1554," for ",N1534))</f>
        <v/>
      </c>
      <c r="N1554" s="15" t="s">
        <v>132</v>
      </c>
      <c r="O1554" s="66"/>
      <c r="P1554" s="12"/>
      <c r="Q1554" s="12"/>
      <c r="R1554" s="12"/>
      <c r="S1554" s="28">
        <f>M1534</f>
        <v>0</v>
      </c>
      <c r="T1554" s="11"/>
      <c r="U1554" s="12" t="s">
        <v>292</v>
      </c>
      <c r="V1554" s="28">
        <f t="shared" si="707"/>
        <v>0</v>
      </c>
      <c r="W1554" s="28">
        <f>VLOOKUP(U1554,Sheet1!$B$6:$C$45,2,FALSE)*V1554</f>
        <v>0</v>
      </c>
      <c r="X1554" s="59"/>
      <c r="Y1554" s="12" t="s">
        <v>292</v>
      </c>
      <c r="Z1554" s="68">
        <f>VLOOKUP(Takeoffs!Y1554,Sheet1!$B$6:$C$124,2,FALSE)</f>
        <v>0</v>
      </c>
      <c r="AA1554" s="68">
        <f t="shared" si="708"/>
        <v>0</v>
      </c>
      <c r="AB1554" s="63">
        <f t="shared" si="709"/>
        <v>0</v>
      </c>
      <c r="AC1554" s="28">
        <f t="shared" si="714"/>
        <v>0</v>
      </c>
      <c r="AD1554" s="61">
        <v>1</v>
      </c>
      <c r="AE1554" s="59"/>
      <c r="AF1554" s="12" t="s">
        <v>292</v>
      </c>
      <c r="AG1554" s="68">
        <f>VLOOKUP(Takeoffs!AF1554,Sheet1!$B$6:$C$124,2,FALSE)</f>
        <v>0</v>
      </c>
      <c r="AH1554" s="68">
        <f t="shared" si="710"/>
        <v>0</v>
      </c>
      <c r="AI1554" s="63">
        <f t="shared" si="711"/>
        <v>0</v>
      </c>
      <c r="AJ1554" s="28">
        <f t="shared" si="712"/>
        <v>0</v>
      </c>
      <c r="AK1554" s="61">
        <f t="shared" si="715"/>
        <v>0</v>
      </c>
      <c r="AL1554" s="59"/>
      <c r="AO1554" s="286"/>
      <c r="AP1554" s="284">
        <f t="shared" si="693"/>
        <v>0</v>
      </c>
      <c r="AQ1554" s="281">
        <f t="shared" si="694"/>
        <v>0</v>
      </c>
      <c r="AR1554" s="284">
        <f t="shared" si="695"/>
        <v>0</v>
      </c>
      <c r="AS1554" s="281">
        <f t="shared" si="696"/>
        <v>0</v>
      </c>
      <c r="AT1554" s="284">
        <f t="shared" si="697"/>
        <v>0</v>
      </c>
    </row>
    <row r="1555" spans="1:97" s="21" customFormat="1" ht="31.5" customHeight="1" x14ac:dyDescent="0.8">
      <c r="A1555" s="262">
        <f>ROW()</f>
        <v>1555</v>
      </c>
      <c r="B1555" s="128"/>
      <c r="C1555" s="212"/>
      <c r="D1555" s="212"/>
      <c r="E1555" s="212"/>
      <c r="F1555" s="212"/>
      <c r="G1555" s="212"/>
      <c r="H1555" s="212"/>
      <c r="I1555" s="128"/>
      <c r="J1555" s="21" t="s">
        <v>377</v>
      </c>
      <c r="L1555" s="21" t="s">
        <v>378</v>
      </c>
      <c r="N1555" s="22"/>
      <c r="O1555" s="23" t="s">
        <v>357</v>
      </c>
      <c r="P1555" s="24">
        <f>V1555+AA1555+AH1555</f>
        <v>0</v>
      </c>
      <c r="Q1555" s="24"/>
      <c r="R1555" s="24"/>
      <c r="S1555" s="23"/>
      <c r="T1555" s="20"/>
      <c r="U1555" s="19" t="s">
        <v>351</v>
      </c>
      <c r="V1555" s="20">
        <f>W1555*80</f>
        <v>0</v>
      </c>
      <c r="W1555" s="69">
        <f>SUM(W1534:W1554)</f>
        <v>0</v>
      </c>
      <c r="X1555" s="70"/>
      <c r="Y1555" s="20" t="s">
        <v>352</v>
      </c>
      <c r="Z1555" s="2"/>
      <c r="AA1555" s="2">
        <f>SUM(AA1534:AA1554)</f>
        <v>0</v>
      </c>
      <c r="AB1555" s="71"/>
      <c r="AC1555" s="71"/>
      <c r="AD1555" s="71"/>
      <c r="AE1555" s="71"/>
      <c r="AF1555" s="20" t="s">
        <v>356</v>
      </c>
      <c r="AG1555" s="2"/>
      <c r="AH1555" s="2">
        <f>SUM(AH1534:AH1554)</f>
        <v>0</v>
      </c>
      <c r="AI1555" s="71"/>
      <c r="AJ1555" s="71"/>
      <c r="AK1555" s="71"/>
      <c r="AL1555" s="71"/>
      <c r="AM1555" s="150">
        <f>P1555</f>
        <v>0</v>
      </c>
      <c r="AO1555" s="286"/>
      <c r="AP1555" s="284">
        <f t="shared" si="693"/>
        <v>0</v>
      </c>
      <c r="AQ1555" s="281">
        <f t="shared" si="694"/>
        <v>0</v>
      </c>
      <c r="AR1555" s="284">
        <f t="shared" si="695"/>
        <v>0</v>
      </c>
      <c r="AS1555" s="281">
        <f t="shared" si="696"/>
        <v>0</v>
      </c>
      <c r="AT1555" s="284">
        <f t="shared" si="697"/>
        <v>0</v>
      </c>
    </row>
    <row r="1556" spans="1:97" s="219" customFormat="1" ht="154.30000000000001" x14ac:dyDescent="0.8">
      <c r="A1556" s="262">
        <f>ROW()</f>
        <v>1556</v>
      </c>
      <c r="B1556" s="234" t="s">
        <v>491</v>
      </c>
      <c r="C1556" s="217" t="str">
        <f>N1534</f>
        <v>Ducted VRF indoor fan coil units</v>
      </c>
      <c r="D1556" s="260" t="s">
        <v>677</v>
      </c>
      <c r="E1556" s="238"/>
      <c r="F1556" s="217"/>
      <c r="G1556" s="217"/>
      <c r="H1556" s="245"/>
      <c r="I1556" s="270"/>
      <c r="J1556" s="241" t="str">
        <f>CONCATENATE(O1534," ",L1534, " (",M1534,") ",N1534,".", IF(M1534&gt;1," Each "," This "),"includes supply and install of ",O1535,O1536,O1537,O1538,O1539,O1540,O1541,O1542,O1543,O1544,O1545,O1546,O1547,O1548,O1549,O1550,O1551,O1552,O1553,O1554,J1535,J1536,J1537,J1538,J1539,J1540,J1541,J1542,J1543,J1544,J1545,J1546,J1547,J1548,J1549,J1550,J1551,J1552,J1553,J1554)</f>
        <v>Electrical power supply and controls cabling to Zero (0) Ducted VRF indoor fan coil units. This includes supply and install of controls cabling, CB, power cabling from outdoor unit and local power isolator. Each system includes install only of  proprietary controller and install only of branch connector boxes interconnect cabling. Coordination Note: - AC system supplier: Please refer to our exclusions relating to proprietary air-conditioning controllers. Coordination Note: - AC system supplier: Please refer to our exclusions relating to proprietary air-conditioning interconnect cabling for branch connector boxes.</v>
      </c>
      <c r="K1556" s="246">
        <f>P1555</f>
        <v>0</v>
      </c>
      <c r="L1556" s="234" t="str">
        <f>CONCATENATE(Q1535,Q1536,Q1537,Q1538,Q1539,Q1540,Q1541,Q1542,Q1543,Q1544,Q1545,Q1546,Q1547,Q1548,Q1549,Q1550,Q1551,Q1552,Q1553,Q1554,)</f>
        <v>proprietary air-conditioning controllers. proprietary air-conditioning interconnect cabling for branch connector boxes.</v>
      </c>
      <c r="M1556" s="91" t="s">
        <v>367</v>
      </c>
      <c r="N1556" s="83" t="str">
        <f>N1534</f>
        <v>Ducted VRF indoor fan coil units</v>
      </c>
      <c r="O1556" s="83" t="s">
        <v>365</v>
      </c>
      <c r="P1556" s="64" t="e">
        <f>P1555/M1534</f>
        <v>#DIV/0!</v>
      </c>
      <c r="Q1556" s="84"/>
      <c r="R1556" s="84"/>
      <c r="S1556" s="83"/>
      <c r="T1556" s="84"/>
      <c r="U1556" s="503" t="s">
        <v>366</v>
      </c>
      <c r="V1556" s="503"/>
      <c r="W1556" s="85" t="e">
        <f>W1555/M1534</f>
        <v>#DIV/0!</v>
      </c>
      <c r="X1556" s="86"/>
      <c r="Y1556" s="501" t="s">
        <v>365</v>
      </c>
      <c r="Z1556" s="501"/>
      <c r="AA1556" s="87" t="e">
        <f>AA1555/M1534</f>
        <v>#DIV/0!</v>
      </c>
      <c r="AB1556" s="84"/>
      <c r="AC1556" s="84"/>
      <c r="AD1556" s="84"/>
      <c r="AE1556" s="84"/>
      <c r="AF1556" s="501" t="s">
        <v>365</v>
      </c>
      <c r="AG1556" s="501"/>
      <c r="AH1556" s="87" t="e">
        <f>AH1555/M1534</f>
        <v>#DIV/0!</v>
      </c>
      <c r="AI1556" s="84"/>
      <c r="AJ1556" s="84"/>
      <c r="AK1556" s="84"/>
      <c r="AL1556" s="247"/>
      <c r="AM1556" s="117"/>
      <c r="AN1556" s="236">
        <f>K1556*1.25</f>
        <v>0</v>
      </c>
      <c r="AO1556" s="286"/>
      <c r="AP1556" s="284">
        <f t="shared" ref="AP1556:AP1619" si="716">IF(AND(I1556&gt;0, ISNUMBER(I1556)),I1556*P1556,0)</f>
        <v>0</v>
      </c>
      <c r="AQ1556" s="281">
        <f t="shared" ref="AQ1556:AQ1619" si="717">IF(AND(I1556&gt;0, ISNUMBER(I1556)),I1556*W1556*80,0)</f>
        <v>0</v>
      </c>
      <c r="AR1556" s="284">
        <f t="shared" ref="AR1556:AR1619" si="718">IF(AND(I1556&gt;0, ISNUMBER(I1556)),I1556*AA1556,0)</f>
        <v>0</v>
      </c>
      <c r="AS1556" s="281">
        <f t="shared" ref="AS1556:AS1619" si="719">IF(AND(I1556&gt;0, ISNUMBER(I1556)),I1556*AH1556,0)</f>
        <v>0</v>
      </c>
      <c r="AT1556" s="284">
        <f t="shared" ref="AT1556:AT1619" si="720">IF(AND(I1556&gt;0, ISNUMBER(I1556)),I1556*(AP1556-(AQ1556+AR1556+AS1556)),0)</f>
        <v>0</v>
      </c>
      <c r="AU1556" s="117"/>
      <c r="AV1556" s="117"/>
      <c r="AW1556" s="117"/>
      <c r="AX1556" s="117"/>
      <c r="AY1556" s="117"/>
      <c r="AZ1556" s="117"/>
      <c r="BA1556" s="117"/>
      <c r="BB1556" s="117"/>
      <c r="BC1556" s="117"/>
      <c r="BD1556" s="117"/>
      <c r="BE1556" s="117"/>
      <c r="BF1556" s="117"/>
      <c r="BG1556" s="117"/>
      <c r="BH1556" s="117"/>
      <c r="BI1556" s="117"/>
      <c r="BJ1556" s="117"/>
      <c r="BK1556" s="117"/>
      <c r="BL1556" s="117"/>
      <c r="BM1556" s="117"/>
      <c r="BN1556" s="117"/>
      <c r="BO1556" s="117"/>
      <c r="BP1556" s="117"/>
      <c r="BQ1556" s="117"/>
      <c r="BR1556" s="117"/>
      <c r="BS1556" s="117"/>
      <c r="BT1556" s="117"/>
      <c r="BU1556" s="117"/>
      <c r="BV1556" s="117"/>
      <c r="BW1556" s="117"/>
      <c r="BX1556" s="117"/>
      <c r="BY1556" s="117"/>
      <c r="BZ1556" s="117"/>
      <c r="CA1556" s="117"/>
      <c r="CB1556" s="117"/>
      <c r="CC1556" s="117"/>
      <c r="CD1556" s="117"/>
      <c r="CE1556" s="117"/>
      <c r="CF1556" s="117"/>
      <c r="CG1556" s="117"/>
      <c r="CH1556" s="117"/>
      <c r="CI1556" s="117"/>
      <c r="CJ1556" s="117"/>
      <c r="CK1556" s="117"/>
      <c r="CL1556" s="117"/>
      <c r="CM1556" s="117"/>
      <c r="CN1556" s="117"/>
      <c r="CO1556" s="117"/>
      <c r="CP1556" s="117"/>
      <c r="CQ1556" s="117"/>
      <c r="CR1556" s="117"/>
      <c r="CS1556" s="117"/>
    </row>
    <row r="1557" spans="1:97" customFormat="1" ht="30.9" x14ac:dyDescent="0.8">
      <c r="A1557" s="262">
        <f>ROW()</f>
        <v>1557</v>
      </c>
      <c r="B1557" s="114"/>
      <c r="C1557" s="208"/>
      <c r="D1557" s="208"/>
      <c r="E1557" s="208"/>
      <c r="F1557" s="208"/>
      <c r="G1557" s="208"/>
      <c r="H1557" s="208"/>
      <c r="I1557" s="114"/>
      <c r="Q1557" s="32"/>
      <c r="R1557" s="32"/>
      <c r="T1557" s="8"/>
      <c r="W1557" s="32"/>
      <c r="X1557" s="25"/>
      <c r="Z1557" s="68" t="e">
        <f>VLOOKUP(Takeoffs!Y1557,Sheet1!$B$6:$C$124,2,FALSE)</f>
        <v>#N/A</v>
      </c>
      <c r="AA1557" s="68"/>
      <c r="AB1557" s="32"/>
      <c r="AC1557" s="32"/>
      <c r="AD1557" s="32"/>
      <c r="AE1557" s="25"/>
      <c r="AF1557" s="32"/>
      <c r="AG1557" s="68" t="e">
        <f>VLOOKUP(Takeoffs!AF1557,Sheet1!$B$6:$C$124,2,FALSE)</f>
        <v>#N/A</v>
      </c>
      <c r="AH1557" s="68"/>
      <c r="AI1557" s="32"/>
      <c r="AJ1557" s="32"/>
      <c r="AK1557" s="32"/>
      <c r="AL1557" s="25"/>
      <c r="AO1557" s="286"/>
      <c r="AP1557" s="284">
        <f t="shared" si="716"/>
        <v>0</v>
      </c>
      <c r="AQ1557" s="281">
        <f t="shared" si="717"/>
        <v>0</v>
      </c>
      <c r="AR1557" s="284">
        <f t="shared" si="718"/>
        <v>0</v>
      </c>
      <c r="AS1557" s="281">
        <f t="shared" si="719"/>
        <v>0</v>
      </c>
      <c r="AT1557" s="284">
        <f t="shared" si="720"/>
        <v>0</v>
      </c>
    </row>
    <row r="1558" spans="1:97" customFormat="1" ht="30.9" x14ac:dyDescent="0.8">
      <c r="A1558" s="262">
        <f>ROW()</f>
        <v>1558</v>
      </c>
      <c r="B1558" s="114"/>
      <c r="C1558" s="208"/>
      <c r="D1558" s="208"/>
      <c r="E1558" s="208"/>
      <c r="F1558" s="208"/>
      <c r="G1558" s="208"/>
      <c r="H1558" s="208"/>
      <c r="I1558" s="114"/>
      <c r="Q1558" s="32"/>
      <c r="R1558" s="32"/>
      <c r="T1558" s="8"/>
      <c r="W1558" s="32"/>
      <c r="X1558" s="25"/>
      <c r="Z1558" s="68" t="e">
        <f>VLOOKUP(Takeoffs!Y1558,Sheet1!$B$6:$C$124,2,FALSE)</f>
        <v>#N/A</v>
      </c>
      <c r="AA1558" s="68"/>
      <c r="AB1558" s="32"/>
      <c r="AC1558" s="32"/>
      <c r="AD1558" s="32"/>
      <c r="AE1558" s="25"/>
      <c r="AF1558" s="32"/>
      <c r="AG1558" s="68" t="e">
        <f>VLOOKUP(Takeoffs!AF1558,Sheet1!$B$6:$C$124,2,FALSE)</f>
        <v>#N/A</v>
      </c>
      <c r="AH1558" s="68"/>
      <c r="AI1558" s="32"/>
      <c r="AJ1558" s="32"/>
      <c r="AK1558" s="32"/>
      <c r="AL1558" s="25"/>
      <c r="AO1558" s="286"/>
      <c r="AP1558" s="284">
        <f t="shared" si="716"/>
        <v>0</v>
      </c>
      <c r="AQ1558" s="281">
        <f t="shared" si="717"/>
        <v>0</v>
      </c>
      <c r="AR1558" s="284">
        <f t="shared" si="718"/>
        <v>0</v>
      </c>
      <c r="AS1558" s="281">
        <f t="shared" si="719"/>
        <v>0</v>
      </c>
      <c r="AT1558" s="284">
        <f t="shared" si="720"/>
        <v>0</v>
      </c>
    </row>
    <row r="1559" spans="1:97" s="116" customFormat="1" ht="192.75" customHeight="1" x14ac:dyDescent="0.8">
      <c r="A1559" s="262">
        <f>ROW()</f>
        <v>1559</v>
      </c>
      <c r="C1559" s="211"/>
      <c r="D1559" s="211"/>
      <c r="E1559" s="211"/>
      <c r="F1559" s="211"/>
      <c r="G1559" s="211"/>
      <c r="H1559" s="211"/>
      <c r="K1559" s="116" t="s">
        <v>452</v>
      </c>
      <c r="M1559" s="116" t="s">
        <v>107</v>
      </c>
      <c r="N1559" s="116" t="s">
        <v>108</v>
      </c>
      <c r="O1559" s="170" t="s">
        <v>386</v>
      </c>
      <c r="P1559" s="502" t="s">
        <v>375</v>
      </c>
      <c r="Q1559" s="502"/>
      <c r="R1559" s="101" t="s">
        <v>452</v>
      </c>
      <c r="S1559" s="116" t="s">
        <v>0</v>
      </c>
      <c r="T1559" s="118"/>
      <c r="U1559" s="116" t="s">
        <v>287</v>
      </c>
      <c r="V1559" s="116" t="s">
        <v>288</v>
      </c>
      <c r="W1559" s="116" t="s">
        <v>291</v>
      </c>
      <c r="X1559" s="140"/>
      <c r="Y1559" s="116" t="s">
        <v>289</v>
      </c>
      <c r="Z1559" s="116" t="s">
        <v>354</v>
      </c>
      <c r="AA1559" s="116" t="s">
        <v>355</v>
      </c>
      <c r="AB1559" s="116" t="s">
        <v>317</v>
      </c>
      <c r="AC1559" s="116" t="s">
        <v>318</v>
      </c>
      <c r="AD1559" s="116" t="s">
        <v>316</v>
      </c>
      <c r="AE1559" s="140"/>
      <c r="AF1559" s="116" t="s">
        <v>293</v>
      </c>
      <c r="AG1559" s="116" t="s">
        <v>354</v>
      </c>
      <c r="AH1559" s="116" t="s">
        <v>355</v>
      </c>
      <c r="AI1559" s="116" t="s">
        <v>296</v>
      </c>
      <c r="AJ1559" s="116" t="s">
        <v>294</v>
      </c>
      <c r="AK1559" s="116" t="s">
        <v>295</v>
      </c>
      <c r="AL1559" s="140"/>
      <c r="AO1559" s="288"/>
      <c r="AP1559" s="284">
        <f t="shared" si="716"/>
        <v>0</v>
      </c>
      <c r="AQ1559" s="281">
        <f t="shared" si="717"/>
        <v>0</v>
      </c>
      <c r="AR1559" s="284">
        <f t="shared" si="718"/>
        <v>0</v>
      </c>
      <c r="AS1559" s="281">
        <f t="shared" si="719"/>
        <v>0</v>
      </c>
      <c r="AT1559" s="284">
        <f t="shared" si="720"/>
        <v>0</v>
      </c>
    </row>
    <row r="1560" spans="1:97" s="114" customFormat="1" ht="31.5" customHeight="1" x14ac:dyDescent="0.8">
      <c r="A1560" s="262">
        <f>ROW()</f>
        <v>1560</v>
      </c>
      <c r="C1560" s="208"/>
      <c r="D1560" s="208"/>
      <c r="E1560" s="208"/>
      <c r="F1560" s="208"/>
      <c r="G1560" s="208"/>
      <c r="H1560" s="208"/>
      <c r="L1560" s="124" t="str">
        <f>VLOOKUP(M1560,Sheet2!$D$2:$E$1024,2,FALSE)</f>
        <v>Zero</v>
      </c>
      <c r="M1560" s="121">
        <f>I1582</f>
        <v>0</v>
      </c>
      <c r="N1560" s="132" t="s">
        <v>565</v>
      </c>
      <c r="O1560" s="121" t="s">
        <v>133</v>
      </c>
      <c r="P1560" s="169" t="s">
        <v>379</v>
      </c>
      <c r="Q1560" s="169" t="s">
        <v>375</v>
      </c>
      <c r="R1560" s="169"/>
      <c r="S1560" s="133">
        <f>M1560</f>
        <v>0</v>
      </c>
      <c r="T1560" s="119"/>
      <c r="U1560" s="121" t="s">
        <v>292</v>
      </c>
      <c r="V1560" s="133">
        <f>S1560</f>
        <v>0</v>
      </c>
      <c r="W1560" s="133">
        <f>VLOOKUP(U1560,Sheet1!$B$6:$C$45,2,FALSE)*V1560</f>
        <v>0</v>
      </c>
      <c r="X1560" s="141"/>
      <c r="Y1560" s="121" t="s">
        <v>292</v>
      </c>
      <c r="Z1560" s="146">
        <f>VLOOKUP(Takeoffs!Y1560,Sheet1!$B$6:$C$124,2,FALSE)</f>
        <v>0</v>
      </c>
      <c r="AA1560" s="146">
        <f>Z1560*AB1560</f>
        <v>0</v>
      </c>
      <c r="AB1560" s="143">
        <f>AD1560*AC1560</f>
        <v>0</v>
      </c>
      <c r="AC1560" s="133">
        <f>S1560</f>
        <v>0</v>
      </c>
      <c r="AD1560" s="142">
        <v>1</v>
      </c>
      <c r="AE1560" s="141"/>
      <c r="AF1560" s="121" t="s">
        <v>292</v>
      </c>
      <c r="AG1560" s="146">
        <f>VLOOKUP(Takeoffs!AF1560,Sheet1!$B$6:$C$124,2,FALSE)</f>
        <v>0</v>
      </c>
      <c r="AH1560" s="146">
        <f>AG1560*AI1560</f>
        <v>0</v>
      </c>
      <c r="AI1560" s="143">
        <f>AK1560*AJ1560</f>
        <v>0</v>
      </c>
      <c r="AJ1560" s="133">
        <f>S1560</f>
        <v>0</v>
      </c>
      <c r="AK1560" s="142">
        <f>T1560</f>
        <v>0</v>
      </c>
      <c r="AL1560" s="141"/>
      <c r="AO1560" s="286"/>
      <c r="AP1560" s="284">
        <f t="shared" si="716"/>
        <v>0</v>
      </c>
      <c r="AQ1560" s="281">
        <f t="shared" si="717"/>
        <v>0</v>
      </c>
      <c r="AR1560" s="284">
        <f t="shared" si="718"/>
        <v>0</v>
      </c>
      <c r="AS1560" s="281">
        <f t="shared" si="719"/>
        <v>0</v>
      </c>
      <c r="AT1560" s="284">
        <f t="shared" si="720"/>
        <v>0</v>
      </c>
    </row>
    <row r="1561" spans="1:97" s="114" customFormat="1" ht="30.9" x14ac:dyDescent="0.8">
      <c r="A1561" s="262">
        <f>ROW()</f>
        <v>1561</v>
      </c>
      <c r="C1561" s="208"/>
      <c r="D1561" s="208"/>
      <c r="E1561" s="208"/>
      <c r="F1561" s="208"/>
      <c r="G1561" s="208"/>
      <c r="H1561" s="208"/>
      <c r="J1561" s="114" t="str">
        <f>IF(COUNTBLANK(Q1561)&gt;0,"",CONCATENATE("Coordination Note: - ",P1561,": Please refer to our exclusions relating to ",Q1561))</f>
        <v/>
      </c>
      <c r="K1561" s="114" t="str">
        <f>IF(COUNTBLANK(R1561)&gt;0,"",CONCATENATE(R1561," for ",N1560))</f>
        <v/>
      </c>
      <c r="M1561" s="117"/>
      <c r="N1561" s="123" t="s">
        <v>113</v>
      </c>
      <c r="O1561" s="66" t="s">
        <v>395</v>
      </c>
      <c r="P1561" s="121"/>
      <c r="Q1561" s="66"/>
      <c r="R1561" s="121"/>
      <c r="S1561" s="133">
        <f>M1560</f>
        <v>0</v>
      </c>
      <c r="T1561" s="120"/>
      <c r="U1561" s="121" t="s">
        <v>297</v>
      </c>
      <c r="V1561" s="133">
        <f t="shared" ref="V1561:V1580" si="721">S1561</f>
        <v>0</v>
      </c>
      <c r="W1561" s="133">
        <f>VLOOKUP(U1561,Sheet1!$B$6:$C$45,2,FALSE)*V1561</f>
        <v>0</v>
      </c>
      <c r="X1561" s="141"/>
      <c r="Y1561" s="122" t="s">
        <v>250</v>
      </c>
      <c r="Z1561" s="146">
        <f>VLOOKUP(Takeoffs!Y1561,Sheet1!$B$6:$C$124,2,FALSE)</f>
        <v>43.440000000000005</v>
      </c>
      <c r="AA1561" s="146">
        <f t="shared" ref="AA1561:AA1580" si="722">Z1561*AB1561</f>
        <v>0</v>
      </c>
      <c r="AB1561" s="143">
        <f t="shared" ref="AB1561:AB1580" si="723">AD1561*AC1561</f>
        <v>0</v>
      </c>
      <c r="AC1561" s="133">
        <f t="shared" ref="AC1561:AC1580" si="724">S1561</f>
        <v>0</v>
      </c>
      <c r="AD1561" s="142">
        <v>1</v>
      </c>
      <c r="AE1561" s="141"/>
      <c r="AF1561" s="122" t="s">
        <v>266</v>
      </c>
      <c r="AG1561" s="146">
        <f>VLOOKUP(Takeoffs!AF1561,Sheet1!$B$6:$C$124,2,FALSE)</f>
        <v>4.5599999999999996</v>
      </c>
      <c r="AH1561" s="146">
        <f t="shared" ref="AH1561:AH1580" si="725">AG1561*AI1561</f>
        <v>0</v>
      </c>
      <c r="AI1561" s="143">
        <f t="shared" ref="AI1561:AI1580" si="726">AK1561*AJ1561</f>
        <v>0</v>
      </c>
      <c r="AJ1561" s="133">
        <f t="shared" ref="AJ1561:AJ1580" si="727">S1561</f>
        <v>0</v>
      </c>
      <c r="AK1561" s="142">
        <v>15</v>
      </c>
      <c r="AL1561" s="141"/>
      <c r="AO1561" s="286"/>
      <c r="AP1561" s="284">
        <f t="shared" si="716"/>
        <v>0</v>
      </c>
      <c r="AQ1561" s="281">
        <f t="shared" si="717"/>
        <v>0</v>
      </c>
      <c r="AR1561" s="284">
        <f t="shared" si="718"/>
        <v>0</v>
      </c>
      <c r="AS1561" s="281">
        <f t="shared" si="719"/>
        <v>0</v>
      </c>
      <c r="AT1561" s="284">
        <f t="shared" si="720"/>
        <v>0</v>
      </c>
    </row>
    <row r="1562" spans="1:97" s="114" customFormat="1" ht="30.9" x14ac:dyDescent="0.8">
      <c r="A1562" s="262">
        <f>ROW()</f>
        <v>1562</v>
      </c>
      <c r="C1562" s="208"/>
      <c r="D1562" s="208"/>
      <c r="E1562" s="208"/>
      <c r="F1562" s="208"/>
      <c r="G1562" s="208"/>
      <c r="H1562" s="208"/>
      <c r="J1562" s="114" t="str">
        <f t="shared" ref="J1562:J1580" si="728">IF(COUNTBLANK(Q1562)&gt;0,"",CONCATENATE("Coordination Note: - ",P1562,": Please refer to our exclusions relating to ",Q1562))</f>
        <v/>
      </c>
      <c r="K1562" s="114" t="str">
        <f>IF(COUNTBLANK(R1562)&gt;0,"",CONCATENATE(R1562," for ",N1560))</f>
        <v/>
      </c>
      <c r="M1562" s="117"/>
      <c r="N1562" s="123" t="s">
        <v>114</v>
      </c>
      <c r="O1562" s="66"/>
      <c r="P1562" s="121"/>
      <c r="Q1562" s="66"/>
      <c r="R1562" s="121"/>
      <c r="S1562" s="133">
        <f>M1560</f>
        <v>0</v>
      </c>
      <c r="T1562" s="120"/>
      <c r="U1562" s="117" t="s">
        <v>363</v>
      </c>
      <c r="V1562" s="133">
        <f t="shared" si="721"/>
        <v>0</v>
      </c>
      <c r="W1562" s="133">
        <f>VLOOKUP(U1562,Sheet1!$B$6:$C$45,2,FALSE)*V1562</f>
        <v>0</v>
      </c>
      <c r="X1562" s="141"/>
      <c r="Y1562" s="122" t="s">
        <v>245</v>
      </c>
      <c r="Z1562" s="146">
        <f>VLOOKUP(Takeoffs!Y1562,Sheet1!$B$6:$C$124,2,FALSE)</f>
        <v>46.463999999999999</v>
      </c>
      <c r="AA1562" s="146">
        <f t="shared" si="722"/>
        <v>0</v>
      </c>
      <c r="AB1562" s="143">
        <f t="shared" si="723"/>
        <v>0</v>
      </c>
      <c r="AC1562" s="133">
        <f t="shared" si="724"/>
        <v>0</v>
      </c>
      <c r="AD1562" s="142">
        <v>1</v>
      </c>
      <c r="AE1562" s="141"/>
      <c r="AF1562" s="121" t="s">
        <v>292</v>
      </c>
      <c r="AG1562" s="146">
        <f>VLOOKUP(Takeoffs!AF1562,Sheet1!$B$6:$C$124,2,FALSE)</f>
        <v>0</v>
      </c>
      <c r="AH1562" s="146">
        <f t="shared" si="725"/>
        <v>0</v>
      </c>
      <c r="AI1562" s="143">
        <f t="shared" si="726"/>
        <v>0</v>
      </c>
      <c r="AJ1562" s="133">
        <f t="shared" si="727"/>
        <v>0</v>
      </c>
      <c r="AK1562" s="142">
        <f t="shared" ref="AK1562:AK1580" si="729">T1562</f>
        <v>0</v>
      </c>
      <c r="AL1562" s="141"/>
      <c r="AO1562" s="286"/>
      <c r="AP1562" s="284">
        <f t="shared" si="716"/>
        <v>0</v>
      </c>
      <c r="AQ1562" s="281">
        <f t="shared" si="717"/>
        <v>0</v>
      </c>
      <c r="AR1562" s="284">
        <f t="shared" si="718"/>
        <v>0</v>
      </c>
      <c r="AS1562" s="281">
        <f t="shared" si="719"/>
        <v>0</v>
      </c>
      <c r="AT1562" s="284">
        <f t="shared" si="720"/>
        <v>0</v>
      </c>
    </row>
    <row r="1563" spans="1:97" s="114" customFormat="1" ht="30.9" x14ac:dyDescent="0.8">
      <c r="A1563" s="262">
        <f>ROW()</f>
        <v>1563</v>
      </c>
      <c r="C1563" s="208"/>
      <c r="D1563" s="208"/>
      <c r="E1563" s="208"/>
      <c r="F1563" s="208"/>
      <c r="G1563" s="208"/>
      <c r="H1563" s="208"/>
      <c r="J1563" s="114" t="str">
        <f t="shared" si="728"/>
        <v/>
      </c>
      <c r="K1563" s="114" t="str">
        <f>IF(COUNTBLANK(R1563)&gt;0,"",CONCATENATE(R1563," for ",N1560))</f>
        <v/>
      </c>
      <c r="M1563" s="117"/>
      <c r="N1563" s="123" t="s">
        <v>115</v>
      </c>
      <c r="O1563" s="66"/>
      <c r="P1563" s="121"/>
      <c r="Q1563" s="66"/>
      <c r="R1563" s="121"/>
      <c r="S1563" s="133">
        <f>M1560</f>
        <v>0</v>
      </c>
      <c r="T1563" s="120"/>
      <c r="U1563" s="117" t="s">
        <v>363</v>
      </c>
      <c r="V1563" s="133">
        <f t="shared" si="721"/>
        <v>0</v>
      </c>
      <c r="W1563" s="133">
        <f>VLOOKUP(U1563,Sheet1!$B$6:$C$45,2,FALSE)*V1563</f>
        <v>0</v>
      </c>
      <c r="X1563" s="141"/>
      <c r="Y1563" s="121" t="s">
        <v>292</v>
      </c>
      <c r="Z1563" s="146">
        <f>VLOOKUP(Takeoffs!Y1563,Sheet1!$B$6:$C$124,2,FALSE)</f>
        <v>0</v>
      </c>
      <c r="AA1563" s="146">
        <f t="shared" si="722"/>
        <v>0</v>
      </c>
      <c r="AB1563" s="143">
        <f t="shared" si="723"/>
        <v>0</v>
      </c>
      <c r="AC1563" s="133">
        <f t="shared" si="724"/>
        <v>0</v>
      </c>
      <c r="AD1563" s="142">
        <v>1</v>
      </c>
      <c r="AE1563" s="141"/>
      <c r="AF1563" s="121" t="s">
        <v>292</v>
      </c>
      <c r="AG1563" s="146">
        <f>VLOOKUP(Takeoffs!AF1563,Sheet1!$B$6:$C$124,2,FALSE)</f>
        <v>0</v>
      </c>
      <c r="AH1563" s="146">
        <f t="shared" si="725"/>
        <v>0</v>
      </c>
      <c r="AI1563" s="143">
        <f t="shared" si="726"/>
        <v>0</v>
      </c>
      <c r="AJ1563" s="133">
        <f t="shared" si="727"/>
        <v>0</v>
      </c>
      <c r="AK1563" s="142">
        <f t="shared" si="729"/>
        <v>0</v>
      </c>
      <c r="AL1563" s="141"/>
      <c r="AO1563" s="286"/>
      <c r="AP1563" s="284">
        <f t="shared" si="716"/>
        <v>0</v>
      </c>
      <c r="AQ1563" s="281">
        <f t="shared" si="717"/>
        <v>0</v>
      </c>
      <c r="AR1563" s="284">
        <f t="shared" si="718"/>
        <v>0</v>
      </c>
      <c r="AS1563" s="281">
        <f t="shared" si="719"/>
        <v>0</v>
      </c>
      <c r="AT1563" s="284">
        <f t="shared" si="720"/>
        <v>0</v>
      </c>
    </row>
    <row r="1564" spans="1:97" s="114" customFormat="1" ht="30.9" x14ac:dyDescent="0.8">
      <c r="A1564" s="262">
        <f>ROW()</f>
        <v>1564</v>
      </c>
      <c r="C1564" s="208"/>
      <c r="D1564" s="208"/>
      <c r="E1564" s="208"/>
      <c r="F1564" s="208"/>
      <c r="G1564" s="208"/>
      <c r="H1564" s="208"/>
      <c r="J1564" s="114" t="str">
        <f t="shared" si="728"/>
        <v/>
      </c>
      <c r="K1564" s="114" t="str">
        <f>IF(COUNTBLANK(R1564)&gt;0,"",CONCATENATE(R1564," for ",N1560))</f>
        <v/>
      </c>
      <c r="M1564" s="117"/>
      <c r="N1564" s="123" t="s">
        <v>116</v>
      </c>
      <c r="O1564" s="66"/>
      <c r="P1564" s="121"/>
      <c r="Q1564" s="121"/>
      <c r="R1564" s="121"/>
      <c r="S1564" s="133">
        <f>M1560</f>
        <v>0</v>
      </c>
      <c r="T1564" s="120"/>
      <c r="U1564" s="121" t="s">
        <v>292</v>
      </c>
      <c r="V1564" s="133">
        <f t="shared" si="721"/>
        <v>0</v>
      </c>
      <c r="W1564" s="133">
        <f>VLOOKUP(U1564,Sheet1!$B$6:$C$45,2,FALSE)*V1564</f>
        <v>0</v>
      </c>
      <c r="X1564" s="141"/>
      <c r="Y1564" s="121" t="s">
        <v>292</v>
      </c>
      <c r="Z1564" s="146">
        <f>VLOOKUP(Takeoffs!Y1564,Sheet1!$B$6:$C$124,2,FALSE)</f>
        <v>0</v>
      </c>
      <c r="AA1564" s="146">
        <f t="shared" si="722"/>
        <v>0</v>
      </c>
      <c r="AB1564" s="143">
        <f t="shared" si="723"/>
        <v>0</v>
      </c>
      <c r="AC1564" s="133">
        <f t="shared" si="724"/>
        <v>0</v>
      </c>
      <c r="AD1564" s="142">
        <v>1</v>
      </c>
      <c r="AE1564" s="141"/>
      <c r="AF1564" s="121" t="s">
        <v>292</v>
      </c>
      <c r="AG1564" s="146">
        <f>VLOOKUP(Takeoffs!AF1564,Sheet1!$B$6:$C$124,2,FALSE)</f>
        <v>0</v>
      </c>
      <c r="AH1564" s="146">
        <f t="shared" si="725"/>
        <v>0</v>
      </c>
      <c r="AI1564" s="143">
        <f t="shared" si="726"/>
        <v>0</v>
      </c>
      <c r="AJ1564" s="133">
        <f t="shared" si="727"/>
        <v>0</v>
      </c>
      <c r="AK1564" s="142">
        <f t="shared" si="729"/>
        <v>0</v>
      </c>
      <c r="AL1564" s="141"/>
      <c r="AO1564" s="286"/>
      <c r="AP1564" s="284">
        <f t="shared" si="716"/>
        <v>0</v>
      </c>
      <c r="AQ1564" s="281">
        <f t="shared" si="717"/>
        <v>0</v>
      </c>
      <c r="AR1564" s="284">
        <f t="shared" si="718"/>
        <v>0</v>
      </c>
      <c r="AS1564" s="281">
        <f t="shared" si="719"/>
        <v>0</v>
      </c>
      <c r="AT1564" s="284">
        <f t="shared" si="720"/>
        <v>0</v>
      </c>
    </row>
    <row r="1565" spans="1:97" s="114" customFormat="1" ht="30.9" x14ac:dyDescent="0.8">
      <c r="A1565" s="262">
        <f>ROW()</f>
        <v>1565</v>
      </c>
      <c r="C1565" s="208"/>
      <c r="D1565" s="208"/>
      <c r="E1565" s="208"/>
      <c r="F1565" s="208"/>
      <c r="G1565" s="208"/>
      <c r="H1565" s="208"/>
      <c r="J1565" s="114" t="str">
        <f t="shared" si="728"/>
        <v/>
      </c>
      <c r="K1565" s="114" t="str">
        <f>IF(COUNTBLANK(R1565)&gt;0,"",CONCATENATE(R1565," for ",N1560))</f>
        <v/>
      </c>
      <c r="M1565" s="117"/>
      <c r="N1565" s="123" t="s">
        <v>117</v>
      </c>
      <c r="O1565" s="66"/>
      <c r="P1565" s="121"/>
      <c r="Q1565" s="121"/>
      <c r="R1565" s="121"/>
      <c r="S1565" s="133">
        <f>M1560</f>
        <v>0</v>
      </c>
      <c r="T1565" s="120"/>
      <c r="U1565" s="121" t="s">
        <v>292</v>
      </c>
      <c r="V1565" s="133">
        <f t="shared" si="721"/>
        <v>0</v>
      </c>
      <c r="W1565" s="133">
        <f>VLOOKUP(U1565,Sheet1!$B$6:$C$45,2,FALSE)*V1565</f>
        <v>0</v>
      </c>
      <c r="X1565" s="141"/>
      <c r="Y1565" s="121" t="s">
        <v>292</v>
      </c>
      <c r="Z1565" s="146">
        <f>VLOOKUP(Takeoffs!Y1565,Sheet1!$B$6:$C$124,2,FALSE)</f>
        <v>0</v>
      </c>
      <c r="AA1565" s="146">
        <f t="shared" si="722"/>
        <v>0</v>
      </c>
      <c r="AB1565" s="143">
        <f t="shared" si="723"/>
        <v>0</v>
      </c>
      <c r="AC1565" s="133">
        <f t="shared" si="724"/>
        <v>0</v>
      </c>
      <c r="AD1565" s="142">
        <v>1</v>
      </c>
      <c r="AE1565" s="141"/>
      <c r="AF1565" s="121" t="s">
        <v>292</v>
      </c>
      <c r="AG1565" s="146">
        <f>VLOOKUP(Takeoffs!AF1565,Sheet1!$B$6:$C$124,2,FALSE)</f>
        <v>0</v>
      </c>
      <c r="AH1565" s="146">
        <f t="shared" si="725"/>
        <v>0</v>
      </c>
      <c r="AI1565" s="143">
        <f t="shared" si="726"/>
        <v>0</v>
      </c>
      <c r="AJ1565" s="133">
        <f t="shared" si="727"/>
        <v>0</v>
      </c>
      <c r="AK1565" s="142">
        <f t="shared" si="729"/>
        <v>0</v>
      </c>
      <c r="AL1565" s="141"/>
      <c r="AO1565" s="286"/>
      <c r="AP1565" s="284">
        <f t="shared" si="716"/>
        <v>0</v>
      </c>
      <c r="AQ1565" s="281">
        <f t="shared" si="717"/>
        <v>0</v>
      </c>
      <c r="AR1565" s="284">
        <f t="shared" si="718"/>
        <v>0</v>
      </c>
      <c r="AS1565" s="281">
        <f t="shared" si="719"/>
        <v>0</v>
      </c>
      <c r="AT1565" s="284">
        <f t="shared" si="720"/>
        <v>0</v>
      </c>
    </row>
    <row r="1566" spans="1:97" s="114" customFormat="1" ht="30.9" x14ac:dyDescent="0.8">
      <c r="A1566" s="262">
        <f>ROW()</f>
        <v>1566</v>
      </c>
      <c r="C1566" s="208"/>
      <c r="D1566" s="208"/>
      <c r="E1566" s="208"/>
      <c r="F1566" s="208"/>
      <c r="G1566" s="208"/>
      <c r="H1566" s="208"/>
      <c r="J1566" s="114" t="str">
        <f t="shared" si="728"/>
        <v/>
      </c>
      <c r="K1566" s="114" t="str">
        <f>IF(COUNTBLANK(R1566)&gt;0,"",CONCATENATE(R1566," for ",N1560))</f>
        <v/>
      </c>
      <c r="M1566" s="117"/>
      <c r="N1566" s="123" t="s">
        <v>118</v>
      </c>
      <c r="O1566" s="66"/>
      <c r="P1566" s="121"/>
      <c r="Q1566" s="121"/>
      <c r="R1566" s="121"/>
      <c r="S1566" s="133">
        <f>M1560</f>
        <v>0</v>
      </c>
      <c r="T1566" s="120"/>
      <c r="U1566" s="121" t="s">
        <v>292</v>
      </c>
      <c r="V1566" s="133">
        <f t="shared" si="721"/>
        <v>0</v>
      </c>
      <c r="W1566" s="133">
        <f>VLOOKUP(U1566,Sheet1!$B$6:$C$45,2,FALSE)*V1566</f>
        <v>0</v>
      </c>
      <c r="X1566" s="141"/>
      <c r="Y1566" s="121" t="s">
        <v>292</v>
      </c>
      <c r="Z1566" s="146">
        <f>VLOOKUP(Takeoffs!Y1566,Sheet1!$B$6:$C$124,2,FALSE)</f>
        <v>0</v>
      </c>
      <c r="AA1566" s="146">
        <f t="shared" si="722"/>
        <v>0</v>
      </c>
      <c r="AB1566" s="143">
        <f t="shared" si="723"/>
        <v>0</v>
      </c>
      <c r="AC1566" s="133">
        <f t="shared" si="724"/>
        <v>0</v>
      </c>
      <c r="AD1566" s="142">
        <v>1</v>
      </c>
      <c r="AE1566" s="141"/>
      <c r="AF1566" s="121" t="s">
        <v>292</v>
      </c>
      <c r="AG1566" s="146">
        <f>VLOOKUP(Takeoffs!AF1566,Sheet1!$B$6:$C$124,2,FALSE)</f>
        <v>0</v>
      </c>
      <c r="AH1566" s="146">
        <f t="shared" si="725"/>
        <v>0</v>
      </c>
      <c r="AI1566" s="143">
        <f t="shared" si="726"/>
        <v>0</v>
      </c>
      <c r="AJ1566" s="133">
        <f t="shared" si="727"/>
        <v>0</v>
      </c>
      <c r="AK1566" s="142">
        <f t="shared" si="729"/>
        <v>0</v>
      </c>
      <c r="AL1566" s="141"/>
      <c r="AO1566" s="286"/>
      <c r="AP1566" s="284">
        <f t="shared" si="716"/>
        <v>0</v>
      </c>
      <c r="AQ1566" s="281">
        <f t="shared" si="717"/>
        <v>0</v>
      </c>
      <c r="AR1566" s="284">
        <f t="shared" si="718"/>
        <v>0</v>
      </c>
      <c r="AS1566" s="281">
        <f t="shared" si="719"/>
        <v>0</v>
      </c>
      <c r="AT1566" s="284">
        <f t="shared" si="720"/>
        <v>0</v>
      </c>
    </row>
    <row r="1567" spans="1:97" s="114" customFormat="1" ht="30.9" x14ac:dyDescent="0.8">
      <c r="A1567" s="262">
        <f>ROW()</f>
        <v>1567</v>
      </c>
      <c r="C1567" s="208"/>
      <c r="D1567" s="208"/>
      <c r="E1567" s="208"/>
      <c r="F1567" s="208"/>
      <c r="G1567" s="208"/>
      <c r="H1567" s="208"/>
      <c r="J1567" s="114" t="str">
        <f t="shared" si="728"/>
        <v/>
      </c>
      <c r="K1567" s="114" t="str">
        <f>IF(COUNTBLANK(R1567)&gt;0,"",CONCATENATE(R1567," for ",N1560))</f>
        <v/>
      </c>
      <c r="N1567" s="123" t="s">
        <v>119</v>
      </c>
      <c r="O1567" s="66"/>
      <c r="P1567" s="121"/>
      <c r="Q1567" s="121"/>
      <c r="R1567" s="121"/>
      <c r="S1567" s="133">
        <f>M1560</f>
        <v>0</v>
      </c>
      <c r="T1567" s="120"/>
      <c r="U1567" s="121" t="s">
        <v>292</v>
      </c>
      <c r="V1567" s="133">
        <f t="shared" si="721"/>
        <v>0</v>
      </c>
      <c r="W1567" s="133">
        <f>VLOOKUP(U1567,Sheet1!$B$6:$C$45,2,FALSE)*V1567</f>
        <v>0</v>
      </c>
      <c r="X1567" s="141"/>
      <c r="Y1567" s="121" t="s">
        <v>292</v>
      </c>
      <c r="Z1567" s="146">
        <f>VLOOKUP(Takeoffs!Y1567,Sheet1!$B$6:$C$124,2,FALSE)</f>
        <v>0</v>
      </c>
      <c r="AA1567" s="146">
        <f t="shared" si="722"/>
        <v>0</v>
      </c>
      <c r="AB1567" s="143">
        <f t="shared" si="723"/>
        <v>0</v>
      </c>
      <c r="AC1567" s="133">
        <f t="shared" si="724"/>
        <v>0</v>
      </c>
      <c r="AD1567" s="142">
        <v>1</v>
      </c>
      <c r="AE1567" s="141"/>
      <c r="AF1567" s="121" t="s">
        <v>292</v>
      </c>
      <c r="AG1567" s="146">
        <f>VLOOKUP(Takeoffs!AF1567,Sheet1!$B$6:$C$124,2,FALSE)</f>
        <v>0</v>
      </c>
      <c r="AH1567" s="146">
        <f t="shared" si="725"/>
        <v>0</v>
      </c>
      <c r="AI1567" s="143">
        <f t="shared" si="726"/>
        <v>0</v>
      </c>
      <c r="AJ1567" s="133">
        <f t="shared" si="727"/>
        <v>0</v>
      </c>
      <c r="AK1567" s="142">
        <f t="shared" si="729"/>
        <v>0</v>
      </c>
      <c r="AL1567" s="141"/>
      <c r="AO1567" s="286"/>
      <c r="AP1567" s="284">
        <f t="shared" si="716"/>
        <v>0</v>
      </c>
      <c r="AQ1567" s="281">
        <f t="shared" si="717"/>
        <v>0</v>
      </c>
      <c r="AR1567" s="284">
        <f t="shared" si="718"/>
        <v>0</v>
      </c>
      <c r="AS1567" s="281">
        <f t="shared" si="719"/>
        <v>0</v>
      </c>
      <c r="AT1567" s="284">
        <f t="shared" si="720"/>
        <v>0</v>
      </c>
    </row>
    <row r="1568" spans="1:97" s="114" customFormat="1" ht="30.9" x14ac:dyDescent="0.8">
      <c r="A1568" s="262">
        <f>ROW()</f>
        <v>1568</v>
      </c>
      <c r="C1568" s="208"/>
      <c r="D1568" s="208"/>
      <c r="E1568" s="208"/>
      <c r="F1568" s="208"/>
      <c r="G1568" s="208"/>
      <c r="H1568" s="208"/>
      <c r="J1568" s="114" t="str">
        <f t="shared" si="728"/>
        <v/>
      </c>
      <c r="K1568" s="114" t="str">
        <f>IF(COUNTBLANK(R1568)&gt;0,"",CONCATENATE(R1568," for ",N1560))</f>
        <v/>
      </c>
      <c r="N1568" s="123" t="s">
        <v>120</v>
      </c>
      <c r="O1568" s="66"/>
      <c r="P1568" s="121"/>
      <c r="Q1568" s="121"/>
      <c r="R1568" s="121"/>
      <c r="S1568" s="133">
        <f>M1560</f>
        <v>0</v>
      </c>
      <c r="T1568" s="120"/>
      <c r="U1568" s="121" t="s">
        <v>292</v>
      </c>
      <c r="V1568" s="133">
        <f t="shared" si="721"/>
        <v>0</v>
      </c>
      <c r="W1568" s="133">
        <f>VLOOKUP(U1568,Sheet1!$B$6:$C$45,2,FALSE)*V1568</f>
        <v>0</v>
      </c>
      <c r="X1568" s="141"/>
      <c r="Y1568" s="121" t="s">
        <v>292</v>
      </c>
      <c r="Z1568" s="146">
        <f>VLOOKUP(Takeoffs!Y1568,Sheet1!$B$6:$C$124,2,FALSE)</f>
        <v>0</v>
      </c>
      <c r="AA1568" s="146">
        <f t="shared" si="722"/>
        <v>0</v>
      </c>
      <c r="AB1568" s="143">
        <f t="shared" si="723"/>
        <v>0</v>
      </c>
      <c r="AC1568" s="133">
        <f t="shared" si="724"/>
        <v>0</v>
      </c>
      <c r="AD1568" s="142">
        <v>1</v>
      </c>
      <c r="AE1568" s="141"/>
      <c r="AF1568" s="121" t="s">
        <v>292</v>
      </c>
      <c r="AG1568" s="146">
        <f>VLOOKUP(Takeoffs!AF1568,Sheet1!$B$6:$C$124,2,FALSE)</f>
        <v>0</v>
      </c>
      <c r="AH1568" s="146">
        <f t="shared" si="725"/>
        <v>0</v>
      </c>
      <c r="AI1568" s="143">
        <f t="shared" si="726"/>
        <v>0</v>
      </c>
      <c r="AJ1568" s="133">
        <f t="shared" si="727"/>
        <v>0</v>
      </c>
      <c r="AK1568" s="142">
        <f t="shared" si="729"/>
        <v>0</v>
      </c>
      <c r="AL1568" s="141"/>
      <c r="AO1568" s="286"/>
      <c r="AP1568" s="284">
        <f t="shared" si="716"/>
        <v>0</v>
      </c>
      <c r="AQ1568" s="281">
        <f t="shared" si="717"/>
        <v>0</v>
      </c>
      <c r="AR1568" s="284">
        <f t="shared" si="718"/>
        <v>0</v>
      </c>
      <c r="AS1568" s="281">
        <f t="shared" si="719"/>
        <v>0</v>
      </c>
      <c r="AT1568" s="284">
        <f t="shared" si="720"/>
        <v>0</v>
      </c>
    </row>
    <row r="1569" spans="1:97" s="114" customFormat="1" ht="30.9" x14ac:dyDescent="0.8">
      <c r="A1569" s="262">
        <f>ROW()</f>
        <v>1569</v>
      </c>
      <c r="C1569" s="208"/>
      <c r="D1569" s="208"/>
      <c r="E1569" s="208"/>
      <c r="F1569" s="208"/>
      <c r="G1569" s="208"/>
      <c r="H1569" s="208"/>
      <c r="J1569" s="114" t="str">
        <f t="shared" si="728"/>
        <v/>
      </c>
      <c r="K1569" s="114" t="str">
        <f>IF(COUNTBLANK(R1569)&gt;0,"",CONCATENATE(R1569," for ",N1560))</f>
        <v/>
      </c>
      <c r="N1569" s="123" t="s">
        <v>121</v>
      </c>
      <c r="O1569" s="66"/>
      <c r="P1569" s="121"/>
      <c r="Q1569" s="121"/>
      <c r="R1569" s="121"/>
      <c r="S1569" s="133">
        <f>M1560</f>
        <v>0</v>
      </c>
      <c r="T1569" s="120"/>
      <c r="U1569" s="121" t="s">
        <v>292</v>
      </c>
      <c r="V1569" s="133">
        <f t="shared" si="721"/>
        <v>0</v>
      </c>
      <c r="W1569" s="133">
        <f>VLOOKUP(U1569,Sheet1!$B$6:$C$45,2,FALSE)*V1569</f>
        <v>0</v>
      </c>
      <c r="X1569" s="141"/>
      <c r="Y1569" s="121" t="s">
        <v>292</v>
      </c>
      <c r="Z1569" s="146">
        <f>VLOOKUP(Takeoffs!Y1569,Sheet1!$B$6:$C$124,2,FALSE)</f>
        <v>0</v>
      </c>
      <c r="AA1569" s="146">
        <f t="shared" si="722"/>
        <v>0</v>
      </c>
      <c r="AB1569" s="143">
        <f t="shared" si="723"/>
        <v>0</v>
      </c>
      <c r="AC1569" s="133">
        <f t="shared" si="724"/>
        <v>0</v>
      </c>
      <c r="AD1569" s="142">
        <v>1</v>
      </c>
      <c r="AE1569" s="141"/>
      <c r="AF1569" s="121" t="s">
        <v>292</v>
      </c>
      <c r="AG1569" s="146">
        <f>VLOOKUP(Takeoffs!AF1569,Sheet1!$B$6:$C$124,2,FALSE)</f>
        <v>0</v>
      </c>
      <c r="AH1569" s="146">
        <f t="shared" si="725"/>
        <v>0</v>
      </c>
      <c r="AI1569" s="143">
        <f t="shared" si="726"/>
        <v>0</v>
      </c>
      <c r="AJ1569" s="133">
        <f t="shared" si="727"/>
        <v>0</v>
      </c>
      <c r="AK1569" s="142">
        <f t="shared" si="729"/>
        <v>0</v>
      </c>
      <c r="AL1569" s="141"/>
      <c r="AO1569" s="286"/>
      <c r="AP1569" s="284">
        <f t="shared" si="716"/>
        <v>0</v>
      </c>
      <c r="AQ1569" s="281">
        <f t="shared" si="717"/>
        <v>0</v>
      </c>
      <c r="AR1569" s="284">
        <f t="shared" si="718"/>
        <v>0</v>
      </c>
      <c r="AS1569" s="281">
        <f t="shared" si="719"/>
        <v>0</v>
      </c>
      <c r="AT1569" s="284">
        <f t="shared" si="720"/>
        <v>0</v>
      </c>
    </row>
    <row r="1570" spans="1:97" s="114" customFormat="1" ht="30.9" x14ac:dyDescent="0.8">
      <c r="A1570" s="262">
        <f>ROW()</f>
        <v>1570</v>
      </c>
      <c r="C1570" s="208"/>
      <c r="D1570" s="208"/>
      <c r="E1570" s="208"/>
      <c r="F1570" s="208"/>
      <c r="G1570" s="208"/>
      <c r="H1570" s="208"/>
      <c r="J1570" s="114" t="str">
        <f t="shared" si="728"/>
        <v/>
      </c>
      <c r="K1570" s="114" t="str">
        <f>IF(COUNTBLANK(R1570)&gt;0,"",CONCATENATE(R1570," for ",N1560))</f>
        <v/>
      </c>
      <c r="N1570" s="123" t="s">
        <v>122</v>
      </c>
      <c r="O1570" s="66"/>
      <c r="P1570" s="121"/>
      <c r="Q1570" s="121"/>
      <c r="R1570" s="121"/>
      <c r="S1570" s="133">
        <f>M1560</f>
        <v>0</v>
      </c>
      <c r="T1570" s="120"/>
      <c r="U1570" s="121" t="s">
        <v>292</v>
      </c>
      <c r="V1570" s="133">
        <f t="shared" si="721"/>
        <v>0</v>
      </c>
      <c r="W1570" s="133">
        <f>VLOOKUP(U1570,Sheet1!$B$6:$C$45,2,FALSE)*V1570</f>
        <v>0</v>
      </c>
      <c r="X1570" s="141"/>
      <c r="Y1570" s="121" t="s">
        <v>292</v>
      </c>
      <c r="Z1570" s="146">
        <f>VLOOKUP(Takeoffs!Y1570,Sheet1!$B$6:$C$124,2,FALSE)</f>
        <v>0</v>
      </c>
      <c r="AA1570" s="146">
        <f t="shared" si="722"/>
        <v>0</v>
      </c>
      <c r="AB1570" s="143">
        <f t="shared" si="723"/>
        <v>0</v>
      </c>
      <c r="AC1570" s="133">
        <f t="shared" si="724"/>
        <v>0</v>
      </c>
      <c r="AD1570" s="142">
        <v>1</v>
      </c>
      <c r="AE1570" s="141"/>
      <c r="AF1570" s="121" t="s">
        <v>292</v>
      </c>
      <c r="AG1570" s="146">
        <f>VLOOKUP(Takeoffs!AF1570,Sheet1!$B$6:$C$124,2,FALSE)</f>
        <v>0</v>
      </c>
      <c r="AH1570" s="146">
        <f t="shared" si="725"/>
        <v>0</v>
      </c>
      <c r="AI1570" s="143">
        <f t="shared" si="726"/>
        <v>0</v>
      </c>
      <c r="AJ1570" s="133">
        <f t="shared" si="727"/>
        <v>0</v>
      </c>
      <c r="AK1570" s="142">
        <f t="shared" si="729"/>
        <v>0</v>
      </c>
      <c r="AL1570" s="141"/>
      <c r="AO1570" s="286"/>
      <c r="AP1570" s="284">
        <f t="shared" si="716"/>
        <v>0</v>
      </c>
      <c r="AQ1570" s="281">
        <f t="shared" si="717"/>
        <v>0</v>
      </c>
      <c r="AR1570" s="284">
        <f t="shared" si="718"/>
        <v>0</v>
      </c>
      <c r="AS1570" s="281">
        <f t="shared" si="719"/>
        <v>0</v>
      </c>
      <c r="AT1570" s="284">
        <f t="shared" si="720"/>
        <v>0</v>
      </c>
    </row>
    <row r="1571" spans="1:97" s="114" customFormat="1" ht="30.9" x14ac:dyDescent="0.8">
      <c r="A1571" s="262">
        <f>ROW()</f>
        <v>1571</v>
      </c>
      <c r="C1571" s="208"/>
      <c r="D1571" s="208"/>
      <c r="E1571" s="208"/>
      <c r="F1571" s="208"/>
      <c r="G1571" s="208"/>
      <c r="H1571" s="208"/>
      <c r="J1571" s="114" t="str">
        <f t="shared" si="728"/>
        <v/>
      </c>
      <c r="K1571" s="114" t="str">
        <f>IF(COUNTBLANK(R1571)&gt;0,"",CONCATENATE(R1571," for ",N1560))</f>
        <v/>
      </c>
      <c r="N1571" s="123" t="s">
        <v>123</v>
      </c>
      <c r="O1571" s="66"/>
      <c r="P1571" s="121"/>
      <c r="Q1571" s="121"/>
      <c r="R1571" s="121"/>
      <c r="S1571" s="133">
        <f>M1560</f>
        <v>0</v>
      </c>
      <c r="T1571" s="120"/>
      <c r="U1571" s="121" t="s">
        <v>292</v>
      </c>
      <c r="V1571" s="133">
        <f t="shared" si="721"/>
        <v>0</v>
      </c>
      <c r="W1571" s="133">
        <f>VLOOKUP(U1571,Sheet1!$B$6:$C$45,2,FALSE)*V1571</f>
        <v>0</v>
      </c>
      <c r="X1571" s="141"/>
      <c r="Y1571" s="121" t="s">
        <v>292</v>
      </c>
      <c r="Z1571" s="146">
        <f>VLOOKUP(Takeoffs!Y1571,Sheet1!$B$6:$C$124,2,FALSE)</f>
        <v>0</v>
      </c>
      <c r="AA1571" s="146">
        <f t="shared" si="722"/>
        <v>0</v>
      </c>
      <c r="AB1571" s="143">
        <f t="shared" si="723"/>
        <v>0</v>
      </c>
      <c r="AC1571" s="133">
        <f t="shared" si="724"/>
        <v>0</v>
      </c>
      <c r="AD1571" s="142">
        <v>1</v>
      </c>
      <c r="AE1571" s="141"/>
      <c r="AF1571" s="121" t="s">
        <v>292</v>
      </c>
      <c r="AG1571" s="146">
        <f>VLOOKUP(Takeoffs!AF1571,Sheet1!$B$6:$C$124,2,FALSE)</f>
        <v>0</v>
      </c>
      <c r="AH1571" s="146">
        <f t="shared" si="725"/>
        <v>0</v>
      </c>
      <c r="AI1571" s="143">
        <f t="shared" si="726"/>
        <v>0</v>
      </c>
      <c r="AJ1571" s="133">
        <f t="shared" si="727"/>
        <v>0</v>
      </c>
      <c r="AK1571" s="142">
        <f t="shared" si="729"/>
        <v>0</v>
      </c>
      <c r="AL1571" s="141"/>
      <c r="AO1571" s="286"/>
      <c r="AP1571" s="284">
        <f t="shared" si="716"/>
        <v>0</v>
      </c>
      <c r="AQ1571" s="281">
        <f t="shared" si="717"/>
        <v>0</v>
      </c>
      <c r="AR1571" s="284">
        <f t="shared" si="718"/>
        <v>0</v>
      </c>
      <c r="AS1571" s="281">
        <f t="shared" si="719"/>
        <v>0</v>
      </c>
      <c r="AT1571" s="284">
        <f t="shared" si="720"/>
        <v>0</v>
      </c>
    </row>
    <row r="1572" spans="1:97" s="114" customFormat="1" ht="30.9" x14ac:dyDescent="0.8">
      <c r="A1572" s="262">
        <f>ROW()</f>
        <v>1572</v>
      </c>
      <c r="C1572" s="208"/>
      <c r="D1572" s="208"/>
      <c r="E1572" s="208"/>
      <c r="F1572" s="208"/>
      <c r="G1572" s="208"/>
      <c r="H1572" s="208"/>
      <c r="J1572" s="114" t="str">
        <f t="shared" si="728"/>
        <v/>
      </c>
      <c r="K1572" s="114" t="str">
        <f>IF(COUNTBLANK(R1572)&gt;0,"",CONCATENATE(R1572," for ",N1560))</f>
        <v/>
      </c>
      <c r="N1572" s="123" t="s">
        <v>124</v>
      </c>
      <c r="O1572" s="66"/>
      <c r="P1572" s="121"/>
      <c r="Q1572" s="121"/>
      <c r="R1572" s="121"/>
      <c r="S1572" s="133">
        <f>M1560</f>
        <v>0</v>
      </c>
      <c r="T1572" s="120"/>
      <c r="U1572" s="121" t="s">
        <v>292</v>
      </c>
      <c r="V1572" s="133">
        <f t="shared" si="721"/>
        <v>0</v>
      </c>
      <c r="W1572" s="133">
        <f>VLOOKUP(U1572,Sheet1!$B$6:$C$45,2,FALSE)*V1572</f>
        <v>0</v>
      </c>
      <c r="X1572" s="141"/>
      <c r="Y1572" s="121" t="s">
        <v>292</v>
      </c>
      <c r="Z1572" s="146">
        <f>VLOOKUP(Takeoffs!Y1572,Sheet1!$B$6:$C$124,2,FALSE)</f>
        <v>0</v>
      </c>
      <c r="AA1572" s="146">
        <f t="shared" si="722"/>
        <v>0</v>
      </c>
      <c r="AB1572" s="143">
        <f t="shared" si="723"/>
        <v>0</v>
      </c>
      <c r="AC1572" s="133">
        <f t="shared" si="724"/>
        <v>0</v>
      </c>
      <c r="AD1572" s="142">
        <v>1</v>
      </c>
      <c r="AE1572" s="141"/>
      <c r="AF1572" s="121" t="s">
        <v>292</v>
      </c>
      <c r="AG1572" s="146">
        <f>VLOOKUP(Takeoffs!AF1572,Sheet1!$B$6:$C$124,2,FALSE)</f>
        <v>0</v>
      </c>
      <c r="AH1572" s="146">
        <f t="shared" si="725"/>
        <v>0</v>
      </c>
      <c r="AI1572" s="143">
        <f t="shared" si="726"/>
        <v>0</v>
      </c>
      <c r="AJ1572" s="133">
        <f t="shared" si="727"/>
        <v>0</v>
      </c>
      <c r="AK1572" s="142">
        <f t="shared" si="729"/>
        <v>0</v>
      </c>
      <c r="AL1572" s="141"/>
      <c r="AO1572" s="286"/>
      <c r="AP1572" s="284">
        <f t="shared" si="716"/>
        <v>0</v>
      </c>
      <c r="AQ1572" s="281">
        <f t="shared" si="717"/>
        <v>0</v>
      </c>
      <c r="AR1572" s="284">
        <f t="shared" si="718"/>
        <v>0</v>
      </c>
      <c r="AS1572" s="281">
        <f t="shared" si="719"/>
        <v>0</v>
      </c>
      <c r="AT1572" s="284">
        <f t="shared" si="720"/>
        <v>0</v>
      </c>
    </row>
    <row r="1573" spans="1:97" s="114" customFormat="1" ht="30.9" x14ac:dyDescent="0.8">
      <c r="A1573" s="262">
        <f>ROW()</f>
        <v>1573</v>
      </c>
      <c r="C1573" s="208"/>
      <c r="D1573" s="208"/>
      <c r="E1573" s="208"/>
      <c r="F1573" s="208"/>
      <c r="G1573" s="208"/>
      <c r="H1573" s="208"/>
      <c r="J1573" s="114" t="str">
        <f t="shared" si="728"/>
        <v/>
      </c>
      <c r="K1573" s="114" t="str">
        <f>IF(COUNTBLANK(R1573)&gt;0,"",CONCATENATE(R1573," for ",N1560))</f>
        <v/>
      </c>
      <c r="N1573" s="123" t="s">
        <v>125</v>
      </c>
      <c r="O1573" s="66"/>
      <c r="P1573" s="121"/>
      <c r="Q1573" s="121"/>
      <c r="R1573" s="121"/>
      <c r="S1573" s="133">
        <f>M1560</f>
        <v>0</v>
      </c>
      <c r="T1573" s="120"/>
      <c r="U1573" s="121" t="s">
        <v>292</v>
      </c>
      <c r="V1573" s="133">
        <f t="shared" si="721"/>
        <v>0</v>
      </c>
      <c r="W1573" s="133">
        <f>VLOOKUP(U1573,Sheet1!$B$6:$C$45,2,FALSE)*V1573</f>
        <v>0</v>
      </c>
      <c r="X1573" s="141"/>
      <c r="Y1573" s="121" t="s">
        <v>292</v>
      </c>
      <c r="Z1573" s="146">
        <f>VLOOKUP(Takeoffs!Y1573,Sheet1!$B$6:$C$124,2,FALSE)</f>
        <v>0</v>
      </c>
      <c r="AA1573" s="146">
        <f t="shared" si="722"/>
        <v>0</v>
      </c>
      <c r="AB1573" s="143">
        <f t="shared" si="723"/>
        <v>0</v>
      </c>
      <c r="AC1573" s="133">
        <f t="shared" si="724"/>
        <v>0</v>
      </c>
      <c r="AD1573" s="142">
        <v>1</v>
      </c>
      <c r="AE1573" s="141"/>
      <c r="AF1573" s="121" t="s">
        <v>292</v>
      </c>
      <c r="AG1573" s="146">
        <f>VLOOKUP(Takeoffs!AF1573,Sheet1!$B$6:$C$124,2,FALSE)</f>
        <v>0</v>
      </c>
      <c r="AH1573" s="146">
        <f t="shared" si="725"/>
        <v>0</v>
      </c>
      <c r="AI1573" s="143">
        <f t="shared" si="726"/>
        <v>0</v>
      </c>
      <c r="AJ1573" s="133">
        <f t="shared" si="727"/>
        <v>0</v>
      </c>
      <c r="AK1573" s="142">
        <f t="shared" si="729"/>
        <v>0</v>
      </c>
      <c r="AL1573" s="141"/>
      <c r="AO1573" s="286"/>
      <c r="AP1573" s="284">
        <f t="shared" si="716"/>
        <v>0</v>
      </c>
      <c r="AQ1573" s="281">
        <f t="shared" si="717"/>
        <v>0</v>
      </c>
      <c r="AR1573" s="284">
        <f t="shared" si="718"/>
        <v>0</v>
      </c>
      <c r="AS1573" s="281">
        <f t="shared" si="719"/>
        <v>0</v>
      </c>
      <c r="AT1573" s="284">
        <f t="shared" si="720"/>
        <v>0</v>
      </c>
    </row>
    <row r="1574" spans="1:97" s="114" customFormat="1" ht="30.9" x14ac:dyDescent="0.8">
      <c r="A1574" s="262">
        <f>ROW()</f>
        <v>1574</v>
      </c>
      <c r="C1574" s="208"/>
      <c r="D1574" s="208"/>
      <c r="E1574" s="208"/>
      <c r="F1574" s="208"/>
      <c r="G1574" s="208"/>
      <c r="H1574" s="208"/>
      <c r="J1574" s="114" t="str">
        <f t="shared" si="728"/>
        <v/>
      </c>
      <c r="K1574" s="114" t="str">
        <f>IF(COUNTBLANK(R1574)&gt;0,"",CONCATENATE(R1574," for ",N1560))</f>
        <v/>
      </c>
      <c r="N1574" s="123" t="s">
        <v>126</v>
      </c>
      <c r="O1574" s="66"/>
      <c r="P1574" s="121"/>
      <c r="Q1574" s="121"/>
      <c r="R1574" s="121"/>
      <c r="S1574" s="133">
        <f>M1560</f>
        <v>0</v>
      </c>
      <c r="T1574" s="120"/>
      <c r="U1574" s="121" t="s">
        <v>292</v>
      </c>
      <c r="V1574" s="133">
        <f t="shared" si="721"/>
        <v>0</v>
      </c>
      <c r="W1574" s="133">
        <f>VLOOKUP(U1574,Sheet1!$B$6:$C$45,2,FALSE)*V1574</f>
        <v>0</v>
      </c>
      <c r="X1574" s="141"/>
      <c r="Y1574" s="121" t="s">
        <v>292</v>
      </c>
      <c r="Z1574" s="146">
        <f>VLOOKUP(Takeoffs!Y1574,Sheet1!$B$6:$C$124,2,FALSE)</f>
        <v>0</v>
      </c>
      <c r="AA1574" s="146">
        <f t="shared" si="722"/>
        <v>0</v>
      </c>
      <c r="AB1574" s="143">
        <f t="shared" si="723"/>
        <v>0</v>
      </c>
      <c r="AC1574" s="133">
        <f t="shared" si="724"/>
        <v>0</v>
      </c>
      <c r="AD1574" s="142">
        <v>1</v>
      </c>
      <c r="AE1574" s="141"/>
      <c r="AF1574" s="121" t="s">
        <v>292</v>
      </c>
      <c r="AG1574" s="146">
        <f>VLOOKUP(Takeoffs!AF1574,Sheet1!$B$6:$C$124,2,FALSE)</f>
        <v>0</v>
      </c>
      <c r="AH1574" s="146">
        <f t="shared" si="725"/>
        <v>0</v>
      </c>
      <c r="AI1574" s="143">
        <f t="shared" si="726"/>
        <v>0</v>
      </c>
      <c r="AJ1574" s="133">
        <f t="shared" si="727"/>
        <v>0</v>
      </c>
      <c r="AK1574" s="142">
        <f t="shared" si="729"/>
        <v>0</v>
      </c>
      <c r="AL1574" s="141"/>
      <c r="AO1574" s="286"/>
      <c r="AP1574" s="284">
        <f t="shared" si="716"/>
        <v>0</v>
      </c>
      <c r="AQ1574" s="281">
        <f t="shared" si="717"/>
        <v>0</v>
      </c>
      <c r="AR1574" s="284">
        <f t="shared" si="718"/>
        <v>0</v>
      </c>
      <c r="AS1574" s="281">
        <f t="shared" si="719"/>
        <v>0</v>
      </c>
      <c r="AT1574" s="284">
        <f t="shared" si="720"/>
        <v>0</v>
      </c>
    </row>
    <row r="1575" spans="1:97" s="114" customFormat="1" ht="30.9" x14ac:dyDescent="0.8">
      <c r="A1575" s="262">
        <f>ROW()</f>
        <v>1575</v>
      </c>
      <c r="C1575" s="208"/>
      <c r="D1575" s="208"/>
      <c r="E1575" s="208"/>
      <c r="F1575" s="208"/>
      <c r="G1575" s="208"/>
      <c r="H1575" s="208"/>
      <c r="J1575" s="114" t="str">
        <f t="shared" si="728"/>
        <v/>
      </c>
      <c r="K1575" s="114" t="str">
        <f>IF(COUNTBLANK(R1575)&gt;0,"",CONCATENATE(R1575," for ",N1560))</f>
        <v/>
      </c>
      <c r="N1575" s="123" t="s">
        <v>127</v>
      </c>
      <c r="O1575" s="66"/>
      <c r="P1575" s="121"/>
      <c r="Q1575" s="121"/>
      <c r="R1575" s="121"/>
      <c r="S1575" s="133">
        <f>M1560</f>
        <v>0</v>
      </c>
      <c r="T1575" s="120"/>
      <c r="U1575" s="121" t="s">
        <v>292</v>
      </c>
      <c r="V1575" s="133">
        <f t="shared" si="721"/>
        <v>0</v>
      </c>
      <c r="W1575" s="133">
        <f>VLOOKUP(U1575,Sheet1!$B$6:$C$45,2,FALSE)*V1575</f>
        <v>0</v>
      </c>
      <c r="X1575" s="141"/>
      <c r="Y1575" s="121" t="s">
        <v>292</v>
      </c>
      <c r="Z1575" s="146">
        <f>VLOOKUP(Takeoffs!Y1575,Sheet1!$B$6:$C$124,2,FALSE)</f>
        <v>0</v>
      </c>
      <c r="AA1575" s="146">
        <f t="shared" si="722"/>
        <v>0</v>
      </c>
      <c r="AB1575" s="143">
        <f t="shared" si="723"/>
        <v>0</v>
      </c>
      <c r="AC1575" s="133">
        <f t="shared" si="724"/>
        <v>0</v>
      </c>
      <c r="AD1575" s="142">
        <v>1</v>
      </c>
      <c r="AE1575" s="141"/>
      <c r="AF1575" s="121" t="s">
        <v>292</v>
      </c>
      <c r="AG1575" s="146">
        <f>VLOOKUP(Takeoffs!AF1575,Sheet1!$B$6:$C$124,2,FALSE)</f>
        <v>0</v>
      </c>
      <c r="AH1575" s="146">
        <f t="shared" si="725"/>
        <v>0</v>
      </c>
      <c r="AI1575" s="143">
        <f t="shared" si="726"/>
        <v>0</v>
      </c>
      <c r="AJ1575" s="133">
        <f t="shared" si="727"/>
        <v>0</v>
      </c>
      <c r="AK1575" s="142">
        <f t="shared" si="729"/>
        <v>0</v>
      </c>
      <c r="AL1575" s="141"/>
      <c r="AO1575" s="286"/>
      <c r="AP1575" s="284">
        <f t="shared" si="716"/>
        <v>0</v>
      </c>
      <c r="AQ1575" s="281">
        <f t="shared" si="717"/>
        <v>0</v>
      </c>
      <c r="AR1575" s="284">
        <f t="shared" si="718"/>
        <v>0</v>
      </c>
      <c r="AS1575" s="281">
        <f t="shared" si="719"/>
        <v>0</v>
      </c>
      <c r="AT1575" s="284">
        <f t="shared" si="720"/>
        <v>0</v>
      </c>
    </row>
    <row r="1576" spans="1:97" s="114" customFormat="1" ht="30.9" x14ac:dyDescent="0.8">
      <c r="A1576" s="262">
        <f>ROW()</f>
        <v>1576</v>
      </c>
      <c r="C1576" s="208"/>
      <c r="D1576" s="208"/>
      <c r="E1576" s="208"/>
      <c r="F1576" s="208"/>
      <c r="G1576" s="208"/>
      <c r="H1576" s="208"/>
      <c r="J1576" s="114" t="str">
        <f t="shared" si="728"/>
        <v/>
      </c>
      <c r="K1576" s="114" t="str">
        <f>IF(COUNTBLANK(R1576)&gt;0,"",CONCATENATE(R1576," for ",N1560))</f>
        <v/>
      </c>
      <c r="N1576" s="123" t="s">
        <v>128</v>
      </c>
      <c r="O1576" s="66"/>
      <c r="P1576" s="121">
        <v>0</v>
      </c>
      <c r="Q1576" s="121"/>
      <c r="R1576" s="121"/>
      <c r="S1576" s="133">
        <f>M1560</f>
        <v>0</v>
      </c>
      <c r="T1576" s="120"/>
      <c r="U1576" s="121" t="s">
        <v>292</v>
      </c>
      <c r="V1576" s="133">
        <f t="shared" si="721"/>
        <v>0</v>
      </c>
      <c r="W1576" s="133">
        <f>VLOOKUP(U1576,Sheet1!$B$6:$C$45,2,FALSE)*V1576</f>
        <v>0</v>
      </c>
      <c r="X1576" s="141"/>
      <c r="Y1576" s="121" t="s">
        <v>292</v>
      </c>
      <c r="Z1576" s="146">
        <f>VLOOKUP(Takeoffs!Y1576,Sheet1!$B$6:$C$124,2,FALSE)</f>
        <v>0</v>
      </c>
      <c r="AA1576" s="146">
        <f t="shared" si="722"/>
        <v>0</v>
      </c>
      <c r="AB1576" s="143">
        <f t="shared" si="723"/>
        <v>0</v>
      </c>
      <c r="AC1576" s="133">
        <f t="shared" si="724"/>
        <v>0</v>
      </c>
      <c r="AD1576" s="142">
        <v>1</v>
      </c>
      <c r="AE1576" s="141"/>
      <c r="AF1576" s="121" t="s">
        <v>292</v>
      </c>
      <c r="AG1576" s="146">
        <f>VLOOKUP(Takeoffs!AF1576,Sheet1!$B$6:$C$124,2,FALSE)</f>
        <v>0</v>
      </c>
      <c r="AH1576" s="146">
        <f t="shared" si="725"/>
        <v>0</v>
      </c>
      <c r="AI1576" s="143">
        <f t="shared" si="726"/>
        <v>0</v>
      </c>
      <c r="AJ1576" s="133">
        <f t="shared" si="727"/>
        <v>0</v>
      </c>
      <c r="AK1576" s="142">
        <f t="shared" si="729"/>
        <v>0</v>
      </c>
      <c r="AL1576" s="141"/>
      <c r="AO1576" s="286"/>
      <c r="AP1576" s="284">
        <f t="shared" si="716"/>
        <v>0</v>
      </c>
      <c r="AQ1576" s="281">
        <f t="shared" si="717"/>
        <v>0</v>
      </c>
      <c r="AR1576" s="284">
        <f t="shared" si="718"/>
        <v>0</v>
      </c>
      <c r="AS1576" s="281">
        <f t="shared" si="719"/>
        <v>0</v>
      </c>
      <c r="AT1576" s="284">
        <f t="shared" si="720"/>
        <v>0</v>
      </c>
    </row>
    <row r="1577" spans="1:97" s="114" customFormat="1" ht="30.9" x14ac:dyDescent="0.8">
      <c r="A1577" s="262">
        <f>ROW()</f>
        <v>1577</v>
      </c>
      <c r="C1577" s="208"/>
      <c r="D1577" s="208"/>
      <c r="E1577" s="208"/>
      <c r="F1577" s="208"/>
      <c r="G1577" s="208"/>
      <c r="H1577" s="208"/>
      <c r="J1577" s="114" t="str">
        <f t="shared" si="728"/>
        <v/>
      </c>
      <c r="K1577" s="114" t="str">
        <f>IF(COUNTBLANK(R1577)&gt;0,"",CONCATENATE(R1577," for ",N1560))</f>
        <v/>
      </c>
      <c r="N1577" s="123" t="s">
        <v>129</v>
      </c>
      <c r="O1577" s="66"/>
      <c r="P1577" s="121"/>
      <c r="Q1577" s="121"/>
      <c r="R1577" s="121"/>
      <c r="S1577" s="133">
        <f>M1560</f>
        <v>0</v>
      </c>
      <c r="T1577" s="120"/>
      <c r="U1577" s="121" t="s">
        <v>292</v>
      </c>
      <c r="V1577" s="133">
        <f t="shared" si="721"/>
        <v>0</v>
      </c>
      <c r="W1577" s="133">
        <f>VLOOKUP(U1577,Sheet1!$B$6:$C$45,2,FALSE)*V1577</f>
        <v>0</v>
      </c>
      <c r="X1577" s="141"/>
      <c r="Y1577" s="121" t="s">
        <v>292</v>
      </c>
      <c r="Z1577" s="146">
        <f>VLOOKUP(Takeoffs!Y1577,Sheet1!$B$6:$C$124,2,FALSE)</f>
        <v>0</v>
      </c>
      <c r="AA1577" s="146">
        <f t="shared" si="722"/>
        <v>0</v>
      </c>
      <c r="AB1577" s="143">
        <f t="shared" si="723"/>
        <v>0</v>
      </c>
      <c r="AC1577" s="133">
        <f t="shared" si="724"/>
        <v>0</v>
      </c>
      <c r="AD1577" s="142">
        <v>1</v>
      </c>
      <c r="AE1577" s="141"/>
      <c r="AF1577" s="121" t="s">
        <v>292</v>
      </c>
      <c r="AG1577" s="146">
        <f>VLOOKUP(Takeoffs!AF1577,Sheet1!$B$6:$C$124,2,FALSE)</f>
        <v>0</v>
      </c>
      <c r="AH1577" s="146">
        <f t="shared" si="725"/>
        <v>0</v>
      </c>
      <c r="AI1577" s="143">
        <f t="shared" si="726"/>
        <v>0</v>
      </c>
      <c r="AJ1577" s="133">
        <f t="shared" si="727"/>
        <v>0</v>
      </c>
      <c r="AK1577" s="142">
        <f t="shared" si="729"/>
        <v>0</v>
      </c>
      <c r="AL1577" s="141"/>
      <c r="AO1577" s="286"/>
      <c r="AP1577" s="284">
        <f t="shared" si="716"/>
        <v>0</v>
      </c>
      <c r="AQ1577" s="281">
        <f t="shared" si="717"/>
        <v>0</v>
      </c>
      <c r="AR1577" s="284">
        <f t="shared" si="718"/>
        <v>0</v>
      </c>
      <c r="AS1577" s="281">
        <f t="shared" si="719"/>
        <v>0</v>
      </c>
      <c r="AT1577" s="284">
        <f t="shared" si="720"/>
        <v>0</v>
      </c>
    </row>
    <row r="1578" spans="1:97" s="114" customFormat="1" ht="30.9" x14ac:dyDescent="0.8">
      <c r="A1578" s="262">
        <f>ROW()</f>
        <v>1578</v>
      </c>
      <c r="C1578" s="208"/>
      <c r="D1578" s="208"/>
      <c r="E1578" s="208"/>
      <c r="F1578" s="208"/>
      <c r="G1578" s="208"/>
      <c r="H1578" s="208"/>
      <c r="J1578" s="114" t="str">
        <f t="shared" si="728"/>
        <v/>
      </c>
      <c r="K1578" s="114" t="str">
        <f>IF(COUNTBLANK(R1578)&gt;0,"",CONCATENATE(R1578," for ",N1560))</f>
        <v/>
      </c>
      <c r="N1578" s="123" t="s">
        <v>130</v>
      </c>
      <c r="O1578" s="66"/>
      <c r="P1578" s="121"/>
      <c r="Q1578" s="121"/>
      <c r="R1578" s="121"/>
      <c r="S1578" s="133">
        <f>M1560</f>
        <v>0</v>
      </c>
      <c r="T1578" s="120"/>
      <c r="U1578" s="121" t="s">
        <v>292</v>
      </c>
      <c r="V1578" s="133">
        <f t="shared" si="721"/>
        <v>0</v>
      </c>
      <c r="W1578" s="133">
        <f>VLOOKUP(U1578,Sheet1!$B$6:$C$45,2,FALSE)*V1578</f>
        <v>0</v>
      </c>
      <c r="X1578" s="141"/>
      <c r="Y1578" s="121" t="s">
        <v>292</v>
      </c>
      <c r="Z1578" s="146">
        <f>VLOOKUP(Takeoffs!Y1578,Sheet1!$B$6:$C$124,2,FALSE)</f>
        <v>0</v>
      </c>
      <c r="AA1578" s="146">
        <f t="shared" si="722"/>
        <v>0</v>
      </c>
      <c r="AB1578" s="143">
        <f t="shared" si="723"/>
        <v>0</v>
      </c>
      <c r="AC1578" s="133">
        <f t="shared" si="724"/>
        <v>0</v>
      </c>
      <c r="AD1578" s="142">
        <v>1</v>
      </c>
      <c r="AE1578" s="141"/>
      <c r="AF1578" s="121" t="s">
        <v>292</v>
      </c>
      <c r="AG1578" s="146">
        <f>VLOOKUP(Takeoffs!AF1578,Sheet1!$B$6:$C$124,2,FALSE)</f>
        <v>0</v>
      </c>
      <c r="AH1578" s="146">
        <f t="shared" si="725"/>
        <v>0</v>
      </c>
      <c r="AI1578" s="143">
        <f t="shared" si="726"/>
        <v>0</v>
      </c>
      <c r="AJ1578" s="133">
        <f t="shared" si="727"/>
        <v>0</v>
      </c>
      <c r="AK1578" s="142">
        <f t="shared" si="729"/>
        <v>0</v>
      </c>
      <c r="AL1578" s="141"/>
      <c r="AO1578" s="286"/>
      <c r="AP1578" s="284">
        <f t="shared" si="716"/>
        <v>0</v>
      </c>
      <c r="AQ1578" s="281">
        <f t="shared" si="717"/>
        <v>0</v>
      </c>
      <c r="AR1578" s="284">
        <f t="shared" si="718"/>
        <v>0</v>
      </c>
      <c r="AS1578" s="281">
        <f t="shared" si="719"/>
        <v>0</v>
      </c>
      <c r="AT1578" s="284">
        <f t="shared" si="720"/>
        <v>0</v>
      </c>
    </row>
    <row r="1579" spans="1:97" s="114" customFormat="1" ht="30.9" x14ac:dyDescent="0.8">
      <c r="A1579" s="262">
        <f>ROW()</f>
        <v>1579</v>
      </c>
      <c r="C1579" s="208"/>
      <c r="D1579" s="208"/>
      <c r="E1579" s="208"/>
      <c r="F1579" s="208"/>
      <c r="G1579" s="208"/>
      <c r="H1579" s="208"/>
      <c r="J1579" s="114" t="str">
        <f t="shared" si="728"/>
        <v/>
      </c>
      <c r="K1579" s="114" t="str">
        <f>IF(COUNTBLANK(R1579)&gt;0,"",CONCATENATE(R1579," for ",N1560))</f>
        <v/>
      </c>
      <c r="N1579" s="123" t="s">
        <v>131</v>
      </c>
      <c r="O1579" s="66"/>
      <c r="P1579" s="121"/>
      <c r="Q1579" s="121"/>
      <c r="R1579" s="121"/>
      <c r="S1579" s="133">
        <f>M1560</f>
        <v>0</v>
      </c>
      <c r="T1579" s="120"/>
      <c r="U1579" s="121" t="s">
        <v>292</v>
      </c>
      <c r="V1579" s="133">
        <f t="shared" si="721"/>
        <v>0</v>
      </c>
      <c r="W1579" s="133">
        <f>VLOOKUP(U1579,Sheet1!$B$6:$C$45,2,FALSE)*V1579</f>
        <v>0</v>
      </c>
      <c r="X1579" s="141"/>
      <c r="Y1579" s="121" t="s">
        <v>292</v>
      </c>
      <c r="Z1579" s="146">
        <f>VLOOKUP(Takeoffs!Y1579,Sheet1!$B$6:$C$124,2,FALSE)</f>
        <v>0</v>
      </c>
      <c r="AA1579" s="146">
        <f t="shared" si="722"/>
        <v>0</v>
      </c>
      <c r="AB1579" s="143">
        <f t="shared" si="723"/>
        <v>0</v>
      </c>
      <c r="AC1579" s="133">
        <f t="shared" si="724"/>
        <v>0</v>
      </c>
      <c r="AD1579" s="142">
        <v>1</v>
      </c>
      <c r="AE1579" s="141"/>
      <c r="AF1579" s="121" t="s">
        <v>292</v>
      </c>
      <c r="AG1579" s="146">
        <f>VLOOKUP(Takeoffs!AF1579,Sheet1!$B$6:$C$124,2,FALSE)</f>
        <v>0</v>
      </c>
      <c r="AH1579" s="146">
        <f t="shared" si="725"/>
        <v>0</v>
      </c>
      <c r="AI1579" s="143">
        <f t="shared" si="726"/>
        <v>0</v>
      </c>
      <c r="AJ1579" s="133">
        <f t="shared" si="727"/>
        <v>0</v>
      </c>
      <c r="AK1579" s="142">
        <f t="shared" si="729"/>
        <v>0</v>
      </c>
      <c r="AL1579" s="141"/>
      <c r="AO1579" s="286"/>
      <c r="AP1579" s="284">
        <f t="shared" si="716"/>
        <v>0</v>
      </c>
      <c r="AQ1579" s="281">
        <f t="shared" si="717"/>
        <v>0</v>
      </c>
      <c r="AR1579" s="284">
        <f t="shared" si="718"/>
        <v>0</v>
      </c>
      <c r="AS1579" s="281">
        <f t="shared" si="719"/>
        <v>0</v>
      </c>
      <c r="AT1579" s="284">
        <f t="shared" si="720"/>
        <v>0</v>
      </c>
    </row>
    <row r="1580" spans="1:97" s="114" customFormat="1" ht="30.9" x14ac:dyDescent="0.8">
      <c r="A1580" s="262">
        <f>ROW()</f>
        <v>1580</v>
      </c>
      <c r="C1580" s="208"/>
      <c r="D1580" s="208"/>
      <c r="E1580" s="208"/>
      <c r="F1580" s="208"/>
      <c r="G1580" s="208"/>
      <c r="H1580" s="208"/>
      <c r="J1580" s="114" t="str">
        <f t="shared" si="728"/>
        <v/>
      </c>
      <c r="K1580" s="114" t="str">
        <f>IF(COUNTBLANK(R1580)&gt;0,"",CONCATENATE(R1580," for ",N1560))</f>
        <v/>
      </c>
      <c r="N1580" s="123" t="s">
        <v>132</v>
      </c>
      <c r="O1580" s="66"/>
      <c r="P1580" s="121"/>
      <c r="Q1580" s="121"/>
      <c r="R1580" s="121"/>
      <c r="S1580" s="133">
        <f>M1560</f>
        <v>0</v>
      </c>
      <c r="T1580" s="120"/>
      <c r="U1580" s="121" t="s">
        <v>292</v>
      </c>
      <c r="V1580" s="133">
        <f t="shared" si="721"/>
        <v>0</v>
      </c>
      <c r="W1580" s="133">
        <f>VLOOKUP(U1580,Sheet1!$B$6:$C$45,2,FALSE)*V1580</f>
        <v>0</v>
      </c>
      <c r="X1580" s="141"/>
      <c r="Y1580" s="121" t="s">
        <v>292</v>
      </c>
      <c r="Z1580" s="146">
        <f>VLOOKUP(Takeoffs!Y1580,Sheet1!$B$6:$C$124,2,FALSE)</f>
        <v>0</v>
      </c>
      <c r="AA1580" s="146">
        <f t="shared" si="722"/>
        <v>0</v>
      </c>
      <c r="AB1580" s="143">
        <f t="shared" si="723"/>
        <v>0</v>
      </c>
      <c r="AC1580" s="133">
        <f t="shared" si="724"/>
        <v>0</v>
      </c>
      <c r="AD1580" s="142">
        <v>1</v>
      </c>
      <c r="AE1580" s="141"/>
      <c r="AF1580" s="121" t="s">
        <v>292</v>
      </c>
      <c r="AG1580" s="146">
        <f>VLOOKUP(Takeoffs!AF1580,Sheet1!$B$6:$C$124,2,FALSE)</f>
        <v>0</v>
      </c>
      <c r="AH1580" s="146">
        <f t="shared" si="725"/>
        <v>0</v>
      </c>
      <c r="AI1580" s="143">
        <f t="shared" si="726"/>
        <v>0</v>
      </c>
      <c r="AJ1580" s="133">
        <f t="shared" si="727"/>
        <v>0</v>
      </c>
      <c r="AK1580" s="142">
        <f t="shared" si="729"/>
        <v>0</v>
      </c>
      <c r="AL1580" s="141"/>
      <c r="AO1580" s="286"/>
      <c r="AP1580" s="284">
        <f t="shared" si="716"/>
        <v>0</v>
      </c>
      <c r="AQ1580" s="281">
        <f t="shared" si="717"/>
        <v>0</v>
      </c>
      <c r="AR1580" s="284">
        <f t="shared" si="718"/>
        <v>0</v>
      </c>
      <c r="AS1580" s="281">
        <f t="shared" si="719"/>
        <v>0</v>
      </c>
      <c r="AT1580" s="284">
        <f t="shared" si="720"/>
        <v>0</v>
      </c>
    </row>
    <row r="1581" spans="1:97" s="128" customFormat="1" ht="31.5" customHeight="1" x14ac:dyDescent="0.8">
      <c r="A1581" s="262">
        <f>ROW()</f>
        <v>1581</v>
      </c>
      <c r="C1581" s="212"/>
      <c r="D1581" s="212"/>
      <c r="E1581" s="212"/>
      <c r="F1581" s="212"/>
      <c r="G1581" s="212"/>
      <c r="H1581" s="212"/>
      <c r="J1581" s="128" t="s">
        <v>377</v>
      </c>
      <c r="L1581" s="128" t="s">
        <v>378</v>
      </c>
      <c r="N1581" s="129"/>
      <c r="O1581" s="130" t="s">
        <v>357</v>
      </c>
      <c r="P1581" s="131">
        <f>V1581+AA1581+AH1581</f>
        <v>0</v>
      </c>
      <c r="Q1581" s="131"/>
      <c r="R1581" s="131"/>
      <c r="S1581" s="130"/>
      <c r="T1581" s="127"/>
      <c r="U1581" s="126" t="s">
        <v>351</v>
      </c>
      <c r="V1581" s="127">
        <f>W1581*80</f>
        <v>0</v>
      </c>
      <c r="W1581" s="147">
        <f>SUM(W1560:W1580)</f>
        <v>0</v>
      </c>
      <c r="X1581" s="148"/>
      <c r="Y1581" s="127" t="s">
        <v>352</v>
      </c>
      <c r="Z1581" s="116"/>
      <c r="AA1581" s="116">
        <f>SUM(AA1560:AA1580)</f>
        <v>0</v>
      </c>
      <c r="AB1581" s="149"/>
      <c r="AC1581" s="149"/>
      <c r="AD1581" s="149"/>
      <c r="AE1581" s="149"/>
      <c r="AF1581" s="127" t="s">
        <v>356</v>
      </c>
      <c r="AG1581" s="116"/>
      <c r="AH1581" s="116">
        <f>SUM(AH1560:AH1580)</f>
        <v>0</v>
      </c>
      <c r="AI1581" s="149"/>
      <c r="AJ1581" s="149"/>
      <c r="AK1581" s="149"/>
      <c r="AL1581" s="149"/>
      <c r="AM1581" s="150">
        <f>P1581</f>
        <v>0</v>
      </c>
      <c r="AO1581" s="286"/>
      <c r="AP1581" s="284">
        <f t="shared" si="716"/>
        <v>0</v>
      </c>
      <c r="AQ1581" s="281">
        <f t="shared" si="717"/>
        <v>0</v>
      </c>
      <c r="AR1581" s="284">
        <f t="shared" si="718"/>
        <v>0</v>
      </c>
      <c r="AS1581" s="281">
        <f t="shared" si="719"/>
        <v>0</v>
      </c>
      <c r="AT1581" s="284">
        <f t="shared" si="720"/>
        <v>0</v>
      </c>
    </row>
    <row r="1582" spans="1:97" s="234" customFormat="1" x14ac:dyDescent="0.8">
      <c r="A1582" s="262">
        <f>ROW()</f>
        <v>1582</v>
      </c>
      <c r="B1582" s="234" t="s">
        <v>491</v>
      </c>
      <c r="C1582" s="217" t="str">
        <f>N1560</f>
        <v>Packaged units</v>
      </c>
      <c r="D1582" s="260" t="s">
        <v>678</v>
      </c>
      <c r="E1582" s="238"/>
      <c r="F1582" s="217"/>
      <c r="G1582" s="217">
        <v>2</v>
      </c>
      <c r="H1582" s="245"/>
      <c r="I1582" s="270"/>
      <c r="J1582" s="241" t="str">
        <f>CONCATENATE(O1560," ",L1560, " (",M1560,") ",N1560,".", IF(M1560&gt;1," Each "," This "),"includes supply and install of ",O1561,O1562,O1563,O1564,O1565,O1566,O1567,O1568,O1569,O1570,O1571,O1572,O1573,O1574,O1575,O1576,O1577,O1578,O1579,O1580,J1561,J1562,J1563,J1564,J1565,J1566,J1567,J1568,J1569,J1570,J1571,J1572,J1573,J1574,J1575,J1576,J1577,J1578,J1579,J1580)</f>
        <v xml:space="preserve">Electrical power supply to Zero (0) Packaged units. This includes supply and install of CB, cabling from MSSB </v>
      </c>
      <c r="K1582" s="246">
        <f>P1581</f>
        <v>0</v>
      </c>
      <c r="L1582" s="235" t="str">
        <f>CONCATENATE(Q1561,Q1562,Q1563,Q1564,Q1565,Q1566,Q1567,Q1568,Q1569,Q1570,Q1571,Q1572,Q1573,Q1574,Q1575,Q1576,Q1577,Q1578,Q1579,Q1580,)</f>
        <v/>
      </c>
      <c r="M1582" s="166" t="s">
        <v>367</v>
      </c>
      <c r="N1582" s="160" t="str">
        <f>N1560</f>
        <v>Packaged units</v>
      </c>
      <c r="O1582" s="160" t="s">
        <v>365</v>
      </c>
      <c r="P1582" s="64" t="e">
        <f>P1581/M1560</f>
        <v>#DIV/0!</v>
      </c>
      <c r="Q1582" s="161"/>
      <c r="R1582" s="161"/>
      <c r="S1582" s="160"/>
      <c r="T1582" s="161"/>
      <c r="U1582" s="503" t="s">
        <v>366</v>
      </c>
      <c r="V1582" s="503"/>
      <c r="W1582" s="162" t="e">
        <f>W1581/M1560</f>
        <v>#DIV/0!</v>
      </c>
      <c r="X1582" s="163"/>
      <c r="Y1582" s="501" t="s">
        <v>365</v>
      </c>
      <c r="Z1582" s="501"/>
      <c r="AA1582" s="164" t="e">
        <f>AA1581/M1560</f>
        <v>#DIV/0!</v>
      </c>
      <c r="AB1582" s="161"/>
      <c r="AC1582" s="161"/>
      <c r="AD1582" s="161"/>
      <c r="AE1582" s="161"/>
      <c r="AF1582" s="501" t="s">
        <v>365</v>
      </c>
      <c r="AG1582" s="501"/>
      <c r="AH1582" s="164" t="e">
        <f>AH1581/M1560</f>
        <v>#DIV/0!</v>
      </c>
      <c r="AI1582" s="161"/>
      <c r="AJ1582" s="161"/>
      <c r="AK1582" s="161"/>
      <c r="AL1582" s="247"/>
      <c r="AM1582" s="257"/>
      <c r="AN1582" s="230">
        <f>K1582*1.25</f>
        <v>0</v>
      </c>
      <c r="AO1582" s="286"/>
      <c r="AP1582" s="284">
        <f t="shared" si="716"/>
        <v>0</v>
      </c>
      <c r="AQ1582" s="281">
        <f t="shared" si="717"/>
        <v>0</v>
      </c>
      <c r="AR1582" s="284">
        <f t="shared" si="718"/>
        <v>0</v>
      </c>
      <c r="AS1582" s="281">
        <f t="shared" si="719"/>
        <v>0</v>
      </c>
      <c r="AT1582" s="284">
        <f t="shared" si="720"/>
        <v>0</v>
      </c>
      <c r="AU1582" s="117"/>
      <c r="AV1582" s="117"/>
      <c r="AW1582" s="117"/>
      <c r="AX1582" s="117"/>
      <c r="AY1582" s="117"/>
      <c r="AZ1582" s="117"/>
      <c r="BA1582" s="117"/>
      <c r="BB1582" s="117"/>
      <c r="BC1582" s="117"/>
      <c r="BD1582" s="117"/>
      <c r="BE1582" s="117"/>
      <c r="BF1582" s="117"/>
      <c r="BG1582" s="117"/>
      <c r="BH1582" s="117"/>
      <c r="BI1582" s="117"/>
      <c r="BJ1582" s="117"/>
      <c r="BK1582" s="117"/>
      <c r="BL1582" s="117"/>
      <c r="BM1582" s="117"/>
      <c r="BN1582" s="117"/>
      <c r="BO1582" s="117"/>
      <c r="BP1582" s="117"/>
      <c r="BQ1582" s="117"/>
      <c r="BR1582" s="117"/>
      <c r="BS1582" s="117"/>
      <c r="BT1582" s="117"/>
      <c r="BU1582" s="117"/>
      <c r="BV1582" s="117"/>
      <c r="BW1582" s="117"/>
      <c r="BX1582" s="117"/>
      <c r="BY1582" s="117"/>
      <c r="BZ1582" s="117"/>
      <c r="CA1582" s="117"/>
      <c r="CB1582" s="117"/>
      <c r="CC1582" s="117"/>
      <c r="CD1582" s="117"/>
      <c r="CE1582" s="117"/>
      <c r="CF1582" s="117"/>
      <c r="CG1582" s="117"/>
      <c r="CH1582" s="117"/>
      <c r="CI1582" s="117"/>
      <c r="CJ1582" s="117"/>
      <c r="CK1582" s="117"/>
      <c r="CL1582" s="117"/>
      <c r="CM1582" s="117"/>
      <c r="CN1582" s="117"/>
      <c r="CO1582" s="117"/>
      <c r="CP1582" s="117"/>
      <c r="CQ1582" s="117"/>
      <c r="CR1582" s="117"/>
      <c r="CS1582" s="117"/>
    </row>
    <row r="1583" spans="1:97" s="116" customFormat="1" ht="192.75" customHeight="1" x14ac:dyDescent="0.8">
      <c r="A1583" s="262">
        <f>ROW()</f>
        <v>1583</v>
      </c>
      <c r="C1583" s="211"/>
      <c r="D1583" s="211"/>
      <c r="E1583" s="211"/>
      <c r="F1583" s="211"/>
      <c r="G1583" s="211"/>
      <c r="H1583" s="211"/>
      <c r="K1583" s="116" t="s">
        <v>452</v>
      </c>
      <c r="M1583" s="116" t="s">
        <v>107</v>
      </c>
      <c r="N1583" s="116" t="s">
        <v>108</v>
      </c>
      <c r="O1583" s="170" t="s">
        <v>386</v>
      </c>
      <c r="P1583" s="502" t="s">
        <v>375</v>
      </c>
      <c r="Q1583" s="502"/>
      <c r="R1583" s="101" t="s">
        <v>452</v>
      </c>
      <c r="S1583" s="116" t="s">
        <v>0</v>
      </c>
      <c r="T1583" s="118"/>
      <c r="U1583" s="116" t="s">
        <v>287</v>
      </c>
      <c r="V1583" s="116" t="s">
        <v>288</v>
      </c>
      <c r="W1583" s="116" t="s">
        <v>291</v>
      </c>
      <c r="X1583" s="140"/>
      <c r="Y1583" s="116" t="s">
        <v>289</v>
      </c>
      <c r="Z1583" s="116" t="s">
        <v>354</v>
      </c>
      <c r="AA1583" s="116" t="s">
        <v>355</v>
      </c>
      <c r="AB1583" s="116" t="s">
        <v>317</v>
      </c>
      <c r="AC1583" s="116" t="s">
        <v>318</v>
      </c>
      <c r="AD1583" s="116" t="s">
        <v>316</v>
      </c>
      <c r="AE1583" s="140"/>
      <c r="AF1583" s="116" t="s">
        <v>293</v>
      </c>
      <c r="AG1583" s="116" t="s">
        <v>354</v>
      </c>
      <c r="AH1583" s="116" t="s">
        <v>355</v>
      </c>
      <c r="AI1583" s="116" t="s">
        <v>296</v>
      </c>
      <c r="AJ1583" s="116" t="s">
        <v>294</v>
      </c>
      <c r="AK1583" s="116" t="s">
        <v>295</v>
      </c>
      <c r="AL1583" s="140"/>
      <c r="AO1583" s="288"/>
      <c r="AP1583" s="284">
        <f t="shared" si="716"/>
        <v>0</v>
      </c>
      <c r="AQ1583" s="281">
        <f t="shared" si="717"/>
        <v>0</v>
      </c>
      <c r="AR1583" s="284">
        <f t="shared" si="718"/>
        <v>0</v>
      </c>
      <c r="AS1583" s="281">
        <f t="shared" si="719"/>
        <v>0</v>
      </c>
      <c r="AT1583" s="284">
        <f t="shared" si="720"/>
        <v>0</v>
      </c>
    </row>
    <row r="1584" spans="1:97" s="114" customFormat="1" ht="53.25" customHeight="1" x14ac:dyDescent="0.8">
      <c r="A1584" s="262">
        <f>ROW()</f>
        <v>1584</v>
      </c>
      <c r="C1584" s="208"/>
      <c r="D1584" s="208"/>
      <c r="E1584" s="208"/>
      <c r="F1584" s="208"/>
      <c r="G1584" s="208"/>
      <c r="H1584" s="208"/>
      <c r="L1584" s="124" t="str">
        <f>VLOOKUP(M1584,Sheet2!$D$2:$E$1024,2,FALSE)</f>
        <v>Zero</v>
      </c>
      <c r="M1584" s="121">
        <f>I1606</f>
        <v>0</v>
      </c>
      <c r="N1584" s="132" t="s">
        <v>619</v>
      </c>
      <c r="O1584" s="121" t="s">
        <v>133</v>
      </c>
      <c r="P1584" s="169" t="s">
        <v>379</v>
      </c>
      <c r="Q1584" s="169" t="s">
        <v>375</v>
      </c>
      <c r="R1584" s="169"/>
      <c r="S1584" s="133">
        <f>M1584</f>
        <v>0</v>
      </c>
      <c r="T1584" s="119"/>
      <c r="U1584" s="121" t="s">
        <v>292</v>
      </c>
      <c r="V1584" s="133">
        <f>S1584</f>
        <v>0</v>
      </c>
      <c r="W1584" s="133">
        <f>VLOOKUP(U1584,Sheet1!$B$6:$C$45,2,FALSE)*V1584</f>
        <v>0</v>
      </c>
      <c r="X1584" s="141"/>
      <c r="Y1584" s="121" t="s">
        <v>292</v>
      </c>
      <c r="Z1584" s="146">
        <f>VLOOKUP(Takeoffs!Y1584,Sheet1!$B$6:$C$124,2,FALSE)</f>
        <v>0</v>
      </c>
      <c r="AA1584" s="146">
        <f>Z1584*AB1584</f>
        <v>0</v>
      </c>
      <c r="AB1584" s="143">
        <f>AD1584*AC1584</f>
        <v>0</v>
      </c>
      <c r="AC1584" s="133">
        <f>S1584</f>
        <v>0</v>
      </c>
      <c r="AD1584" s="142">
        <v>1</v>
      </c>
      <c r="AE1584" s="141"/>
      <c r="AF1584" s="121" t="s">
        <v>292</v>
      </c>
      <c r="AG1584" s="146">
        <f>VLOOKUP(Takeoffs!AF1584,Sheet1!$B$6:$C$124,2,FALSE)</f>
        <v>0</v>
      </c>
      <c r="AH1584" s="146">
        <f>AG1584*AI1584</f>
        <v>0</v>
      </c>
      <c r="AI1584" s="143">
        <f>AK1584*AJ1584</f>
        <v>0</v>
      </c>
      <c r="AJ1584" s="133">
        <f>S1584</f>
        <v>0</v>
      </c>
      <c r="AK1584" s="142">
        <f>T1584</f>
        <v>0</v>
      </c>
      <c r="AL1584" s="141"/>
      <c r="AO1584" s="286"/>
      <c r="AP1584" s="284">
        <f t="shared" si="716"/>
        <v>0</v>
      </c>
      <c r="AQ1584" s="281">
        <f t="shared" si="717"/>
        <v>0</v>
      </c>
      <c r="AR1584" s="284">
        <f t="shared" si="718"/>
        <v>0</v>
      </c>
      <c r="AS1584" s="281">
        <f t="shared" si="719"/>
        <v>0</v>
      </c>
      <c r="AT1584" s="284">
        <f t="shared" si="720"/>
        <v>0</v>
      </c>
    </row>
    <row r="1585" spans="1:46" s="114" customFormat="1" ht="30.9" x14ac:dyDescent="0.8">
      <c r="A1585" s="262">
        <f>ROW()</f>
        <v>1585</v>
      </c>
      <c r="C1585" s="208"/>
      <c r="D1585" s="208"/>
      <c r="E1585" s="208"/>
      <c r="F1585" s="208"/>
      <c r="G1585" s="208"/>
      <c r="H1585" s="208"/>
      <c r="J1585" s="114" t="str">
        <f>IF(COUNTBLANK(Q1585)&gt;0,"",CONCATENATE("Coordination Note: - ",P1585,": Please refer to our exclusions relating to ",Q1585))</f>
        <v/>
      </c>
      <c r="K1585" s="114" t="str">
        <f>IF(COUNTBLANK(R1585)&gt;0,"",CONCATENATE(R1585," for ",N1584))</f>
        <v/>
      </c>
      <c r="M1585" s="117"/>
      <c r="N1585" s="123" t="s">
        <v>113</v>
      </c>
      <c r="O1585" s="66" t="s">
        <v>308</v>
      </c>
      <c r="P1585" s="121"/>
      <c r="Q1585" s="66"/>
      <c r="R1585" s="121"/>
      <c r="S1585" s="133">
        <f>M1584</f>
        <v>0</v>
      </c>
      <c r="T1585" s="120"/>
      <c r="U1585" s="121" t="s">
        <v>292</v>
      </c>
      <c r="V1585" s="133">
        <f t="shared" ref="V1585:V1604" si="730">S1585</f>
        <v>0</v>
      </c>
      <c r="W1585" s="133">
        <f>VLOOKUP(U1585,Sheet1!$B$6:$C$45,2,FALSE)*V1585</f>
        <v>0</v>
      </c>
      <c r="X1585" s="141"/>
      <c r="Y1585" s="122" t="s">
        <v>250</v>
      </c>
      <c r="Z1585" s="146">
        <f>VLOOKUP(Takeoffs!Y1585,Sheet1!$B$6:$C$124,2,FALSE)</f>
        <v>43.440000000000005</v>
      </c>
      <c r="AA1585" s="146">
        <f t="shared" ref="AA1585:AA1604" si="731">Z1585*AB1585</f>
        <v>0</v>
      </c>
      <c r="AB1585" s="143">
        <f t="shared" ref="AB1585:AB1604" si="732">AD1585*AC1585</f>
        <v>0</v>
      </c>
      <c r="AC1585" s="133">
        <f t="shared" ref="AC1585:AC1604" si="733">S1585</f>
        <v>0</v>
      </c>
      <c r="AD1585" s="142">
        <v>1</v>
      </c>
      <c r="AE1585" s="141"/>
      <c r="AF1585" s="121" t="s">
        <v>292</v>
      </c>
      <c r="AG1585" s="146">
        <f>VLOOKUP(Takeoffs!AF1585,Sheet1!$B$6:$C$124,2,FALSE)</f>
        <v>0</v>
      </c>
      <c r="AH1585" s="146">
        <f t="shared" ref="AH1585:AH1604" si="734">AG1585*AI1585</f>
        <v>0</v>
      </c>
      <c r="AI1585" s="143">
        <f t="shared" ref="AI1585:AI1604" si="735">AK1585*AJ1585</f>
        <v>0</v>
      </c>
      <c r="AJ1585" s="133">
        <f t="shared" ref="AJ1585:AJ1604" si="736">S1585</f>
        <v>0</v>
      </c>
      <c r="AK1585" s="142">
        <v>15</v>
      </c>
      <c r="AL1585" s="141"/>
      <c r="AO1585" s="286"/>
      <c r="AP1585" s="284">
        <f t="shared" si="716"/>
        <v>0</v>
      </c>
      <c r="AQ1585" s="281">
        <f t="shared" si="717"/>
        <v>0</v>
      </c>
      <c r="AR1585" s="284">
        <f t="shared" si="718"/>
        <v>0</v>
      </c>
      <c r="AS1585" s="281">
        <f t="shared" si="719"/>
        <v>0</v>
      </c>
      <c r="AT1585" s="284">
        <f t="shared" si="720"/>
        <v>0</v>
      </c>
    </row>
    <row r="1586" spans="1:46" s="114" customFormat="1" ht="30.9" x14ac:dyDescent="0.8">
      <c r="A1586" s="262">
        <f>ROW()</f>
        <v>1586</v>
      </c>
      <c r="C1586" s="208"/>
      <c r="D1586" s="208"/>
      <c r="E1586" s="208"/>
      <c r="F1586" s="208"/>
      <c r="G1586" s="208"/>
      <c r="H1586" s="208"/>
      <c r="J1586" s="114" t="str">
        <f t="shared" ref="J1586:J1604" si="737">IF(COUNTBLANK(Q1586)&gt;0,"",CONCATENATE("Coordination Note: - ",P1586,": Please refer to our exclusions relating to ",Q1586))</f>
        <v/>
      </c>
      <c r="K1586" s="114" t="str">
        <f>IF(COUNTBLANK(R1586)&gt;0,"",CONCATENATE(R1586," for ",N1584))</f>
        <v/>
      </c>
      <c r="M1586" s="117"/>
      <c r="N1586" s="123" t="s">
        <v>114</v>
      </c>
      <c r="O1586" s="66" t="s">
        <v>621</v>
      </c>
      <c r="P1586" s="121"/>
      <c r="Q1586" s="66"/>
      <c r="R1586" s="121"/>
      <c r="S1586" s="133">
        <f>M1584</f>
        <v>0</v>
      </c>
      <c r="T1586" s="120"/>
      <c r="U1586" s="117" t="s">
        <v>363</v>
      </c>
      <c r="V1586" s="133">
        <f t="shared" si="730"/>
        <v>0</v>
      </c>
      <c r="W1586" s="133">
        <f>VLOOKUP(U1586,Sheet1!$B$6:$C$45,2,FALSE)*V1586</f>
        <v>0</v>
      </c>
      <c r="X1586" s="141"/>
      <c r="Y1586" s="122" t="s">
        <v>245</v>
      </c>
      <c r="Z1586" s="146">
        <f>VLOOKUP(Takeoffs!Y1586,Sheet1!$B$6:$C$124,2,FALSE)</f>
        <v>46.463999999999999</v>
      </c>
      <c r="AA1586" s="146">
        <f t="shared" si="731"/>
        <v>0</v>
      </c>
      <c r="AB1586" s="143">
        <f t="shared" si="732"/>
        <v>0</v>
      </c>
      <c r="AC1586" s="133">
        <f t="shared" si="733"/>
        <v>0</v>
      </c>
      <c r="AD1586" s="142">
        <v>1</v>
      </c>
      <c r="AE1586" s="141"/>
      <c r="AF1586" s="121" t="s">
        <v>292</v>
      </c>
      <c r="AG1586" s="146">
        <f>VLOOKUP(Takeoffs!AF1586,Sheet1!$B$6:$C$124,2,FALSE)</f>
        <v>0</v>
      </c>
      <c r="AH1586" s="146">
        <f t="shared" si="734"/>
        <v>0</v>
      </c>
      <c r="AI1586" s="143">
        <f t="shared" si="735"/>
        <v>0</v>
      </c>
      <c r="AJ1586" s="133">
        <f t="shared" si="736"/>
        <v>0</v>
      </c>
      <c r="AK1586" s="142">
        <f t="shared" ref="AK1586:AK1604" si="738">T1586</f>
        <v>0</v>
      </c>
      <c r="AL1586" s="141"/>
      <c r="AO1586" s="286"/>
      <c r="AP1586" s="284">
        <f t="shared" si="716"/>
        <v>0</v>
      </c>
      <c r="AQ1586" s="281">
        <f t="shared" si="717"/>
        <v>0</v>
      </c>
      <c r="AR1586" s="284">
        <f t="shared" si="718"/>
        <v>0</v>
      </c>
      <c r="AS1586" s="281">
        <f t="shared" si="719"/>
        <v>0</v>
      </c>
      <c r="AT1586" s="284">
        <f t="shared" si="720"/>
        <v>0</v>
      </c>
    </row>
    <row r="1587" spans="1:46" s="114" customFormat="1" ht="30.9" x14ac:dyDescent="0.8">
      <c r="A1587" s="262">
        <f>ROW()</f>
        <v>1587</v>
      </c>
      <c r="C1587" s="208"/>
      <c r="D1587" s="208"/>
      <c r="E1587" s="208"/>
      <c r="F1587" s="208"/>
      <c r="G1587" s="208"/>
      <c r="H1587" s="208"/>
      <c r="J1587" s="114" t="str">
        <f t="shared" si="737"/>
        <v xml:space="preserve">Coordination Note: - Customers in-house electrician: Please refer to our exclusions relating to power cabling from MSSB and local power isolator ( for PAC unit). </v>
      </c>
      <c r="K1587" s="114" t="str">
        <f>IF(COUNTBLANK(R1587)&gt;0,"",CONCATENATE(R1587," for ",N1584))</f>
        <v/>
      </c>
      <c r="M1587" s="117"/>
      <c r="N1587" s="123" t="s">
        <v>115</v>
      </c>
      <c r="O1587" s="66"/>
      <c r="P1587" s="121" t="s">
        <v>593</v>
      </c>
      <c r="Q1587" s="66" t="s">
        <v>622</v>
      </c>
      <c r="R1587" s="121"/>
      <c r="S1587" s="133">
        <f>M1584</f>
        <v>0</v>
      </c>
      <c r="T1587" s="120"/>
      <c r="U1587" s="121" t="s">
        <v>292</v>
      </c>
      <c r="V1587" s="133">
        <f t="shared" si="730"/>
        <v>0</v>
      </c>
      <c r="W1587" s="133">
        <f>VLOOKUP(U1587,Sheet1!$B$6:$C$45,2,FALSE)*V1587</f>
        <v>0</v>
      </c>
      <c r="X1587" s="141"/>
      <c r="Y1587" s="121" t="s">
        <v>292</v>
      </c>
      <c r="Z1587" s="146">
        <f>VLOOKUP(Takeoffs!Y1587,Sheet1!$B$6:$C$124,2,FALSE)</f>
        <v>0</v>
      </c>
      <c r="AA1587" s="146">
        <f t="shared" si="731"/>
        <v>0</v>
      </c>
      <c r="AB1587" s="143">
        <f t="shared" si="732"/>
        <v>0</v>
      </c>
      <c r="AC1587" s="133">
        <f t="shared" si="733"/>
        <v>0</v>
      </c>
      <c r="AD1587" s="142">
        <v>1</v>
      </c>
      <c r="AE1587" s="141"/>
      <c r="AF1587" s="121" t="s">
        <v>292</v>
      </c>
      <c r="AG1587" s="146">
        <f>VLOOKUP(Takeoffs!AF1587,Sheet1!$B$6:$C$124,2,FALSE)</f>
        <v>0</v>
      </c>
      <c r="AH1587" s="146">
        <f t="shared" si="734"/>
        <v>0</v>
      </c>
      <c r="AI1587" s="143">
        <f t="shared" si="735"/>
        <v>0</v>
      </c>
      <c r="AJ1587" s="133">
        <f t="shared" si="736"/>
        <v>0</v>
      </c>
      <c r="AK1587" s="142">
        <f t="shared" si="738"/>
        <v>0</v>
      </c>
      <c r="AL1587" s="141"/>
      <c r="AO1587" s="286"/>
      <c r="AP1587" s="284">
        <f t="shared" si="716"/>
        <v>0</v>
      </c>
      <c r="AQ1587" s="281">
        <f t="shared" si="717"/>
        <v>0</v>
      </c>
      <c r="AR1587" s="284">
        <f t="shared" si="718"/>
        <v>0</v>
      </c>
      <c r="AS1587" s="281">
        <f t="shared" si="719"/>
        <v>0</v>
      </c>
      <c r="AT1587" s="284">
        <f t="shared" si="720"/>
        <v>0</v>
      </c>
    </row>
    <row r="1588" spans="1:46" s="114" customFormat="1" ht="30.9" x14ac:dyDescent="0.8">
      <c r="A1588" s="262">
        <f>ROW()</f>
        <v>1588</v>
      </c>
      <c r="C1588" s="208"/>
      <c r="D1588" s="208"/>
      <c r="E1588" s="208"/>
      <c r="F1588" s="208"/>
      <c r="G1588" s="208"/>
      <c r="H1588" s="208"/>
      <c r="J1588" s="114" t="str">
        <f t="shared" si="737"/>
        <v xml:space="preserve">Coordination Note: - Customers in-house electrician: Please refer to our exclusions relating to proprietary air-conditioning controllers supply and installation. </v>
      </c>
      <c r="K1588" s="114" t="str">
        <f>IF(COUNTBLANK(R1588)&gt;0,"",CONCATENATE(R1588," for ",N1584))</f>
        <v/>
      </c>
      <c r="M1588" s="117"/>
      <c r="N1588" s="123" t="s">
        <v>116</v>
      </c>
      <c r="O1588" s="66" t="s">
        <v>611</v>
      </c>
      <c r="P1588" s="121" t="s">
        <v>593</v>
      </c>
      <c r="Q1588" s="121" t="s">
        <v>594</v>
      </c>
      <c r="R1588" s="121"/>
      <c r="S1588" s="133">
        <f>M1584</f>
        <v>0</v>
      </c>
      <c r="T1588" s="120"/>
      <c r="U1588" s="121" t="s">
        <v>292</v>
      </c>
      <c r="V1588" s="133">
        <f t="shared" si="730"/>
        <v>0</v>
      </c>
      <c r="W1588" s="133">
        <f>VLOOKUP(U1588,Sheet1!$B$6:$C$45,2,FALSE)*V1588</f>
        <v>0</v>
      </c>
      <c r="X1588" s="141"/>
      <c r="Y1588" s="121" t="s">
        <v>292</v>
      </c>
      <c r="Z1588" s="146">
        <f>VLOOKUP(Takeoffs!Y1588,Sheet1!$B$6:$C$124,2,FALSE)</f>
        <v>0</v>
      </c>
      <c r="AA1588" s="146">
        <f t="shared" si="731"/>
        <v>0</v>
      </c>
      <c r="AB1588" s="143">
        <f t="shared" si="732"/>
        <v>0</v>
      </c>
      <c r="AC1588" s="133">
        <f t="shared" si="733"/>
        <v>0</v>
      </c>
      <c r="AD1588" s="142">
        <v>1</v>
      </c>
      <c r="AE1588" s="141"/>
      <c r="AF1588" s="121" t="s">
        <v>292</v>
      </c>
      <c r="AG1588" s="146">
        <f>VLOOKUP(Takeoffs!AF1588,Sheet1!$B$6:$C$124,2,FALSE)</f>
        <v>0</v>
      </c>
      <c r="AH1588" s="146">
        <f t="shared" si="734"/>
        <v>0</v>
      </c>
      <c r="AI1588" s="143">
        <f t="shared" si="735"/>
        <v>0</v>
      </c>
      <c r="AJ1588" s="133">
        <f t="shared" si="736"/>
        <v>0</v>
      </c>
      <c r="AK1588" s="142">
        <f t="shared" si="738"/>
        <v>0</v>
      </c>
      <c r="AL1588" s="141"/>
      <c r="AO1588" s="286"/>
      <c r="AP1588" s="284">
        <f t="shared" si="716"/>
        <v>0</v>
      </c>
      <c r="AQ1588" s="281">
        <f t="shared" si="717"/>
        <v>0</v>
      </c>
      <c r="AR1588" s="284">
        <f t="shared" si="718"/>
        <v>0</v>
      </c>
      <c r="AS1588" s="281">
        <f t="shared" si="719"/>
        <v>0</v>
      </c>
      <c r="AT1588" s="284">
        <f t="shared" si="720"/>
        <v>0</v>
      </c>
    </row>
    <row r="1589" spans="1:46" s="114" customFormat="1" ht="30.9" x14ac:dyDescent="0.8">
      <c r="A1589" s="262">
        <f>ROW()</f>
        <v>1589</v>
      </c>
      <c r="C1589" s="208"/>
      <c r="D1589" s="208"/>
      <c r="E1589" s="208"/>
      <c r="F1589" s="208"/>
      <c r="G1589" s="208"/>
      <c r="H1589" s="208"/>
      <c r="J1589" s="114" t="str">
        <f t="shared" si="737"/>
        <v/>
      </c>
      <c r="K1589" s="114" t="str">
        <f>IF(COUNTBLANK(R1589)&gt;0,"",CONCATENATE(R1589," for ",N1584))</f>
        <v/>
      </c>
      <c r="M1589" s="117"/>
      <c r="N1589" s="123" t="s">
        <v>117</v>
      </c>
      <c r="O1589" s="66" t="s">
        <v>596</v>
      </c>
      <c r="P1589" s="121"/>
      <c r="Q1589" s="121"/>
      <c r="R1589" s="121"/>
      <c r="S1589" s="133">
        <f>M1584</f>
        <v>0</v>
      </c>
      <c r="T1589" s="120"/>
      <c r="U1589" s="121" t="s">
        <v>292</v>
      </c>
      <c r="V1589" s="133">
        <f t="shared" si="730"/>
        <v>0</v>
      </c>
      <c r="W1589" s="133">
        <f>VLOOKUP(U1589,Sheet1!$B$6:$C$45,2,FALSE)*V1589</f>
        <v>0</v>
      </c>
      <c r="X1589" s="141"/>
      <c r="Y1589" s="121" t="s">
        <v>292</v>
      </c>
      <c r="Z1589" s="146">
        <f>VLOOKUP(Takeoffs!Y1589,Sheet1!$B$6:$C$124,2,FALSE)</f>
        <v>0</v>
      </c>
      <c r="AA1589" s="146">
        <f t="shared" si="731"/>
        <v>0</v>
      </c>
      <c r="AB1589" s="143">
        <f t="shared" si="732"/>
        <v>0</v>
      </c>
      <c r="AC1589" s="133">
        <f t="shared" si="733"/>
        <v>0</v>
      </c>
      <c r="AD1589" s="142">
        <v>1</v>
      </c>
      <c r="AE1589" s="141"/>
      <c r="AF1589" s="121" t="s">
        <v>292</v>
      </c>
      <c r="AG1589" s="146">
        <f>VLOOKUP(Takeoffs!AF1589,Sheet1!$B$6:$C$124,2,FALSE)</f>
        <v>0</v>
      </c>
      <c r="AH1589" s="146">
        <f t="shared" si="734"/>
        <v>0</v>
      </c>
      <c r="AI1589" s="143">
        <f t="shared" si="735"/>
        <v>0</v>
      </c>
      <c r="AJ1589" s="133">
        <f t="shared" si="736"/>
        <v>0</v>
      </c>
      <c r="AK1589" s="142">
        <f t="shared" si="738"/>
        <v>0</v>
      </c>
      <c r="AL1589" s="141"/>
      <c r="AO1589" s="286"/>
      <c r="AP1589" s="284">
        <f t="shared" si="716"/>
        <v>0</v>
      </c>
      <c r="AQ1589" s="281">
        <f t="shared" si="717"/>
        <v>0</v>
      </c>
      <c r="AR1589" s="284">
        <f t="shared" si="718"/>
        <v>0</v>
      </c>
      <c r="AS1589" s="281">
        <f t="shared" si="719"/>
        <v>0</v>
      </c>
      <c r="AT1589" s="284">
        <f t="shared" si="720"/>
        <v>0</v>
      </c>
    </row>
    <row r="1590" spans="1:46" s="114" customFormat="1" ht="30.9" x14ac:dyDescent="0.8">
      <c r="A1590" s="262">
        <f>ROW()</f>
        <v>1590</v>
      </c>
      <c r="C1590" s="208"/>
      <c r="D1590" s="208"/>
      <c r="E1590" s="208"/>
      <c r="F1590" s="208"/>
      <c r="G1590" s="208"/>
      <c r="H1590" s="208"/>
      <c r="J1590" s="114" t="str">
        <f t="shared" si="737"/>
        <v xml:space="preserve">Coordination Note: - Customers in-house electrician: Please refer to our exclusions relating to run and fault cabling from  PAC unit to MSSB </v>
      </c>
      <c r="K1590" s="114" t="str">
        <f>IF(COUNTBLANK(R1590)&gt;0,"",CONCATENATE(R1590," for ",N1584))</f>
        <v/>
      </c>
      <c r="M1590" s="117"/>
      <c r="N1590" s="123" t="s">
        <v>118</v>
      </c>
      <c r="O1590" s="66" t="s">
        <v>597</v>
      </c>
      <c r="P1590" s="121" t="s">
        <v>593</v>
      </c>
      <c r="Q1590" s="66" t="s">
        <v>623</v>
      </c>
      <c r="R1590" s="121"/>
      <c r="S1590" s="133">
        <f>M1584</f>
        <v>0</v>
      </c>
      <c r="T1590" s="120"/>
      <c r="U1590" s="117" t="s">
        <v>363</v>
      </c>
      <c r="V1590" s="133">
        <f t="shared" si="730"/>
        <v>0</v>
      </c>
      <c r="W1590" s="133">
        <f>VLOOKUP(U1590,Sheet1!$B$6:$C$45,2,FALSE)*V1590</f>
        <v>0</v>
      </c>
      <c r="X1590" s="141"/>
      <c r="Y1590" s="121" t="s">
        <v>292</v>
      </c>
      <c r="Z1590" s="146">
        <f>VLOOKUP(Takeoffs!Y1590,Sheet1!$B$6:$C$124,2,FALSE)</f>
        <v>0</v>
      </c>
      <c r="AA1590" s="146">
        <f t="shared" si="731"/>
        <v>0</v>
      </c>
      <c r="AB1590" s="143">
        <f t="shared" si="732"/>
        <v>0</v>
      </c>
      <c r="AC1590" s="133">
        <f t="shared" si="733"/>
        <v>0</v>
      </c>
      <c r="AD1590" s="142">
        <v>1</v>
      </c>
      <c r="AE1590" s="141"/>
      <c r="AF1590" s="121" t="s">
        <v>292</v>
      </c>
      <c r="AG1590" s="146">
        <f>VLOOKUP(Takeoffs!AF1590,Sheet1!$B$6:$C$124,2,FALSE)</f>
        <v>0</v>
      </c>
      <c r="AH1590" s="146">
        <f t="shared" si="734"/>
        <v>0</v>
      </c>
      <c r="AI1590" s="143">
        <f t="shared" si="735"/>
        <v>0</v>
      </c>
      <c r="AJ1590" s="133">
        <f t="shared" si="736"/>
        <v>0</v>
      </c>
      <c r="AK1590" s="142">
        <f t="shared" si="738"/>
        <v>0</v>
      </c>
      <c r="AL1590" s="141"/>
      <c r="AO1590" s="286"/>
      <c r="AP1590" s="284">
        <f t="shared" si="716"/>
        <v>0</v>
      </c>
      <c r="AQ1590" s="281">
        <f t="shared" si="717"/>
        <v>0</v>
      </c>
      <c r="AR1590" s="284">
        <f t="shared" si="718"/>
        <v>0</v>
      </c>
      <c r="AS1590" s="281">
        <f t="shared" si="719"/>
        <v>0</v>
      </c>
      <c r="AT1590" s="284">
        <f t="shared" si="720"/>
        <v>0</v>
      </c>
    </row>
    <row r="1591" spans="1:46" s="114" customFormat="1" ht="30.9" x14ac:dyDescent="0.8">
      <c r="A1591" s="262">
        <f>ROW()</f>
        <v>1591</v>
      </c>
      <c r="C1591" s="208"/>
      <c r="D1591" s="208"/>
      <c r="E1591" s="208"/>
      <c r="F1591" s="208"/>
      <c r="G1591" s="208"/>
      <c r="H1591" s="208"/>
      <c r="J1591" s="114" t="str">
        <f t="shared" si="737"/>
        <v/>
      </c>
      <c r="K1591" s="114" t="str">
        <f>IF(COUNTBLANK(R1591)&gt;0,"",CONCATENATE(R1591," for ",N1584))</f>
        <v/>
      </c>
      <c r="N1591" s="123" t="s">
        <v>119</v>
      </c>
      <c r="O1591" s="66"/>
      <c r="P1591" s="121"/>
      <c r="Q1591" s="121"/>
      <c r="R1591" s="121"/>
      <c r="S1591" s="133">
        <f>M1584</f>
        <v>0</v>
      </c>
      <c r="T1591" s="120"/>
      <c r="U1591" s="121" t="s">
        <v>292</v>
      </c>
      <c r="V1591" s="133">
        <f t="shared" si="730"/>
        <v>0</v>
      </c>
      <c r="W1591" s="133">
        <f>VLOOKUP(U1591,Sheet1!$B$6:$C$45,2,FALSE)*V1591</f>
        <v>0</v>
      </c>
      <c r="X1591" s="141"/>
      <c r="Y1591" s="121" t="s">
        <v>292</v>
      </c>
      <c r="Z1591" s="146">
        <f>VLOOKUP(Takeoffs!Y1591,Sheet1!$B$6:$C$124,2,FALSE)</f>
        <v>0</v>
      </c>
      <c r="AA1591" s="146">
        <f t="shared" si="731"/>
        <v>0</v>
      </c>
      <c r="AB1591" s="143">
        <f t="shared" si="732"/>
        <v>0</v>
      </c>
      <c r="AC1591" s="133">
        <f t="shared" si="733"/>
        <v>0</v>
      </c>
      <c r="AD1591" s="142">
        <v>1</v>
      </c>
      <c r="AE1591" s="141"/>
      <c r="AF1591" s="121" t="s">
        <v>292</v>
      </c>
      <c r="AG1591" s="146">
        <f>VLOOKUP(Takeoffs!AF1591,Sheet1!$B$6:$C$124,2,FALSE)</f>
        <v>0</v>
      </c>
      <c r="AH1591" s="146">
        <f t="shared" si="734"/>
        <v>0</v>
      </c>
      <c r="AI1591" s="143">
        <f t="shared" si="735"/>
        <v>0</v>
      </c>
      <c r="AJ1591" s="133">
        <f t="shared" si="736"/>
        <v>0</v>
      </c>
      <c r="AK1591" s="142">
        <f t="shared" si="738"/>
        <v>0</v>
      </c>
      <c r="AL1591" s="141"/>
      <c r="AO1591" s="286"/>
      <c r="AP1591" s="284">
        <f t="shared" si="716"/>
        <v>0</v>
      </c>
      <c r="AQ1591" s="281">
        <f t="shared" si="717"/>
        <v>0</v>
      </c>
      <c r="AR1591" s="284">
        <f t="shared" si="718"/>
        <v>0</v>
      </c>
      <c r="AS1591" s="281">
        <f t="shared" si="719"/>
        <v>0</v>
      </c>
      <c r="AT1591" s="284">
        <f t="shared" si="720"/>
        <v>0</v>
      </c>
    </row>
    <row r="1592" spans="1:46" s="114" customFormat="1" ht="30.9" x14ac:dyDescent="0.8">
      <c r="A1592" s="262">
        <f>ROW()</f>
        <v>1592</v>
      </c>
      <c r="C1592" s="208"/>
      <c r="D1592" s="208"/>
      <c r="E1592" s="208"/>
      <c r="F1592" s="208"/>
      <c r="G1592" s="208"/>
      <c r="H1592" s="208"/>
      <c r="J1592" s="114" t="str">
        <f t="shared" si="737"/>
        <v/>
      </c>
      <c r="K1592" s="114" t="str">
        <f>IF(COUNTBLANK(R1592)&gt;0,"",CONCATENATE(R1592," for ",N1584))</f>
        <v/>
      </c>
      <c r="N1592" s="123" t="s">
        <v>120</v>
      </c>
      <c r="O1592" s="66"/>
      <c r="P1592" s="121"/>
      <c r="Q1592" s="121"/>
      <c r="R1592" s="121"/>
      <c r="S1592" s="133">
        <f>M1584</f>
        <v>0</v>
      </c>
      <c r="T1592" s="120"/>
      <c r="U1592" s="121" t="s">
        <v>292</v>
      </c>
      <c r="V1592" s="133">
        <f t="shared" si="730"/>
        <v>0</v>
      </c>
      <c r="W1592" s="133">
        <f>VLOOKUP(U1592,Sheet1!$B$6:$C$45,2,FALSE)*V1592</f>
        <v>0</v>
      </c>
      <c r="X1592" s="141"/>
      <c r="Y1592" s="121" t="s">
        <v>292</v>
      </c>
      <c r="Z1592" s="146">
        <f>VLOOKUP(Takeoffs!Y1592,Sheet1!$B$6:$C$124,2,FALSE)</f>
        <v>0</v>
      </c>
      <c r="AA1592" s="146">
        <f t="shared" si="731"/>
        <v>0</v>
      </c>
      <c r="AB1592" s="143">
        <f t="shared" si="732"/>
        <v>0</v>
      </c>
      <c r="AC1592" s="133">
        <f t="shared" si="733"/>
        <v>0</v>
      </c>
      <c r="AD1592" s="142">
        <v>1</v>
      </c>
      <c r="AE1592" s="141"/>
      <c r="AF1592" s="121" t="s">
        <v>292</v>
      </c>
      <c r="AG1592" s="146">
        <f>VLOOKUP(Takeoffs!AF1592,Sheet1!$B$6:$C$124,2,FALSE)</f>
        <v>0</v>
      </c>
      <c r="AH1592" s="146">
        <f t="shared" si="734"/>
        <v>0</v>
      </c>
      <c r="AI1592" s="143">
        <f t="shared" si="735"/>
        <v>0</v>
      </c>
      <c r="AJ1592" s="133">
        <f t="shared" si="736"/>
        <v>0</v>
      </c>
      <c r="AK1592" s="142">
        <f t="shared" si="738"/>
        <v>0</v>
      </c>
      <c r="AL1592" s="141"/>
      <c r="AO1592" s="286"/>
      <c r="AP1592" s="284">
        <f t="shared" si="716"/>
        <v>0</v>
      </c>
      <c r="AQ1592" s="281">
        <f t="shared" si="717"/>
        <v>0</v>
      </c>
      <c r="AR1592" s="284">
        <f t="shared" si="718"/>
        <v>0</v>
      </c>
      <c r="AS1592" s="281">
        <f t="shared" si="719"/>
        <v>0</v>
      </c>
      <c r="AT1592" s="284">
        <f t="shared" si="720"/>
        <v>0</v>
      </c>
    </row>
    <row r="1593" spans="1:46" s="114" customFormat="1" ht="30.9" x14ac:dyDescent="0.8">
      <c r="A1593" s="262">
        <f>ROW()</f>
        <v>1593</v>
      </c>
      <c r="C1593" s="208"/>
      <c r="D1593" s="208"/>
      <c r="E1593" s="208"/>
      <c r="F1593" s="208"/>
      <c r="G1593" s="208"/>
      <c r="H1593" s="208"/>
      <c r="J1593" s="114" t="str">
        <f t="shared" si="737"/>
        <v/>
      </c>
      <c r="K1593" s="114" t="str">
        <f>IF(COUNTBLANK(R1593)&gt;0,"",CONCATENATE(R1593," for ",N1584))</f>
        <v/>
      </c>
      <c r="N1593" s="123" t="s">
        <v>121</v>
      </c>
      <c r="O1593" s="66"/>
      <c r="P1593" s="121"/>
      <c r="Q1593" s="121"/>
      <c r="R1593" s="121"/>
      <c r="S1593" s="133">
        <f>M1584</f>
        <v>0</v>
      </c>
      <c r="T1593" s="120"/>
      <c r="U1593" s="121" t="s">
        <v>292</v>
      </c>
      <c r="V1593" s="133">
        <f t="shared" si="730"/>
        <v>0</v>
      </c>
      <c r="W1593" s="133">
        <f>VLOOKUP(U1593,Sheet1!$B$6:$C$45,2,FALSE)*V1593</f>
        <v>0</v>
      </c>
      <c r="X1593" s="141"/>
      <c r="Y1593" s="121" t="s">
        <v>292</v>
      </c>
      <c r="Z1593" s="146">
        <f>VLOOKUP(Takeoffs!Y1593,Sheet1!$B$6:$C$124,2,FALSE)</f>
        <v>0</v>
      </c>
      <c r="AA1593" s="146">
        <f t="shared" si="731"/>
        <v>0</v>
      </c>
      <c r="AB1593" s="143">
        <f t="shared" si="732"/>
        <v>0</v>
      </c>
      <c r="AC1593" s="133">
        <f t="shared" si="733"/>
        <v>0</v>
      </c>
      <c r="AD1593" s="142">
        <v>1</v>
      </c>
      <c r="AE1593" s="141"/>
      <c r="AF1593" s="121" t="s">
        <v>292</v>
      </c>
      <c r="AG1593" s="146">
        <f>VLOOKUP(Takeoffs!AF1593,Sheet1!$B$6:$C$124,2,FALSE)</f>
        <v>0</v>
      </c>
      <c r="AH1593" s="146">
        <f t="shared" si="734"/>
        <v>0</v>
      </c>
      <c r="AI1593" s="143">
        <f t="shared" si="735"/>
        <v>0</v>
      </c>
      <c r="AJ1593" s="133">
        <f t="shared" si="736"/>
        <v>0</v>
      </c>
      <c r="AK1593" s="142">
        <f t="shared" si="738"/>
        <v>0</v>
      </c>
      <c r="AL1593" s="141"/>
      <c r="AO1593" s="286"/>
      <c r="AP1593" s="284">
        <f t="shared" si="716"/>
        <v>0</v>
      </c>
      <c r="AQ1593" s="281">
        <f t="shared" si="717"/>
        <v>0</v>
      </c>
      <c r="AR1593" s="284">
        <f t="shared" si="718"/>
        <v>0</v>
      </c>
      <c r="AS1593" s="281">
        <f t="shared" si="719"/>
        <v>0</v>
      </c>
      <c r="AT1593" s="284">
        <f t="shared" si="720"/>
        <v>0</v>
      </c>
    </row>
    <row r="1594" spans="1:46" s="114" customFormat="1" ht="30.9" x14ac:dyDescent="0.8">
      <c r="A1594" s="262">
        <f>ROW()</f>
        <v>1594</v>
      </c>
      <c r="C1594" s="208"/>
      <c r="D1594" s="208"/>
      <c r="E1594" s="208"/>
      <c r="F1594" s="208"/>
      <c r="G1594" s="208"/>
      <c r="H1594" s="208"/>
      <c r="J1594" s="114" t="str">
        <f t="shared" si="737"/>
        <v/>
      </c>
      <c r="K1594" s="114" t="str">
        <f>IF(COUNTBLANK(R1594)&gt;0,"",CONCATENATE(R1594," for ",N1584))</f>
        <v/>
      </c>
      <c r="N1594" s="123" t="s">
        <v>122</v>
      </c>
      <c r="O1594" s="66"/>
      <c r="P1594" s="121"/>
      <c r="Q1594" s="121"/>
      <c r="R1594" s="121"/>
      <c r="S1594" s="133">
        <f>M1584</f>
        <v>0</v>
      </c>
      <c r="T1594" s="120"/>
      <c r="U1594" s="121" t="s">
        <v>292</v>
      </c>
      <c r="V1594" s="133">
        <f t="shared" si="730"/>
        <v>0</v>
      </c>
      <c r="W1594" s="133">
        <f>VLOOKUP(U1594,Sheet1!$B$6:$C$45,2,FALSE)*V1594</f>
        <v>0</v>
      </c>
      <c r="X1594" s="141"/>
      <c r="Y1594" s="121" t="s">
        <v>292</v>
      </c>
      <c r="Z1594" s="146">
        <f>VLOOKUP(Takeoffs!Y1594,Sheet1!$B$6:$C$124,2,FALSE)</f>
        <v>0</v>
      </c>
      <c r="AA1594" s="146">
        <f t="shared" si="731"/>
        <v>0</v>
      </c>
      <c r="AB1594" s="143">
        <f t="shared" si="732"/>
        <v>0</v>
      </c>
      <c r="AC1594" s="133">
        <f t="shared" si="733"/>
        <v>0</v>
      </c>
      <c r="AD1594" s="142">
        <v>1</v>
      </c>
      <c r="AE1594" s="141"/>
      <c r="AF1594" s="121" t="s">
        <v>292</v>
      </c>
      <c r="AG1594" s="146">
        <f>VLOOKUP(Takeoffs!AF1594,Sheet1!$B$6:$C$124,2,FALSE)</f>
        <v>0</v>
      </c>
      <c r="AH1594" s="146">
        <f t="shared" si="734"/>
        <v>0</v>
      </c>
      <c r="AI1594" s="143">
        <f t="shared" si="735"/>
        <v>0</v>
      </c>
      <c r="AJ1594" s="133">
        <f t="shared" si="736"/>
        <v>0</v>
      </c>
      <c r="AK1594" s="142">
        <f t="shared" si="738"/>
        <v>0</v>
      </c>
      <c r="AL1594" s="141"/>
      <c r="AO1594" s="286"/>
      <c r="AP1594" s="284">
        <f t="shared" si="716"/>
        <v>0</v>
      </c>
      <c r="AQ1594" s="281">
        <f t="shared" si="717"/>
        <v>0</v>
      </c>
      <c r="AR1594" s="284">
        <f t="shared" si="718"/>
        <v>0</v>
      </c>
      <c r="AS1594" s="281">
        <f t="shared" si="719"/>
        <v>0</v>
      </c>
      <c r="AT1594" s="284">
        <f t="shared" si="720"/>
        <v>0</v>
      </c>
    </row>
    <row r="1595" spans="1:46" s="114" customFormat="1" ht="30.9" x14ac:dyDescent="0.8">
      <c r="A1595" s="262">
        <f>ROW()</f>
        <v>1595</v>
      </c>
      <c r="C1595" s="208"/>
      <c r="D1595" s="208"/>
      <c r="E1595" s="208"/>
      <c r="F1595" s="208"/>
      <c r="G1595" s="208"/>
      <c r="H1595" s="208"/>
      <c r="J1595" s="114" t="str">
        <f t="shared" si="737"/>
        <v/>
      </c>
      <c r="K1595" s="114" t="str">
        <f>IF(COUNTBLANK(R1595)&gt;0,"",CONCATENATE(R1595," for ",N1584))</f>
        <v/>
      </c>
      <c r="N1595" s="123" t="s">
        <v>123</v>
      </c>
      <c r="O1595" s="66"/>
      <c r="P1595" s="121"/>
      <c r="Q1595" s="121"/>
      <c r="R1595" s="121"/>
      <c r="S1595" s="133">
        <f>M1584</f>
        <v>0</v>
      </c>
      <c r="T1595" s="120"/>
      <c r="U1595" s="121" t="s">
        <v>292</v>
      </c>
      <c r="V1595" s="133">
        <f t="shared" si="730"/>
        <v>0</v>
      </c>
      <c r="W1595" s="133">
        <f>VLOOKUP(U1595,Sheet1!$B$6:$C$45,2,FALSE)*V1595</f>
        <v>0</v>
      </c>
      <c r="X1595" s="141"/>
      <c r="Y1595" s="121" t="s">
        <v>292</v>
      </c>
      <c r="Z1595" s="146">
        <f>VLOOKUP(Takeoffs!Y1595,Sheet1!$B$6:$C$124,2,FALSE)</f>
        <v>0</v>
      </c>
      <c r="AA1595" s="146">
        <f t="shared" si="731"/>
        <v>0</v>
      </c>
      <c r="AB1595" s="143">
        <f t="shared" si="732"/>
        <v>0</v>
      </c>
      <c r="AC1595" s="133">
        <f t="shared" si="733"/>
        <v>0</v>
      </c>
      <c r="AD1595" s="142">
        <v>1</v>
      </c>
      <c r="AE1595" s="141"/>
      <c r="AF1595" s="121" t="s">
        <v>292</v>
      </c>
      <c r="AG1595" s="146">
        <f>VLOOKUP(Takeoffs!AF1595,Sheet1!$B$6:$C$124,2,FALSE)</f>
        <v>0</v>
      </c>
      <c r="AH1595" s="146">
        <f t="shared" si="734"/>
        <v>0</v>
      </c>
      <c r="AI1595" s="143">
        <f t="shared" si="735"/>
        <v>0</v>
      </c>
      <c r="AJ1595" s="133">
        <f t="shared" si="736"/>
        <v>0</v>
      </c>
      <c r="AK1595" s="142">
        <f t="shared" si="738"/>
        <v>0</v>
      </c>
      <c r="AL1595" s="141"/>
      <c r="AO1595" s="286"/>
      <c r="AP1595" s="284">
        <f t="shared" si="716"/>
        <v>0</v>
      </c>
      <c r="AQ1595" s="281">
        <f t="shared" si="717"/>
        <v>0</v>
      </c>
      <c r="AR1595" s="284">
        <f t="shared" si="718"/>
        <v>0</v>
      </c>
      <c r="AS1595" s="281">
        <f t="shared" si="719"/>
        <v>0</v>
      </c>
      <c r="AT1595" s="284">
        <f t="shared" si="720"/>
        <v>0</v>
      </c>
    </row>
    <row r="1596" spans="1:46" s="114" customFormat="1" ht="30.9" x14ac:dyDescent="0.8">
      <c r="A1596" s="262">
        <f>ROW()</f>
        <v>1596</v>
      </c>
      <c r="C1596" s="208"/>
      <c r="D1596" s="208"/>
      <c r="E1596" s="208"/>
      <c r="F1596" s="208"/>
      <c r="G1596" s="208"/>
      <c r="H1596" s="208"/>
      <c r="J1596" s="114" t="str">
        <f t="shared" si="737"/>
        <v>Coordination Note: - Customers in-house electrician: Please refer to our exclusions relating to Power cabling from MSSB to PAC unit. Customers electrician to leave tails adjacent MSSB for Controlworks to connect.</v>
      </c>
      <c r="K1596" s="114" t="str">
        <f>IF(COUNTBLANK(R1596)&gt;0,"",CONCATENATE(R1596," for ",N1584))</f>
        <v/>
      </c>
      <c r="N1596" s="123" t="s">
        <v>124</v>
      </c>
      <c r="O1596" s="66"/>
      <c r="P1596" s="121" t="s">
        <v>593</v>
      </c>
      <c r="Q1596" s="121" t="s">
        <v>620</v>
      </c>
      <c r="R1596" s="121"/>
      <c r="S1596" s="133">
        <f>M1584</f>
        <v>0</v>
      </c>
      <c r="T1596" s="120"/>
      <c r="U1596" s="121" t="s">
        <v>292</v>
      </c>
      <c r="V1596" s="133">
        <f t="shared" si="730"/>
        <v>0</v>
      </c>
      <c r="W1596" s="133">
        <f>VLOOKUP(U1596,Sheet1!$B$6:$C$45,2,FALSE)*V1596</f>
        <v>0</v>
      </c>
      <c r="X1596" s="141"/>
      <c r="Y1596" s="121" t="s">
        <v>292</v>
      </c>
      <c r="Z1596" s="146">
        <f>VLOOKUP(Takeoffs!Y1596,Sheet1!$B$6:$C$124,2,FALSE)</f>
        <v>0</v>
      </c>
      <c r="AA1596" s="146">
        <f t="shared" si="731"/>
        <v>0</v>
      </c>
      <c r="AB1596" s="143">
        <f t="shared" si="732"/>
        <v>0</v>
      </c>
      <c r="AC1596" s="133">
        <f t="shared" si="733"/>
        <v>0</v>
      </c>
      <c r="AD1596" s="142">
        <v>1</v>
      </c>
      <c r="AE1596" s="141"/>
      <c r="AF1596" s="121" t="s">
        <v>292</v>
      </c>
      <c r="AG1596" s="146">
        <f>VLOOKUP(Takeoffs!AF1596,Sheet1!$B$6:$C$124,2,FALSE)</f>
        <v>0</v>
      </c>
      <c r="AH1596" s="146">
        <f t="shared" si="734"/>
        <v>0</v>
      </c>
      <c r="AI1596" s="143">
        <f t="shared" si="735"/>
        <v>0</v>
      </c>
      <c r="AJ1596" s="133">
        <f t="shared" si="736"/>
        <v>0</v>
      </c>
      <c r="AK1596" s="142">
        <f t="shared" si="738"/>
        <v>0</v>
      </c>
      <c r="AL1596" s="141"/>
      <c r="AO1596" s="286"/>
      <c r="AP1596" s="284">
        <f t="shared" si="716"/>
        <v>0</v>
      </c>
      <c r="AQ1596" s="281">
        <f t="shared" si="717"/>
        <v>0</v>
      </c>
      <c r="AR1596" s="284">
        <f t="shared" si="718"/>
        <v>0</v>
      </c>
      <c r="AS1596" s="281">
        <f t="shared" si="719"/>
        <v>0</v>
      </c>
      <c r="AT1596" s="284">
        <f t="shared" si="720"/>
        <v>0</v>
      </c>
    </row>
    <row r="1597" spans="1:46" s="114" customFormat="1" ht="30.9" x14ac:dyDescent="0.8">
      <c r="A1597" s="262">
        <f>ROW()</f>
        <v>1597</v>
      </c>
      <c r="C1597" s="208"/>
      <c r="D1597" s="208"/>
      <c r="E1597" s="208"/>
      <c r="F1597" s="208"/>
      <c r="G1597" s="208"/>
      <c r="H1597" s="208"/>
      <c r="J1597" s="114" t="str">
        <f t="shared" si="737"/>
        <v/>
      </c>
      <c r="K1597" s="114" t="str">
        <f>IF(COUNTBLANK(R1597)&gt;0,"",CONCATENATE(R1597," for ",N1584))</f>
        <v/>
      </c>
      <c r="N1597" s="123" t="s">
        <v>125</v>
      </c>
      <c r="O1597" s="66"/>
      <c r="P1597" s="121"/>
      <c r="Q1597" s="121"/>
      <c r="R1597" s="121"/>
      <c r="S1597" s="133">
        <f>M1584</f>
        <v>0</v>
      </c>
      <c r="T1597" s="120"/>
      <c r="U1597" s="121" t="s">
        <v>292</v>
      </c>
      <c r="V1597" s="133">
        <f t="shared" si="730"/>
        <v>0</v>
      </c>
      <c r="W1597" s="133">
        <f>VLOOKUP(U1597,Sheet1!$B$6:$C$45,2,FALSE)*V1597</f>
        <v>0</v>
      </c>
      <c r="X1597" s="141"/>
      <c r="Y1597" s="121" t="s">
        <v>292</v>
      </c>
      <c r="Z1597" s="146">
        <f>VLOOKUP(Takeoffs!Y1597,Sheet1!$B$6:$C$124,2,FALSE)</f>
        <v>0</v>
      </c>
      <c r="AA1597" s="146">
        <f t="shared" si="731"/>
        <v>0</v>
      </c>
      <c r="AB1597" s="143">
        <f t="shared" si="732"/>
        <v>0</v>
      </c>
      <c r="AC1597" s="133">
        <f t="shared" si="733"/>
        <v>0</v>
      </c>
      <c r="AD1597" s="142">
        <v>1</v>
      </c>
      <c r="AE1597" s="141"/>
      <c r="AF1597" s="121" t="s">
        <v>292</v>
      </c>
      <c r="AG1597" s="146">
        <f>VLOOKUP(Takeoffs!AF1597,Sheet1!$B$6:$C$124,2,FALSE)</f>
        <v>0</v>
      </c>
      <c r="AH1597" s="146">
        <f t="shared" si="734"/>
        <v>0</v>
      </c>
      <c r="AI1597" s="143">
        <f t="shared" si="735"/>
        <v>0</v>
      </c>
      <c r="AJ1597" s="133">
        <f t="shared" si="736"/>
        <v>0</v>
      </c>
      <c r="AK1597" s="142">
        <f t="shared" si="738"/>
        <v>0</v>
      </c>
      <c r="AL1597" s="141"/>
      <c r="AO1597" s="286"/>
      <c r="AP1597" s="284">
        <f t="shared" si="716"/>
        <v>0</v>
      </c>
      <c r="AQ1597" s="281">
        <f t="shared" si="717"/>
        <v>0</v>
      </c>
      <c r="AR1597" s="284">
        <f t="shared" si="718"/>
        <v>0</v>
      </c>
      <c r="AS1597" s="281">
        <f t="shared" si="719"/>
        <v>0</v>
      </c>
      <c r="AT1597" s="284">
        <f t="shared" si="720"/>
        <v>0</v>
      </c>
    </row>
    <row r="1598" spans="1:46" s="114" customFormat="1" ht="30.9" x14ac:dyDescent="0.8">
      <c r="A1598" s="262">
        <f>ROW()</f>
        <v>1598</v>
      </c>
      <c r="C1598" s="208"/>
      <c r="D1598" s="208"/>
      <c r="E1598" s="208"/>
      <c r="F1598" s="208"/>
      <c r="G1598" s="208"/>
      <c r="H1598" s="208"/>
      <c r="J1598" s="114" t="str">
        <f t="shared" si="737"/>
        <v/>
      </c>
      <c r="K1598" s="114" t="str">
        <f>IF(COUNTBLANK(R1598)&gt;0,"",CONCATENATE(R1598," for ",N1584))</f>
        <v/>
      </c>
      <c r="N1598" s="123" t="s">
        <v>126</v>
      </c>
      <c r="O1598" s="66"/>
      <c r="P1598" s="121"/>
      <c r="Q1598" s="121"/>
      <c r="R1598" s="121"/>
      <c r="S1598" s="133">
        <f>M1584</f>
        <v>0</v>
      </c>
      <c r="T1598" s="120"/>
      <c r="U1598" s="121" t="s">
        <v>292</v>
      </c>
      <c r="V1598" s="133">
        <f t="shared" si="730"/>
        <v>0</v>
      </c>
      <c r="W1598" s="133">
        <f>VLOOKUP(U1598,Sheet1!$B$6:$C$45,2,FALSE)*V1598</f>
        <v>0</v>
      </c>
      <c r="X1598" s="141"/>
      <c r="Y1598" s="121" t="s">
        <v>292</v>
      </c>
      <c r="Z1598" s="146">
        <f>VLOOKUP(Takeoffs!Y1598,Sheet1!$B$6:$C$124,2,FALSE)</f>
        <v>0</v>
      </c>
      <c r="AA1598" s="146">
        <f t="shared" si="731"/>
        <v>0</v>
      </c>
      <c r="AB1598" s="143">
        <f t="shared" si="732"/>
        <v>0</v>
      </c>
      <c r="AC1598" s="133">
        <f t="shared" si="733"/>
        <v>0</v>
      </c>
      <c r="AD1598" s="142">
        <v>1</v>
      </c>
      <c r="AE1598" s="141"/>
      <c r="AF1598" s="121" t="s">
        <v>292</v>
      </c>
      <c r="AG1598" s="146">
        <f>VLOOKUP(Takeoffs!AF1598,Sheet1!$B$6:$C$124,2,FALSE)</f>
        <v>0</v>
      </c>
      <c r="AH1598" s="146">
        <f t="shared" si="734"/>
        <v>0</v>
      </c>
      <c r="AI1598" s="143">
        <f t="shared" si="735"/>
        <v>0</v>
      </c>
      <c r="AJ1598" s="133">
        <f t="shared" si="736"/>
        <v>0</v>
      </c>
      <c r="AK1598" s="142">
        <f t="shared" si="738"/>
        <v>0</v>
      </c>
      <c r="AL1598" s="141"/>
      <c r="AO1598" s="286"/>
      <c r="AP1598" s="284">
        <f t="shared" si="716"/>
        <v>0</v>
      </c>
      <c r="AQ1598" s="281">
        <f t="shared" si="717"/>
        <v>0</v>
      </c>
      <c r="AR1598" s="284">
        <f t="shared" si="718"/>
        <v>0</v>
      </c>
      <c r="AS1598" s="281">
        <f t="shared" si="719"/>
        <v>0</v>
      </c>
      <c r="AT1598" s="284">
        <f t="shared" si="720"/>
        <v>0</v>
      </c>
    </row>
    <row r="1599" spans="1:46" s="114" customFormat="1" ht="30.9" x14ac:dyDescent="0.8">
      <c r="A1599" s="262">
        <f>ROW()</f>
        <v>1599</v>
      </c>
      <c r="C1599" s="208"/>
      <c r="D1599" s="208"/>
      <c r="E1599" s="208"/>
      <c r="F1599" s="208"/>
      <c r="G1599" s="208"/>
      <c r="H1599" s="208"/>
      <c r="J1599" s="114" t="str">
        <f t="shared" si="737"/>
        <v/>
      </c>
      <c r="K1599" s="114" t="str">
        <f>IF(COUNTBLANK(R1599)&gt;0,"",CONCATENATE(R1599," for ",N1584))</f>
        <v/>
      </c>
      <c r="N1599" s="123" t="s">
        <v>127</v>
      </c>
      <c r="O1599" s="66"/>
      <c r="P1599" s="121"/>
      <c r="Q1599" s="121"/>
      <c r="R1599" s="121"/>
      <c r="S1599" s="133">
        <f>M1584</f>
        <v>0</v>
      </c>
      <c r="T1599" s="120"/>
      <c r="U1599" s="121" t="s">
        <v>292</v>
      </c>
      <c r="V1599" s="133">
        <f t="shared" si="730"/>
        <v>0</v>
      </c>
      <c r="W1599" s="133">
        <f>VLOOKUP(U1599,Sheet1!$B$6:$C$45,2,FALSE)*V1599</f>
        <v>0</v>
      </c>
      <c r="X1599" s="141"/>
      <c r="Y1599" s="121" t="s">
        <v>292</v>
      </c>
      <c r="Z1599" s="146">
        <f>VLOOKUP(Takeoffs!Y1599,Sheet1!$B$6:$C$124,2,FALSE)</f>
        <v>0</v>
      </c>
      <c r="AA1599" s="146">
        <f t="shared" si="731"/>
        <v>0</v>
      </c>
      <c r="AB1599" s="143">
        <f t="shared" si="732"/>
        <v>0</v>
      </c>
      <c r="AC1599" s="133">
        <f t="shared" si="733"/>
        <v>0</v>
      </c>
      <c r="AD1599" s="142">
        <v>1</v>
      </c>
      <c r="AE1599" s="141"/>
      <c r="AF1599" s="121" t="s">
        <v>292</v>
      </c>
      <c r="AG1599" s="146">
        <f>VLOOKUP(Takeoffs!AF1599,Sheet1!$B$6:$C$124,2,FALSE)</f>
        <v>0</v>
      </c>
      <c r="AH1599" s="146">
        <f t="shared" si="734"/>
        <v>0</v>
      </c>
      <c r="AI1599" s="143">
        <f t="shared" si="735"/>
        <v>0</v>
      </c>
      <c r="AJ1599" s="133">
        <f t="shared" si="736"/>
        <v>0</v>
      </c>
      <c r="AK1599" s="142">
        <f t="shared" si="738"/>
        <v>0</v>
      </c>
      <c r="AL1599" s="141"/>
      <c r="AO1599" s="286"/>
      <c r="AP1599" s="284">
        <f t="shared" si="716"/>
        <v>0</v>
      </c>
      <c r="AQ1599" s="281">
        <f t="shared" si="717"/>
        <v>0</v>
      </c>
      <c r="AR1599" s="284">
        <f t="shared" si="718"/>
        <v>0</v>
      </c>
      <c r="AS1599" s="281">
        <f t="shared" si="719"/>
        <v>0</v>
      </c>
      <c r="AT1599" s="284">
        <f t="shared" si="720"/>
        <v>0</v>
      </c>
    </row>
    <row r="1600" spans="1:46" s="114" customFormat="1" ht="30.9" x14ac:dyDescent="0.8">
      <c r="A1600" s="262">
        <f>ROW()</f>
        <v>1600</v>
      </c>
      <c r="C1600" s="208"/>
      <c r="D1600" s="208"/>
      <c r="E1600" s="208"/>
      <c r="F1600" s="208"/>
      <c r="G1600" s="208"/>
      <c r="H1600" s="208"/>
      <c r="J1600" s="114" t="str">
        <f t="shared" si="737"/>
        <v/>
      </c>
      <c r="K1600" s="114" t="str">
        <f>IF(COUNTBLANK(R1600)&gt;0,"",CONCATENATE(R1600," for ",N1584))</f>
        <v/>
      </c>
      <c r="N1600" s="123" t="s">
        <v>128</v>
      </c>
      <c r="O1600" s="66"/>
      <c r="P1600" s="121">
        <v>0</v>
      </c>
      <c r="Q1600" s="121"/>
      <c r="R1600" s="121"/>
      <c r="S1600" s="133">
        <f>M1584</f>
        <v>0</v>
      </c>
      <c r="T1600" s="120"/>
      <c r="U1600" s="121" t="s">
        <v>292</v>
      </c>
      <c r="V1600" s="133">
        <f t="shared" si="730"/>
        <v>0</v>
      </c>
      <c r="W1600" s="133">
        <f>VLOOKUP(U1600,Sheet1!$B$6:$C$45,2,FALSE)*V1600</f>
        <v>0</v>
      </c>
      <c r="X1600" s="141"/>
      <c r="Y1600" s="121" t="s">
        <v>292</v>
      </c>
      <c r="Z1600" s="146">
        <f>VLOOKUP(Takeoffs!Y1600,Sheet1!$B$6:$C$124,2,FALSE)</f>
        <v>0</v>
      </c>
      <c r="AA1600" s="146">
        <f t="shared" si="731"/>
        <v>0</v>
      </c>
      <c r="AB1600" s="143">
        <f t="shared" si="732"/>
        <v>0</v>
      </c>
      <c r="AC1600" s="133">
        <f t="shared" si="733"/>
        <v>0</v>
      </c>
      <c r="AD1600" s="142">
        <v>1</v>
      </c>
      <c r="AE1600" s="141"/>
      <c r="AF1600" s="121" t="s">
        <v>292</v>
      </c>
      <c r="AG1600" s="146">
        <f>VLOOKUP(Takeoffs!AF1600,Sheet1!$B$6:$C$124,2,FALSE)</f>
        <v>0</v>
      </c>
      <c r="AH1600" s="146">
        <f t="shared" si="734"/>
        <v>0</v>
      </c>
      <c r="AI1600" s="143">
        <f t="shared" si="735"/>
        <v>0</v>
      </c>
      <c r="AJ1600" s="133">
        <f t="shared" si="736"/>
        <v>0</v>
      </c>
      <c r="AK1600" s="142">
        <f t="shared" si="738"/>
        <v>0</v>
      </c>
      <c r="AL1600" s="141"/>
      <c r="AO1600" s="286"/>
      <c r="AP1600" s="284">
        <f t="shared" si="716"/>
        <v>0</v>
      </c>
      <c r="AQ1600" s="281">
        <f t="shared" si="717"/>
        <v>0</v>
      </c>
      <c r="AR1600" s="284">
        <f t="shared" si="718"/>
        <v>0</v>
      </c>
      <c r="AS1600" s="281">
        <f t="shared" si="719"/>
        <v>0</v>
      </c>
      <c r="AT1600" s="284">
        <f t="shared" si="720"/>
        <v>0</v>
      </c>
    </row>
    <row r="1601" spans="1:97" s="114" customFormat="1" ht="30.9" x14ac:dyDescent="0.8">
      <c r="A1601" s="262">
        <f>ROW()</f>
        <v>1601</v>
      </c>
      <c r="C1601" s="208"/>
      <c r="D1601" s="208"/>
      <c r="E1601" s="208"/>
      <c r="F1601" s="208"/>
      <c r="G1601" s="208"/>
      <c r="H1601" s="208"/>
      <c r="J1601" s="114" t="str">
        <f t="shared" si="737"/>
        <v/>
      </c>
      <c r="K1601" s="114" t="str">
        <f>IF(COUNTBLANK(R1601)&gt;0,"",CONCATENATE(R1601," for ",N1584))</f>
        <v/>
      </c>
      <c r="N1601" s="123" t="s">
        <v>129</v>
      </c>
      <c r="O1601" s="66"/>
      <c r="P1601" s="121"/>
      <c r="Q1601" s="121"/>
      <c r="R1601" s="121"/>
      <c r="S1601" s="133">
        <f>M1584</f>
        <v>0</v>
      </c>
      <c r="T1601" s="120"/>
      <c r="U1601" s="121" t="s">
        <v>292</v>
      </c>
      <c r="V1601" s="133">
        <f t="shared" si="730"/>
        <v>0</v>
      </c>
      <c r="W1601" s="133">
        <f>VLOOKUP(U1601,Sheet1!$B$6:$C$45,2,FALSE)*V1601</f>
        <v>0</v>
      </c>
      <c r="X1601" s="141"/>
      <c r="Y1601" s="121" t="s">
        <v>292</v>
      </c>
      <c r="Z1601" s="146">
        <f>VLOOKUP(Takeoffs!Y1601,Sheet1!$B$6:$C$124,2,FALSE)</f>
        <v>0</v>
      </c>
      <c r="AA1601" s="146">
        <f t="shared" si="731"/>
        <v>0</v>
      </c>
      <c r="AB1601" s="143">
        <f t="shared" si="732"/>
        <v>0</v>
      </c>
      <c r="AC1601" s="133">
        <f t="shared" si="733"/>
        <v>0</v>
      </c>
      <c r="AD1601" s="142">
        <v>1</v>
      </c>
      <c r="AE1601" s="141"/>
      <c r="AF1601" s="121" t="s">
        <v>292</v>
      </c>
      <c r="AG1601" s="146">
        <f>VLOOKUP(Takeoffs!AF1601,Sheet1!$B$6:$C$124,2,FALSE)</f>
        <v>0</v>
      </c>
      <c r="AH1601" s="146">
        <f t="shared" si="734"/>
        <v>0</v>
      </c>
      <c r="AI1601" s="143">
        <f t="shared" si="735"/>
        <v>0</v>
      </c>
      <c r="AJ1601" s="133">
        <f t="shared" si="736"/>
        <v>0</v>
      </c>
      <c r="AK1601" s="142">
        <f t="shared" si="738"/>
        <v>0</v>
      </c>
      <c r="AL1601" s="141"/>
      <c r="AO1601" s="286"/>
      <c r="AP1601" s="284">
        <f t="shared" si="716"/>
        <v>0</v>
      </c>
      <c r="AQ1601" s="281">
        <f t="shared" si="717"/>
        <v>0</v>
      </c>
      <c r="AR1601" s="284">
        <f t="shared" si="718"/>
        <v>0</v>
      </c>
      <c r="AS1601" s="281">
        <f t="shared" si="719"/>
        <v>0</v>
      </c>
      <c r="AT1601" s="284">
        <f t="shared" si="720"/>
        <v>0</v>
      </c>
    </row>
    <row r="1602" spans="1:97" s="114" customFormat="1" ht="30.9" x14ac:dyDescent="0.8">
      <c r="A1602" s="262">
        <f>ROW()</f>
        <v>1602</v>
      </c>
      <c r="C1602" s="208"/>
      <c r="D1602" s="208"/>
      <c r="E1602" s="208"/>
      <c r="F1602" s="208"/>
      <c r="G1602" s="208"/>
      <c r="H1602" s="208"/>
      <c r="J1602" s="114" t="str">
        <f t="shared" si="737"/>
        <v/>
      </c>
      <c r="K1602" s="114" t="str">
        <f>IF(COUNTBLANK(R1602)&gt;0,"",CONCATENATE(R1602," for ",N1584))</f>
        <v/>
      </c>
      <c r="N1602" s="123" t="s">
        <v>130</v>
      </c>
      <c r="O1602" s="66"/>
      <c r="P1602" s="121"/>
      <c r="Q1602" s="121"/>
      <c r="R1602" s="121"/>
      <c r="S1602" s="133">
        <f>M1584</f>
        <v>0</v>
      </c>
      <c r="T1602" s="120"/>
      <c r="U1602" s="121" t="s">
        <v>292</v>
      </c>
      <c r="V1602" s="133">
        <f t="shared" si="730"/>
        <v>0</v>
      </c>
      <c r="W1602" s="133">
        <f>VLOOKUP(U1602,Sheet1!$B$6:$C$45,2,FALSE)*V1602</f>
        <v>0</v>
      </c>
      <c r="X1602" s="141"/>
      <c r="Y1602" s="121" t="s">
        <v>292</v>
      </c>
      <c r="Z1602" s="146">
        <f>VLOOKUP(Takeoffs!Y1602,Sheet1!$B$6:$C$124,2,FALSE)</f>
        <v>0</v>
      </c>
      <c r="AA1602" s="146">
        <f t="shared" si="731"/>
        <v>0</v>
      </c>
      <c r="AB1602" s="143">
        <f t="shared" si="732"/>
        <v>0</v>
      </c>
      <c r="AC1602" s="133">
        <f t="shared" si="733"/>
        <v>0</v>
      </c>
      <c r="AD1602" s="142">
        <v>1</v>
      </c>
      <c r="AE1602" s="141"/>
      <c r="AF1602" s="121" t="s">
        <v>292</v>
      </c>
      <c r="AG1602" s="146">
        <f>VLOOKUP(Takeoffs!AF1602,Sheet1!$B$6:$C$124,2,FALSE)</f>
        <v>0</v>
      </c>
      <c r="AH1602" s="146">
        <f t="shared" si="734"/>
        <v>0</v>
      </c>
      <c r="AI1602" s="143">
        <f t="shared" si="735"/>
        <v>0</v>
      </c>
      <c r="AJ1602" s="133">
        <f t="shared" si="736"/>
        <v>0</v>
      </c>
      <c r="AK1602" s="142">
        <f t="shared" si="738"/>
        <v>0</v>
      </c>
      <c r="AL1602" s="141"/>
      <c r="AO1602" s="286"/>
      <c r="AP1602" s="284">
        <f t="shared" si="716"/>
        <v>0</v>
      </c>
      <c r="AQ1602" s="281">
        <f t="shared" si="717"/>
        <v>0</v>
      </c>
      <c r="AR1602" s="284">
        <f t="shared" si="718"/>
        <v>0</v>
      </c>
      <c r="AS1602" s="281">
        <f t="shared" si="719"/>
        <v>0</v>
      </c>
      <c r="AT1602" s="284">
        <f t="shared" si="720"/>
        <v>0</v>
      </c>
    </row>
    <row r="1603" spans="1:97" s="114" customFormat="1" ht="30.9" x14ac:dyDescent="0.8">
      <c r="A1603" s="262">
        <f>ROW()</f>
        <v>1603</v>
      </c>
      <c r="C1603" s="208"/>
      <c r="D1603" s="208"/>
      <c r="E1603" s="208"/>
      <c r="F1603" s="208"/>
      <c r="G1603" s="208"/>
      <c r="H1603" s="208"/>
      <c r="J1603" s="114" t="str">
        <f t="shared" si="737"/>
        <v/>
      </c>
      <c r="K1603" s="114" t="str">
        <f>IF(COUNTBLANK(R1603)&gt;0,"",CONCATENATE(R1603," for ",N1584))</f>
        <v/>
      </c>
      <c r="N1603" s="123" t="s">
        <v>131</v>
      </c>
      <c r="O1603" s="66"/>
      <c r="P1603" s="121"/>
      <c r="Q1603" s="121"/>
      <c r="R1603" s="121"/>
      <c r="S1603" s="133">
        <f>M1584</f>
        <v>0</v>
      </c>
      <c r="T1603" s="120"/>
      <c r="U1603" s="121" t="s">
        <v>292</v>
      </c>
      <c r="V1603" s="133">
        <f t="shared" si="730"/>
        <v>0</v>
      </c>
      <c r="W1603" s="133">
        <f>VLOOKUP(U1603,Sheet1!$B$6:$C$45,2,FALSE)*V1603</f>
        <v>0</v>
      </c>
      <c r="X1603" s="141"/>
      <c r="Y1603" s="121" t="s">
        <v>292</v>
      </c>
      <c r="Z1603" s="146">
        <f>VLOOKUP(Takeoffs!Y1603,Sheet1!$B$6:$C$124,2,FALSE)</f>
        <v>0</v>
      </c>
      <c r="AA1603" s="146">
        <f t="shared" si="731"/>
        <v>0</v>
      </c>
      <c r="AB1603" s="143">
        <f t="shared" si="732"/>
        <v>0</v>
      </c>
      <c r="AC1603" s="133">
        <f t="shared" si="733"/>
        <v>0</v>
      </c>
      <c r="AD1603" s="142">
        <v>1</v>
      </c>
      <c r="AE1603" s="141"/>
      <c r="AF1603" s="121" t="s">
        <v>292</v>
      </c>
      <c r="AG1603" s="146">
        <f>VLOOKUP(Takeoffs!AF1603,Sheet1!$B$6:$C$124,2,FALSE)</f>
        <v>0</v>
      </c>
      <c r="AH1603" s="146">
        <f t="shared" si="734"/>
        <v>0</v>
      </c>
      <c r="AI1603" s="143">
        <f t="shared" si="735"/>
        <v>0</v>
      </c>
      <c r="AJ1603" s="133">
        <f t="shared" si="736"/>
        <v>0</v>
      </c>
      <c r="AK1603" s="142">
        <f t="shared" si="738"/>
        <v>0</v>
      </c>
      <c r="AL1603" s="141"/>
      <c r="AO1603" s="286"/>
      <c r="AP1603" s="284">
        <f t="shared" si="716"/>
        <v>0</v>
      </c>
      <c r="AQ1603" s="281">
        <f t="shared" si="717"/>
        <v>0</v>
      </c>
      <c r="AR1603" s="284">
        <f t="shared" si="718"/>
        <v>0</v>
      </c>
      <c r="AS1603" s="281">
        <f t="shared" si="719"/>
        <v>0</v>
      </c>
      <c r="AT1603" s="284">
        <f t="shared" si="720"/>
        <v>0</v>
      </c>
    </row>
    <row r="1604" spans="1:97" s="114" customFormat="1" ht="30.9" x14ac:dyDescent="0.8">
      <c r="A1604" s="262">
        <f>ROW()</f>
        <v>1604</v>
      </c>
      <c r="C1604" s="208"/>
      <c r="D1604" s="208"/>
      <c r="E1604" s="208"/>
      <c r="F1604" s="208"/>
      <c r="G1604" s="208"/>
      <c r="H1604" s="208"/>
      <c r="J1604" s="114" t="str">
        <f t="shared" si="737"/>
        <v/>
      </c>
      <c r="K1604" s="114" t="str">
        <f>IF(COUNTBLANK(R1604)&gt;0,"",CONCATENATE(R1604," for ",N1584))</f>
        <v/>
      </c>
      <c r="N1604" s="123" t="s">
        <v>132</v>
      </c>
      <c r="O1604" s="66"/>
      <c r="P1604" s="121"/>
      <c r="Q1604" s="121"/>
      <c r="R1604" s="121"/>
      <c r="S1604" s="133">
        <f>M1584</f>
        <v>0</v>
      </c>
      <c r="T1604" s="120"/>
      <c r="U1604" s="121" t="s">
        <v>292</v>
      </c>
      <c r="V1604" s="133">
        <f t="shared" si="730"/>
        <v>0</v>
      </c>
      <c r="W1604" s="133">
        <f>VLOOKUP(U1604,Sheet1!$B$6:$C$45,2,FALSE)*V1604</f>
        <v>0</v>
      </c>
      <c r="X1604" s="141"/>
      <c r="Y1604" s="121" t="s">
        <v>292</v>
      </c>
      <c r="Z1604" s="146">
        <f>VLOOKUP(Takeoffs!Y1604,Sheet1!$B$6:$C$124,2,FALSE)</f>
        <v>0</v>
      </c>
      <c r="AA1604" s="146">
        <f t="shared" si="731"/>
        <v>0</v>
      </c>
      <c r="AB1604" s="143">
        <f t="shared" si="732"/>
        <v>0</v>
      </c>
      <c r="AC1604" s="133">
        <f t="shared" si="733"/>
        <v>0</v>
      </c>
      <c r="AD1604" s="142">
        <v>1</v>
      </c>
      <c r="AE1604" s="141"/>
      <c r="AF1604" s="121" t="s">
        <v>292</v>
      </c>
      <c r="AG1604" s="146">
        <f>VLOOKUP(Takeoffs!AF1604,Sheet1!$B$6:$C$124,2,FALSE)</f>
        <v>0</v>
      </c>
      <c r="AH1604" s="146">
        <f t="shared" si="734"/>
        <v>0</v>
      </c>
      <c r="AI1604" s="143">
        <f t="shared" si="735"/>
        <v>0</v>
      </c>
      <c r="AJ1604" s="133">
        <f t="shared" si="736"/>
        <v>0</v>
      </c>
      <c r="AK1604" s="142">
        <f t="shared" si="738"/>
        <v>0</v>
      </c>
      <c r="AL1604" s="141"/>
      <c r="AO1604" s="286"/>
      <c r="AP1604" s="284">
        <f t="shared" si="716"/>
        <v>0</v>
      </c>
      <c r="AQ1604" s="281">
        <f t="shared" si="717"/>
        <v>0</v>
      </c>
      <c r="AR1604" s="284">
        <f t="shared" si="718"/>
        <v>0</v>
      </c>
      <c r="AS1604" s="281">
        <f t="shared" si="719"/>
        <v>0</v>
      </c>
      <c r="AT1604" s="284">
        <f t="shared" si="720"/>
        <v>0</v>
      </c>
    </row>
    <row r="1605" spans="1:97" s="128" customFormat="1" ht="31.5" customHeight="1" x14ac:dyDescent="0.8">
      <c r="A1605" s="262">
        <f>ROW()</f>
        <v>1605</v>
      </c>
      <c r="C1605" s="212"/>
      <c r="D1605" s="212"/>
      <c r="E1605" s="212"/>
      <c r="F1605" s="212"/>
      <c r="G1605" s="212"/>
      <c r="H1605" s="212"/>
      <c r="J1605" s="128" t="s">
        <v>377</v>
      </c>
      <c r="L1605" s="128" t="s">
        <v>378</v>
      </c>
      <c r="N1605" s="129"/>
      <c r="O1605" s="130" t="s">
        <v>357</v>
      </c>
      <c r="P1605" s="131">
        <f>V1605+AA1605+AH1605</f>
        <v>0</v>
      </c>
      <c r="Q1605" s="131"/>
      <c r="R1605" s="131"/>
      <c r="S1605" s="130"/>
      <c r="T1605" s="127"/>
      <c r="U1605" s="126" t="s">
        <v>351</v>
      </c>
      <c r="V1605" s="127">
        <f>W1605*80</f>
        <v>0</v>
      </c>
      <c r="W1605" s="147">
        <f>SUM(W1584:W1604)</f>
        <v>0</v>
      </c>
      <c r="X1605" s="148"/>
      <c r="Y1605" s="127" t="s">
        <v>352</v>
      </c>
      <c r="Z1605" s="116"/>
      <c r="AA1605" s="116">
        <f>SUM(AA1584:AA1604)</f>
        <v>0</v>
      </c>
      <c r="AB1605" s="149"/>
      <c r="AC1605" s="149"/>
      <c r="AD1605" s="149"/>
      <c r="AE1605" s="149"/>
      <c r="AF1605" s="127" t="s">
        <v>356</v>
      </c>
      <c r="AG1605" s="116"/>
      <c r="AH1605" s="116">
        <f>SUM(AH1584:AH1604)</f>
        <v>0</v>
      </c>
      <c r="AI1605" s="149"/>
      <c r="AJ1605" s="149"/>
      <c r="AK1605" s="149"/>
      <c r="AL1605" s="149"/>
      <c r="AM1605" s="150">
        <f>P1605</f>
        <v>0</v>
      </c>
      <c r="AO1605" s="286"/>
      <c r="AP1605" s="284">
        <f t="shared" si="716"/>
        <v>0</v>
      </c>
      <c r="AQ1605" s="281">
        <f t="shared" si="717"/>
        <v>0</v>
      </c>
      <c r="AR1605" s="284">
        <f t="shared" si="718"/>
        <v>0</v>
      </c>
      <c r="AS1605" s="281">
        <f t="shared" si="719"/>
        <v>0</v>
      </c>
      <c r="AT1605" s="284">
        <f t="shared" si="720"/>
        <v>0</v>
      </c>
    </row>
    <row r="1606" spans="1:97" s="234" customFormat="1" ht="339.45" x14ac:dyDescent="0.8">
      <c r="A1606" s="262">
        <f>ROW()</f>
        <v>1606</v>
      </c>
      <c r="B1606" s="234" t="s">
        <v>491</v>
      </c>
      <c r="C1606" s="217" t="str">
        <f>N1584</f>
        <v>Packaged units (Field wiring by customer)</v>
      </c>
      <c r="D1606" s="260" t="s">
        <v>678</v>
      </c>
      <c r="E1606" s="238"/>
      <c r="F1606" s="217"/>
      <c r="G1606" s="217">
        <v>2</v>
      </c>
      <c r="H1606" s="245"/>
      <c r="I1606" s="270"/>
      <c r="J1606" s="241" t="str">
        <f>CONCATENATE(O1584," ",L1584, " (",M1584,") ",N1584,".", IF(M1584&gt;1," Each "," This "),"includes supply and install of ",O1585,O1586,O1587,O1588,O1589,O1590,O1591,O1592,O1593,O1594,O1595,O1596,O1597,O1598,O1599,O1600,O1601,O1602,O1603,O1604,J1585,J1586,J1587,J1588,J1589,J1590,J1591,J1592,J1593,J1594,J1595,J1596,J1597,J1598,J1599,J1600,J1601,J1602,J1603,J1604)</f>
        <v>Electrical power supply to Zero (0) Packaged units (Field wiring by customer). This includes supply and install of CB, Run light and Fault light, connections of power cabling into MSSB,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power cabling from MSSB and local power isolator ( for PAC unit). Coordination Note: - Customers in-house electrician: Please refer to our exclusions relating to proprietary air-conditioning controllers supply and installation. Coordination Note: - Customers in-house electrician: Please refer to our exclusions relating to run and fault cabling from  PAC unit to MSSB Coordination Note: - Customers in-house electrician: Please refer to our exclusions relating to Power cabling from MSSB to PAC unit. Customers electrician to leave tails adjacent MSSB for Controlworks to connect.</v>
      </c>
      <c r="K1606" s="246">
        <f>P1605</f>
        <v>0</v>
      </c>
      <c r="L1606" s="235" t="str">
        <f>CONCATENATE(Q1585,Q1586,Q1587,Q1588,Q1589,Q1590,Q1591,Q1592,Q1593,Q1594,Q1595,Q1596,Q1597,Q1598,Q1599,Q1600,Q1601,Q1602,Q1603,Q1604,)</f>
        <v>power cabling from MSSB and local power isolator ( for PAC unit). proprietary air-conditioning controllers supply and installation. run and fault cabling from  PAC unit to MSSB Power cabling from MSSB to PAC unit. Customers electrician to leave tails adjacent MSSB for Controlworks to connect.</v>
      </c>
      <c r="M1606" s="166" t="s">
        <v>367</v>
      </c>
      <c r="N1606" s="160" t="str">
        <f>N1584</f>
        <v>Packaged units (Field wiring by customer)</v>
      </c>
      <c r="O1606" s="160" t="s">
        <v>365</v>
      </c>
      <c r="P1606" s="64" t="e">
        <f>P1605/M1584</f>
        <v>#DIV/0!</v>
      </c>
      <c r="Q1606" s="161"/>
      <c r="R1606" s="161"/>
      <c r="S1606" s="160"/>
      <c r="T1606" s="161"/>
      <c r="U1606" s="503" t="s">
        <v>366</v>
      </c>
      <c r="V1606" s="503"/>
      <c r="W1606" s="162" t="e">
        <f>W1605/M1584</f>
        <v>#DIV/0!</v>
      </c>
      <c r="X1606" s="163"/>
      <c r="Y1606" s="501" t="s">
        <v>365</v>
      </c>
      <c r="Z1606" s="501"/>
      <c r="AA1606" s="164" t="e">
        <f>AA1605/M1584</f>
        <v>#DIV/0!</v>
      </c>
      <c r="AB1606" s="161"/>
      <c r="AC1606" s="161"/>
      <c r="AD1606" s="161"/>
      <c r="AE1606" s="161"/>
      <c r="AF1606" s="501" t="s">
        <v>365</v>
      </c>
      <c r="AG1606" s="501"/>
      <c r="AH1606" s="164" t="e">
        <f>AH1605/M1584</f>
        <v>#DIV/0!</v>
      </c>
      <c r="AI1606" s="161"/>
      <c r="AJ1606" s="161"/>
      <c r="AK1606" s="161"/>
      <c r="AL1606" s="247"/>
      <c r="AM1606" s="257"/>
      <c r="AN1606" s="230">
        <f>K1606*1.25</f>
        <v>0</v>
      </c>
      <c r="AO1606" s="286"/>
      <c r="AP1606" s="284">
        <f t="shared" si="716"/>
        <v>0</v>
      </c>
      <c r="AQ1606" s="281">
        <f t="shared" si="717"/>
        <v>0</v>
      </c>
      <c r="AR1606" s="284">
        <f t="shared" si="718"/>
        <v>0</v>
      </c>
      <c r="AS1606" s="281">
        <f t="shared" si="719"/>
        <v>0</v>
      </c>
      <c r="AT1606" s="284">
        <f t="shared" si="720"/>
        <v>0</v>
      </c>
      <c r="AU1606" s="117"/>
      <c r="AV1606" s="117"/>
      <c r="AW1606" s="117"/>
      <c r="AX1606" s="117"/>
      <c r="AY1606" s="117"/>
      <c r="AZ1606" s="117"/>
      <c r="BA1606" s="117"/>
      <c r="BB1606" s="117"/>
      <c r="BC1606" s="117"/>
      <c r="BD1606" s="117"/>
      <c r="BE1606" s="117"/>
      <c r="BF1606" s="117"/>
      <c r="BG1606" s="117"/>
      <c r="BH1606" s="117"/>
      <c r="BI1606" s="117"/>
      <c r="BJ1606" s="117"/>
      <c r="BK1606" s="117"/>
      <c r="BL1606" s="117"/>
      <c r="BM1606" s="117"/>
      <c r="BN1606" s="117"/>
      <c r="BO1606" s="117"/>
      <c r="BP1606" s="117"/>
      <c r="BQ1606" s="117"/>
      <c r="BR1606" s="117"/>
      <c r="BS1606" s="117"/>
      <c r="BT1606" s="117"/>
      <c r="BU1606" s="117"/>
      <c r="BV1606" s="117"/>
      <c r="BW1606" s="117"/>
      <c r="BX1606" s="117"/>
      <c r="BY1606" s="117"/>
      <c r="BZ1606" s="117"/>
      <c r="CA1606" s="117"/>
      <c r="CB1606" s="117"/>
      <c r="CC1606" s="117"/>
      <c r="CD1606" s="117"/>
      <c r="CE1606" s="117"/>
      <c r="CF1606" s="117"/>
      <c r="CG1606" s="117"/>
      <c r="CH1606" s="117"/>
      <c r="CI1606" s="117"/>
      <c r="CJ1606" s="117"/>
      <c r="CK1606" s="117"/>
      <c r="CL1606" s="117"/>
      <c r="CM1606" s="117"/>
      <c r="CN1606" s="117"/>
      <c r="CO1606" s="117"/>
      <c r="CP1606" s="117"/>
      <c r="CQ1606" s="117"/>
      <c r="CR1606" s="117"/>
      <c r="CS1606" s="117"/>
    </row>
    <row r="1607" spans="1:97" s="2" customFormat="1" ht="192.75" customHeight="1" x14ac:dyDescent="0.8">
      <c r="A1607" s="262">
        <f>ROW()</f>
        <v>1607</v>
      </c>
      <c r="B1607" s="116"/>
      <c r="C1607" s="211"/>
      <c r="D1607" s="211"/>
      <c r="E1607" s="211"/>
      <c r="F1607" s="211"/>
      <c r="G1607" s="211"/>
      <c r="H1607" s="211"/>
      <c r="I1607" s="116"/>
      <c r="K1607" s="2" t="s">
        <v>452</v>
      </c>
      <c r="M1607" s="2" t="s">
        <v>107</v>
      </c>
      <c r="N1607" s="2" t="s">
        <v>108</v>
      </c>
      <c r="O1607" s="97" t="s">
        <v>386</v>
      </c>
      <c r="P1607" s="502" t="s">
        <v>375</v>
      </c>
      <c r="Q1607" s="502"/>
      <c r="R1607" s="101" t="s">
        <v>452</v>
      </c>
      <c r="S1607" s="2" t="s">
        <v>0</v>
      </c>
      <c r="T1607" s="9"/>
      <c r="U1607" s="2" t="s">
        <v>287</v>
      </c>
      <c r="V1607" s="2" t="s">
        <v>288</v>
      </c>
      <c r="W1607" s="2" t="s">
        <v>291</v>
      </c>
      <c r="X1607" s="58"/>
      <c r="Y1607" s="2" t="s">
        <v>289</v>
      </c>
      <c r="Z1607" s="2" t="s">
        <v>354</v>
      </c>
      <c r="AA1607" s="2" t="s">
        <v>355</v>
      </c>
      <c r="AB1607" s="2" t="s">
        <v>317</v>
      </c>
      <c r="AC1607" s="2" t="s">
        <v>318</v>
      </c>
      <c r="AD1607" s="2" t="s">
        <v>316</v>
      </c>
      <c r="AE1607" s="58"/>
      <c r="AF1607" s="2" t="s">
        <v>293</v>
      </c>
      <c r="AG1607" s="2" t="s">
        <v>354</v>
      </c>
      <c r="AH1607" s="2" t="s">
        <v>355</v>
      </c>
      <c r="AI1607" s="2" t="s">
        <v>296</v>
      </c>
      <c r="AJ1607" s="2" t="s">
        <v>294</v>
      </c>
      <c r="AK1607" s="2" t="s">
        <v>295</v>
      </c>
      <c r="AL1607" s="58"/>
      <c r="AO1607" s="288"/>
      <c r="AP1607" s="284">
        <f t="shared" si="716"/>
        <v>0</v>
      </c>
      <c r="AQ1607" s="281">
        <f t="shared" si="717"/>
        <v>0</v>
      </c>
      <c r="AR1607" s="284">
        <f t="shared" si="718"/>
        <v>0</v>
      </c>
      <c r="AS1607" s="281">
        <f t="shared" si="719"/>
        <v>0</v>
      </c>
      <c r="AT1607" s="284">
        <f t="shared" si="720"/>
        <v>0</v>
      </c>
    </row>
    <row r="1608" spans="1:97" customFormat="1" ht="31.5" customHeight="1" x14ac:dyDescent="0.8">
      <c r="A1608" s="262">
        <f>ROW()</f>
        <v>1608</v>
      </c>
      <c r="B1608" s="114"/>
      <c r="C1608" s="208"/>
      <c r="D1608" s="208"/>
      <c r="E1608" s="208"/>
      <c r="F1608" s="208"/>
      <c r="G1608" s="208"/>
      <c r="H1608" s="208"/>
      <c r="I1608" s="114"/>
      <c r="J1608" s="32"/>
      <c r="L1608" s="16" t="str">
        <f>VLOOKUP(M1608,Sheet2!$D$2:$E$1024,2,FALSE)</f>
        <v>Zero</v>
      </c>
      <c r="M1608" s="121">
        <f>I1630</f>
        <v>0</v>
      </c>
      <c r="N1608" s="27" t="s">
        <v>290</v>
      </c>
      <c r="O1608" s="12" t="s">
        <v>133</v>
      </c>
      <c r="P1608" s="96" t="s">
        <v>379</v>
      </c>
      <c r="Q1608" s="96" t="s">
        <v>375</v>
      </c>
      <c r="R1608" s="96"/>
      <c r="S1608" s="28">
        <f>M1608</f>
        <v>0</v>
      </c>
      <c r="T1608" s="10"/>
      <c r="U1608" s="12" t="s">
        <v>292</v>
      </c>
      <c r="V1608" s="28">
        <f>S1608</f>
        <v>0</v>
      </c>
      <c r="W1608" s="28">
        <f>VLOOKUP(U1608,Sheet1!$B$6:$C$45,2,FALSE)*V1608</f>
        <v>0</v>
      </c>
      <c r="X1608" s="59"/>
      <c r="Y1608" s="12" t="s">
        <v>292</v>
      </c>
      <c r="Z1608" s="68">
        <f>VLOOKUP(Takeoffs!Y1608,Sheet1!$B$6:$C$124,2,FALSE)</f>
        <v>0</v>
      </c>
      <c r="AA1608" s="68">
        <f>Z1608*AB1608</f>
        <v>0</v>
      </c>
      <c r="AB1608" s="63">
        <f>AD1608*AC1608</f>
        <v>0</v>
      </c>
      <c r="AC1608" s="28">
        <f>S1608</f>
        <v>0</v>
      </c>
      <c r="AD1608" s="61">
        <v>1</v>
      </c>
      <c r="AE1608" s="59"/>
      <c r="AF1608" s="12" t="s">
        <v>292</v>
      </c>
      <c r="AG1608" s="68">
        <f>VLOOKUP(Takeoffs!AF1608,Sheet1!$B$6:$C$124,2,FALSE)</f>
        <v>0</v>
      </c>
      <c r="AH1608" s="68">
        <f>AG1608*AI1608</f>
        <v>0</v>
      </c>
      <c r="AI1608" s="63">
        <f>AK1608*AJ1608</f>
        <v>0</v>
      </c>
      <c r="AJ1608" s="28">
        <f>S1608</f>
        <v>0</v>
      </c>
      <c r="AK1608" s="61">
        <f>T1608</f>
        <v>0</v>
      </c>
      <c r="AL1608" s="59"/>
      <c r="AO1608" s="286"/>
      <c r="AP1608" s="284">
        <f t="shared" si="716"/>
        <v>0</v>
      </c>
      <c r="AQ1608" s="281">
        <f t="shared" si="717"/>
        <v>0</v>
      </c>
      <c r="AR1608" s="284">
        <f t="shared" si="718"/>
        <v>0</v>
      </c>
      <c r="AS1608" s="281">
        <f t="shared" si="719"/>
        <v>0</v>
      </c>
      <c r="AT1608" s="284">
        <f t="shared" si="720"/>
        <v>0</v>
      </c>
    </row>
    <row r="1609" spans="1:97" customFormat="1" ht="30.9" x14ac:dyDescent="0.8">
      <c r="A1609" s="262">
        <f>ROW()</f>
        <v>1609</v>
      </c>
      <c r="B1609" s="114"/>
      <c r="C1609" s="208"/>
      <c r="D1609" s="208"/>
      <c r="E1609" s="208"/>
      <c r="F1609" s="208"/>
      <c r="G1609" s="208"/>
      <c r="H1609" s="208"/>
      <c r="I1609" s="114"/>
      <c r="J1609" s="32" t="str">
        <f>IF(COUNTBLANK(Q1609)&gt;0,"",CONCATENATE("Coordination Note: - ",P1609,": Please refer to our exclusions relating to ",Q1609))</f>
        <v/>
      </c>
      <c r="K1609" s="32" t="str">
        <f>IF(COUNTBLANK(R1609)&gt;0,"",CONCATENATE(R1609," for ",N1608))</f>
        <v/>
      </c>
      <c r="L1609" s="32"/>
      <c r="M1609" s="3"/>
      <c r="N1609" s="15" t="s">
        <v>113</v>
      </c>
      <c r="O1609" s="66" t="s">
        <v>395</v>
      </c>
      <c r="P1609" s="12"/>
      <c r="Q1609" s="12"/>
      <c r="R1609" s="12"/>
      <c r="S1609" s="28">
        <f>M1608</f>
        <v>0</v>
      </c>
      <c r="T1609" s="11"/>
      <c r="U1609" s="12" t="s">
        <v>297</v>
      </c>
      <c r="V1609" s="28">
        <f>S1609</f>
        <v>0</v>
      </c>
      <c r="W1609" s="28">
        <f>VLOOKUP(U1609,Sheet1!$B$6:$C$45,2,FALSE)*V1609</f>
        <v>0</v>
      </c>
      <c r="X1609" s="59"/>
      <c r="Y1609" s="13" t="s">
        <v>250</v>
      </c>
      <c r="Z1609" s="68">
        <f>VLOOKUP(Takeoffs!Y1609,Sheet1!$B$6:$C$124,2,FALSE)</f>
        <v>43.440000000000005</v>
      </c>
      <c r="AA1609" s="68">
        <f t="shared" ref="AA1609:AA1628" si="739">Z1609*AB1609</f>
        <v>0</v>
      </c>
      <c r="AB1609" s="63">
        <f t="shared" ref="AB1609:AB1628" si="740">AD1609*AC1609</f>
        <v>0</v>
      </c>
      <c r="AC1609" s="28">
        <f>S1609</f>
        <v>0</v>
      </c>
      <c r="AD1609" s="61">
        <v>1</v>
      </c>
      <c r="AE1609" s="59"/>
      <c r="AF1609" s="13" t="s">
        <v>266</v>
      </c>
      <c r="AG1609" s="68">
        <f>VLOOKUP(Takeoffs!AF1609,Sheet1!$B$6:$C$124,2,FALSE)</f>
        <v>4.5599999999999996</v>
      </c>
      <c r="AH1609" s="68">
        <f t="shared" ref="AH1609:AH1628" si="741">AG1609*AI1609</f>
        <v>0</v>
      </c>
      <c r="AI1609" s="63">
        <f t="shared" ref="AI1609:AI1628" si="742">AK1609*AJ1609</f>
        <v>0</v>
      </c>
      <c r="AJ1609" s="28">
        <f t="shared" ref="AJ1609:AJ1628" si="743">S1609</f>
        <v>0</v>
      </c>
      <c r="AK1609" s="61">
        <v>15</v>
      </c>
      <c r="AL1609" s="59"/>
      <c r="AO1609" s="286"/>
      <c r="AP1609" s="284">
        <f t="shared" si="716"/>
        <v>0</v>
      </c>
      <c r="AQ1609" s="281">
        <f t="shared" si="717"/>
        <v>0</v>
      </c>
      <c r="AR1609" s="284">
        <f t="shared" si="718"/>
        <v>0</v>
      </c>
      <c r="AS1609" s="281">
        <f t="shared" si="719"/>
        <v>0</v>
      </c>
      <c r="AT1609" s="284">
        <f t="shared" si="720"/>
        <v>0</v>
      </c>
    </row>
    <row r="1610" spans="1:97" customFormat="1" ht="30.9" x14ac:dyDescent="0.8">
      <c r="A1610" s="262">
        <f>ROW()</f>
        <v>1610</v>
      </c>
      <c r="B1610" s="114"/>
      <c r="C1610" s="208"/>
      <c r="D1610" s="208"/>
      <c r="E1610" s="208"/>
      <c r="F1610" s="208"/>
      <c r="G1610" s="208"/>
      <c r="H1610" s="208"/>
      <c r="I1610" s="114"/>
      <c r="J1610" s="32" t="str">
        <f t="shared" ref="J1610:J1628" si="744">IF(COUNTBLANK(Q1610)&gt;0,"",CONCATENATE("Coordination Note: - ",P1610,": Please refer to our exclusions relating to ",Q1610))</f>
        <v/>
      </c>
      <c r="K1610" s="32" t="str">
        <f>IF(COUNTBLANK(R1610)&gt;0,"",CONCATENATE(R1610," for ",N1608))</f>
        <v/>
      </c>
      <c r="L1610" s="32"/>
      <c r="M1610" s="3"/>
      <c r="N1610" s="15" t="s">
        <v>114</v>
      </c>
      <c r="O1610" s="66" t="s">
        <v>406</v>
      </c>
      <c r="P1610" s="12"/>
      <c r="Q1610" s="12"/>
      <c r="R1610" s="12"/>
      <c r="S1610" s="28">
        <f>M1608</f>
        <v>0</v>
      </c>
      <c r="T1610" s="11"/>
      <c r="U1610" s="12" t="s">
        <v>292</v>
      </c>
      <c r="V1610" s="28">
        <f>S1610</f>
        <v>0</v>
      </c>
      <c r="W1610" s="28">
        <f>VLOOKUP(U1610,Sheet1!$B$6:$C$45,2,FALSE)*V1610</f>
        <v>0</v>
      </c>
      <c r="X1610" s="59"/>
      <c r="Y1610" s="13" t="s">
        <v>245</v>
      </c>
      <c r="Z1610" s="68">
        <f>VLOOKUP(Takeoffs!Y1610,Sheet1!$B$6:$C$124,2,FALSE)</f>
        <v>46.463999999999999</v>
      </c>
      <c r="AA1610" s="68">
        <f t="shared" si="739"/>
        <v>0</v>
      </c>
      <c r="AB1610" s="63">
        <f t="shared" si="740"/>
        <v>0</v>
      </c>
      <c r="AC1610" s="28">
        <f>S1610</f>
        <v>0</v>
      </c>
      <c r="AD1610" s="61">
        <v>1</v>
      </c>
      <c r="AE1610" s="59"/>
      <c r="AF1610" s="12" t="s">
        <v>292</v>
      </c>
      <c r="AG1610" s="68">
        <f>VLOOKUP(Takeoffs!AF1610,Sheet1!$B$6:$C$124,2,FALSE)</f>
        <v>0</v>
      </c>
      <c r="AH1610" s="68">
        <f t="shared" si="741"/>
        <v>0</v>
      </c>
      <c r="AI1610" s="63">
        <f t="shared" si="742"/>
        <v>0</v>
      </c>
      <c r="AJ1610" s="28">
        <f t="shared" si="743"/>
        <v>0</v>
      </c>
      <c r="AK1610" s="61">
        <f t="shared" ref="AK1610:AK1628" si="745">T1610</f>
        <v>0</v>
      </c>
      <c r="AL1610" s="59"/>
      <c r="AO1610" s="286"/>
      <c r="AP1610" s="284">
        <f t="shared" si="716"/>
        <v>0</v>
      </c>
      <c r="AQ1610" s="281">
        <f t="shared" si="717"/>
        <v>0</v>
      </c>
      <c r="AR1610" s="284">
        <f t="shared" si="718"/>
        <v>0</v>
      </c>
      <c r="AS1610" s="281">
        <f t="shared" si="719"/>
        <v>0</v>
      </c>
      <c r="AT1610" s="284">
        <f t="shared" si="720"/>
        <v>0</v>
      </c>
    </row>
    <row r="1611" spans="1:97" customFormat="1" ht="30.9" x14ac:dyDescent="0.8">
      <c r="A1611" s="262">
        <f>ROW()</f>
        <v>1611</v>
      </c>
      <c r="B1611" s="114"/>
      <c r="C1611" s="208"/>
      <c r="D1611" s="208"/>
      <c r="E1611" s="208"/>
      <c r="F1611" s="208"/>
      <c r="G1611" s="208"/>
      <c r="H1611" s="208"/>
      <c r="I1611" s="114"/>
      <c r="J1611" s="32" t="str">
        <f t="shared" si="744"/>
        <v/>
      </c>
      <c r="K1611" s="32" t="str">
        <f>IF(COUNTBLANK(R1611)&gt;0,"",CONCATENATE(R1611," for ",N1608))</f>
        <v/>
      </c>
      <c r="L1611" s="32"/>
      <c r="M1611" s="3"/>
      <c r="N1611" s="15" t="s">
        <v>115</v>
      </c>
      <c r="O1611" s="66"/>
      <c r="P1611" s="12"/>
      <c r="Q1611" s="12"/>
      <c r="R1611" s="12"/>
      <c r="S1611" s="28">
        <f>M1608</f>
        <v>0</v>
      </c>
      <c r="T1611" s="11"/>
      <c r="U1611" s="12" t="s">
        <v>292</v>
      </c>
      <c r="V1611" s="28">
        <f t="shared" ref="V1611:V1628" si="746">S1611</f>
        <v>0</v>
      </c>
      <c r="W1611" s="28">
        <f>VLOOKUP(U1611,Sheet1!$B$6:$C$45,2,FALSE)*V1611</f>
        <v>0</v>
      </c>
      <c r="X1611" s="59"/>
      <c r="Y1611" s="12" t="s">
        <v>292</v>
      </c>
      <c r="Z1611" s="68">
        <f>VLOOKUP(Takeoffs!Y1611,Sheet1!$B$6:$C$124,2,FALSE)</f>
        <v>0</v>
      </c>
      <c r="AA1611" s="68">
        <f t="shared" si="739"/>
        <v>0</v>
      </c>
      <c r="AB1611" s="63">
        <f t="shared" si="740"/>
        <v>0</v>
      </c>
      <c r="AC1611" s="28">
        <f t="shared" ref="AC1611:AC1628" si="747">S1611</f>
        <v>0</v>
      </c>
      <c r="AD1611" s="61">
        <v>1</v>
      </c>
      <c r="AE1611" s="59"/>
      <c r="AF1611" s="12" t="s">
        <v>292</v>
      </c>
      <c r="AG1611" s="68">
        <f>VLOOKUP(Takeoffs!AF1611,Sheet1!$B$6:$C$124,2,FALSE)</f>
        <v>0</v>
      </c>
      <c r="AH1611" s="68">
        <f t="shared" si="741"/>
        <v>0</v>
      </c>
      <c r="AI1611" s="63">
        <f t="shared" si="742"/>
        <v>0</v>
      </c>
      <c r="AJ1611" s="28">
        <f t="shared" si="743"/>
        <v>0</v>
      </c>
      <c r="AK1611" s="61">
        <f t="shared" si="745"/>
        <v>0</v>
      </c>
      <c r="AL1611" s="59"/>
      <c r="AO1611" s="286"/>
      <c r="AP1611" s="284">
        <f t="shared" si="716"/>
        <v>0</v>
      </c>
      <c r="AQ1611" s="281">
        <f t="shared" si="717"/>
        <v>0</v>
      </c>
      <c r="AR1611" s="284">
        <f t="shared" si="718"/>
        <v>0</v>
      </c>
      <c r="AS1611" s="281">
        <f t="shared" si="719"/>
        <v>0</v>
      </c>
      <c r="AT1611" s="284">
        <f t="shared" si="720"/>
        <v>0</v>
      </c>
    </row>
    <row r="1612" spans="1:97" customFormat="1" ht="30.9" x14ac:dyDescent="0.8">
      <c r="A1612" s="262">
        <f>ROW()</f>
        <v>1612</v>
      </c>
      <c r="B1612" s="114"/>
      <c r="C1612" s="208"/>
      <c r="D1612" s="208"/>
      <c r="E1612" s="208"/>
      <c r="F1612" s="208"/>
      <c r="G1612" s="208"/>
      <c r="H1612" s="208"/>
      <c r="I1612" s="114"/>
      <c r="J1612" s="32" t="str">
        <f t="shared" si="744"/>
        <v/>
      </c>
      <c r="K1612" s="32" t="str">
        <f>IF(COUNTBLANK(R1612)&gt;0,"",CONCATENATE(R1612," for ",N1608))</f>
        <v/>
      </c>
      <c r="L1612" s="32"/>
      <c r="M1612" s="3"/>
      <c r="N1612" s="15" t="s">
        <v>116</v>
      </c>
      <c r="O1612" s="66"/>
      <c r="P1612" s="12"/>
      <c r="Q1612" s="12"/>
      <c r="R1612" s="12"/>
      <c r="S1612" s="28">
        <f>M1608</f>
        <v>0</v>
      </c>
      <c r="T1612" s="11"/>
      <c r="U1612" s="12" t="s">
        <v>292</v>
      </c>
      <c r="V1612" s="28">
        <f t="shared" si="746"/>
        <v>0</v>
      </c>
      <c r="W1612" s="28">
        <f>VLOOKUP(U1612,Sheet1!$B$6:$C$45,2,FALSE)*V1612</f>
        <v>0</v>
      </c>
      <c r="X1612" s="59"/>
      <c r="Y1612" s="12" t="s">
        <v>292</v>
      </c>
      <c r="Z1612" s="68">
        <f>VLOOKUP(Takeoffs!Y1612,Sheet1!$B$6:$C$124,2,FALSE)</f>
        <v>0</v>
      </c>
      <c r="AA1612" s="68">
        <f t="shared" si="739"/>
        <v>0</v>
      </c>
      <c r="AB1612" s="63">
        <f t="shared" si="740"/>
        <v>0</v>
      </c>
      <c r="AC1612" s="28">
        <f t="shared" si="747"/>
        <v>0</v>
      </c>
      <c r="AD1612" s="61">
        <v>1</v>
      </c>
      <c r="AE1612" s="59"/>
      <c r="AF1612" s="12" t="s">
        <v>292</v>
      </c>
      <c r="AG1612" s="68">
        <f>VLOOKUP(Takeoffs!AF1612,Sheet1!$B$6:$C$124,2,FALSE)</f>
        <v>0</v>
      </c>
      <c r="AH1612" s="68">
        <f t="shared" si="741"/>
        <v>0</v>
      </c>
      <c r="AI1612" s="63">
        <f t="shared" si="742"/>
        <v>0</v>
      </c>
      <c r="AJ1612" s="28">
        <f t="shared" si="743"/>
        <v>0</v>
      </c>
      <c r="AK1612" s="61">
        <f t="shared" si="745"/>
        <v>0</v>
      </c>
      <c r="AL1612" s="59"/>
      <c r="AO1612" s="286"/>
      <c r="AP1612" s="284">
        <f t="shared" si="716"/>
        <v>0</v>
      </c>
      <c r="AQ1612" s="281">
        <f t="shared" si="717"/>
        <v>0</v>
      </c>
      <c r="AR1612" s="284">
        <f t="shared" si="718"/>
        <v>0</v>
      </c>
      <c r="AS1612" s="281">
        <f t="shared" si="719"/>
        <v>0</v>
      </c>
      <c r="AT1612" s="284">
        <f t="shared" si="720"/>
        <v>0</v>
      </c>
    </row>
    <row r="1613" spans="1:97" customFormat="1" ht="30.9" x14ac:dyDescent="0.8">
      <c r="A1613" s="262">
        <f>ROW()</f>
        <v>1613</v>
      </c>
      <c r="B1613" s="114"/>
      <c r="C1613" s="208"/>
      <c r="D1613" s="208"/>
      <c r="E1613" s="208"/>
      <c r="F1613" s="208"/>
      <c r="G1613" s="208"/>
      <c r="H1613" s="208"/>
      <c r="I1613" s="114"/>
      <c r="J1613" s="32" t="str">
        <f t="shared" si="744"/>
        <v/>
      </c>
      <c r="K1613" s="32" t="str">
        <f>IF(COUNTBLANK(R1613)&gt;0,"",CONCATENATE(R1613," for ",N1608))</f>
        <v/>
      </c>
      <c r="L1613" s="32"/>
      <c r="M1613" s="3"/>
      <c r="N1613" s="15" t="s">
        <v>117</v>
      </c>
      <c r="O1613" s="66"/>
      <c r="P1613" s="12"/>
      <c r="Q1613" s="12"/>
      <c r="R1613" s="12"/>
      <c r="S1613" s="28">
        <f>M1608</f>
        <v>0</v>
      </c>
      <c r="T1613" s="11"/>
      <c r="U1613" s="12" t="s">
        <v>292</v>
      </c>
      <c r="V1613" s="28">
        <f t="shared" si="746"/>
        <v>0</v>
      </c>
      <c r="W1613" s="28">
        <f>VLOOKUP(U1613,Sheet1!$B$6:$C$45,2,FALSE)*V1613</f>
        <v>0</v>
      </c>
      <c r="X1613" s="59"/>
      <c r="Y1613" s="12" t="s">
        <v>292</v>
      </c>
      <c r="Z1613" s="68">
        <f>VLOOKUP(Takeoffs!Y1613,Sheet1!$B$6:$C$124,2,FALSE)</f>
        <v>0</v>
      </c>
      <c r="AA1613" s="68">
        <f t="shared" si="739"/>
        <v>0</v>
      </c>
      <c r="AB1613" s="63">
        <f t="shared" si="740"/>
        <v>0</v>
      </c>
      <c r="AC1613" s="28">
        <f t="shared" si="747"/>
        <v>0</v>
      </c>
      <c r="AD1613" s="61">
        <v>1</v>
      </c>
      <c r="AE1613" s="59"/>
      <c r="AF1613" s="12" t="s">
        <v>292</v>
      </c>
      <c r="AG1613" s="68">
        <f>VLOOKUP(Takeoffs!AF1613,Sheet1!$B$6:$C$124,2,FALSE)</f>
        <v>0</v>
      </c>
      <c r="AH1613" s="68">
        <f t="shared" si="741"/>
        <v>0</v>
      </c>
      <c r="AI1613" s="63">
        <f t="shared" si="742"/>
        <v>0</v>
      </c>
      <c r="AJ1613" s="28">
        <f t="shared" si="743"/>
        <v>0</v>
      </c>
      <c r="AK1613" s="61">
        <f t="shared" si="745"/>
        <v>0</v>
      </c>
      <c r="AL1613" s="59"/>
      <c r="AO1613" s="286"/>
      <c r="AP1613" s="284">
        <f t="shared" si="716"/>
        <v>0</v>
      </c>
      <c r="AQ1613" s="281">
        <f t="shared" si="717"/>
        <v>0</v>
      </c>
      <c r="AR1613" s="284">
        <f t="shared" si="718"/>
        <v>0</v>
      </c>
      <c r="AS1613" s="281">
        <f t="shared" si="719"/>
        <v>0</v>
      </c>
      <c r="AT1613" s="284">
        <f t="shared" si="720"/>
        <v>0</v>
      </c>
    </row>
    <row r="1614" spans="1:97" customFormat="1" ht="30.9" x14ac:dyDescent="0.8">
      <c r="A1614" s="262">
        <f>ROW()</f>
        <v>1614</v>
      </c>
      <c r="B1614" s="114"/>
      <c r="C1614" s="208"/>
      <c r="D1614" s="208"/>
      <c r="E1614" s="208"/>
      <c r="F1614" s="208"/>
      <c r="G1614" s="208"/>
      <c r="H1614" s="208"/>
      <c r="I1614" s="114"/>
      <c r="J1614" s="32" t="str">
        <f t="shared" si="744"/>
        <v/>
      </c>
      <c r="K1614" s="32" t="str">
        <f>IF(COUNTBLANK(R1614)&gt;0,"",CONCATENATE(R1614," for ",N1608))</f>
        <v/>
      </c>
      <c r="L1614" s="32"/>
      <c r="M1614" s="3"/>
      <c r="N1614" s="15" t="s">
        <v>118</v>
      </c>
      <c r="O1614" s="66"/>
      <c r="P1614" s="12"/>
      <c r="Q1614" s="12"/>
      <c r="R1614" s="12"/>
      <c r="S1614" s="28">
        <f>M1608</f>
        <v>0</v>
      </c>
      <c r="T1614" s="11"/>
      <c r="U1614" s="12" t="s">
        <v>292</v>
      </c>
      <c r="V1614" s="28">
        <f t="shared" si="746"/>
        <v>0</v>
      </c>
      <c r="W1614" s="28">
        <f>VLOOKUP(U1614,Sheet1!$B$6:$C$45,2,FALSE)*V1614</f>
        <v>0</v>
      </c>
      <c r="X1614" s="59"/>
      <c r="Y1614" s="12" t="s">
        <v>292</v>
      </c>
      <c r="Z1614" s="68">
        <f>VLOOKUP(Takeoffs!Y1614,Sheet1!$B$6:$C$124,2,FALSE)</f>
        <v>0</v>
      </c>
      <c r="AA1614" s="68">
        <f t="shared" si="739"/>
        <v>0</v>
      </c>
      <c r="AB1614" s="63">
        <f t="shared" si="740"/>
        <v>0</v>
      </c>
      <c r="AC1614" s="28">
        <f t="shared" si="747"/>
        <v>0</v>
      </c>
      <c r="AD1614" s="61">
        <v>1</v>
      </c>
      <c r="AE1614" s="59"/>
      <c r="AF1614" s="12" t="s">
        <v>292</v>
      </c>
      <c r="AG1614" s="68">
        <f>VLOOKUP(Takeoffs!AF1614,Sheet1!$B$6:$C$124,2,FALSE)</f>
        <v>0</v>
      </c>
      <c r="AH1614" s="68">
        <f t="shared" si="741"/>
        <v>0</v>
      </c>
      <c r="AI1614" s="63">
        <f t="shared" si="742"/>
        <v>0</v>
      </c>
      <c r="AJ1614" s="28">
        <f t="shared" si="743"/>
        <v>0</v>
      </c>
      <c r="AK1614" s="61">
        <f t="shared" si="745"/>
        <v>0</v>
      </c>
      <c r="AL1614" s="59"/>
      <c r="AO1614" s="286"/>
      <c r="AP1614" s="284">
        <f t="shared" si="716"/>
        <v>0</v>
      </c>
      <c r="AQ1614" s="281">
        <f t="shared" si="717"/>
        <v>0</v>
      </c>
      <c r="AR1614" s="284">
        <f t="shared" si="718"/>
        <v>0</v>
      </c>
      <c r="AS1614" s="281">
        <f t="shared" si="719"/>
        <v>0</v>
      </c>
      <c r="AT1614" s="284">
        <f t="shared" si="720"/>
        <v>0</v>
      </c>
    </row>
    <row r="1615" spans="1:97" customFormat="1" ht="30.9" x14ac:dyDescent="0.8">
      <c r="A1615" s="262">
        <f>ROW()</f>
        <v>1615</v>
      </c>
      <c r="B1615" s="114"/>
      <c r="C1615" s="208"/>
      <c r="D1615" s="208"/>
      <c r="E1615" s="208"/>
      <c r="F1615" s="208"/>
      <c r="G1615" s="208"/>
      <c r="H1615" s="208"/>
      <c r="I1615" s="114"/>
      <c r="J1615" s="32" t="str">
        <f t="shared" si="744"/>
        <v/>
      </c>
      <c r="K1615" s="32" t="str">
        <f>IF(COUNTBLANK(R1615)&gt;0,"",CONCATENATE(R1615," for ",N1608))</f>
        <v/>
      </c>
      <c r="L1615" s="32"/>
      <c r="N1615" s="15" t="s">
        <v>119</v>
      </c>
      <c r="O1615" s="66"/>
      <c r="P1615" s="12"/>
      <c r="Q1615" s="12"/>
      <c r="R1615" s="12"/>
      <c r="S1615" s="28">
        <f>M1608</f>
        <v>0</v>
      </c>
      <c r="T1615" s="11"/>
      <c r="U1615" s="12" t="s">
        <v>292</v>
      </c>
      <c r="V1615" s="28">
        <f t="shared" si="746"/>
        <v>0</v>
      </c>
      <c r="W1615" s="28">
        <f>VLOOKUP(U1615,Sheet1!$B$6:$C$45,2,FALSE)*V1615</f>
        <v>0</v>
      </c>
      <c r="X1615" s="59"/>
      <c r="Y1615" s="12" t="s">
        <v>292</v>
      </c>
      <c r="Z1615" s="68">
        <f>VLOOKUP(Takeoffs!Y1615,Sheet1!$B$6:$C$124,2,FALSE)</f>
        <v>0</v>
      </c>
      <c r="AA1615" s="68">
        <f t="shared" si="739"/>
        <v>0</v>
      </c>
      <c r="AB1615" s="63">
        <f t="shared" si="740"/>
        <v>0</v>
      </c>
      <c r="AC1615" s="28">
        <f t="shared" si="747"/>
        <v>0</v>
      </c>
      <c r="AD1615" s="61">
        <v>1</v>
      </c>
      <c r="AE1615" s="59"/>
      <c r="AF1615" s="12" t="s">
        <v>292</v>
      </c>
      <c r="AG1615" s="68">
        <f>VLOOKUP(Takeoffs!AF1615,Sheet1!$B$6:$C$124,2,FALSE)</f>
        <v>0</v>
      </c>
      <c r="AH1615" s="68">
        <f t="shared" si="741"/>
        <v>0</v>
      </c>
      <c r="AI1615" s="63">
        <f t="shared" si="742"/>
        <v>0</v>
      </c>
      <c r="AJ1615" s="28">
        <f t="shared" si="743"/>
        <v>0</v>
      </c>
      <c r="AK1615" s="61">
        <f t="shared" si="745"/>
        <v>0</v>
      </c>
      <c r="AL1615" s="59"/>
      <c r="AO1615" s="286"/>
      <c r="AP1615" s="284">
        <f t="shared" si="716"/>
        <v>0</v>
      </c>
      <c r="AQ1615" s="281">
        <f t="shared" si="717"/>
        <v>0</v>
      </c>
      <c r="AR1615" s="284">
        <f t="shared" si="718"/>
        <v>0</v>
      </c>
      <c r="AS1615" s="281">
        <f t="shared" si="719"/>
        <v>0</v>
      </c>
      <c r="AT1615" s="284">
        <f t="shared" si="720"/>
        <v>0</v>
      </c>
    </row>
    <row r="1616" spans="1:97" customFormat="1" ht="30.9" x14ac:dyDescent="0.8">
      <c r="A1616" s="262">
        <f>ROW()</f>
        <v>1616</v>
      </c>
      <c r="B1616" s="114"/>
      <c r="C1616" s="208"/>
      <c r="D1616" s="208"/>
      <c r="E1616" s="208"/>
      <c r="F1616" s="208"/>
      <c r="G1616" s="208"/>
      <c r="H1616" s="208"/>
      <c r="I1616" s="114"/>
      <c r="J1616" s="32" t="str">
        <f t="shared" si="744"/>
        <v/>
      </c>
      <c r="K1616" s="32" t="str">
        <f>IF(COUNTBLANK(R1616)&gt;0,"",CONCATENATE(R1616," for ",N1608))</f>
        <v/>
      </c>
      <c r="L1616" s="32"/>
      <c r="N1616" s="15" t="s">
        <v>120</v>
      </c>
      <c r="O1616" s="66"/>
      <c r="P1616" s="12"/>
      <c r="Q1616" s="12"/>
      <c r="R1616" s="12"/>
      <c r="S1616" s="28">
        <f>M1608</f>
        <v>0</v>
      </c>
      <c r="T1616" s="11"/>
      <c r="U1616" s="12" t="s">
        <v>292</v>
      </c>
      <c r="V1616" s="28">
        <f t="shared" si="746"/>
        <v>0</v>
      </c>
      <c r="W1616" s="28">
        <f>VLOOKUP(U1616,Sheet1!$B$6:$C$45,2,FALSE)*V1616</f>
        <v>0</v>
      </c>
      <c r="X1616" s="59"/>
      <c r="Y1616" s="12" t="s">
        <v>292</v>
      </c>
      <c r="Z1616" s="68">
        <f>VLOOKUP(Takeoffs!Y1616,Sheet1!$B$6:$C$124,2,FALSE)</f>
        <v>0</v>
      </c>
      <c r="AA1616" s="68">
        <f t="shared" si="739"/>
        <v>0</v>
      </c>
      <c r="AB1616" s="63">
        <f t="shared" si="740"/>
        <v>0</v>
      </c>
      <c r="AC1616" s="28">
        <f t="shared" si="747"/>
        <v>0</v>
      </c>
      <c r="AD1616" s="61">
        <v>1</v>
      </c>
      <c r="AE1616" s="59"/>
      <c r="AF1616" s="12" t="s">
        <v>292</v>
      </c>
      <c r="AG1616" s="68">
        <f>VLOOKUP(Takeoffs!AF1616,Sheet1!$B$6:$C$124,2,FALSE)</f>
        <v>0</v>
      </c>
      <c r="AH1616" s="68">
        <f t="shared" si="741"/>
        <v>0</v>
      </c>
      <c r="AI1616" s="63">
        <f t="shared" si="742"/>
        <v>0</v>
      </c>
      <c r="AJ1616" s="28">
        <f t="shared" si="743"/>
        <v>0</v>
      </c>
      <c r="AK1616" s="61">
        <f t="shared" si="745"/>
        <v>0</v>
      </c>
      <c r="AL1616" s="59"/>
      <c r="AO1616" s="286"/>
      <c r="AP1616" s="284">
        <f t="shared" si="716"/>
        <v>0</v>
      </c>
      <c r="AQ1616" s="281">
        <f t="shared" si="717"/>
        <v>0</v>
      </c>
      <c r="AR1616" s="284">
        <f t="shared" si="718"/>
        <v>0</v>
      </c>
      <c r="AS1616" s="281">
        <f t="shared" si="719"/>
        <v>0</v>
      </c>
      <c r="AT1616" s="284">
        <f t="shared" si="720"/>
        <v>0</v>
      </c>
    </row>
    <row r="1617" spans="1:97" customFormat="1" ht="30.9" x14ac:dyDescent="0.8">
      <c r="A1617" s="262">
        <f>ROW()</f>
        <v>1617</v>
      </c>
      <c r="B1617" s="114"/>
      <c r="C1617" s="208"/>
      <c r="D1617" s="208"/>
      <c r="E1617" s="208"/>
      <c r="F1617" s="208"/>
      <c r="G1617" s="208"/>
      <c r="H1617" s="208"/>
      <c r="I1617" s="114"/>
      <c r="J1617" s="32" t="str">
        <f t="shared" si="744"/>
        <v/>
      </c>
      <c r="K1617" s="32" t="str">
        <f>IF(COUNTBLANK(R1617)&gt;0,"",CONCATENATE(R1617," for ",N1608))</f>
        <v/>
      </c>
      <c r="L1617" s="32"/>
      <c r="N1617" s="15" t="s">
        <v>121</v>
      </c>
      <c r="O1617" s="66"/>
      <c r="P1617" s="12"/>
      <c r="Q1617" s="12"/>
      <c r="R1617" s="12"/>
      <c r="S1617" s="28">
        <f>M1608</f>
        <v>0</v>
      </c>
      <c r="T1617" s="11"/>
      <c r="U1617" s="12" t="s">
        <v>292</v>
      </c>
      <c r="V1617" s="28">
        <f t="shared" si="746"/>
        <v>0</v>
      </c>
      <c r="W1617" s="28">
        <f>VLOOKUP(U1617,Sheet1!$B$6:$C$45,2,FALSE)*V1617</f>
        <v>0</v>
      </c>
      <c r="X1617" s="59"/>
      <c r="Y1617" s="12" t="s">
        <v>292</v>
      </c>
      <c r="Z1617" s="68">
        <f>VLOOKUP(Takeoffs!Y1617,Sheet1!$B$6:$C$124,2,FALSE)</f>
        <v>0</v>
      </c>
      <c r="AA1617" s="68">
        <f t="shared" si="739"/>
        <v>0</v>
      </c>
      <c r="AB1617" s="63">
        <f t="shared" si="740"/>
        <v>0</v>
      </c>
      <c r="AC1617" s="28">
        <f t="shared" si="747"/>
        <v>0</v>
      </c>
      <c r="AD1617" s="61">
        <v>1</v>
      </c>
      <c r="AE1617" s="59"/>
      <c r="AF1617" s="12" t="s">
        <v>292</v>
      </c>
      <c r="AG1617" s="68">
        <f>VLOOKUP(Takeoffs!AF1617,Sheet1!$B$6:$C$124,2,FALSE)</f>
        <v>0</v>
      </c>
      <c r="AH1617" s="68">
        <f t="shared" si="741"/>
        <v>0</v>
      </c>
      <c r="AI1617" s="63">
        <f t="shared" si="742"/>
        <v>0</v>
      </c>
      <c r="AJ1617" s="28">
        <f t="shared" si="743"/>
        <v>0</v>
      </c>
      <c r="AK1617" s="61">
        <f t="shared" si="745"/>
        <v>0</v>
      </c>
      <c r="AL1617" s="59"/>
      <c r="AO1617" s="286"/>
      <c r="AP1617" s="284">
        <f t="shared" si="716"/>
        <v>0</v>
      </c>
      <c r="AQ1617" s="281">
        <f t="shared" si="717"/>
        <v>0</v>
      </c>
      <c r="AR1617" s="284">
        <f t="shared" si="718"/>
        <v>0</v>
      </c>
      <c r="AS1617" s="281">
        <f t="shared" si="719"/>
        <v>0</v>
      </c>
      <c r="AT1617" s="284">
        <f t="shared" si="720"/>
        <v>0</v>
      </c>
    </row>
    <row r="1618" spans="1:97" customFormat="1" ht="30.9" x14ac:dyDescent="0.8">
      <c r="A1618" s="262">
        <f>ROW()</f>
        <v>1618</v>
      </c>
      <c r="B1618" s="114"/>
      <c r="C1618" s="208"/>
      <c r="D1618" s="208"/>
      <c r="E1618" s="208"/>
      <c r="F1618" s="208"/>
      <c r="G1618" s="208"/>
      <c r="H1618" s="208"/>
      <c r="I1618" s="114"/>
      <c r="J1618" s="32" t="str">
        <f t="shared" si="744"/>
        <v/>
      </c>
      <c r="K1618" s="32" t="str">
        <f>IF(COUNTBLANK(R1618)&gt;0,"",CONCATENATE(R1618," for ",N1608))</f>
        <v/>
      </c>
      <c r="L1618" s="32"/>
      <c r="N1618" s="15" t="s">
        <v>122</v>
      </c>
      <c r="O1618" s="66"/>
      <c r="P1618" s="12"/>
      <c r="Q1618" s="12"/>
      <c r="R1618" s="12"/>
      <c r="S1618" s="28">
        <f>M1608</f>
        <v>0</v>
      </c>
      <c r="T1618" s="11"/>
      <c r="U1618" s="12" t="s">
        <v>292</v>
      </c>
      <c r="V1618" s="28">
        <f t="shared" si="746"/>
        <v>0</v>
      </c>
      <c r="W1618" s="28">
        <f>VLOOKUP(U1618,Sheet1!$B$6:$C$45,2,FALSE)*V1618</f>
        <v>0</v>
      </c>
      <c r="X1618" s="59"/>
      <c r="Y1618" s="12" t="s">
        <v>292</v>
      </c>
      <c r="Z1618" s="68">
        <f>VLOOKUP(Takeoffs!Y1618,Sheet1!$B$6:$C$124,2,FALSE)</f>
        <v>0</v>
      </c>
      <c r="AA1618" s="68">
        <f t="shared" si="739"/>
        <v>0</v>
      </c>
      <c r="AB1618" s="63">
        <f t="shared" si="740"/>
        <v>0</v>
      </c>
      <c r="AC1618" s="28">
        <f t="shared" si="747"/>
        <v>0</v>
      </c>
      <c r="AD1618" s="61">
        <v>1</v>
      </c>
      <c r="AE1618" s="59"/>
      <c r="AF1618" s="12" t="s">
        <v>292</v>
      </c>
      <c r="AG1618" s="68">
        <f>VLOOKUP(Takeoffs!AF1618,Sheet1!$B$6:$C$124,2,FALSE)</f>
        <v>0</v>
      </c>
      <c r="AH1618" s="68">
        <f t="shared" si="741"/>
        <v>0</v>
      </c>
      <c r="AI1618" s="63">
        <f t="shared" si="742"/>
        <v>0</v>
      </c>
      <c r="AJ1618" s="28">
        <f t="shared" si="743"/>
        <v>0</v>
      </c>
      <c r="AK1618" s="61">
        <f t="shared" si="745"/>
        <v>0</v>
      </c>
      <c r="AL1618" s="59"/>
      <c r="AO1618" s="286"/>
      <c r="AP1618" s="284">
        <f t="shared" si="716"/>
        <v>0</v>
      </c>
      <c r="AQ1618" s="281">
        <f t="shared" si="717"/>
        <v>0</v>
      </c>
      <c r="AR1618" s="284">
        <f t="shared" si="718"/>
        <v>0</v>
      </c>
      <c r="AS1618" s="281">
        <f t="shared" si="719"/>
        <v>0</v>
      </c>
      <c r="AT1618" s="284">
        <f t="shared" si="720"/>
        <v>0</v>
      </c>
    </row>
    <row r="1619" spans="1:97" customFormat="1" ht="30.9" x14ac:dyDescent="0.8">
      <c r="A1619" s="262">
        <f>ROW()</f>
        <v>1619</v>
      </c>
      <c r="B1619" s="114"/>
      <c r="C1619" s="208"/>
      <c r="D1619" s="208"/>
      <c r="E1619" s="208"/>
      <c r="F1619" s="208"/>
      <c r="G1619" s="208"/>
      <c r="H1619" s="208"/>
      <c r="I1619" s="114"/>
      <c r="J1619" s="32" t="str">
        <f t="shared" si="744"/>
        <v/>
      </c>
      <c r="K1619" s="32" t="str">
        <f>IF(COUNTBLANK(R1619)&gt;0,"",CONCATENATE(R1619," for ",N1608))</f>
        <v/>
      </c>
      <c r="L1619" s="32"/>
      <c r="N1619" s="15" t="s">
        <v>123</v>
      </c>
      <c r="O1619" s="66"/>
      <c r="P1619" s="12"/>
      <c r="Q1619" s="12"/>
      <c r="R1619" s="12"/>
      <c r="S1619" s="28">
        <f>M1608</f>
        <v>0</v>
      </c>
      <c r="T1619" s="11"/>
      <c r="U1619" s="12" t="s">
        <v>292</v>
      </c>
      <c r="V1619" s="28">
        <f t="shared" si="746"/>
        <v>0</v>
      </c>
      <c r="W1619" s="28">
        <f>VLOOKUP(U1619,Sheet1!$B$6:$C$45,2,FALSE)*V1619</f>
        <v>0</v>
      </c>
      <c r="X1619" s="59"/>
      <c r="Y1619" s="12" t="s">
        <v>292</v>
      </c>
      <c r="Z1619" s="68">
        <f>VLOOKUP(Takeoffs!Y1619,Sheet1!$B$6:$C$124,2,FALSE)</f>
        <v>0</v>
      </c>
      <c r="AA1619" s="68">
        <f t="shared" si="739"/>
        <v>0</v>
      </c>
      <c r="AB1619" s="63">
        <f t="shared" si="740"/>
        <v>0</v>
      </c>
      <c r="AC1619" s="28">
        <f t="shared" si="747"/>
        <v>0</v>
      </c>
      <c r="AD1619" s="61">
        <v>1</v>
      </c>
      <c r="AE1619" s="59"/>
      <c r="AF1619" s="12" t="s">
        <v>292</v>
      </c>
      <c r="AG1619" s="68">
        <f>VLOOKUP(Takeoffs!AF1619,Sheet1!$B$6:$C$124,2,FALSE)</f>
        <v>0</v>
      </c>
      <c r="AH1619" s="68">
        <f t="shared" si="741"/>
        <v>0</v>
      </c>
      <c r="AI1619" s="63">
        <f t="shared" si="742"/>
        <v>0</v>
      </c>
      <c r="AJ1619" s="28">
        <f t="shared" si="743"/>
        <v>0</v>
      </c>
      <c r="AK1619" s="61">
        <f t="shared" si="745"/>
        <v>0</v>
      </c>
      <c r="AL1619" s="59"/>
      <c r="AO1619" s="286"/>
      <c r="AP1619" s="284">
        <f t="shared" si="716"/>
        <v>0</v>
      </c>
      <c r="AQ1619" s="281">
        <f t="shared" si="717"/>
        <v>0</v>
      </c>
      <c r="AR1619" s="284">
        <f t="shared" si="718"/>
        <v>0</v>
      </c>
      <c r="AS1619" s="281">
        <f t="shared" si="719"/>
        <v>0</v>
      </c>
      <c r="AT1619" s="284">
        <f t="shared" si="720"/>
        <v>0</v>
      </c>
    </row>
    <row r="1620" spans="1:97" customFormat="1" ht="30.9" x14ac:dyDescent="0.8">
      <c r="A1620" s="262">
        <f>ROW()</f>
        <v>1620</v>
      </c>
      <c r="B1620" s="114"/>
      <c r="C1620" s="208"/>
      <c r="D1620" s="208"/>
      <c r="E1620" s="208"/>
      <c r="F1620" s="208"/>
      <c r="G1620" s="208"/>
      <c r="H1620" s="208"/>
      <c r="I1620" s="114"/>
      <c r="J1620" s="32" t="str">
        <f t="shared" si="744"/>
        <v/>
      </c>
      <c r="K1620" s="32" t="str">
        <f>IF(COUNTBLANK(R1620)&gt;0,"",CONCATENATE(R1620," for ",N1608))</f>
        <v/>
      </c>
      <c r="L1620" s="32"/>
      <c r="N1620" s="15" t="s">
        <v>124</v>
      </c>
      <c r="O1620" s="66"/>
      <c r="P1620" s="12"/>
      <c r="Q1620" s="12"/>
      <c r="R1620" s="12"/>
      <c r="S1620" s="28">
        <f>M1608</f>
        <v>0</v>
      </c>
      <c r="T1620" s="11"/>
      <c r="U1620" s="12" t="s">
        <v>292</v>
      </c>
      <c r="V1620" s="28">
        <f t="shared" si="746"/>
        <v>0</v>
      </c>
      <c r="W1620" s="28">
        <f>VLOOKUP(U1620,Sheet1!$B$6:$C$45,2,FALSE)*V1620</f>
        <v>0</v>
      </c>
      <c r="X1620" s="59"/>
      <c r="Y1620" s="12" t="s">
        <v>292</v>
      </c>
      <c r="Z1620" s="68">
        <f>VLOOKUP(Takeoffs!Y1620,Sheet1!$B$6:$C$124,2,FALSE)</f>
        <v>0</v>
      </c>
      <c r="AA1620" s="68">
        <f t="shared" si="739"/>
        <v>0</v>
      </c>
      <c r="AB1620" s="63">
        <f t="shared" si="740"/>
        <v>0</v>
      </c>
      <c r="AC1620" s="28">
        <f t="shared" si="747"/>
        <v>0</v>
      </c>
      <c r="AD1620" s="61">
        <v>1</v>
      </c>
      <c r="AE1620" s="59"/>
      <c r="AF1620" s="12" t="s">
        <v>292</v>
      </c>
      <c r="AG1620" s="68">
        <f>VLOOKUP(Takeoffs!AF1620,Sheet1!$B$6:$C$124,2,FALSE)</f>
        <v>0</v>
      </c>
      <c r="AH1620" s="68">
        <f t="shared" si="741"/>
        <v>0</v>
      </c>
      <c r="AI1620" s="63">
        <f t="shared" si="742"/>
        <v>0</v>
      </c>
      <c r="AJ1620" s="28">
        <f t="shared" si="743"/>
        <v>0</v>
      </c>
      <c r="AK1620" s="61">
        <f t="shared" si="745"/>
        <v>0</v>
      </c>
      <c r="AL1620" s="59"/>
      <c r="AO1620" s="286"/>
      <c r="AP1620" s="284">
        <f t="shared" ref="AP1620:AP1683" si="748">IF(AND(I1620&gt;0, ISNUMBER(I1620)),I1620*P1620,0)</f>
        <v>0</v>
      </c>
      <c r="AQ1620" s="281">
        <f t="shared" ref="AQ1620:AQ1683" si="749">IF(AND(I1620&gt;0, ISNUMBER(I1620)),I1620*W1620*80,0)</f>
        <v>0</v>
      </c>
      <c r="AR1620" s="284">
        <f t="shared" ref="AR1620:AR1683" si="750">IF(AND(I1620&gt;0, ISNUMBER(I1620)),I1620*AA1620,0)</f>
        <v>0</v>
      </c>
      <c r="AS1620" s="281">
        <f t="shared" ref="AS1620:AS1683" si="751">IF(AND(I1620&gt;0, ISNUMBER(I1620)),I1620*AH1620,0)</f>
        <v>0</v>
      </c>
      <c r="AT1620" s="284">
        <f t="shared" ref="AT1620:AT1683" si="752">IF(AND(I1620&gt;0, ISNUMBER(I1620)),I1620*(AP1620-(AQ1620+AR1620+AS1620)),0)</f>
        <v>0</v>
      </c>
    </row>
    <row r="1621" spans="1:97" customFormat="1" ht="30.9" x14ac:dyDescent="0.8">
      <c r="A1621" s="262">
        <f>ROW()</f>
        <v>1621</v>
      </c>
      <c r="B1621" s="114"/>
      <c r="C1621" s="208"/>
      <c r="D1621" s="208"/>
      <c r="E1621" s="208"/>
      <c r="F1621" s="208"/>
      <c r="G1621" s="208"/>
      <c r="H1621" s="208"/>
      <c r="I1621" s="114"/>
      <c r="J1621" s="32" t="str">
        <f t="shared" si="744"/>
        <v/>
      </c>
      <c r="K1621" s="32" t="str">
        <f>IF(COUNTBLANK(R1621)&gt;0,"",CONCATENATE(R1621," for ",N1608))</f>
        <v/>
      </c>
      <c r="L1621" s="32"/>
      <c r="N1621" s="15" t="s">
        <v>125</v>
      </c>
      <c r="O1621" s="66"/>
      <c r="P1621" s="12"/>
      <c r="Q1621" s="12"/>
      <c r="R1621" s="12"/>
      <c r="S1621" s="28">
        <f>M1608</f>
        <v>0</v>
      </c>
      <c r="T1621" s="11"/>
      <c r="U1621" s="12" t="s">
        <v>292</v>
      </c>
      <c r="V1621" s="28">
        <f t="shared" si="746"/>
        <v>0</v>
      </c>
      <c r="W1621" s="28">
        <f>VLOOKUP(U1621,Sheet1!$B$6:$C$45,2,FALSE)*V1621</f>
        <v>0</v>
      </c>
      <c r="X1621" s="59"/>
      <c r="Y1621" s="12" t="s">
        <v>292</v>
      </c>
      <c r="Z1621" s="68">
        <f>VLOOKUP(Takeoffs!Y1621,Sheet1!$B$6:$C$124,2,FALSE)</f>
        <v>0</v>
      </c>
      <c r="AA1621" s="68">
        <f t="shared" si="739"/>
        <v>0</v>
      </c>
      <c r="AB1621" s="63">
        <f t="shared" si="740"/>
        <v>0</v>
      </c>
      <c r="AC1621" s="28">
        <f t="shared" si="747"/>
        <v>0</v>
      </c>
      <c r="AD1621" s="61">
        <v>1</v>
      </c>
      <c r="AE1621" s="59"/>
      <c r="AF1621" s="12" t="s">
        <v>292</v>
      </c>
      <c r="AG1621" s="68">
        <f>VLOOKUP(Takeoffs!AF1621,Sheet1!$B$6:$C$124,2,FALSE)</f>
        <v>0</v>
      </c>
      <c r="AH1621" s="68">
        <f t="shared" si="741"/>
        <v>0</v>
      </c>
      <c r="AI1621" s="63">
        <f t="shared" si="742"/>
        <v>0</v>
      </c>
      <c r="AJ1621" s="28">
        <f t="shared" si="743"/>
        <v>0</v>
      </c>
      <c r="AK1621" s="61">
        <f t="shared" si="745"/>
        <v>0</v>
      </c>
      <c r="AL1621" s="59"/>
      <c r="AO1621" s="286"/>
      <c r="AP1621" s="284">
        <f t="shared" si="748"/>
        <v>0</v>
      </c>
      <c r="AQ1621" s="281">
        <f t="shared" si="749"/>
        <v>0</v>
      </c>
      <c r="AR1621" s="284">
        <f t="shared" si="750"/>
        <v>0</v>
      </c>
      <c r="AS1621" s="281">
        <f t="shared" si="751"/>
        <v>0</v>
      </c>
      <c r="AT1621" s="284">
        <f t="shared" si="752"/>
        <v>0</v>
      </c>
    </row>
    <row r="1622" spans="1:97" customFormat="1" ht="30.9" x14ac:dyDescent="0.8">
      <c r="A1622" s="262">
        <f>ROW()</f>
        <v>1622</v>
      </c>
      <c r="B1622" s="114"/>
      <c r="C1622" s="208"/>
      <c r="D1622" s="208"/>
      <c r="E1622" s="208"/>
      <c r="F1622" s="208"/>
      <c r="G1622" s="208"/>
      <c r="H1622" s="208"/>
      <c r="I1622" s="114"/>
      <c r="J1622" s="32" t="str">
        <f t="shared" si="744"/>
        <v/>
      </c>
      <c r="K1622" s="32" t="str">
        <f>IF(COUNTBLANK(R1622)&gt;0,"",CONCATENATE(R1622," for ",N1608))</f>
        <v/>
      </c>
      <c r="L1622" s="32"/>
      <c r="N1622" s="15" t="s">
        <v>126</v>
      </c>
      <c r="O1622" s="66"/>
      <c r="P1622" s="12"/>
      <c r="Q1622" s="12"/>
      <c r="R1622" s="12"/>
      <c r="S1622" s="28">
        <f>M1608</f>
        <v>0</v>
      </c>
      <c r="T1622" s="11"/>
      <c r="U1622" s="12" t="s">
        <v>292</v>
      </c>
      <c r="V1622" s="28">
        <f t="shared" si="746"/>
        <v>0</v>
      </c>
      <c r="W1622" s="28">
        <f>VLOOKUP(U1622,Sheet1!$B$6:$C$45,2,FALSE)*V1622</f>
        <v>0</v>
      </c>
      <c r="X1622" s="59"/>
      <c r="Y1622" s="12" t="s">
        <v>292</v>
      </c>
      <c r="Z1622" s="68">
        <f>VLOOKUP(Takeoffs!Y1622,Sheet1!$B$6:$C$124,2,FALSE)</f>
        <v>0</v>
      </c>
      <c r="AA1622" s="68">
        <f t="shared" si="739"/>
        <v>0</v>
      </c>
      <c r="AB1622" s="63">
        <f t="shared" si="740"/>
        <v>0</v>
      </c>
      <c r="AC1622" s="28">
        <f t="shared" si="747"/>
        <v>0</v>
      </c>
      <c r="AD1622" s="61">
        <v>1</v>
      </c>
      <c r="AE1622" s="59"/>
      <c r="AF1622" s="12" t="s">
        <v>292</v>
      </c>
      <c r="AG1622" s="68">
        <f>VLOOKUP(Takeoffs!AF1622,Sheet1!$B$6:$C$124,2,FALSE)</f>
        <v>0</v>
      </c>
      <c r="AH1622" s="68">
        <f t="shared" si="741"/>
        <v>0</v>
      </c>
      <c r="AI1622" s="63">
        <f t="shared" si="742"/>
        <v>0</v>
      </c>
      <c r="AJ1622" s="28">
        <f t="shared" si="743"/>
        <v>0</v>
      </c>
      <c r="AK1622" s="61">
        <f t="shared" si="745"/>
        <v>0</v>
      </c>
      <c r="AL1622" s="59"/>
      <c r="AO1622" s="286"/>
      <c r="AP1622" s="284">
        <f t="shared" si="748"/>
        <v>0</v>
      </c>
      <c r="AQ1622" s="281">
        <f t="shared" si="749"/>
        <v>0</v>
      </c>
      <c r="AR1622" s="284">
        <f t="shared" si="750"/>
        <v>0</v>
      </c>
      <c r="AS1622" s="281">
        <f t="shared" si="751"/>
        <v>0</v>
      </c>
      <c r="AT1622" s="284">
        <f t="shared" si="752"/>
        <v>0</v>
      </c>
    </row>
    <row r="1623" spans="1:97" customFormat="1" ht="30.9" x14ac:dyDescent="0.8">
      <c r="A1623" s="262">
        <f>ROW()</f>
        <v>1623</v>
      </c>
      <c r="B1623" s="114"/>
      <c r="C1623" s="208"/>
      <c r="D1623" s="208"/>
      <c r="E1623" s="208"/>
      <c r="F1623" s="208"/>
      <c r="G1623" s="208"/>
      <c r="H1623" s="208"/>
      <c r="I1623" s="114"/>
      <c r="J1623" s="32" t="str">
        <f t="shared" si="744"/>
        <v/>
      </c>
      <c r="K1623" s="32" t="str">
        <f>IF(COUNTBLANK(R1623)&gt;0,"",CONCATENATE(R1623," for ",N1608))</f>
        <v/>
      </c>
      <c r="L1623" s="32"/>
      <c r="N1623" s="15" t="s">
        <v>127</v>
      </c>
      <c r="O1623" s="66"/>
      <c r="P1623" s="12"/>
      <c r="Q1623" s="12"/>
      <c r="R1623" s="12"/>
      <c r="S1623" s="28">
        <f>M1608</f>
        <v>0</v>
      </c>
      <c r="T1623" s="11"/>
      <c r="U1623" s="12" t="s">
        <v>292</v>
      </c>
      <c r="V1623" s="28">
        <f t="shared" si="746"/>
        <v>0</v>
      </c>
      <c r="W1623" s="28">
        <f>VLOOKUP(U1623,Sheet1!$B$6:$C$45,2,FALSE)*V1623</f>
        <v>0</v>
      </c>
      <c r="X1623" s="59"/>
      <c r="Y1623" s="12" t="s">
        <v>292</v>
      </c>
      <c r="Z1623" s="68">
        <f>VLOOKUP(Takeoffs!Y1623,Sheet1!$B$6:$C$124,2,FALSE)</f>
        <v>0</v>
      </c>
      <c r="AA1623" s="68">
        <f t="shared" si="739"/>
        <v>0</v>
      </c>
      <c r="AB1623" s="63">
        <f t="shared" si="740"/>
        <v>0</v>
      </c>
      <c r="AC1623" s="28">
        <f t="shared" si="747"/>
        <v>0</v>
      </c>
      <c r="AD1623" s="61">
        <v>1</v>
      </c>
      <c r="AE1623" s="59"/>
      <c r="AF1623" s="12" t="s">
        <v>292</v>
      </c>
      <c r="AG1623" s="68">
        <f>VLOOKUP(Takeoffs!AF1623,Sheet1!$B$6:$C$124,2,FALSE)</f>
        <v>0</v>
      </c>
      <c r="AH1623" s="68">
        <f t="shared" si="741"/>
        <v>0</v>
      </c>
      <c r="AI1623" s="63">
        <f t="shared" si="742"/>
        <v>0</v>
      </c>
      <c r="AJ1623" s="28">
        <f t="shared" si="743"/>
        <v>0</v>
      </c>
      <c r="AK1623" s="61">
        <f t="shared" si="745"/>
        <v>0</v>
      </c>
      <c r="AL1623" s="59"/>
      <c r="AO1623" s="286"/>
      <c r="AP1623" s="284">
        <f t="shared" si="748"/>
        <v>0</v>
      </c>
      <c r="AQ1623" s="281">
        <f t="shared" si="749"/>
        <v>0</v>
      </c>
      <c r="AR1623" s="284">
        <f t="shared" si="750"/>
        <v>0</v>
      </c>
      <c r="AS1623" s="281">
        <f t="shared" si="751"/>
        <v>0</v>
      </c>
      <c r="AT1623" s="284">
        <f t="shared" si="752"/>
        <v>0</v>
      </c>
    </row>
    <row r="1624" spans="1:97" customFormat="1" ht="30.9" x14ac:dyDescent="0.8">
      <c r="A1624" s="262">
        <f>ROW()</f>
        <v>1624</v>
      </c>
      <c r="B1624" s="114"/>
      <c r="C1624" s="208"/>
      <c r="D1624" s="208"/>
      <c r="E1624" s="208"/>
      <c r="F1624" s="208"/>
      <c r="G1624" s="208"/>
      <c r="H1624" s="208"/>
      <c r="I1624" s="114"/>
      <c r="J1624" s="32" t="str">
        <f t="shared" si="744"/>
        <v/>
      </c>
      <c r="K1624" s="32" t="str">
        <f>IF(COUNTBLANK(R1624)&gt;0,"",CONCATENATE(R1624," for ",N1608))</f>
        <v/>
      </c>
      <c r="L1624" s="32"/>
      <c r="N1624" s="15" t="s">
        <v>128</v>
      </c>
      <c r="O1624" s="66"/>
      <c r="P1624" s="12"/>
      <c r="Q1624" s="12"/>
      <c r="R1624" s="12"/>
      <c r="S1624" s="28">
        <f>M1608</f>
        <v>0</v>
      </c>
      <c r="T1624" s="11"/>
      <c r="U1624" s="12" t="s">
        <v>292</v>
      </c>
      <c r="V1624" s="28">
        <f t="shared" si="746"/>
        <v>0</v>
      </c>
      <c r="W1624" s="28">
        <f>VLOOKUP(U1624,Sheet1!$B$6:$C$45,2,FALSE)*V1624</f>
        <v>0</v>
      </c>
      <c r="X1624" s="59"/>
      <c r="Y1624" s="12" t="s">
        <v>292</v>
      </c>
      <c r="Z1624" s="68">
        <f>VLOOKUP(Takeoffs!Y1624,Sheet1!$B$6:$C$124,2,FALSE)</f>
        <v>0</v>
      </c>
      <c r="AA1624" s="68">
        <f t="shared" si="739"/>
        <v>0</v>
      </c>
      <c r="AB1624" s="63">
        <f t="shared" si="740"/>
        <v>0</v>
      </c>
      <c r="AC1624" s="28">
        <f t="shared" si="747"/>
        <v>0</v>
      </c>
      <c r="AD1624" s="61">
        <v>1</v>
      </c>
      <c r="AE1624" s="59"/>
      <c r="AF1624" s="12" t="s">
        <v>292</v>
      </c>
      <c r="AG1624" s="68">
        <f>VLOOKUP(Takeoffs!AF1624,Sheet1!$B$6:$C$124,2,FALSE)</f>
        <v>0</v>
      </c>
      <c r="AH1624" s="68">
        <f t="shared" si="741"/>
        <v>0</v>
      </c>
      <c r="AI1624" s="63">
        <f t="shared" si="742"/>
        <v>0</v>
      </c>
      <c r="AJ1624" s="28">
        <f t="shared" si="743"/>
        <v>0</v>
      </c>
      <c r="AK1624" s="61">
        <f t="shared" si="745"/>
        <v>0</v>
      </c>
      <c r="AL1624" s="59"/>
      <c r="AO1624" s="286"/>
      <c r="AP1624" s="284">
        <f t="shared" si="748"/>
        <v>0</v>
      </c>
      <c r="AQ1624" s="281">
        <f t="shared" si="749"/>
        <v>0</v>
      </c>
      <c r="AR1624" s="284">
        <f t="shared" si="750"/>
        <v>0</v>
      </c>
      <c r="AS1624" s="281">
        <f t="shared" si="751"/>
        <v>0</v>
      </c>
      <c r="AT1624" s="284">
        <f t="shared" si="752"/>
        <v>0</v>
      </c>
    </row>
    <row r="1625" spans="1:97" customFormat="1" ht="30.9" x14ac:dyDescent="0.8">
      <c r="A1625" s="262">
        <f>ROW()</f>
        <v>1625</v>
      </c>
      <c r="B1625" s="114"/>
      <c r="C1625" s="208"/>
      <c r="D1625" s="208"/>
      <c r="E1625" s="208"/>
      <c r="F1625" s="208"/>
      <c r="G1625" s="208"/>
      <c r="H1625" s="208"/>
      <c r="I1625" s="114"/>
      <c r="J1625" s="32" t="str">
        <f t="shared" si="744"/>
        <v/>
      </c>
      <c r="K1625" s="32" t="str">
        <f>IF(COUNTBLANK(R1625)&gt;0,"",CONCATENATE(R1625," for ",N1608))</f>
        <v/>
      </c>
      <c r="L1625" s="32"/>
      <c r="N1625" s="15" t="s">
        <v>129</v>
      </c>
      <c r="O1625" s="66"/>
      <c r="P1625" s="12"/>
      <c r="Q1625" s="12"/>
      <c r="R1625" s="12"/>
      <c r="S1625" s="28">
        <f>M1608</f>
        <v>0</v>
      </c>
      <c r="T1625" s="11"/>
      <c r="U1625" s="12" t="s">
        <v>292</v>
      </c>
      <c r="V1625" s="28">
        <f t="shared" si="746"/>
        <v>0</v>
      </c>
      <c r="W1625" s="28">
        <f>VLOOKUP(U1625,Sheet1!$B$6:$C$45,2,FALSE)*V1625</f>
        <v>0</v>
      </c>
      <c r="X1625" s="59"/>
      <c r="Y1625" s="12" t="s">
        <v>292</v>
      </c>
      <c r="Z1625" s="68">
        <f>VLOOKUP(Takeoffs!Y1625,Sheet1!$B$6:$C$124,2,FALSE)</f>
        <v>0</v>
      </c>
      <c r="AA1625" s="68">
        <f t="shared" si="739"/>
        <v>0</v>
      </c>
      <c r="AB1625" s="63">
        <f t="shared" si="740"/>
        <v>0</v>
      </c>
      <c r="AC1625" s="28">
        <f t="shared" si="747"/>
        <v>0</v>
      </c>
      <c r="AD1625" s="61">
        <v>1</v>
      </c>
      <c r="AE1625" s="59"/>
      <c r="AF1625" s="12" t="s">
        <v>292</v>
      </c>
      <c r="AG1625" s="68">
        <f>VLOOKUP(Takeoffs!AF1625,Sheet1!$B$6:$C$124,2,FALSE)</f>
        <v>0</v>
      </c>
      <c r="AH1625" s="68">
        <f t="shared" si="741"/>
        <v>0</v>
      </c>
      <c r="AI1625" s="63">
        <f t="shared" si="742"/>
        <v>0</v>
      </c>
      <c r="AJ1625" s="28">
        <f t="shared" si="743"/>
        <v>0</v>
      </c>
      <c r="AK1625" s="61">
        <f t="shared" si="745"/>
        <v>0</v>
      </c>
      <c r="AL1625" s="59"/>
      <c r="AO1625" s="286"/>
      <c r="AP1625" s="284">
        <f t="shared" si="748"/>
        <v>0</v>
      </c>
      <c r="AQ1625" s="281">
        <f t="shared" si="749"/>
        <v>0</v>
      </c>
      <c r="AR1625" s="284">
        <f t="shared" si="750"/>
        <v>0</v>
      </c>
      <c r="AS1625" s="281">
        <f t="shared" si="751"/>
        <v>0</v>
      </c>
      <c r="AT1625" s="284">
        <f t="shared" si="752"/>
        <v>0</v>
      </c>
    </row>
    <row r="1626" spans="1:97" customFormat="1" ht="30.9" x14ac:dyDescent="0.8">
      <c r="A1626" s="262">
        <f>ROW()</f>
        <v>1626</v>
      </c>
      <c r="B1626" s="114"/>
      <c r="C1626" s="208"/>
      <c r="D1626" s="208"/>
      <c r="E1626" s="208"/>
      <c r="F1626" s="208"/>
      <c r="G1626" s="208"/>
      <c r="H1626" s="208"/>
      <c r="I1626" s="114"/>
      <c r="J1626" s="32" t="str">
        <f t="shared" si="744"/>
        <v/>
      </c>
      <c r="K1626" s="32" t="str">
        <f>IF(COUNTBLANK(R1626)&gt;0,"",CONCATENATE(R1626," for ",N1608))</f>
        <v/>
      </c>
      <c r="L1626" s="32"/>
      <c r="N1626" s="15" t="s">
        <v>130</v>
      </c>
      <c r="O1626" s="66"/>
      <c r="P1626" s="12"/>
      <c r="Q1626" s="12"/>
      <c r="R1626" s="12"/>
      <c r="S1626" s="28">
        <f>M1608</f>
        <v>0</v>
      </c>
      <c r="T1626" s="11"/>
      <c r="U1626" s="12" t="s">
        <v>292</v>
      </c>
      <c r="V1626" s="28">
        <f t="shared" si="746"/>
        <v>0</v>
      </c>
      <c r="W1626" s="28">
        <f>VLOOKUP(U1626,Sheet1!$B$6:$C$45,2,FALSE)*V1626</f>
        <v>0</v>
      </c>
      <c r="X1626" s="59"/>
      <c r="Y1626" s="12" t="s">
        <v>292</v>
      </c>
      <c r="Z1626" s="68">
        <f>VLOOKUP(Takeoffs!Y1626,Sheet1!$B$6:$C$124,2,FALSE)</f>
        <v>0</v>
      </c>
      <c r="AA1626" s="68">
        <f t="shared" si="739"/>
        <v>0</v>
      </c>
      <c r="AB1626" s="63">
        <f t="shared" si="740"/>
        <v>0</v>
      </c>
      <c r="AC1626" s="28">
        <f t="shared" si="747"/>
        <v>0</v>
      </c>
      <c r="AD1626" s="61">
        <v>1</v>
      </c>
      <c r="AE1626" s="59"/>
      <c r="AF1626" s="12" t="s">
        <v>292</v>
      </c>
      <c r="AG1626" s="68">
        <f>VLOOKUP(Takeoffs!AF1626,Sheet1!$B$6:$C$124,2,FALSE)</f>
        <v>0</v>
      </c>
      <c r="AH1626" s="68">
        <f t="shared" si="741"/>
        <v>0</v>
      </c>
      <c r="AI1626" s="63">
        <f t="shared" si="742"/>
        <v>0</v>
      </c>
      <c r="AJ1626" s="28">
        <f t="shared" si="743"/>
        <v>0</v>
      </c>
      <c r="AK1626" s="61">
        <f t="shared" si="745"/>
        <v>0</v>
      </c>
      <c r="AL1626" s="59"/>
      <c r="AO1626" s="286"/>
      <c r="AP1626" s="284">
        <f t="shared" si="748"/>
        <v>0</v>
      </c>
      <c r="AQ1626" s="281">
        <f t="shared" si="749"/>
        <v>0</v>
      </c>
      <c r="AR1626" s="284">
        <f t="shared" si="750"/>
        <v>0</v>
      </c>
      <c r="AS1626" s="281">
        <f t="shared" si="751"/>
        <v>0</v>
      </c>
      <c r="AT1626" s="284">
        <f t="shared" si="752"/>
        <v>0</v>
      </c>
    </row>
    <row r="1627" spans="1:97" customFormat="1" ht="30.9" x14ac:dyDescent="0.8">
      <c r="A1627" s="262">
        <f>ROW()</f>
        <v>1627</v>
      </c>
      <c r="B1627" s="114"/>
      <c r="C1627" s="208"/>
      <c r="D1627" s="208"/>
      <c r="E1627" s="208"/>
      <c r="F1627" s="208"/>
      <c r="G1627" s="208"/>
      <c r="H1627" s="208"/>
      <c r="I1627" s="114"/>
      <c r="J1627" s="32" t="str">
        <f t="shared" si="744"/>
        <v/>
      </c>
      <c r="K1627" s="32" t="str">
        <f>IF(COUNTBLANK(R1627)&gt;0,"",CONCATENATE(R1627," for ",N1608))</f>
        <v/>
      </c>
      <c r="L1627" s="32"/>
      <c r="N1627" s="15" t="s">
        <v>131</v>
      </c>
      <c r="O1627" s="66"/>
      <c r="P1627" s="12"/>
      <c r="Q1627" s="12"/>
      <c r="R1627" s="12"/>
      <c r="S1627" s="28">
        <f>M1608</f>
        <v>0</v>
      </c>
      <c r="T1627" s="11"/>
      <c r="U1627" s="12" t="s">
        <v>292</v>
      </c>
      <c r="V1627" s="28">
        <f t="shared" si="746"/>
        <v>0</v>
      </c>
      <c r="W1627" s="28">
        <f>VLOOKUP(U1627,Sheet1!$B$6:$C$45,2,FALSE)*V1627</f>
        <v>0</v>
      </c>
      <c r="X1627" s="59"/>
      <c r="Y1627" s="12" t="s">
        <v>292</v>
      </c>
      <c r="Z1627" s="68">
        <f>VLOOKUP(Takeoffs!Y1627,Sheet1!$B$6:$C$124,2,FALSE)</f>
        <v>0</v>
      </c>
      <c r="AA1627" s="68">
        <f t="shared" si="739"/>
        <v>0</v>
      </c>
      <c r="AB1627" s="63">
        <f t="shared" si="740"/>
        <v>0</v>
      </c>
      <c r="AC1627" s="28">
        <f t="shared" si="747"/>
        <v>0</v>
      </c>
      <c r="AD1627" s="61">
        <v>1</v>
      </c>
      <c r="AE1627" s="59"/>
      <c r="AF1627" s="12" t="s">
        <v>292</v>
      </c>
      <c r="AG1627" s="68">
        <f>VLOOKUP(Takeoffs!AF1627,Sheet1!$B$6:$C$124,2,FALSE)</f>
        <v>0</v>
      </c>
      <c r="AH1627" s="68">
        <f t="shared" si="741"/>
        <v>0</v>
      </c>
      <c r="AI1627" s="63">
        <f t="shared" si="742"/>
        <v>0</v>
      </c>
      <c r="AJ1627" s="28">
        <f t="shared" si="743"/>
        <v>0</v>
      </c>
      <c r="AK1627" s="61">
        <f t="shared" si="745"/>
        <v>0</v>
      </c>
      <c r="AL1627" s="59"/>
      <c r="AO1627" s="286"/>
      <c r="AP1627" s="284">
        <f t="shared" si="748"/>
        <v>0</v>
      </c>
      <c r="AQ1627" s="281">
        <f t="shared" si="749"/>
        <v>0</v>
      </c>
      <c r="AR1627" s="284">
        <f t="shared" si="750"/>
        <v>0</v>
      </c>
      <c r="AS1627" s="281">
        <f t="shared" si="751"/>
        <v>0</v>
      </c>
      <c r="AT1627" s="284">
        <f t="shared" si="752"/>
        <v>0</v>
      </c>
    </row>
    <row r="1628" spans="1:97" customFormat="1" ht="30.9" x14ac:dyDescent="0.8">
      <c r="A1628" s="262">
        <f>ROW()</f>
        <v>1628</v>
      </c>
      <c r="B1628" s="114"/>
      <c r="C1628" s="208"/>
      <c r="D1628" s="208"/>
      <c r="E1628" s="208"/>
      <c r="F1628" s="208"/>
      <c r="G1628" s="208"/>
      <c r="H1628" s="208"/>
      <c r="I1628" s="114"/>
      <c r="J1628" s="32" t="str">
        <f t="shared" si="744"/>
        <v/>
      </c>
      <c r="K1628" s="32" t="str">
        <f>IF(COUNTBLANK(R1628)&gt;0,"",CONCATENATE(R1628," for ",N1608))</f>
        <v/>
      </c>
      <c r="L1628" s="32"/>
      <c r="N1628" s="15" t="s">
        <v>132</v>
      </c>
      <c r="O1628" s="66"/>
      <c r="P1628" s="12"/>
      <c r="Q1628" s="12"/>
      <c r="R1628" s="12"/>
      <c r="S1628" s="28">
        <f>M1608</f>
        <v>0</v>
      </c>
      <c r="T1628" s="11"/>
      <c r="U1628" s="12" t="s">
        <v>292</v>
      </c>
      <c r="V1628" s="28">
        <f t="shared" si="746"/>
        <v>0</v>
      </c>
      <c r="W1628" s="28">
        <f>VLOOKUP(U1628,Sheet1!$B$6:$C$45,2,FALSE)*V1628</f>
        <v>0</v>
      </c>
      <c r="X1628" s="59"/>
      <c r="Y1628" s="12" t="s">
        <v>292</v>
      </c>
      <c r="Z1628" s="68">
        <f>VLOOKUP(Takeoffs!Y1628,Sheet1!$B$6:$C$124,2,FALSE)</f>
        <v>0</v>
      </c>
      <c r="AA1628" s="68">
        <f t="shared" si="739"/>
        <v>0</v>
      </c>
      <c r="AB1628" s="63">
        <f t="shared" si="740"/>
        <v>0</v>
      </c>
      <c r="AC1628" s="28">
        <f t="shared" si="747"/>
        <v>0</v>
      </c>
      <c r="AD1628" s="61">
        <v>1</v>
      </c>
      <c r="AE1628" s="59"/>
      <c r="AF1628" s="12" t="s">
        <v>292</v>
      </c>
      <c r="AG1628" s="68">
        <f>VLOOKUP(Takeoffs!AF1628,Sheet1!$B$6:$C$124,2,FALSE)</f>
        <v>0</v>
      </c>
      <c r="AH1628" s="68">
        <f t="shared" si="741"/>
        <v>0</v>
      </c>
      <c r="AI1628" s="63">
        <f t="shared" si="742"/>
        <v>0</v>
      </c>
      <c r="AJ1628" s="28">
        <f t="shared" si="743"/>
        <v>0</v>
      </c>
      <c r="AK1628" s="61">
        <f t="shared" si="745"/>
        <v>0</v>
      </c>
      <c r="AL1628" s="59"/>
      <c r="AO1628" s="286"/>
      <c r="AP1628" s="284">
        <f t="shared" si="748"/>
        <v>0</v>
      </c>
      <c r="AQ1628" s="281">
        <f t="shared" si="749"/>
        <v>0</v>
      </c>
      <c r="AR1628" s="284">
        <f t="shared" si="750"/>
        <v>0</v>
      </c>
      <c r="AS1628" s="281">
        <f t="shared" si="751"/>
        <v>0</v>
      </c>
      <c r="AT1628" s="284">
        <f t="shared" si="752"/>
        <v>0</v>
      </c>
    </row>
    <row r="1629" spans="1:97" s="21" customFormat="1" ht="31.5" customHeight="1" x14ac:dyDescent="0.8">
      <c r="A1629" s="262">
        <f>ROW()</f>
        <v>1629</v>
      </c>
      <c r="B1629" s="128"/>
      <c r="C1629" s="212"/>
      <c r="D1629" s="212"/>
      <c r="E1629" s="212"/>
      <c r="F1629" s="212"/>
      <c r="G1629" s="212"/>
      <c r="H1629" s="212"/>
      <c r="I1629" s="128"/>
      <c r="J1629" s="21" t="s">
        <v>377</v>
      </c>
      <c r="L1629" s="21" t="s">
        <v>378</v>
      </c>
      <c r="N1629" s="22"/>
      <c r="O1629" s="23" t="s">
        <v>357</v>
      </c>
      <c r="P1629" s="24">
        <f>V1629+AA1629+AH1629</f>
        <v>0</v>
      </c>
      <c r="Q1629" s="24"/>
      <c r="R1629" s="24"/>
      <c r="S1629" s="23"/>
      <c r="T1629" s="20"/>
      <c r="U1629" s="19" t="s">
        <v>351</v>
      </c>
      <c r="V1629" s="20">
        <f>W1629*80</f>
        <v>0</v>
      </c>
      <c r="W1629" s="69">
        <f>SUM(W1608:W1628)</f>
        <v>0</v>
      </c>
      <c r="X1629" s="70"/>
      <c r="Y1629" s="20" t="s">
        <v>352</v>
      </c>
      <c r="Z1629" s="2"/>
      <c r="AA1629" s="2">
        <f>SUM(AA1608:AA1628)</f>
        <v>0</v>
      </c>
      <c r="AB1629" s="71"/>
      <c r="AC1629" s="71"/>
      <c r="AD1629" s="71"/>
      <c r="AE1629" s="71"/>
      <c r="AF1629" s="20" t="s">
        <v>356</v>
      </c>
      <c r="AG1629" s="2"/>
      <c r="AH1629" s="2">
        <f>SUM(AH1608:AH1628)</f>
        <v>0</v>
      </c>
      <c r="AI1629" s="71"/>
      <c r="AJ1629" s="71"/>
      <c r="AK1629" s="71"/>
      <c r="AL1629" s="71"/>
      <c r="AM1629" s="150">
        <f>P1629</f>
        <v>0</v>
      </c>
      <c r="AO1629" s="286"/>
      <c r="AP1629" s="284">
        <f t="shared" si="748"/>
        <v>0</v>
      </c>
      <c r="AQ1629" s="281">
        <f t="shared" si="749"/>
        <v>0</v>
      </c>
      <c r="AR1629" s="284">
        <f t="shared" si="750"/>
        <v>0</v>
      </c>
      <c r="AS1629" s="281">
        <f t="shared" si="751"/>
        <v>0</v>
      </c>
      <c r="AT1629" s="284">
        <f t="shared" si="752"/>
        <v>0</v>
      </c>
    </row>
    <row r="1630" spans="1:97" s="234" customFormat="1" ht="61.75" x14ac:dyDescent="0.8">
      <c r="A1630" s="262">
        <f>ROW()</f>
        <v>1630</v>
      </c>
      <c r="B1630" s="234" t="s">
        <v>491</v>
      </c>
      <c r="C1630" s="217" t="str">
        <f>N1608</f>
        <v>Office VRF outdoor units</v>
      </c>
      <c r="D1630" s="260" t="s">
        <v>678</v>
      </c>
      <c r="E1630" s="238"/>
      <c r="F1630" s="217"/>
      <c r="G1630" s="217"/>
      <c r="H1630" s="245"/>
      <c r="I1630" s="270"/>
      <c r="J1630" s="241" t="str">
        <f>CONCATENATE(O1608," ",L1608, " (",M1608,") ",N1608,".", IF(M1608&gt;1," Each "," This "),"includes supply and install of ",O1609,O1610,O1611,O1612,O1613,O1614,O1615,O1616,O1617,O1618,O1619,O1620,O1621,O1622,O1623,O1624,O1625,O1626,O1627,O1628,J1609,J1610,J1611,J1612,J1613,J1614,J1615,J1616,J1617,J1618,J1619,J1620,J1621,J1622,J1623,J1624,J1625,J1626,J1627,J1628)</f>
        <v xml:space="preserve">Electrical power supply to Zero (0) Office VRF outdoor units. This includes supply and install of CB, cabling from MSSB and local isolator. </v>
      </c>
      <c r="K1630" s="246">
        <f>P1629</f>
        <v>0</v>
      </c>
      <c r="L1630" s="234" t="str">
        <f>CONCATENATE(Q1609,Q1610,Q1611,Q1612,Q1613,Q1614,Q1615,Q1616,Q1617,Q1618,Q1619,Q1620,Q1621,Q1622,Q1623,Q1624,Q1625,Q1626,Q1627,Q1628,)</f>
        <v/>
      </c>
      <c r="M1630" s="91" t="s">
        <v>367</v>
      </c>
      <c r="N1630" s="83" t="str">
        <f>N1608</f>
        <v>Office VRF outdoor units</v>
      </c>
      <c r="O1630" s="83" t="s">
        <v>365</v>
      </c>
      <c r="P1630" s="64" t="e">
        <f>P1629/M1608</f>
        <v>#DIV/0!</v>
      </c>
      <c r="Q1630" s="84"/>
      <c r="R1630" s="84"/>
      <c r="S1630" s="83"/>
      <c r="T1630" s="84"/>
      <c r="U1630" s="503" t="s">
        <v>366</v>
      </c>
      <c r="V1630" s="503"/>
      <c r="W1630" s="85" t="e">
        <f>W1629/M1608</f>
        <v>#DIV/0!</v>
      </c>
      <c r="X1630" s="86"/>
      <c r="Y1630" s="501" t="s">
        <v>365</v>
      </c>
      <c r="Z1630" s="501"/>
      <c r="AA1630" s="87" t="e">
        <f>AA1629/M1608</f>
        <v>#DIV/0!</v>
      </c>
      <c r="AB1630" s="84"/>
      <c r="AC1630" s="84"/>
      <c r="AD1630" s="84"/>
      <c r="AE1630" s="84"/>
      <c r="AF1630" s="501" t="s">
        <v>365</v>
      </c>
      <c r="AG1630" s="501"/>
      <c r="AH1630" s="87" t="e">
        <f>AH1629/M1608</f>
        <v>#DIV/0!</v>
      </c>
      <c r="AI1630" s="84"/>
      <c r="AJ1630" s="84"/>
      <c r="AK1630" s="84"/>
      <c r="AL1630" s="247"/>
      <c r="AM1630" s="257"/>
      <c r="AN1630" s="236">
        <f>K1630*1.25</f>
        <v>0</v>
      </c>
      <c r="AO1630" s="286"/>
      <c r="AP1630" s="284">
        <f t="shared" si="748"/>
        <v>0</v>
      </c>
      <c r="AQ1630" s="281">
        <f t="shared" si="749"/>
        <v>0</v>
      </c>
      <c r="AR1630" s="284">
        <f t="shared" si="750"/>
        <v>0</v>
      </c>
      <c r="AS1630" s="281">
        <f t="shared" si="751"/>
        <v>0</v>
      </c>
      <c r="AT1630" s="284">
        <f t="shared" si="752"/>
        <v>0</v>
      </c>
      <c r="AU1630" s="117"/>
      <c r="AV1630" s="117"/>
      <c r="AW1630" s="117"/>
      <c r="AX1630" s="117"/>
      <c r="AY1630" s="117"/>
      <c r="AZ1630" s="117"/>
      <c r="BA1630" s="117"/>
      <c r="BB1630" s="117"/>
      <c r="BC1630" s="117"/>
      <c r="BD1630" s="117"/>
      <c r="BE1630" s="117"/>
      <c r="BF1630" s="117"/>
      <c r="BG1630" s="117"/>
      <c r="BH1630" s="117"/>
      <c r="BI1630" s="117"/>
      <c r="BJ1630" s="117"/>
      <c r="BK1630" s="117"/>
      <c r="BL1630" s="117"/>
      <c r="BM1630" s="117"/>
      <c r="BN1630" s="117"/>
      <c r="BO1630" s="117"/>
      <c r="BP1630" s="117"/>
      <c r="BQ1630" s="117"/>
      <c r="BR1630" s="117"/>
      <c r="BS1630" s="117"/>
      <c r="BT1630" s="117"/>
      <c r="BU1630" s="117"/>
      <c r="BV1630" s="117"/>
      <c r="BW1630" s="117"/>
      <c r="BX1630" s="117"/>
      <c r="BY1630" s="117"/>
      <c r="BZ1630" s="117"/>
      <c r="CA1630" s="117"/>
      <c r="CB1630" s="117"/>
      <c r="CC1630" s="117"/>
      <c r="CD1630" s="117"/>
      <c r="CE1630" s="117"/>
      <c r="CF1630" s="117"/>
      <c r="CG1630" s="117"/>
      <c r="CH1630" s="117"/>
      <c r="CI1630" s="117"/>
      <c r="CJ1630" s="117"/>
      <c r="CK1630" s="117"/>
      <c r="CL1630" s="117"/>
      <c r="CM1630" s="117"/>
      <c r="CN1630" s="117"/>
      <c r="CO1630" s="117"/>
      <c r="CP1630" s="117"/>
      <c r="CQ1630" s="117"/>
      <c r="CR1630" s="117"/>
      <c r="CS1630" s="117"/>
    </row>
    <row r="1631" spans="1:97" s="261" customFormat="1" ht="92.6" x14ac:dyDescent="1.2">
      <c r="A1631" s="262">
        <f>ROW()</f>
        <v>1631</v>
      </c>
      <c r="B1631" s="261" t="s">
        <v>491</v>
      </c>
      <c r="D1631" s="261" t="str">
        <f>IF(B1631="Shopping List",IF(ISNUMBER(SEARCH("MSSB",C1631)),"MSSB",IF(ISNUMBER(SEARCH("local",C1631)),"LOCAL","")))</f>
        <v/>
      </c>
      <c r="I1631" s="269">
        <f>SUM(I1655:I1775)</f>
        <v>0</v>
      </c>
      <c r="J1631" s="261" t="s">
        <v>494</v>
      </c>
      <c r="L1631" s="261" t="str">
        <f>J1631</f>
        <v>Chilled Water</v>
      </c>
      <c r="AN1631" s="261">
        <f>K1631*1.25</f>
        <v>0</v>
      </c>
      <c r="AO1631" s="289"/>
      <c r="AP1631" s="284">
        <f t="shared" si="748"/>
        <v>0</v>
      </c>
      <c r="AQ1631" s="281">
        <f t="shared" si="749"/>
        <v>0</v>
      </c>
      <c r="AR1631" s="284">
        <f t="shared" si="750"/>
        <v>0</v>
      </c>
      <c r="AS1631" s="281">
        <f t="shared" si="751"/>
        <v>0</v>
      </c>
      <c r="AT1631" s="284">
        <f t="shared" si="752"/>
        <v>0</v>
      </c>
    </row>
    <row r="1632" spans="1:97" s="116" customFormat="1" ht="192.75" customHeight="1" x14ac:dyDescent="0.8">
      <c r="A1632" s="262">
        <f>ROW()</f>
        <v>1632</v>
      </c>
      <c r="C1632" s="211"/>
      <c r="D1632" s="211"/>
      <c r="E1632" s="211"/>
      <c r="F1632" s="211"/>
      <c r="G1632" s="211"/>
      <c r="H1632" s="211"/>
      <c r="K1632" s="116" t="s">
        <v>452</v>
      </c>
      <c r="M1632" s="116" t="s">
        <v>107</v>
      </c>
      <c r="N1632" s="116" t="s">
        <v>108</v>
      </c>
      <c r="O1632" s="170" t="s">
        <v>386</v>
      </c>
      <c r="P1632" s="502" t="s">
        <v>375</v>
      </c>
      <c r="Q1632" s="502"/>
      <c r="R1632" s="101" t="s">
        <v>452</v>
      </c>
      <c r="S1632" s="116" t="s">
        <v>0</v>
      </c>
      <c r="T1632" s="118"/>
      <c r="U1632" s="116" t="s">
        <v>287</v>
      </c>
      <c r="V1632" s="116" t="s">
        <v>288</v>
      </c>
      <c r="W1632" s="116" t="s">
        <v>291</v>
      </c>
      <c r="X1632" s="140"/>
      <c r="Y1632" s="116" t="s">
        <v>289</v>
      </c>
      <c r="Z1632" s="116" t="s">
        <v>354</v>
      </c>
      <c r="AA1632" s="116" t="s">
        <v>355</v>
      </c>
      <c r="AB1632" s="116" t="s">
        <v>317</v>
      </c>
      <c r="AC1632" s="116" t="s">
        <v>318</v>
      </c>
      <c r="AD1632" s="116" t="s">
        <v>316</v>
      </c>
      <c r="AE1632" s="140"/>
      <c r="AF1632" s="116" t="s">
        <v>293</v>
      </c>
      <c r="AG1632" s="116" t="s">
        <v>354</v>
      </c>
      <c r="AH1632" s="116" t="s">
        <v>355</v>
      </c>
      <c r="AI1632" s="116" t="s">
        <v>296</v>
      </c>
      <c r="AJ1632" s="116" t="s">
        <v>294</v>
      </c>
      <c r="AK1632" s="116" t="s">
        <v>295</v>
      </c>
      <c r="AL1632" s="140"/>
      <c r="AO1632" s="288"/>
      <c r="AP1632" s="284">
        <f t="shared" si="748"/>
        <v>0</v>
      </c>
      <c r="AQ1632" s="281">
        <f t="shared" si="749"/>
        <v>0</v>
      </c>
      <c r="AR1632" s="284">
        <f t="shared" si="750"/>
        <v>0</v>
      </c>
      <c r="AS1632" s="281">
        <f t="shared" si="751"/>
        <v>0</v>
      </c>
      <c r="AT1632" s="284">
        <f t="shared" si="752"/>
        <v>0</v>
      </c>
    </row>
    <row r="1633" spans="1:46" s="114" customFormat="1" ht="40.5" customHeight="1" x14ac:dyDescent="0.8">
      <c r="A1633" s="262">
        <f>ROW()</f>
        <v>1633</v>
      </c>
      <c r="C1633" s="208"/>
      <c r="D1633" s="208"/>
      <c r="E1633" s="208"/>
      <c r="F1633" s="208"/>
      <c r="G1633" s="208"/>
      <c r="H1633" s="208"/>
      <c r="L1633" s="124" t="str">
        <f>VLOOKUP(M1633,Sheet2!$D$2:$E$1024,2,FALSE)</f>
        <v>Zero</v>
      </c>
      <c r="M1633" s="121">
        <f>I1655</f>
        <v>0</v>
      </c>
      <c r="N1633" s="132" t="s">
        <v>637</v>
      </c>
      <c r="O1633" s="175" t="s">
        <v>133</v>
      </c>
      <c r="P1633" s="173" t="s">
        <v>379</v>
      </c>
      <c r="Q1633" s="173" t="s">
        <v>375</v>
      </c>
      <c r="R1633" s="173"/>
      <c r="S1633" s="174">
        <f>M1633</f>
        <v>0</v>
      </c>
      <c r="T1633" s="175"/>
      <c r="U1633" s="175" t="s">
        <v>292</v>
      </c>
      <c r="V1633" s="174">
        <f>S1633</f>
        <v>0</v>
      </c>
      <c r="W1633" s="174">
        <f>VLOOKUP(U1633,Sheet1!$B$6:$C$45,2,FALSE)*V1633</f>
        <v>0</v>
      </c>
      <c r="X1633" s="174"/>
      <c r="Y1633" s="175" t="s">
        <v>292</v>
      </c>
      <c r="Z1633" s="168">
        <f>VLOOKUP(Takeoffs!Y1633,Sheet1!$B$6:$C$124,2,FALSE)</f>
        <v>0</v>
      </c>
      <c r="AA1633" s="168">
        <f>Z1633*AB1633</f>
        <v>0</v>
      </c>
      <c r="AB1633" s="176">
        <f>AD1633*AC1633</f>
        <v>0</v>
      </c>
      <c r="AC1633" s="174">
        <f>S1633</f>
        <v>0</v>
      </c>
      <c r="AD1633" s="174">
        <v>1</v>
      </c>
      <c r="AE1633" s="174"/>
      <c r="AF1633" s="175" t="s">
        <v>292</v>
      </c>
      <c r="AG1633" s="168">
        <f>VLOOKUP(Takeoffs!AF1633,Sheet1!$B$6:$C$124,2,FALSE)</f>
        <v>0</v>
      </c>
      <c r="AH1633" s="168">
        <f>AG1633*AI1633</f>
        <v>0</v>
      </c>
      <c r="AI1633" s="176">
        <f>AK1633*AJ1633</f>
        <v>0</v>
      </c>
      <c r="AJ1633" s="174">
        <f>S1633</f>
        <v>0</v>
      </c>
      <c r="AK1633" s="174">
        <f>T1633</f>
        <v>0</v>
      </c>
      <c r="AL1633" s="174"/>
      <c r="AO1633" s="286"/>
      <c r="AP1633" s="284">
        <f t="shared" si="748"/>
        <v>0</v>
      </c>
      <c r="AQ1633" s="281">
        <f t="shared" si="749"/>
        <v>0</v>
      </c>
      <c r="AR1633" s="284">
        <f t="shared" si="750"/>
        <v>0</v>
      </c>
      <c r="AS1633" s="281">
        <f t="shared" si="751"/>
        <v>0</v>
      </c>
      <c r="AT1633" s="284">
        <f t="shared" si="752"/>
        <v>0</v>
      </c>
    </row>
    <row r="1634" spans="1:46" s="114" customFormat="1" ht="30.9" x14ac:dyDescent="0.8">
      <c r="A1634" s="262">
        <f>ROW()</f>
        <v>1634</v>
      </c>
      <c r="C1634" s="208"/>
      <c r="D1634" s="208"/>
      <c r="E1634" s="208"/>
      <c r="F1634" s="208"/>
      <c r="G1634" s="208"/>
      <c r="H1634" s="208"/>
      <c r="J1634" s="114" t="str">
        <f>IF(COUNTBLANK(Q1634)&gt;0,"",CONCATENATE("Coordination Note: - ",P1634,": Please refer to our exclusions relating to ",Q1634))</f>
        <v/>
      </c>
      <c r="K1634" s="114" t="str">
        <f>IF(COUNTBLANK(R1634)&gt;0,"",CONCATENATE(R1634," for ",N1633))</f>
        <v/>
      </c>
      <c r="M1634" s="117"/>
      <c r="N1634" s="123" t="s">
        <v>113</v>
      </c>
      <c r="O1634" s="175"/>
      <c r="P1634" s="175"/>
      <c r="Q1634" s="175"/>
      <c r="R1634" s="175"/>
      <c r="S1634" s="174">
        <f>M1633</f>
        <v>0</v>
      </c>
      <c r="T1634" s="172"/>
      <c r="U1634" s="175" t="s">
        <v>292</v>
      </c>
      <c r="V1634" s="174">
        <f t="shared" ref="V1634:V1653" si="753">S1634</f>
        <v>0</v>
      </c>
      <c r="W1634" s="174">
        <f>VLOOKUP(U1634,Sheet1!$B$6:$C$45,2,FALSE)*V1634</f>
        <v>0</v>
      </c>
      <c r="X1634" s="174"/>
      <c r="Y1634" s="175" t="s">
        <v>292</v>
      </c>
      <c r="Z1634" s="168">
        <f>VLOOKUP(Takeoffs!Y1634,Sheet1!$B$6:$C$124,2,FALSE)</f>
        <v>0</v>
      </c>
      <c r="AA1634" s="168">
        <f t="shared" ref="AA1634:AA1653" si="754">Z1634*AB1634</f>
        <v>0</v>
      </c>
      <c r="AB1634" s="176">
        <f t="shared" ref="AB1634:AB1653" si="755">AD1634*AC1634</f>
        <v>0</v>
      </c>
      <c r="AC1634" s="174">
        <f t="shared" ref="AC1634:AC1653" si="756">S1634</f>
        <v>0</v>
      </c>
      <c r="AD1634" s="174">
        <v>1</v>
      </c>
      <c r="AE1634" s="174"/>
      <c r="AF1634" s="175" t="s">
        <v>292</v>
      </c>
      <c r="AG1634" s="168">
        <f>VLOOKUP(Takeoffs!AF1634,Sheet1!$B$6:$C$124,2,FALSE)</f>
        <v>0</v>
      </c>
      <c r="AH1634" s="168">
        <f t="shared" ref="AH1634:AH1653" si="757">AG1634*AI1634</f>
        <v>0</v>
      </c>
      <c r="AI1634" s="176">
        <f t="shared" ref="AI1634:AI1653" si="758">AK1634*AJ1634</f>
        <v>0</v>
      </c>
      <c r="AJ1634" s="174">
        <f t="shared" ref="AJ1634:AJ1653" si="759">S1634</f>
        <v>0</v>
      </c>
      <c r="AK1634" s="174">
        <f t="shared" ref="AK1634:AK1653" si="760">T1634</f>
        <v>0</v>
      </c>
      <c r="AL1634" s="174"/>
      <c r="AO1634" s="286"/>
      <c r="AP1634" s="284">
        <f t="shared" si="748"/>
        <v>0</v>
      </c>
      <c r="AQ1634" s="281">
        <f t="shared" si="749"/>
        <v>0</v>
      </c>
      <c r="AR1634" s="284">
        <f t="shared" si="750"/>
        <v>0</v>
      </c>
      <c r="AS1634" s="281">
        <f t="shared" si="751"/>
        <v>0</v>
      </c>
      <c r="AT1634" s="284">
        <f t="shared" si="752"/>
        <v>0</v>
      </c>
    </row>
    <row r="1635" spans="1:46" s="114" customFormat="1" ht="30.9" x14ac:dyDescent="0.8">
      <c r="A1635" s="262">
        <f>ROW()</f>
        <v>1635</v>
      </c>
      <c r="C1635" s="208"/>
      <c r="D1635" s="208"/>
      <c r="E1635" s="208"/>
      <c r="F1635" s="208"/>
      <c r="G1635" s="208"/>
      <c r="H1635" s="208"/>
      <c r="J1635" s="114" t="str">
        <f t="shared" ref="J1635:J1653" si="761">IF(COUNTBLANK(Q1635)&gt;0,"",CONCATENATE("Coordination Note: - ",P1635,": Please refer to our exclusions relating to ",Q1635))</f>
        <v/>
      </c>
      <c r="K1635" s="114" t="str">
        <f>IF(COUNTBLANK(R1635)&gt;0,"",CONCATENATE(R1635," for ",N1633))</f>
        <v/>
      </c>
      <c r="M1635" s="117"/>
      <c r="N1635" s="123" t="s">
        <v>114</v>
      </c>
      <c r="O1635" s="175"/>
      <c r="P1635" s="175"/>
      <c r="Q1635" s="175"/>
      <c r="R1635" s="175"/>
      <c r="S1635" s="174">
        <f>M1633</f>
        <v>0</v>
      </c>
      <c r="T1635" s="172"/>
      <c r="U1635" s="175" t="s">
        <v>292</v>
      </c>
      <c r="V1635" s="174">
        <f t="shared" si="753"/>
        <v>0</v>
      </c>
      <c r="W1635" s="174">
        <f>VLOOKUP(U1635,Sheet1!$B$6:$C$45,2,FALSE)*V1635</f>
        <v>0</v>
      </c>
      <c r="X1635" s="174"/>
      <c r="Y1635" s="175" t="s">
        <v>292</v>
      </c>
      <c r="Z1635" s="168">
        <f>VLOOKUP(Takeoffs!Y1635,Sheet1!$B$6:$C$124,2,FALSE)</f>
        <v>0</v>
      </c>
      <c r="AA1635" s="168">
        <f t="shared" si="754"/>
        <v>0</v>
      </c>
      <c r="AB1635" s="176">
        <f t="shared" si="755"/>
        <v>0</v>
      </c>
      <c r="AC1635" s="174">
        <f t="shared" si="756"/>
        <v>0</v>
      </c>
      <c r="AD1635" s="174">
        <v>1</v>
      </c>
      <c r="AE1635" s="174"/>
      <c r="AF1635" s="175" t="s">
        <v>292</v>
      </c>
      <c r="AG1635" s="168">
        <f>VLOOKUP(Takeoffs!AF1635,Sheet1!$B$6:$C$124,2,FALSE)</f>
        <v>0</v>
      </c>
      <c r="AH1635" s="168">
        <f t="shared" si="757"/>
        <v>0</v>
      </c>
      <c r="AI1635" s="176">
        <f t="shared" si="758"/>
        <v>0</v>
      </c>
      <c r="AJ1635" s="174">
        <f t="shared" si="759"/>
        <v>0</v>
      </c>
      <c r="AK1635" s="174">
        <f t="shared" si="760"/>
        <v>0</v>
      </c>
      <c r="AL1635" s="174"/>
      <c r="AO1635" s="286"/>
      <c r="AP1635" s="284">
        <f t="shared" si="748"/>
        <v>0</v>
      </c>
      <c r="AQ1635" s="281">
        <f t="shared" si="749"/>
        <v>0</v>
      </c>
      <c r="AR1635" s="284">
        <f t="shared" si="750"/>
        <v>0</v>
      </c>
      <c r="AS1635" s="281">
        <f t="shared" si="751"/>
        <v>0</v>
      </c>
      <c r="AT1635" s="284">
        <f t="shared" si="752"/>
        <v>0</v>
      </c>
    </row>
    <row r="1636" spans="1:46" s="114" customFormat="1" ht="30.9" x14ac:dyDescent="0.8">
      <c r="A1636" s="262">
        <f>ROW()</f>
        <v>1636</v>
      </c>
      <c r="C1636" s="208"/>
      <c r="D1636" s="208"/>
      <c r="E1636" s="208"/>
      <c r="F1636" s="208"/>
      <c r="G1636" s="208"/>
      <c r="H1636" s="208"/>
      <c r="J1636" s="114" t="str">
        <f t="shared" si="761"/>
        <v/>
      </c>
      <c r="K1636" s="114" t="str">
        <f>IF(COUNTBLANK(R1636)&gt;0,"",CONCATENATE(R1636," for ",N1633))</f>
        <v/>
      </c>
      <c r="M1636" s="117"/>
      <c r="N1636" s="123" t="s">
        <v>115</v>
      </c>
      <c r="O1636" s="175" t="s">
        <v>530</v>
      </c>
      <c r="P1636" s="175"/>
      <c r="Q1636" s="175"/>
      <c r="R1636" s="175"/>
      <c r="S1636" s="174">
        <f>M1633</f>
        <v>0</v>
      </c>
      <c r="T1636" s="172"/>
      <c r="U1636" s="175" t="s">
        <v>292</v>
      </c>
      <c r="V1636" s="174">
        <f t="shared" si="753"/>
        <v>0</v>
      </c>
      <c r="W1636" s="174">
        <f>VLOOKUP(U1636,Sheet1!$B$6:$C$45,2,FALSE)*V1636</f>
        <v>0</v>
      </c>
      <c r="X1636" s="174"/>
      <c r="Y1636" s="175" t="s">
        <v>292</v>
      </c>
      <c r="Z1636" s="168">
        <f>VLOOKUP(Takeoffs!Y1636,Sheet1!$B$6:$C$124,2,FALSE)</f>
        <v>0</v>
      </c>
      <c r="AA1636" s="168">
        <f t="shared" si="754"/>
        <v>0</v>
      </c>
      <c r="AB1636" s="176">
        <f t="shared" si="755"/>
        <v>0</v>
      </c>
      <c r="AC1636" s="174">
        <f t="shared" si="756"/>
        <v>0</v>
      </c>
      <c r="AD1636" s="174">
        <v>1</v>
      </c>
      <c r="AE1636" s="174"/>
      <c r="AF1636" s="175" t="s">
        <v>292</v>
      </c>
      <c r="AG1636" s="168">
        <f>VLOOKUP(Takeoffs!AF1636,Sheet1!$B$6:$C$124,2,FALSE)</f>
        <v>0</v>
      </c>
      <c r="AH1636" s="168">
        <f t="shared" si="757"/>
        <v>0</v>
      </c>
      <c r="AI1636" s="176">
        <f t="shared" si="758"/>
        <v>0</v>
      </c>
      <c r="AJ1636" s="174">
        <f t="shared" si="759"/>
        <v>0</v>
      </c>
      <c r="AK1636" s="174">
        <f t="shared" si="760"/>
        <v>0</v>
      </c>
      <c r="AL1636" s="174"/>
      <c r="AO1636" s="286"/>
      <c r="AP1636" s="284">
        <f t="shared" si="748"/>
        <v>0</v>
      </c>
      <c r="AQ1636" s="281">
        <f t="shared" si="749"/>
        <v>0</v>
      </c>
      <c r="AR1636" s="284">
        <f t="shared" si="750"/>
        <v>0</v>
      </c>
      <c r="AS1636" s="281">
        <f t="shared" si="751"/>
        <v>0</v>
      </c>
      <c r="AT1636" s="284">
        <f t="shared" si="752"/>
        <v>0</v>
      </c>
    </row>
    <row r="1637" spans="1:46" s="114" customFormat="1" ht="30.9" x14ac:dyDescent="0.8">
      <c r="A1637" s="262">
        <f>ROW()</f>
        <v>1637</v>
      </c>
      <c r="C1637" s="208"/>
      <c r="D1637" s="208"/>
      <c r="E1637" s="208"/>
      <c r="F1637" s="208"/>
      <c r="G1637" s="208"/>
      <c r="H1637" s="208"/>
      <c r="J1637" s="114" t="str">
        <f t="shared" si="761"/>
        <v/>
      </c>
      <c r="K1637" s="114" t="str">
        <f>IF(COUNTBLANK(R1637)&gt;0,"",CONCATENATE(R1637," for ",N1633))</f>
        <v/>
      </c>
      <c r="M1637" s="117"/>
      <c r="N1637" s="123" t="s">
        <v>116</v>
      </c>
      <c r="O1637" s="175" t="s">
        <v>531</v>
      </c>
      <c r="P1637" s="175"/>
      <c r="Q1637" s="175"/>
      <c r="R1637" s="175"/>
      <c r="S1637" s="174">
        <f>M1633</f>
        <v>0</v>
      </c>
      <c r="T1637" s="172"/>
      <c r="U1637" s="175" t="s">
        <v>292</v>
      </c>
      <c r="V1637" s="174">
        <f t="shared" si="753"/>
        <v>0</v>
      </c>
      <c r="W1637" s="174">
        <f>VLOOKUP(U1637,Sheet1!$B$6:$C$45,2,FALSE)*V1637</f>
        <v>0</v>
      </c>
      <c r="X1637" s="174"/>
      <c r="Y1637" s="175" t="s">
        <v>292</v>
      </c>
      <c r="Z1637" s="168">
        <f>VLOOKUP(Takeoffs!Y1637,Sheet1!$B$6:$C$124,2,FALSE)</f>
        <v>0</v>
      </c>
      <c r="AA1637" s="168">
        <f t="shared" si="754"/>
        <v>0</v>
      </c>
      <c r="AB1637" s="176">
        <f t="shared" si="755"/>
        <v>0</v>
      </c>
      <c r="AC1637" s="174">
        <f t="shared" si="756"/>
        <v>0</v>
      </c>
      <c r="AD1637" s="174">
        <v>1</v>
      </c>
      <c r="AE1637" s="174"/>
      <c r="AF1637" s="175" t="s">
        <v>292</v>
      </c>
      <c r="AG1637" s="168">
        <f>VLOOKUP(Takeoffs!AF1637,Sheet1!$B$6:$C$124,2,FALSE)</f>
        <v>0</v>
      </c>
      <c r="AH1637" s="168">
        <f t="shared" si="757"/>
        <v>0</v>
      </c>
      <c r="AI1637" s="176">
        <f t="shared" si="758"/>
        <v>0</v>
      </c>
      <c r="AJ1637" s="174">
        <f t="shared" si="759"/>
        <v>0</v>
      </c>
      <c r="AK1637" s="174">
        <f t="shared" si="760"/>
        <v>0</v>
      </c>
      <c r="AL1637" s="174"/>
      <c r="AO1637" s="286"/>
      <c r="AP1637" s="284">
        <f t="shared" si="748"/>
        <v>0</v>
      </c>
      <c r="AQ1637" s="281">
        <f t="shared" si="749"/>
        <v>0</v>
      </c>
      <c r="AR1637" s="284">
        <f t="shared" si="750"/>
        <v>0</v>
      </c>
      <c r="AS1637" s="281">
        <f t="shared" si="751"/>
        <v>0</v>
      </c>
      <c r="AT1637" s="284">
        <f t="shared" si="752"/>
        <v>0</v>
      </c>
    </row>
    <row r="1638" spans="1:46" s="114" customFormat="1" ht="30.9" x14ac:dyDescent="0.8">
      <c r="A1638" s="262">
        <f>ROW()</f>
        <v>1638</v>
      </c>
      <c r="C1638" s="208"/>
      <c r="D1638" s="208"/>
      <c r="E1638" s="208"/>
      <c r="F1638" s="208"/>
      <c r="G1638" s="208"/>
      <c r="H1638" s="208"/>
      <c r="J1638" s="114" t="str">
        <f t="shared" si="761"/>
        <v/>
      </c>
      <c r="K1638" s="114" t="str">
        <f>IF(COUNTBLANK(R1638)&gt;0,"",CONCATENATE(R1638," for ",N1633))</f>
        <v/>
      </c>
      <c r="M1638" s="117"/>
      <c r="N1638" s="123" t="s">
        <v>117</v>
      </c>
      <c r="O1638" s="175" t="s">
        <v>407</v>
      </c>
      <c r="P1638" s="175"/>
      <c r="Q1638" s="175"/>
      <c r="R1638" s="175"/>
      <c r="S1638" s="174">
        <f>M1633</f>
        <v>0</v>
      </c>
      <c r="T1638" s="172"/>
      <c r="U1638" s="175" t="s">
        <v>292</v>
      </c>
      <c r="V1638" s="174">
        <f t="shared" si="753"/>
        <v>0</v>
      </c>
      <c r="W1638" s="174">
        <f>VLOOKUP(U1638,Sheet1!$B$6:$C$45,2,FALSE)*V1638</f>
        <v>0</v>
      </c>
      <c r="X1638" s="174"/>
      <c r="Y1638" s="175" t="s">
        <v>292</v>
      </c>
      <c r="Z1638" s="168">
        <f>VLOOKUP(Takeoffs!Y1638,Sheet1!$B$6:$C$124,2,FALSE)</f>
        <v>0</v>
      </c>
      <c r="AA1638" s="168">
        <f t="shared" si="754"/>
        <v>0</v>
      </c>
      <c r="AB1638" s="176">
        <f t="shared" si="755"/>
        <v>0</v>
      </c>
      <c r="AC1638" s="174">
        <f t="shared" si="756"/>
        <v>0</v>
      </c>
      <c r="AD1638" s="174">
        <v>1</v>
      </c>
      <c r="AE1638" s="174"/>
      <c r="AF1638" s="175" t="s">
        <v>292</v>
      </c>
      <c r="AG1638" s="168">
        <f>VLOOKUP(Takeoffs!AF1638,Sheet1!$B$6:$C$124,2,FALSE)</f>
        <v>0</v>
      </c>
      <c r="AH1638" s="168">
        <f t="shared" si="757"/>
        <v>0</v>
      </c>
      <c r="AI1638" s="176">
        <f t="shared" si="758"/>
        <v>0</v>
      </c>
      <c r="AJ1638" s="174">
        <f t="shared" si="759"/>
        <v>0</v>
      </c>
      <c r="AK1638" s="174">
        <f t="shared" si="760"/>
        <v>0</v>
      </c>
      <c r="AL1638" s="174"/>
      <c r="AO1638" s="286"/>
      <c r="AP1638" s="284">
        <f t="shared" si="748"/>
        <v>0</v>
      </c>
      <c r="AQ1638" s="281">
        <f t="shared" si="749"/>
        <v>0</v>
      </c>
      <c r="AR1638" s="284">
        <f t="shared" si="750"/>
        <v>0</v>
      </c>
      <c r="AS1638" s="281">
        <f t="shared" si="751"/>
        <v>0</v>
      </c>
      <c r="AT1638" s="284">
        <f t="shared" si="752"/>
        <v>0</v>
      </c>
    </row>
    <row r="1639" spans="1:46" s="114" customFormat="1" ht="30.9" x14ac:dyDescent="0.8">
      <c r="A1639" s="262">
        <f>ROW()</f>
        <v>1639</v>
      </c>
      <c r="C1639" s="208"/>
      <c r="D1639" s="208"/>
      <c r="E1639" s="208"/>
      <c r="F1639" s="208"/>
      <c r="G1639" s="208"/>
      <c r="H1639" s="208"/>
      <c r="J1639" s="114" t="str">
        <f t="shared" si="761"/>
        <v/>
      </c>
      <c r="K1639" s="114" t="str">
        <f>IF(COUNTBLANK(R1639)&gt;0,"",CONCATENATE(R1639," for ",N1633))</f>
        <v/>
      </c>
      <c r="M1639" s="117"/>
      <c r="N1639" s="123" t="s">
        <v>118</v>
      </c>
      <c r="O1639" s="175" t="s">
        <v>408</v>
      </c>
      <c r="P1639" s="175"/>
      <c r="Q1639" s="175"/>
      <c r="R1639" s="175"/>
      <c r="S1639" s="174">
        <f>M1633</f>
        <v>0</v>
      </c>
      <c r="T1639" s="172"/>
      <c r="U1639" s="175" t="s">
        <v>292</v>
      </c>
      <c r="V1639" s="174">
        <f t="shared" si="753"/>
        <v>0</v>
      </c>
      <c r="W1639" s="174">
        <f>VLOOKUP(U1639,Sheet1!$B$6:$C$45,2,FALSE)*V1639</f>
        <v>0</v>
      </c>
      <c r="X1639" s="174"/>
      <c r="Y1639" s="175" t="s">
        <v>292</v>
      </c>
      <c r="Z1639" s="168">
        <f>VLOOKUP(Takeoffs!Y1639,Sheet1!$B$6:$C$124,2,FALSE)</f>
        <v>0</v>
      </c>
      <c r="AA1639" s="168">
        <f t="shared" si="754"/>
        <v>0</v>
      </c>
      <c r="AB1639" s="176">
        <f t="shared" si="755"/>
        <v>0</v>
      </c>
      <c r="AC1639" s="174">
        <f t="shared" si="756"/>
        <v>0</v>
      </c>
      <c r="AD1639" s="174">
        <v>1</v>
      </c>
      <c r="AE1639" s="174"/>
      <c r="AF1639" s="175" t="s">
        <v>292</v>
      </c>
      <c r="AG1639" s="168">
        <f>VLOOKUP(Takeoffs!AF1639,Sheet1!$B$6:$C$124,2,FALSE)</f>
        <v>0</v>
      </c>
      <c r="AH1639" s="168">
        <f t="shared" si="757"/>
        <v>0</v>
      </c>
      <c r="AI1639" s="176">
        <f t="shared" si="758"/>
        <v>0</v>
      </c>
      <c r="AJ1639" s="174">
        <f t="shared" si="759"/>
        <v>0</v>
      </c>
      <c r="AK1639" s="174">
        <f t="shared" si="760"/>
        <v>0</v>
      </c>
      <c r="AL1639" s="174"/>
      <c r="AO1639" s="286"/>
      <c r="AP1639" s="284">
        <f t="shared" si="748"/>
        <v>0</v>
      </c>
      <c r="AQ1639" s="281">
        <f t="shared" si="749"/>
        <v>0</v>
      </c>
      <c r="AR1639" s="284">
        <f t="shared" si="750"/>
        <v>0</v>
      </c>
      <c r="AS1639" s="281">
        <f t="shared" si="751"/>
        <v>0</v>
      </c>
      <c r="AT1639" s="284">
        <f t="shared" si="752"/>
        <v>0</v>
      </c>
    </row>
    <row r="1640" spans="1:46" s="114" customFormat="1" ht="30.9" x14ac:dyDescent="0.8">
      <c r="A1640" s="262">
        <f>ROW()</f>
        <v>1640</v>
      </c>
      <c r="C1640" s="208"/>
      <c r="D1640" s="208"/>
      <c r="E1640" s="208"/>
      <c r="F1640" s="208"/>
      <c r="G1640" s="208"/>
      <c r="H1640" s="208"/>
      <c r="J1640" s="114" t="str">
        <f t="shared" si="761"/>
        <v/>
      </c>
      <c r="K1640" s="114" t="str">
        <f>IF(COUNTBLANK(R1640)&gt;0,"",CONCATENATE(R1640," for ",N1633))</f>
        <v/>
      </c>
      <c r="N1640" s="123" t="s">
        <v>119</v>
      </c>
      <c r="O1640" s="175"/>
      <c r="P1640" s="175"/>
      <c r="Q1640" s="175"/>
      <c r="R1640" s="175"/>
      <c r="S1640" s="174">
        <f>M1633</f>
        <v>0</v>
      </c>
      <c r="T1640" s="172"/>
      <c r="U1640" s="175" t="s">
        <v>292</v>
      </c>
      <c r="V1640" s="174">
        <f t="shared" si="753"/>
        <v>0</v>
      </c>
      <c r="W1640" s="174">
        <f>VLOOKUP(U1640,Sheet1!$B$6:$C$45,2,FALSE)*V1640</f>
        <v>0</v>
      </c>
      <c r="X1640" s="174"/>
      <c r="Y1640" s="175" t="s">
        <v>292</v>
      </c>
      <c r="Z1640" s="168">
        <f>VLOOKUP(Takeoffs!Y1640,Sheet1!$B$6:$C$124,2,FALSE)</f>
        <v>0</v>
      </c>
      <c r="AA1640" s="168">
        <f t="shared" si="754"/>
        <v>0</v>
      </c>
      <c r="AB1640" s="176">
        <f t="shared" si="755"/>
        <v>0</v>
      </c>
      <c r="AC1640" s="174">
        <f t="shared" si="756"/>
        <v>0</v>
      </c>
      <c r="AD1640" s="174">
        <v>1</v>
      </c>
      <c r="AE1640" s="174"/>
      <c r="AF1640" s="175" t="s">
        <v>292</v>
      </c>
      <c r="AG1640" s="168">
        <f>VLOOKUP(Takeoffs!AF1640,Sheet1!$B$6:$C$124,2,FALSE)</f>
        <v>0</v>
      </c>
      <c r="AH1640" s="168">
        <f t="shared" si="757"/>
        <v>0</v>
      </c>
      <c r="AI1640" s="176">
        <f t="shared" si="758"/>
        <v>0</v>
      </c>
      <c r="AJ1640" s="174">
        <f t="shared" si="759"/>
        <v>0</v>
      </c>
      <c r="AK1640" s="174">
        <f t="shared" si="760"/>
        <v>0</v>
      </c>
      <c r="AL1640" s="174"/>
      <c r="AO1640" s="286"/>
      <c r="AP1640" s="284">
        <f t="shared" si="748"/>
        <v>0</v>
      </c>
      <c r="AQ1640" s="281">
        <f t="shared" si="749"/>
        <v>0</v>
      </c>
      <c r="AR1640" s="284">
        <f t="shared" si="750"/>
        <v>0</v>
      </c>
      <c r="AS1640" s="281">
        <f t="shared" si="751"/>
        <v>0</v>
      </c>
      <c r="AT1640" s="284">
        <f t="shared" si="752"/>
        <v>0</v>
      </c>
    </row>
    <row r="1641" spans="1:46" s="114" customFormat="1" ht="30.9" x14ac:dyDescent="0.8">
      <c r="A1641" s="262">
        <f>ROW()</f>
        <v>1641</v>
      </c>
      <c r="C1641" s="208"/>
      <c r="D1641" s="208"/>
      <c r="E1641" s="208"/>
      <c r="F1641" s="208"/>
      <c r="G1641" s="208"/>
      <c r="H1641" s="208"/>
      <c r="J1641" s="114" t="str">
        <f t="shared" si="761"/>
        <v/>
      </c>
      <c r="K1641" s="114" t="str">
        <f>IF(COUNTBLANK(R1641)&gt;0,"",CONCATENATE(R1641," for ",N1633))</f>
        <v/>
      </c>
      <c r="N1641" s="123" t="s">
        <v>120</v>
      </c>
      <c r="O1641" s="175"/>
      <c r="P1641" s="175"/>
      <c r="Q1641" s="175"/>
      <c r="R1641" s="175"/>
      <c r="S1641" s="174">
        <f>M1633</f>
        <v>0</v>
      </c>
      <c r="T1641" s="172"/>
      <c r="U1641" s="175" t="s">
        <v>292</v>
      </c>
      <c r="V1641" s="174">
        <f t="shared" si="753"/>
        <v>0</v>
      </c>
      <c r="W1641" s="174">
        <f>VLOOKUP(U1641,Sheet1!$B$6:$C$45,2,FALSE)*V1641</f>
        <v>0</v>
      </c>
      <c r="X1641" s="174"/>
      <c r="Y1641" s="175" t="s">
        <v>292</v>
      </c>
      <c r="Z1641" s="168">
        <f>VLOOKUP(Takeoffs!Y1641,Sheet1!$B$6:$C$124,2,FALSE)</f>
        <v>0</v>
      </c>
      <c r="AA1641" s="168">
        <f t="shared" si="754"/>
        <v>0</v>
      </c>
      <c r="AB1641" s="176">
        <f t="shared" si="755"/>
        <v>0</v>
      </c>
      <c r="AC1641" s="174">
        <f t="shared" si="756"/>
        <v>0</v>
      </c>
      <c r="AD1641" s="174">
        <v>1</v>
      </c>
      <c r="AE1641" s="174"/>
      <c r="AF1641" s="175" t="s">
        <v>292</v>
      </c>
      <c r="AG1641" s="168">
        <f>VLOOKUP(Takeoffs!AF1641,Sheet1!$B$6:$C$124,2,FALSE)</f>
        <v>0</v>
      </c>
      <c r="AH1641" s="168">
        <f t="shared" si="757"/>
        <v>0</v>
      </c>
      <c r="AI1641" s="176">
        <f t="shared" si="758"/>
        <v>0</v>
      </c>
      <c r="AJ1641" s="174">
        <f t="shared" si="759"/>
        <v>0</v>
      </c>
      <c r="AK1641" s="174">
        <f t="shared" si="760"/>
        <v>0</v>
      </c>
      <c r="AL1641" s="174"/>
      <c r="AO1641" s="286"/>
      <c r="AP1641" s="284">
        <f t="shared" si="748"/>
        <v>0</v>
      </c>
      <c r="AQ1641" s="281">
        <f t="shared" si="749"/>
        <v>0</v>
      </c>
      <c r="AR1641" s="284">
        <f t="shared" si="750"/>
        <v>0</v>
      </c>
      <c r="AS1641" s="281">
        <f t="shared" si="751"/>
        <v>0</v>
      </c>
      <c r="AT1641" s="284">
        <f t="shared" si="752"/>
        <v>0</v>
      </c>
    </row>
    <row r="1642" spans="1:46" s="114" customFormat="1" ht="30.9" x14ac:dyDescent="0.8">
      <c r="A1642" s="262">
        <f>ROW()</f>
        <v>1642</v>
      </c>
      <c r="C1642" s="208"/>
      <c r="D1642" s="208"/>
      <c r="E1642" s="208"/>
      <c r="F1642" s="208"/>
      <c r="G1642" s="208"/>
      <c r="H1642" s="208"/>
      <c r="J1642" s="114" t="str">
        <f t="shared" si="761"/>
        <v/>
      </c>
      <c r="K1642" s="114" t="str">
        <f>IF(COUNTBLANK(R1642)&gt;0,"",CONCATENATE(R1642," for ",N1633))</f>
        <v/>
      </c>
      <c r="N1642" s="123" t="s">
        <v>121</v>
      </c>
      <c r="O1642" s="175"/>
      <c r="P1642" s="175"/>
      <c r="Q1642" s="175"/>
      <c r="R1642" s="175"/>
      <c r="S1642" s="174">
        <f>M1633</f>
        <v>0</v>
      </c>
      <c r="T1642" s="172"/>
      <c r="U1642" s="175" t="s">
        <v>292</v>
      </c>
      <c r="V1642" s="174">
        <f t="shared" si="753"/>
        <v>0</v>
      </c>
      <c r="W1642" s="174">
        <f>VLOOKUP(U1642,Sheet1!$B$6:$C$45,2,FALSE)*V1642</f>
        <v>0</v>
      </c>
      <c r="X1642" s="174"/>
      <c r="Y1642" s="175" t="s">
        <v>292</v>
      </c>
      <c r="Z1642" s="168">
        <f>VLOOKUP(Takeoffs!Y1642,Sheet1!$B$6:$C$124,2,FALSE)</f>
        <v>0</v>
      </c>
      <c r="AA1642" s="168">
        <f t="shared" si="754"/>
        <v>0</v>
      </c>
      <c r="AB1642" s="176">
        <f t="shared" si="755"/>
        <v>0</v>
      </c>
      <c r="AC1642" s="174">
        <f t="shared" si="756"/>
        <v>0</v>
      </c>
      <c r="AD1642" s="174">
        <v>1</v>
      </c>
      <c r="AE1642" s="174"/>
      <c r="AF1642" s="175" t="s">
        <v>292</v>
      </c>
      <c r="AG1642" s="168">
        <f>VLOOKUP(Takeoffs!AF1642,Sheet1!$B$6:$C$124,2,FALSE)</f>
        <v>0</v>
      </c>
      <c r="AH1642" s="168">
        <f t="shared" si="757"/>
        <v>0</v>
      </c>
      <c r="AI1642" s="176">
        <f t="shared" si="758"/>
        <v>0</v>
      </c>
      <c r="AJ1642" s="174">
        <f t="shared" si="759"/>
        <v>0</v>
      </c>
      <c r="AK1642" s="174">
        <f t="shared" si="760"/>
        <v>0</v>
      </c>
      <c r="AL1642" s="174"/>
      <c r="AO1642" s="286"/>
      <c r="AP1642" s="284">
        <f t="shared" si="748"/>
        <v>0</v>
      </c>
      <c r="AQ1642" s="281">
        <f t="shared" si="749"/>
        <v>0</v>
      </c>
      <c r="AR1642" s="284">
        <f t="shared" si="750"/>
        <v>0</v>
      </c>
      <c r="AS1642" s="281">
        <f t="shared" si="751"/>
        <v>0</v>
      </c>
      <c r="AT1642" s="284">
        <f t="shared" si="752"/>
        <v>0</v>
      </c>
    </row>
    <row r="1643" spans="1:46" s="114" customFormat="1" ht="30.9" x14ac:dyDescent="0.8">
      <c r="A1643" s="262">
        <f>ROW()</f>
        <v>1643</v>
      </c>
      <c r="C1643" s="208"/>
      <c r="D1643" s="208"/>
      <c r="E1643" s="208"/>
      <c r="F1643" s="208"/>
      <c r="G1643" s="208"/>
      <c r="H1643" s="208"/>
      <c r="J1643" s="114" t="str">
        <f t="shared" si="761"/>
        <v/>
      </c>
      <c r="K1643" s="114" t="str">
        <f>IF(COUNTBLANK(R1643)&gt;0,"",CONCATENATE(R1643," for ",N1633))</f>
        <v/>
      </c>
      <c r="N1643" s="123" t="s">
        <v>122</v>
      </c>
      <c r="O1643" s="175"/>
      <c r="P1643" s="175"/>
      <c r="Q1643" s="175"/>
      <c r="R1643" s="175"/>
      <c r="S1643" s="174">
        <f>M1633</f>
        <v>0</v>
      </c>
      <c r="T1643" s="172"/>
      <c r="U1643" s="175" t="s">
        <v>292</v>
      </c>
      <c r="V1643" s="174">
        <f t="shared" si="753"/>
        <v>0</v>
      </c>
      <c r="W1643" s="174">
        <f>VLOOKUP(U1643,Sheet1!$B$6:$C$45,2,FALSE)*V1643</f>
        <v>0</v>
      </c>
      <c r="X1643" s="174"/>
      <c r="Y1643" s="175" t="s">
        <v>292</v>
      </c>
      <c r="Z1643" s="168">
        <f>VLOOKUP(Takeoffs!Y1643,Sheet1!$B$6:$C$124,2,FALSE)</f>
        <v>0</v>
      </c>
      <c r="AA1643" s="168">
        <f t="shared" si="754"/>
        <v>0</v>
      </c>
      <c r="AB1643" s="176">
        <f t="shared" si="755"/>
        <v>0</v>
      </c>
      <c r="AC1643" s="174">
        <f t="shared" si="756"/>
        <v>0</v>
      </c>
      <c r="AD1643" s="174">
        <v>1</v>
      </c>
      <c r="AE1643" s="174"/>
      <c r="AF1643" s="175" t="s">
        <v>292</v>
      </c>
      <c r="AG1643" s="168">
        <f>VLOOKUP(Takeoffs!AF1643,Sheet1!$B$6:$C$124,2,FALSE)</f>
        <v>0</v>
      </c>
      <c r="AH1643" s="168">
        <f t="shared" si="757"/>
        <v>0</v>
      </c>
      <c r="AI1643" s="176">
        <f t="shared" si="758"/>
        <v>0</v>
      </c>
      <c r="AJ1643" s="174">
        <f t="shared" si="759"/>
        <v>0</v>
      </c>
      <c r="AK1643" s="174">
        <f t="shared" si="760"/>
        <v>0</v>
      </c>
      <c r="AL1643" s="174"/>
      <c r="AO1643" s="286"/>
      <c r="AP1643" s="284">
        <f t="shared" si="748"/>
        <v>0</v>
      </c>
      <c r="AQ1643" s="281">
        <f t="shared" si="749"/>
        <v>0</v>
      </c>
      <c r="AR1643" s="284">
        <f t="shared" si="750"/>
        <v>0</v>
      </c>
      <c r="AS1643" s="281">
        <f t="shared" si="751"/>
        <v>0</v>
      </c>
      <c r="AT1643" s="284">
        <f t="shared" si="752"/>
        <v>0</v>
      </c>
    </row>
    <row r="1644" spans="1:46" s="114" customFormat="1" ht="30.9" x14ac:dyDescent="0.8">
      <c r="A1644" s="262">
        <f>ROW()</f>
        <v>1644</v>
      </c>
      <c r="C1644" s="208"/>
      <c r="D1644" s="208"/>
      <c r="E1644" s="208"/>
      <c r="F1644" s="208"/>
      <c r="G1644" s="208"/>
      <c r="H1644" s="208"/>
      <c r="J1644" s="114" t="str">
        <f t="shared" si="761"/>
        <v/>
      </c>
      <c r="K1644" s="114" t="str">
        <f>IF(COUNTBLANK(R1644)&gt;0,"",CONCATENATE(R1644," for ",N1633))</f>
        <v/>
      </c>
      <c r="N1644" s="123" t="s">
        <v>123</v>
      </c>
      <c r="O1644" s="175"/>
      <c r="P1644" s="175"/>
      <c r="Q1644" s="175"/>
      <c r="R1644" s="175"/>
      <c r="S1644" s="174">
        <f>M1633</f>
        <v>0</v>
      </c>
      <c r="T1644" s="172"/>
      <c r="U1644" s="175" t="s">
        <v>292</v>
      </c>
      <c r="V1644" s="174">
        <f t="shared" si="753"/>
        <v>0</v>
      </c>
      <c r="W1644" s="174">
        <f>VLOOKUP(U1644,Sheet1!$B$6:$C$45,2,FALSE)*V1644</f>
        <v>0</v>
      </c>
      <c r="X1644" s="174"/>
      <c r="Y1644" s="175" t="s">
        <v>292</v>
      </c>
      <c r="Z1644" s="168">
        <f>VLOOKUP(Takeoffs!Y1644,Sheet1!$B$6:$C$124,2,FALSE)</f>
        <v>0</v>
      </c>
      <c r="AA1644" s="168">
        <f t="shared" si="754"/>
        <v>0</v>
      </c>
      <c r="AB1644" s="176">
        <f t="shared" si="755"/>
        <v>0</v>
      </c>
      <c r="AC1644" s="174">
        <f t="shared" si="756"/>
        <v>0</v>
      </c>
      <c r="AD1644" s="174">
        <v>1</v>
      </c>
      <c r="AE1644" s="174"/>
      <c r="AF1644" s="175" t="s">
        <v>292</v>
      </c>
      <c r="AG1644" s="168">
        <f>VLOOKUP(Takeoffs!AF1644,Sheet1!$B$6:$C$124,2,FALSE)</f>
        <v>0</v>
      </c>
      <c r="AH1644" s="168">
        <f t="shared" si="757"/>
        <v>0</v>
      </c>
      <c r="AI1644" s="176">
        <f t="shared" si="758"/>
        <v>0</v>
      </c>
      <c r="AJ1644" s="174">
        <f t="shared" si="759"/>
        <v>0</v>
      </c>
      <c r="AK1644" s="174">
        <f t="shared" si="760"/>
        <v>0</v>
      </c>
      <c r="AL1644" s="174"/>
      <c r="AO1644" s="286"/>
      <c r="AP1644" s="284">
        <f t="shared" si="748"/>
        <v>0</v>
      </c>
      <c r="AQ1644" s="281">
        <f t="shared" si="749"/>
        <v>0</v>
      </c>
      <c r="AR1644" s="284">
        <f t="shared" si="750"/>
        <v>0</v>
      </c>
      <c r="AS1644" s="281">
        <f t="shared" si="751"/>
        <v>0</v>
      </c>
      <c r="AT1644" s="284">
        <f t="shared" si="752"/>
        <v>0</v>
      </c>
    </row>
    <row r="1645" spans="1:46" s="114" customFormat="1" ht="30.9" x14ac:dyDescent="0.8">
      <c r="A1645" s="262">
        <f>ROW()</f>
        <v>1645</v>
      </c>
      <c r="C1645" s="208"/>
      <c r="D1645" s="208"/>
      <c r="E1645" s="208"/>
      <c r="F1645" s="208"/>
      <c r="G1645" s="208"/>
      <c r="H1645" s="208"/>
      <c r="J1645" s="114" t="str">
        <f t="shared" si="761"/>
        <v/>
      </c>
      <c r="K1645" s="114" t="str">
        <f>IF(COUNTBLANK(R1645)&gt;0,"",CONCATENATE(R1645," for ",N1633))</f>
        <v/>
      </c>
      <c r="N1645" s="123" t="s">
        <v>124</v>
      </c>
      <c r="O1645" s="175"/>
      <c r="P1645" s="175"/>
      <c r="Q1645" s="175"/>
      <c r="R1645" s="175"/>
      <c r="S1645" s="174">
        <f>M1633</f>
        <v>0</v>
      </c>
      <c r="T1645" s="172"/>
      <c r="U1645" s="175" t="s">
        <v>292</v>
      </c>
      <c r="V1645" s="174">
        <f t="shared" si="753"/>
        <v>0</v>
      </c>
      <c r="W1645" s="174">
        <f>VLOOKUP(U1645,Sheet1!$B$6:$C$45,2,FALSE)*V1645</f>
        <v>0</v>
      </c>
      <c r="X1645" s="174"/>
      <c r="Y1645" s="175" t="s">
        <v>292</v>
      </c>
      <c r="Z1645" s="168">
        <f>VLOOKUP(Takeoffs!Y1645,Sheet1!$B$6:$C$124,2,FALSE)</f>
        <v>0</v>
      </c>
      <c r="AA1645" s="168">
        <f t="shared" si="754"/>
        <v>0</v>
      </c>
      <c r="AB1645" s="176">
        <f t="shared" si="755"/>
        <v>0</v>
      </c>
      <c r="AC1645" s="174">
        <f t="shared" si="756"/>
        <v>0</v>
      </c>
      <c r="AD1645" s="174">
        <v>1</v>
      </c>
      <c r="AE1645" s="174"/>
      <c r="AF1645" s="175" t="s">
        <v>292</v>
      </c>
      <c r="AG1645" s="168">
        <f>VLOOKUP(Takeoffs!AF1645,Sheet1!$B$6:$C$124,2,FALSE)</f>
        <v>0</v>
      </c>
      <c r="AH1645" s="168">
        <f t="shared" si="757"/>
        <v>0</v>
      </c>
      <c r="AI1645" s="176">
        <f t="shared" si="758"/>
        <v>0</v>
      </c>
      <c r="AJ1645" s="174">
        <f t="shared" si="759"/>
        <v>0</v>
      </c>
      <c r="AK1645" s="174">
        <f t="shared" si="760"/>
        <v>0</v>
      </c>
      <c r="AL1645" s="174"/>
      <c r="AO1645" s="286"/>
      <c r="AP1645" s="284">
        <f t="shared" si="748"/>
        <v>0</v>
      </c>
      <c r="AQ1645" s="281">
        <f t="shared" si="749"/>
        <v>0</v>
      </c>
      <c r="AR1645" s="284">
        <f t="shared" si="750"/>
        <v>0</v>
      </c>
      <c r="AS1645" s="281">
        <f t="shared" si="751"/>
        <v>0</v>
      </c>
      <c r="AT1645" s="284">
        <f t="shared" si="752"/>
        <v>0</v>
      </c>
    </row>
    <row r="1646" spans="1:46" s="114" customFormat="1" ht="30.9" x14ac:dyDescent="0.8">
      <c r="A1646" s="262">
        <f>ROW()</f>
        <v>1646</v>
      </c>
      <c r="C1646" s="208"/>
      <c r="D1646" s="208"/>
      <c r="E1646" s="208"/>
      <c r="F1646" s="208"/>
      <c r="G1646" s="208"/>
      <c r="H1646" s="208"/>
      <c r="J1646" s="114" t="str">
        <f t="shared" si="761"/>
        <v/>
      </c>
      <c r="K1646" s="114" t="str">
        <f>IF(COUNTBLANK(R1646)&gt;0,"",CONCATENATE(R1646," for ",N1633))</f>
        <v/>
      </c>
      <c r="N1646" s="123" t="s">
        <v>125</v>
      </c>
      <c r="O1646" s="175"/>
      <c r="P1646" s="175"/>
      <c r="Q1646" s="175"/>
      <c r="R1646" s="175"/>
      <c r="S1646" s="174">
        <f>M1633</f>
        <v>0</v>
      </c>
      <c r="T1646" s="172"/>
      <c r="U1646" s="175" t="s">
        <v>292</v>
      </c>
      <c r="V1646" s="174">
        <f t="shared" si="753"/>
        <v>0</v>
      </c>
      <c r="W1646" s="174">
        <f>VLOOKUP(U1646,Sheet1!$B$6:$C$45,2,FALSE)*V1646</f>
        <v>0</v>
      </c>
      <c r="X1646" s="174"/>
      <c r="Y1646" s="175" t="s">
        <v>292</v>
      </c>
      <c r="Z1646" s="168">
        <f>VLOOKUP(Takeoffs!Y1646,Sheet1!$B$6:$C$124,2,FALSE)</f>
        <v>0</v>
      </c>
      <c r="AA1646" s="168">
        <f t="shared" si="754"/>
        <v>0</v>
      </c>
      <c r="AB1646" s="176">
        <f t="shared" si="755"/>
        <v>0</v>
      </c>
      <c r="AC1646" s="174">
        <f t="shared" si="756"/>
        <v>0</v>
      </c>
      <c r="AD1646" s="174">
        <v>1</v>
      </c>
      <c r="AE1646" s="174"/>
      <c r="AF1646" s="175" t="s">
        <v>292</v>
      </c>
      <c r="AG1646" s="168">
        <f>VLOOKUP(Takeoffs!AF1646,Sheet1!$B$6:$C$124,2,FALSE)</f>
        <v>0</v>
      </c>
      <c r="AH1646" s="168">
        <f t="shared" si="757"/>
        <v>0</v>
      </c>
      <c r="AI1646" s="176">
        <f t="shared" si="758"/>
        <v>0</v>
      </c>
      <c r="AJ1646" s="174">
        <f t="shared" si="759"/>
        <v>0</v>
      </c>
      <c r="AK1646" s="174">
        <f t="shared" si="760"/>
        <v>0</v>
      </c>
      <c r="AL1646" s="174"/>
      <c r="AO1646" s="286"/>
      <c r="AP1646" s="284">
        <f t="shared" si="748"/>
        <v>0</v>
      </c>
      <c r="AQ1646" s="281">
        <f t="shared" si="749"/>
        <v>0</v>
      </c>
      <c r="AR1646" s="284">
        <f t="shared" si="750"/>
        <v>0</v>
      </c>
      <c r="AS1646" s="281">
        <f t="shared" si="751"/>
        <v>0</v>
      </c>
      <c r="AT1646" s="284">
        <f t="shared" si="752"/>
        <v>0</v>
      </c>
    </row>
    <row r="1647" spans="1:46" s="114" customFormat="1" ht="30.9" x14ac:dyDescent="0.8">
      <c r="A1647" s="262">
        <f>ROW()</f>
        <v>1647</v>
      </c>
      <c r="C1647" s="208"/>
      <c r="D1647" s="208"/>
      <c r="E1647" s="208"/>
      <c r="F1647" s="208"/>
      <c r="G1647" s="208"/>
      <c r="H1647" s="208"/>
      <c r="J1647" s="114" t="str">
        <f t="shared" si="761"/>
        <v/>
      </c>
      <c r="K1647" s="114" t="str">
        <f>IF(COUNTBLANK(R1647)&gt;0,"",CONCATENATE(R1647," for ",N1633))</f>
        <v/>
      </c>
      <c r="N1647" s="123" t="s">
        <v>126</v>
      </c>
      <c r="O1647" s="175"/>
      <c r="P1647" s="175"/>
      <c r="Q1647" s="175"/>
      <c r="R1647" s="175"/>
      <c r="S1647" s="174">
        <f>M1633</f>
        <v>0</v>
      </c>
      <c r="T1647" s="172"/>
      <c r="U1647" s="175" t="s">
        <v>292</v>
      </c>
      <c r="V1647" s="174">
        <f t="shared" si="753"/>
        <v>0</v>
      </c>
      <c r="W1647" s="174">
        <f>VLOOKUP(U1647,Sheet1!$B$6:$C$45,2,FALSE)*V1647</f>
        <v>0</v>
      </c>
      <c r="X1647" s="174"/>
      <c r="Y1647" s="175" t="s">
        <v>292</v>
      </c>
      <c r="Z1647" s="168">
        <f>VLOOKUP(Takeoffs!Y1647,Sheet1!$B$6:$C$124,2,FALSE)</f>
        <v>0</v>
      </c>
      <c r="AA1647" s="168">
        <f t="shared" si="754"/>
        <v>0</v>
      </c>
      <c r="AB1647" s="176">
        <f t="shared" si="755"/>
        <v>0</v>
      </c>
      <c r="AC1647" s="174">
        <f t="shared" si="756"/>
        <v>0</v>
      </c>
      <c r="AD1647" s="174">
        <v>1</v>
      </c>
      <c r="AE1647" s="174"/>
      <c r="AF1647" s="175" t="s">
        <v>292</v>
      </c>
      <c r="AG1647" s="168">
        <f>VLOOKUP(Takeoffs!AF1647,Sheet1!$B$6:$C$124,2,FALSE)</f>
        <v>0</v>
      </c>
      <c r="AH1647" s="168">
        <f t="shared" si="757"/>
        <v>0</v>
      </c>
      <c r="AI1647" s="176">
        <f t="shared" si="758"/>
        <v>0</v>
      </c>
      <c r="AJ1647" s="174">
        <f t="shared" si="759"/>
        <v>0</v>
      </c>
      <c r="AK1647" s="174">
        <f t="shared" si="760"/>
        <v>0</v>
      </c>
      <c r="AL1647" s="174"/>
      <c r="AO1647" s="286"/>
      <c r="AP1647" s="284">
        <f t="shared" si="748"/>
        <v>0</v>
      </c>
      <c r="AQ1647" s="281">
        <f t="shared" si="749"/>
        <v>0</v>
      </c>
      <c r="AR1647" s="284">
        <f t="shared" si="750"/>
        <v>0</v>
      </c>
      <c r="AS1647" s="281">
        <f t="shared" si="751"/>
        <v>0</v>
      </c>
      <c r="AT1647" s="284">
        <f t="shared" si="752"/>
        <v>0</v>
      </c>
    </row>
    <row r="1648" spans="1:46" s="114" customFormat="1" ht="30.9" x14ac:dyDescent="0.8">
      <c r="A1648" s="262">
        <f>ROW()</f>
        <v>1648</v>
      </c>
      <c r="C1648" s="208"/>
      <c r="D1648" s="208"/>
      <c r="E1648" s="208"/>
      <c r="F1648" s="208"/>
      <c r="G1648" s="208"/>
      <c r="H1648" s="208"/>
      <c r="J1648" s="114" t="str">
        <f t="shared" si="761"/>
        <v/>
      </c>
      <c r="K1648" s="114" t="str">
        <f>IF(COUNTBLANK(R1648)&gt;0,"",CONCATENATE(R1648," for ",N1633))</f>
        <v/>
      </c>
      <c r="N1648" s="123" t="s">
        <v>127</v>
      </c>
      <c r="O1648" s="175"/>
      <c r="P1648" s="175"/>
      <c r="Q1648" s="175"/>
      <c r="R1648" s="175"/>
      <c r="S1648" s="174">
        <f>M1633</f>
        <v>0</v>
      </c>
      <c r="T1648" s="172"/>
      <c r="U1648" s="175" t="s">
        <v>292</v>
      </c>
      <c r="V1648" s="174">
        <f t="shared" si="753"/>
        <v>0</v>
      </c>
      <c r="W1648" s="174">
        <f>VLOOKUP(U1648,Sheet1!$B$6:$C$45,2,FALSE)*V1648</f>
        <v>0</v>
      </c>
      <c r="X1648" s="174"/>
      <c r="Y1648" s="175" t="s">
        <v>292</v>
      </c>
      <c r="Z1648" s="168">
        <f>VLOOKUP(Takeoffs!Y1648,Sheet1!$B$6:$C$124,2,FALSE)</f>
        <v>0</v>
      </c>
      <c r="AA1648" s="168">
        <f t="shared" si="754"/>
        <v>0</v>
      </c>
      <c r="AB1648" s="176">
        <f t="shared" si="755"/>
        <v>0</v>
      </c>
      <c r="AC1648" s="174">
        <f t="shared" si="756"/>
        <v>0</v>
      </c>
      <c r="AD1648" s="174">
        <v>2</v>
      </c>
      <c r="AE1648" s="174"/>
      <c r="AF1648" s="175" t="s">
        <v>292</v>
      </c>
      <c r="AG1648" s="168">
        <f>VLOOKUP(Takeoffs!AF1648,Sheet1!$B$6:$C$124,2,FALSE)</f>
        <v>0</v>
      </c>
      <c r="AH1648" s="168">
        <f t="shared" si="757"/>
        <v>0</v>
      </c>
      <c r="AI1648" s="176">
        <f t="shared" si="758"/>
        <v>0</v>
      </c>
      <c r="AJ1648" s="174">
        <f t="shared" si="759"/>
        <v>0</v>
      </c>
      <c r="AK1648" s="174">
        <f t="shared" si="760"/>
        <v>0</v>
      </c>
      <c r="AL1648" s="174"/>
      <c r="AO1648" s="286"/>
      <c r="AP1648" s="284">
        <f t="shared" si="748"/>
        <v>0</v>
      </c>
      <c r="AQ1648" s="281">
        <f t="shared" si="749"/>
        <v>0</v>
      </c>
      <c r="AR1648" s="284">
        <f t="shared" si="750"/>
        <v>0</v>
      </c>
      <c r="AS1648" s="281">
        <f t="shared" si="751"/>
        <v>0</v>
      </c>
      <c r="AT1648" s="284">
        <f t="shared" si="752"/>
        <v>0</v>
      </c>
    </row>
    <row r="1649" spans="1:97" s="114" customFormat="1" ht="30.9" x14ac:dyDescent="0.8">
      <c r="A1649" s="262">
        <f>ROW()</f>
        <v>1649</v>
      </c>
      <c r="C1649" s="208"/>
      <c r="D1649" s="208"/>
      <c r="E1649" s="208"/>
      <c r="F1649" s="208"/>
      <c r="G1649" s="208"/>
      <c r="H1649" s="208"/>
      <c r="J1649" s="114" t="str">
        <f t="shared" si="761"/>
        <v/>
      </c>
      <c r="K1649" s="114" t="str">
        <f>IF(COUNTBLANK(R1649)&gt;0,"",CONCATENATE(R1649," for ",N1633))</f>
        <v/>
      </c>
      <c r="N1649" s="123" t="s">
        <v>128</v>
      </c>
      <c r="O1649" s="175"/>
      <c r="P1649" s="175"/>
      <c r="Q1649" s="175"/>
      <c r="R1649" s="175"/>
      <c r="S1649" s="174">
        <f>M1633</f>
        <v>0</v>
      </c>
      <c r="T1649" s="172"/>
      <c r="U1649" s="175" t="s">
        <v>292</v>
      </c>
      <c r="V1649" s="174">
        <f t="shared" si="753"/>
        <v>0</v>
      </c>
      <c r="W1649" s="174">
        <f>VLOOKUP(U1649,Sheet1!$B$6:$C$45,2,FALSE)*V1649</f>
        <v>0</v>
      </c>
      <c r="X1649" s="174"/>
      <c r="Y1649" s="175" t="s">
        <v>292</v>
      </c>
      <c r="Z1649" s="168">
        <f>VLOOKUP(Takeoffs!Y1649,Sheet1!$B$6:$C$124,2,FALSE)</f>
        <v>0</v>
      </c>
      <c r="AA1649" s="168">
        <f t="shared" si="754"/>
        <v>0</v>
      </c>
      <c r="AB1649" s="176">
        <f t="shared" si="755"/>
        <v>0</v>
      </c>
      <c r="AC1649" s="174">
        <f t="shared" si="756"/>
        <v>0</v>
      </c>
      <c r="AD1649" s="174">
        <v>1</v>
      </c>
      <c r="AE1649" s="174"/>
      <c r="AF1649" s="175" t="s">
        <v>292</v>
      </c>
      <c r="AG1649" s="168">
        <f>VLOOKUP(Takeoffs!AF1649,Sheet1!$B$6:$C$124,2,FALSE)</f>
        <v>0</v>
      </c>
      <c r="AH1649" s="168">
        <f t="shared" si="757"/>
        <v>0</v>
      </c>
      <c r="AI1649" s="176">
        <f t="shared" si="758"/>
        <v>0</v>
      </c>
      <c r="AJ1649" s="174">
        <f t="shared" si="759"/>
        <v>0</v>
      </c>
      <c r="AK1649" s="174">
        <f t="shared" si="760"/>
        <v>0</v>
      </c>
      <c r="AL1649" s="174"/>
      <c r="AO1649" s="286"/>
      <c r="AP1649" s="284">
        <f t="shared" si="748"/>
        <v>0</v>
      </c>
      <c r="AQ1649" s="281">
        <f t="shared" si="749"/>
        <v>0</v>
      </c>
      <c r="AR1649" s="284">
        <f t="shared" si="750"/>
        <v>0</v>
      </c>
      <c r="AS1649" s="281">
        <f t="shared" si="751"/>
        <v>0</v>
      </c>
      <c r="AT1649" s="284">
        <f t="shared" si="752"/>
        <v>0</v>
      </c>
    </row>
    <row r="1650" spans="1:97" s="114" customFormat="1" ht="30.9" x14ac:dyDescent="0.8">
      <c r="A1650" s="262">
        <f>ROW()</f>
        <v>1650</v>
      </c>
      <c r="C1650" s="208"/>
      <c r="D1650" s="208"/>
      <c r="E1650" s="208"/>
      <c r="F1650" s="208"/>
      <c r="G1650" s="208"/>
      <c r="H1650" s="208"/>
      <c r="J1650" s="114" t="str">
        <f t="shared" si="761"/>
        <v/>
      </c>
      <c r="K1650" s="114" t="str">
        <f>IF(COUNTBLANK(R1650)&gt;0,"",CONCATENATE(R1650," for ",N1633))</f>
        <v/>
      </c>
      <c r="N1650" s="123" t="s">
        <v>129</v>
      </c>
      <c r="O1650" s="175"/>
      <c r="P1650" s="175"/>
      <c r="Q1650" s="175"/>
      <c r="R1650" s="175"/>
      <c r="S1650" s="174">
        <f>M1633</f>
        <v>0</v>
      </c>
      <c r="T1650" s="172"/>
      <c r="U1650" s="175" t="s">
        <v>292</v>
      </c>
      <c r="V1650" s="174">
        <f t="shared" si="753"/>
        <v>0</v>
      </c>
      <c r="W1650" s="174">
        <f>VLOOKUP(U1650,Sheet1!$B$6:$C$45,2,FALSE)*V1650</f>
        <v>0</v>
      </c>
      <c r="X1650" s="174"/>
      <c r="Y1650" s="175" t="s">
        <v>292</v>
      </c>
      <c r="Z1650" s="168">
        <f>VLOOKUP(Takeoffs!Y1650,Sheet1!$B$6:$C$124,2,FALSE)</f>
        <v>0</v>
      </c>
      <c r="AA1650" s="168">
        <f t="shared" si="754"/>
        <v>0</v>
      </c>
      <c r="AB1650" s="176">
        <f t="shared" si="755"/>
        <v>0</v>
      </c>
      <c r="AC1650" s="174">
        <f t="shared" si="756"/>
        <v>0</v>
      </c>
      <c r="AD1650" s="174">
        <v>1</v>
      </c>
      <c r="AE1650" s="174"/>
      <c r="AF1650" s="175" t="s">
        <v>292</v>
      </c>
      <c r="AG1650" s="168">
        <f>VLOOKUP(Takeoffs!AF1650,Sheet1!$B$6:$C$124,2,FALSE)</f>
        <v>0</v>
      </c>
      <c r="AH1650" s="168">
        <f t="shared" si="757"/>
        <v>0</v>
      </c>
      <c r="AI1650" s="176">
        <f t="shared" si="758"/>
        <v>0</v>
      </c>
      <c r="AJ1650" s="174">
        <f t="shared" si="759"/>
        <v>0</v>
      </c>
      <c r="AK1650" s="174">
        <f t="shared" si="760"/>
        <v>0</v>
      </c>
      <c r="AL1650" s="174"/>
      <c r="AO1650" s="286"/>
      <c r="AP1650" s="284">
        <f t="shared" si="748"/>
        <v>0</v>
      </c>
      <c r="AQ1650" s="281">
        <f t="shared" si="749"/>
        <v>0</v>
      </c>
      <c r="AR1650" s="284">
        <f t="shared" si="750"/>
        <v>0</v>
      </c>
      <c r="AS1650" s="281">
        <f t="shared" si="751"/>
        <v>0</v>
      </c>
      <c r="AT1650" s="284">
        <f t="shared" si="752"/>
        <v>0</v>
      </c>
    </row>
    <row r="1651" spans="1:97" s="114" customFormat="1" ht="30.9" x14ac:dyDescent="0.8">
      <c r="A1651" s="262">
        <f>ROW()</f>
        <v>1651</v>
      </c>
      <c r="C1651" s="208"/>
      <c r="D1651" s="208"/>
      <c r="E1651" s="208"/>
      <c r="F1651" s="208"/>
      <c r="G1651" s="208"/>
      <c r="H1651" s="208"/>
      <c r="J1651" s="114" t="str">
        <f t="shared" si="761"/>
        <v/>
      </c>
      <c r="K1651" s="114" t="str">
        <f>IF(COUNTBLANK(R1651)&gt;0,"",CONCATENATE(R1651," for ",N1633))</f>
        <v/>
      </c>
      <c r="N1651" s="123" t="s">
        <v>130</v>
      </c>
      <c r="O1651" s="175"/>
      <c r="P1651" s="175"/>
      <c r="Q1651" s="175"/>
      <c r="R1651" s="175"/>
      <c r="S1651" s="174">
        <f>M1633</f>
        <v>0</v>
      </c>
      <c r="T1651" s="172"/>
      <c r="U1651" s="175" t="s">
        <v>292</v>
      </c>
      <c r="V1651" s="174">
        <f t="shared" si="753"/>
        <v>0</v>
      </c>
      <c r="W1651" s="174">
        <f>VLOOKUP(U1651,Sheet1!$B$6:$C$45,2,FALSE)*V1651</f>
        <v>0</v>
      </c>
      <c r="X1651" s="174"/>
      <c r="Y1651" s="175" t="s">
        <v>292</v>
      </c>
      <c r="Z1651" s="168">
        <f>VLOOKUP(Takeoffs!Y1651,Sheet1!$B$6:$C$124,2,FALSE)</f>
        <v>0</v>
      </c>
      <c r="AA1651" s="168">
        <f t="shared" si="754"/>
        <v>0</v>
      </c>
      <c r="AB1651" s="176">
        <f t="shared" si="755"/>
        <v>0</v>
      </c>
      <c r="AC1651" s="174">
        <f t="shared" si="756"/>
        <v>0</v>
      </c>
      <c r="AD1651" s="174">
        <v>1</v>
      </c>
      <c r="AE1651" s="174"/>
      <c r="AF1651" s="175" t="s">
        <v>292</v>
      </c>
      <c r="AG1651" s="168">
        <f>VLOOKUP(Takeoffs!AF1651,Sheet1!$B$6:$C$124,2,FALSE)</f>
        <v>0</v>
      </c>
      <c r="AH1651" s="168">
        <f t="shared" si="757"/>
        <v>0</v>
      </c>
      <c r="AI1651" s="176">
        <f t="shared" si="758"/>
        <v>0</v>
      </c>
      <c r="AJ1651" s="174">
        <f t="shared" si="759"/>
        <v>0</v>
      </c>
      <c r="AK1651" s="174">
        <f t="shared" si="760"/>
        <v>0</v>
      </c>
      <c r="AL1651" s="174"/>
      <c r="AO1651" s="286"/>
      <c r="AP1651" s="284">
        <f t="shared" si="748"/>
        <v>0</v>
      </c>
      <c r="AQ1651" s="281">
        <f t="shared" si="749"/>
        <v>0</v>
      </c>
      <c r="AR1651" s="284">
        <f t="shared" si="750"/>
        <v>0</v>
      </c>
      <c r="AS1651" s="281">
        <f t="shared" si="751"/>
        <v>0</v>
      </c>
      <c r="AT1651" s="284">
        <f t="shared" si="752"/>
        <v>0</v>
      </c>
    </row>
    <row r="1652" spans="1:97" s="114" customFormat="1" ht="30.9" x14ac:dyDescent="0.8">
      <c r="A1652" s="262">
        <f>ROW()</f>
        <v>1652</v>
      </c>
      <c r="C1652" s="208"/>
      <c r="D1652" s="208"/>
      <c r="E1652" s="208"/>
      <c r="F1652" s="208"/>
      <c r="G1652" s="208"/>
      <c r="H1652" s="208"/>
      <c r="J1652" s="114" t="str">
        <f t="shared" si="761"/>
        <v/>
      </c>
      <c r="K1652" s="114" t="str">
        <f>IF(COUNTBLANK(R1652)&gt;0,"",CONCATENATE(R1652," for ",N1633))</f>
        <v/>
      </c>
      <c r="N1652" s="123" t="s">
        <v>131</v>
      </c>
      <c r="O1652" s="175"/>
      <c r="P1652" s="175"/>
      <c r="Q1652" s="175"/>
      <c r="R1652" s="175"/>
      <c r="S1652" s="174">
        <f>M1633</f>
        <v>0</v>
      </c>
      <c r="T1652" s="172"/>
      <c r="U1652" s="175" t="s">
        <v>292</v>
      </c>
      <c r="V1652" s="174">
        <f t="shared" si="753"/>
        <v>0</v>
      </c>
      <c r="W1652" s="174">
        <f>VLOOKUP(U1652,Sheet1!$B$6:$C$45,2,FALSE)*V1652</f>
        <v>0</v>
      </c>
      <c r="X1652" s="174"/>
      <c r="Y1652" s="175" t="s">
        <v>292</v>
      </c>
      <c r="Z1652" s="168">
        <f>VLOOKUP(Takeoffs!Y1652,Sheet1!$B$6:$C$124,2,FALSE)</f>
        <v>0</v>
      </c>
      <c r="AA1652" s="168">
        <f t="shared" si="754"/>
        <v>0</v>
      </c>
      <c r="AB1652" s="176">
        <f t="shared" si="755"/>
        <v>0</v>
      </c>
      <c r="AC1652" s="174">
        <f t="shared" si="756"/>
        <v>0</v>
      </c>
      <c r="AD1652" s="174">
        <v>1</v>
      </c>
      <c r="AE1652" s="174"/>
      <c r="AF1652" s="175" t="s">
        <v>292</v>
      </c>
      <c r="AG1652" s="168">
        <f>VLOOKUP(Takeoffs!AF1652,Sheet1!$B$6:$C$124,2,FALSE)</f>
        <v>0</v>
      </c>
      <c r="AH1652" s="168">
        <f t="shared" si="757"/>
        <v>0</v>
      </c>
      <c r="AI1652" s="176">
        <f t="shared" si="758"/>
        <v>0</v>
      </c>
      <c r="AJ1652" s="174">
        <f t="shared" si="759"/>
        <v>0</v>
      </c>
      <c r="AK1652" s="174">
        <f t="shared" si="760"/>
        <v>0</v>
      </c>
      <c r="AL1652" s="174"/>
      <c r="AO1652" s="286"/>
      <c r="AP1652" s="284">
        <f t="shared" si="748"/>
        <v>0</v>
      </c>
      <c r="AQ1652" s="281">
        <f t="shared" si="749"/>
        <v>0</v>
      </c>
      <c r="AR1652" s="284">
        <f t="shared" si="750"/>
        <v>0</v>
      </c>
      <c r="AS1652" s="281">
        <f t="shared" si="751"/>
        <v>0</v>
      </c>
      <c r="AT1652" s="284">
        <f t="shared" si="752"/>
        <v>0</v>
      </c>
    </row>
    <row r="1653" spans="1:97" s="114" customFormat="1" ht="30.9" x14ac:dyDescent="0.8">
      <c r="A1653" s="262">
        <f>ROW()</f>
        <v>1653</v>
      </c>
      <c r="C1653" s="208"/>
      <c r="D1653" s="208"/>
      <c r="E1653" s="208"/>
      <c r="F1653" s="208"/>
      <c r="G1653" s="208"/>
      <c r="H1653" s="208"/>
      <c r="J1653" s="114" t="str">
        <f t="shared" si="761"/>
        <v/>
      </c>
      <c r="K1653" s="114" t="str">
        <f>IF(COUNTBLANK(R1653)&gt;0,"",CONCATENATE(R1653," for ",N1633))</f>
        <v/>
      </c>
      <c r="N1653" s="123" t="s">
        <v>132</v>
      </c>
      <c r="O1653" s="175"/>
      <c r="P1653" s="175"/>
      <c r="Q1653" s="175"/>
      <c r="R1653" s="175"/>
      <c r="S1653" s="174">
        <f>M1633</f>
        <v>0</v>
      </c>
      <c r="T1653" s="172"/>
      <c r="U1653" s="175" t="s">
        <v>292</v>
      </c>
      <c r="V1653" s="174">
        <f t="shared" si="753"/>
        <v>0</v>
      </c>
      <c r="W1653" s="174">
        <f>VLOOKUP(U1653,Sheet1!$B$6:$C$45,2,FALSE)*V1653</f>
        <v>0</v>
      </c>
      <c r="X1653" s="174"/>
      <c r="Y1653" s="175" t="s">
        <v>292</v>
      </c>
      <c r="Z1653" s="168">
        <f>VLOOKUP(Takeoffs!Y1653,Sheet1!$B$6:$C$124,2,FALSE)</f>
        <v>0</v>
      </c>
      <c r="AA1653" s="168">
        <f t="shared" si="754"/>
        <v>0</v>
      </c>
      <c r="AB1653" s="176">
        <f t="shared" si="755"/>
        <v>0</v>
      </c>
      <c r="AC1653" s="174">
        <f t="shared" si="756"/>
        <v>0</v>
      </c>
      <c r="AD1653" s="174">
        <v>1</v>
      </c>
      <c r="AE1653" s="174"/>
      <c r="AF1653" s="175" t="s">
        <v>292</v>
      </c>
      <c r="AG1653" s="168">
        <f>VLOOKUP(Takeoffs!AF1653,Sheet1!$B$6:$C$124,2,FALSE)</f>
        <v>0</v>
      </c>
      <c r="AH1653" s="168">
        <f t="shared" si="757"/>
        <v>0</v>
      </c>
      <c r="AI1653" s="176">
        <f t="shared" si="758"/>
        <v>0</v>
      </c>
      <c r="AJ1653" s="174">
        <f t="shared" si="759"/>
        <v>0</v>
      </c>
      <c r="AK1653" s="174">
        <f t="shared" si="760"/>
        <v>0</v>
      </c>
      <c r="AL1653" s="174"/>
      <c r="AO1653" s="286"/>
      <c r="AP1653" s="284">
        <f t="shared" si="748"/>
        <v>0</v>
      </c>
      <c r="AQ1653" s="281">
        <f t="shared" si="749"/>
        <v>0</v>
      </c>
      <c r="AR1653" s="284">
        <f t="shared" si="750"/>
        <v>0</v>
      </c>
      <c r="AS1653" s="281">
        <f t="shared" si="751"/>
        <v>0</v>
      </c>
      <c r="AT1653" s="284">
        <f t="shared" si="752"/>
        <v>0</v>
      </c>
    </row>
    <row r="1654" spans="1:97" s="128" customFormat="1" ht="31.5" customHeight="1" x14ac:dyDescent="0.8">
      <c r="A1654" s="262">
        <f>ROW()</f>
        <v>1654</v>
      </c>
      <c r="C1654" s="212"/>
      <c r="D1654" s="212"/>
      <c r="E1654" s="212"/>
      <c r="F1654" s="212"/>
      <c r="G1654" s="212"/>
      <c r="H1654" s="212"/>
      <c r="J1654" s="128" t="s">
        <v>377</v>
      </c>
      <c r="L1654" s="128" t="s">
        <v>378</v>
      </c>
      <c r="N1654" s="129"/>
      <c r="O1654" s="175" t="s">
        <v>357</v>
      </c>
      <c r="P1654" s="172">
        <f>P1655*M1633</f>
        <v>0</v>
      </c>
      <c r="Q1654" s="172"/>
      <c r="R1654" s="172"/>
      <c r="S1654" s="175"/>
      <c r="T1654" s="172"/>
      <c r="U1654" s="175" t="s">
        <v>351</v>
      </c>
      <c r="V1654" s="172">
        <f>W1654*80</f>
        <v>0</v>
      </c>
      <c r="W1654" s="177">
        <f>SUM(W1633:W1653)</f>
        <v>0</v>
      </c>
      <c r="X1654" s="178"/>
      <c r="Y1654" s="172" t="s">
        <v>352</v>
      </c>
      <c r="Z1654" s="168"/>
      <c r="AA1654" s="168">
        <f>SUM(AA1633:AA1653)</f>
        <v>0</v>
      </c>
      <c r="AB1654" s="179"/>
      <c r="AC1654" s="179"/>
      <c r="AD1654" s="179"/>
      <c r="AE1654" s="179"/>
      <c r="AF1654" s="172" t="s">
        <v>356</v>
      </c>
      <c r="AG1654" s="168"/>
      <c r="AH1654" s="168">
        <f>SUM(AH1633:AH1653)</f>
        <v>0</v>
      </c>
      <c r="AI1654" s="179"/>
      <c r="AJ1654" s="179"/>
      <c r="AK1654" s="179"/>
      <c r="AL1654" s="179"/>
      <c r="AM1654" s="150">
        <f>P1654</f>
        <v>0</v>
      </c>
      <c r="AO1654" s="286"/>
      <c r="AP1654" s="284">
        <f t="shared" si="748"/>
        <v>0</v>
      </c>
      <c r="AQ1654" s="281">
        <f t="shared" si="749"/>
        <v>0</v>
      </c>
      <c r="AR1654" s="284">
        <f t="shared" si="750"/>
        <v>0</v>
      </c>
      <c r="AS1654" s="281">
        <f t="shared" si="751"/>
        <v>0</v>
      </c>
      <c r="AT1654" s="284">
        <f t="shared" si="752"/>
        <v>0</v>
      </c>
    </row>
    <row r="1655" spans="1:97" s="234" customFormat="1" ht="92.6" x14ac:dyDescent="0.8">
      <c r="A1655" s="262">
        <f>ROW()</f>
        <v>1655</v>
      </c>
      <c r="B1655" s="234" t="s">
        <v>491</v>
      </c>
      <c r="C1655" s="217" t="str">
        <f>N1633</f>
        <v>Small Coolingwater Aircooled Chillers - from Chiller MSSB</v>
      </c>
      <c r="D1655" s="260" t="str">
        <f>IF(B1655="Shopping List",IF(ISNUMBER(SEARCH("MSSB",C1655)),"MSSB",IF(ISNUMBER(SEARCH("local",C1655)),"LOCAL","")))</f>
        <v>MSSB</v>
      </c>
      <c r="E1655" s="238"/>
      <c r="F1655" s="217"/>
      <c r="G1655" s="217"/>
      <c r="H1655" s="245">
        <v>2</v>
      </c>
      <c r="I1655" s="270"/>
      <c r="J1655" s="241" t="str">
        <f>CONCATENATE(O1633," ",L1633, " (",M1633,") ",N1633,".", IF(M1633&gt;1," Each "," This "),"includes supply and install of ",O1634,O1635,O1636,O1637,O1638,O1639,O1640,O1641,O1642,O1643,O1644,O1645,O1646,O1647,O1648,O1649,O1650,O1651,O1652,O1653,J1634,J1635,J1636,J1637,J1638,J1639,J1640,J1641,J1642,J1643,J1644,J1645,J1646,J1647,J1648,J1649,J1650,J1651,J1652,J1653)</f>
        <v xml:space="preserve">Electrical power supply to Zero (0) Small Coolingwater Aircooled Chillers - from Chiller MSSB. This includes supply and install of Cabling to chiller, cable ladder with mechanical protection, trefolyte labelling, and commissioning/testing. </v>
      </c>
      <c r="K1655" s="246">
        <f>P1654</f>
        <v>0</v>
      </c>
      <c r="L1655" s="234" t="str">
        <f>CONCATENATE(Q1634,Q1635,Q1636,Q1637,Q1638,Q1639,Q1640,Q1641,Q1642,Q1643,Q1644,Q1645,Q1646,Q1647,Q1648,Q1649,Q1650,Q1651,Q1652,Q1653,)</f>
        <v/>
      </c>
      <c r="M1655" s="166" t="s">
        <v>367</v>
      </c>
      <c r="N1655" s="160" t="str">
        <f>N1633</f>
        <v>Small Coolingwater Aircooled Chillers - from Chiller MSSB</v>
      </c>
      <c r="O1655" s="175" t="s">
        <v>365</v>
      </c>
      <c r="P1655" s="64">
        <v>1000</v>
      </c>
      <c r="Q1655" s="172"/>
      <c r="R1655" s="172"/>
      <c r="S1655" s="175"/>
      <c r="T1655" s="172"/>
      <c r="U1655" s="505" t="s">
        <v>366</v>
      </c>
      <c r="V1655" s="505"/>
      <c r="W1655" s="177" t="e">
        <f>W1654/M1633</f>
        <v>#DIV/0!</v>
      </c>
      <c r="X1655" s="178"/>
      <c r="Y1655" s="506" t="s">
        <v>365</v>
      </c>
      <c r="Z1655" s="506"/>
      <c r="AA1655" s="181" t="e">
        <f>AA1654/M1633</f>
        <v>#DIV/0!</v>
      </c>
      <c r="AB1655" s="172"/>
      <c r="AC1655" s="172"/>
      <c r="AD1655" s="172"/>
      <c r="AE1655" s="172"/>
      <c r="AF1655" s="506" t="s">
        <v>365</v>
      </c>
      <c r="AG1655" s="506"/>
      <c r="AH1655" s="181" t="e">
        <f>AH1654/M1633</f>
        <v>#DIV/0!</v>
      </c>
      <c r="AI1655" s="172"/>
      <c r="AJ1655" s="172"/>
      <c r="AK1655" s="172"/>
      <c r="AL1655" s="250"/>
      <c r="AM1655" s="257"/>
      <c r="AN1655" s="236">
        <f>K1655*1.25</f>
        <v>0</v>
      </c>
      <c r="AO1655" s="286"/>
      <c r="AP1655" s="284">
        <f t="shared" si="748"/>
        <v>0</v>
      </c>
      <c r="AQ1655" s="281">
        <f t="shared" si="749"/>
        <v>0</v>
      </c>
      <c r="AR1655" s="284">
        <f t="shared" si="750"/>
        <v>0</v>
      </c>
      <c r="AS1655" s="281">
        <f t="shared" si="751"/>
        <v>0</v>
      </c>
      <c r="AT1655" s="284">
        <f t="shared" si="752"/>
        <v>0</v>
      </c>
      <c r="AU1655" s="117"/>
      <c r="AV1655" s="117"/>
      <c r="AW1655" s="117"/>
      <c r="AX1655" s="117"/>
      <c r="AY1655" s="117"/>
      <c r="AZ1655" s="117"/>
      <c r="BA1655" s="117"/>
      <c r="BB1655" s="117"/>
      <c r="BC1655" s="117"/>
      <c r="BD1655" s="117"/>
      <c r="BE1655" s="117"/>
      <c r="BF1655" s="117"/>
      <c r="BG1655" s="117"/>
      <c r="BH1655" s="117"/>
      <c r="BI1655" s="117"/>
      <c r="BJ1655" s="117"/>
      <c r="BK1655" s="117"/>
      <c r="BL1655" s="117"/>
      <c r="BM1655" s="117"/>
      <c r="BN1655" s="117"/>
      <c r="BO1655" s="117"/>
      <c r="BP1655" s="117"/>
      <c r="BQ1655" s="117"/>
      <c r="BR1655" s="117"/>
      <c r="BS1655" s="117"/>
      <c r="BT1655" s="117"/>
      <c r="BU1655" s="117"/>
      <c r="BV1655" s="117"/>
      <c r="BW1655" s="117"/>
      <c r="BX1655" s="117"/>
      <c r="BY1655" s="117"/>
      <c r="BZ1655" s="117"/>
      <c r="CA1655" s="117"/>
      <c r="CB1655" s="117"/>
      <c r="CC1655" s="117"/>
      <c r="CD1655" s="117"/>
      <c r="CE1655" s="117"/>
      <c r="CF1655" s="117"/>
      <c r="CG1655" s="117"/>
      <c r="CH1655" s="117"/>
      <c r="CI1655" s="117"/>
      <c r="CJ1655" s="117"/>
      <c r="CK1655" s="117"/>
      <c r="CL1655" s="117"/>
      <c r="CM1655" s="117"/>
      <c r="CN1655" s="117"/>
      <c r="CO1655" s="117"/>
      <c r="CP1655" s="117"/>
      <c r="CQ1655" s="117"/>
      <c r="CR1655" s="117"/>
      <c r="CS1655" s="117"/>
    </row>
    <row r="1656" spans="1:97" s="116" customFormat="1" ht="192.75" customHeight="1" x14ac:dyDescent="0.8">
      <c r="A1656" s="262">
        <f>ROW()</f>
        <v>1656</v>
      </c>
      <c r="C1656" s="211"/>
      <c r="D1656" s="211"/>
      <c r="E1656" s="211"/>
      <c r="F1656" s="211"/>
      <c r="G1656" s="211"/>
      <c r="H1656" s="211"/>
      <c r="K1656" s="116" t="s">
        <v>452</v>
      </c>
      <c r="M1656" s="116" t="s">
        <v>107</v>
      </c>
      <c r="N1656" s="116" t="s">
        <v>108</v>
      </c>
      <c r="O1656" s="170" t="s">
        <v>386</v>
      </c>
      <c r="P1656" s="502" t="s">
        <v>375</v>
      </c>
      <c r="Q1656" s="502"/>
      <c r="R1656" s="101" t="s">
        <v>452</v>
      </c>
      <c r="S1656" s="116" t="s">
        <v>0</v>
      </c>
      <c r="T1656" s="118"/>
      <c r="U1656" s="116" t="s">
        <v>287</v>
      </c>
      <c r="V1656" s="116" t="s">
        <v>288</v>
      </c>
      <c r="W1656" s="116" t="s">
        <v>291</v>
      </c>
      <c r="X1656" s="140"/>
      <c r="Y1656" s="116" t="s">
        <v>289</v>
      </c>
      <c r="Z1656" s="116" t="s">
        <v>354</v>
      </c>
      <c r="AA1656" s="116" t="s">
        <v>355</v>
      </c>
      <c r="AB1656" s="116" t="s">
        <v>317</v>
      </c>
      <c r="AC1656" s="116" t="s">
        <v>318</v>
      </c>
      <c r="AD1656" s="116" t="s">
        <v>316</v>
      </c>
      <c r="AE1656" s="140"/>
      <c r="AF1656" s="116" t="s">
        <v>293</v>
      </c>
      <c r="AG1656" s="116" t="s">
        <v>354</v>
      </c>
      <c r="AH1656" s="116" t="s">
        <v>355</v>
      </c>
      <c r="AI1656" s="116" t="s">
        <v>296</v>
      </c>
      <c r="AJ1656" s="116" t="s">
        <v>294</v>
      </c>
      <c r="AK1656" s="116" t="s">
        <v>295</v>
      </c>
      <c r="AL1656" s="140"/>
      <c r="AO1656" s="288"/>
      <c r="AP1656" s="284">
        <f t="shared" si="748"/>
        <v>0</v>
      </c>
      <c r="AQ1656" s="281">
        <f t="shared" si="749"/>
        <v>0</v>
      </c>
      <c r="AR1656" s="284">
        <f t="shared" si="750"/>
        <v>0</v>
      </c>
      <c r="AS1656" s="281">
        <f t="shared" si="751"/>
        <v>0</v>
      </c>
      <c r="AT1656" s="284">
        <f t="shared" si="752"/>
        <v>0</v>
      </c>
    </row>
    <row r="1657" spans="1:97" s="114" customFormat="1" ht="40.5" customHeight="1" x14ac:dyDescent="0.8">
      <c r="A1657" s="262">
        <f>ROW()</f>
        <v>1657</v>
      </c>
      <c r="C1657" s="208"/>
      <c r="D1657" s="208"/>
      <c r="E1657" s="208"/>
      <c r="F1657" s="208"/>
      <c r="G1657" s="208"/>
      <c r="H1657" s="208"/>
      <c r="L1657" s="124" t="str">
        <f>VLOOKUP(M1657,Sheet2!$D$2:$E$1024,2,FALSE)</f>
        <v>Zero</v>
      </c>
      <c r="M1657" s="121">
        <f>I1679</f>
        <v>0</v>
      </c>
      <c r="N1657" s="132" t="s">
        <v>562</v>
      </c>
      <c r="O1657" s="175" t="s">
        <v>133</v>
      </c>
      <c r="P1657" s="173" t="s">
        <v>379</v>
      </c>
      <c r="Q1657" s="173" t="s">
        <v>375</v>
      </c>
      <c r="R1657" s="173"/>
      <c r="S1657" s="174">
        <f>M1657</f>
        <v>0</v>
      </c>
      <c r="T1657" s="175"/>
      <c r="U1657" s="175" t="s">
        <v>292</v>
      </c>
      <c r="V1657" s="174">
        <f>S1657</f>
        <v>0</v>
      </c>
      <c r="W1657" s="174">
        <f>VLOOKUP(U1657,Sheet1!$B$6:$C$45,2,FALSE)*V1657</f>
        <v>0</v>
      </c>
      <c r="X1657" s="174"/>
      <c r="Y1657" s="175" t="s">
        <v>292</v>
      </c>
      <c r="Z1657" s="168">
        <f>VLOOKUP(Takeoffs!Y1657,Sheet1!$B$6:$C$124,2,FALSE)</f>
        <v>0</v>
      </c>
      <c r="AA1657" s="168">
        <f>Z1657*AB1657</f>
        <v>0</v>
      </c>
      <c r="AB1657" s="176">
        <f>AD1657*AC1657</f>
        <v>0</v>
      </c>
      <c r="AC1657" s="174">
        <f>S1657</f>
        <v>0</v>
      </c>
      <c r="AD1657" s="174">
        <v>1</v>
      </c>
      <c r="AE1657" s="174"/>
      <c r="AF1657" s="175" t="s">
        <v>292</v>
      </c>
      <c r="AG1657" s="168">
        <f>VLOOKUP(Takeoffs!AF1657,Sheet1!$B$6:$C$124,2,FALSE)</f>
        <v>0</v>
      </c>
      <c r="AH1657" s="168">
        <f>AG1657*AI1657</f>
        <v>0</v>
      </c>
      <c r="AI1657" s="176">
        <f>AK1657*AJ1657</f>
        <v>0</v>
      </c>
      <c r="AJ1657" s="174">
        <f>S1657</f>
        <v>0</v>
      </c>
      <c r="AK1657" s="174">
        <f>T1657</f>
        <v>0</v>
      </c>
      <c r="AL1657" s="174"/>
      <c r="AO1657" s="286"/>
      <c r="AP1657" s="284">
        <f t="shared" si="748"/>
        <v>0</v>
      </c>
      <c r="AQ1657" s="281">
        <f t="shared" si="749"/>
        <v>0</v>
      </c>
      <c r="AR1657" s="284">
        <f t="shared" si="750"/>
        <v>0</v>
      </c>
      <c r="AS1657" s="281">
        <f t="shared" si="751"/>
        <v>0</v>
      </c>
      <c r="AT1657" s="284">
        <f t="shared" si="752"/>
        <v>0</v>
      </c>
    </row>
    <row r="1658" spans="1:97" s="114" customFormat="1" ht="30.9" x14ac:dyDescent="0.8">
      <c r="A1658" s="262">
        <f>ROW()</f>
        <v>1658</v>
      </c>
      <c r="C1658" s="208"/>
      <c r="D1658" s="208"/>
      <c r="E1658" s="208"/>
      <c r="F1658" s="208"/>
      <c r="G1658" s="208"/>
      <c r="H1658" s="208"/>
      <c r="J1658" s="114" t="str">
        <f>IF(COUNTBLANK(Q1658)&gt;0,"",CONCATENATE("Coordination Note: - ",P1658,": Please refer to our exclusions relating to ",Q1658))</f>
        <v/>
      </c>
      <c r="K1658" s="114" t="str">
        <f>IF(COUNTBLANK(R1658)&gt;0,"",CONCATENATE(R1658," for ",N1657))</f>
        <v/>
      </c>
      <c r="M1658" s="117"/>
      <c r="N1658" s="123" t="s">
        <v>113</v>
      </c>
      <c r="O1658" s="175"/>
      <c r="P1658" s="175"/>
      <c r="Q1658" s="175"/>
      <c r="R1658" s="175"/>
      <c r="S1658" s="174">
        <f>M1657</f>
        <v>0</v>
      </c>
      <c r="T1658" s="172"/>
      <c r="U1658" s="175" t="s">
        <v>292</v>
      </c>
      <c r="V1658" s="174">
        <f t="shared" ref="V1658:V1677" si="762">S1658</f>
        <v>0</v>
      </c>
      <c r="W1658" s="174">
        <f>VLOOKUP(U1658,Sheet1!$B$6:$C$45,2,FALSE)*V1658</f>
        <v>0</v>
      </c>
      <c r="X1658" s="174"/>
      <c r="Y1658" s="175" t="s">
        <v>292</v>
      </c>
      <c r="Z1658" s="168">
        <f>VLOOKUP(Takeoffs!Y1658,Sheet1!$B$6:$C$124,2,FALSE)</f>
        <v>0</v>
      </c>
      <c r="AA1658" s="168">
        <f t="shared" ref="AA1658:AA1677" si="763">Z1658*AB1658</f>
        <v>0</v>
      </c>
      <c r="AB1658" s="176">
        <f t="shared" ref="AB1658:AB1677" si="764">AD1658*AC1658</f>
        <v>0</v>
      </c>
      <c r="AC1658" s="174">
        <f t="shared" ref="AC1658:AC1677" si="765">S1658</f>
        <v>0</v>
      </c>
      <c r="AD1658" s="174">
        <v>1</v>
      </c>
      <c r="AE1658" s="174"/>
      <c r="AF1658" s="175" t="s">
        <v>292</v>
      </c>
      <c r="AG1658" s="168">
        <f>VLOOKUP(Takeoffs!AF1658,Sheet1!$B$6:$C$124,2,FALSE)</f>
        <v>0</v>
      </c>
      <c r="AH1658" s="168">
        <f t="shared" ref="AH1658:AH1677" si="766">AG1658*AI1658</f>
        <v>0</v>
      </c>
      <c r="AI1658" s="176">
        <f t="shared" ref="AI1658:AI1677" si="767">AK1658*AJ1658</f>
        <v>0</v>
      </c>
      <c r="AJ1658" s="174">
        <f t="shared" ref="AJ1658:AJ1677" si="768">S1658</f>
        <v>0</v>
      </c>
      <c r="AK1658" s="174">
        <f t="shared" ref="AK1658:AK1677" si="769">T1658</f>
        <v>0</v>
      </c>
      <c r="AL1658" s="174"/>
      <c r="AO1658" s="286"/>
      <c r="AP1658" s="284">
        <f t="shared" si="748"/>
        <v>0</v>
      </c>
      <c r="AQ1658" s="281">
        <f t="shared" si="749"/>
        <v>0</v>
      </c>
      <c r="AR1658" s="284">
        <f t="shared" si="750"/>
        <v>0</v>
      </c>
      <c r="AS1658" s="281">
        <f t="shared" si="751"/>
        <v>0</v>
      </c>
      <c r="AT1658" s="284">
        <f t="shared" si="752"/>
        <v>0</v>
      </c>
    </row>
    <row r="1659" spans="1:97" s="114" customFormat="1" ht="30.9" x14ac:dyDescent="0.8">
      <c r="A1659" s="262">
        <f>ROW()</f>
        <v>1659</v>
      </c>
      <c r="C1659" s="208"/>
      <c r="D1659" s="208"/>
      <c r="E1659" s="208"/>
      <c r="F1659" s="208"/>
      <c r="G1659" s="208"/>
      <c r="H1659" s="208"/>
      <c r="J1659" s="114" t="str">
        <f t="shared" ref="J1659:J1677" si="770">IF(COUNTBLANK(Q1659)&gt;0,"",CONCATENATE("Coordination Note: - ",P1659,": Please refer to our exclusions relating to ",Q1659))</f>
        <v/>
      </c>
      <c r="K1659" s="114" t="str">
        <f>IF(COUNTBLANK(R1659)&gt;0,"",CONCATENATE(R1659," for ",N1657))</f>
        <v/>
      </c>
      <c r="M1659" s="117"/>
      <c r="N1659" s="123" t="s">
        <v>114</v>
      </c>
      <c r="O1659" s="175"/>
      <c r="P1659" s="175"/>
      <c r="Q1659" s="175"/>
      <c r="R1659" s="175"/>
      <c r="S1659" s="174">
        <f>M1657</f>
        <v>0</v>
      </c>
      <c r="T1659" s="172"/>
      <c r="U1659" s="175" t="s">
        <v>292</v>
      </c>
      <c r="V1659" s="174">
        <f t="shared" si="762"/>
        <v>0</v>
      </c>
      <c r="W1659" s="174">
        <f>VLOOKUP(U1659,Sheet1!$B$6:$C$45,2,FALSE)*V1659</f>
        <v>0</v>
      </c>
      <c r="X1659" s="174"/>
      <c r="Y1659" s="175" t="s">
        <v>292</v>
      </c>
      <c r="Z1659" s="168">
        <f>VLOOKUP(Takeoffs!Y1659,Sheet1!$B$6:$C$124,2,FALSE)</f>
        <v>0</v>
      </c>
      <c r="AA1659" s="168">
        <f t="shared" si="763"/>
        <v>0</v>
      </c>
      <c r="AB1659" s="176">
        <f t="shared" si="764"/>
        <v>0</v>
      </c>
      <c r="AC1659" s="174">
        <f t="shared" si="765"/>
        <v>0</v>
      </c>
      <c r="AD1659" s="174">
        <v>1</v>
      </c>
      <c r="AE1659" s="174"/>
      <c r="AF1659" s="175" t="s">
        <v>292</v>
      </c>
      <c r="AG1659" s="168">
        <f>VLOOKUP(Takeoffs!AF1659,Sheet1!$B$6:$C$124,2,FALSE)</f>
        <v>0</v>
      </c>
      <c r="AH1659" s="168">
        <f t="shared" si="766"/>
        <v>0</v>
      </c>
      <c r="AI1659" s="176">
        <f t="shared" si="767"/>
        <v>0</v>
      </c>
      <c r="AJ1659" s="174">
        <f t="shared" si="768"/>
        <v>0</v>
      </c>
      <c r="AK1659" s="174">
        <f t="shared" si="769"/>
        <v>0</v>
      </c>
      <c r="AL1659" s="174"/>
      <c r="AO1659" s="286"/>
      <c r="AP1659" s="284">
        <f t="shared" si="748"/>
        <v>0</v>
      </c>
      <c r="AQ1659" s="281">
        <f t="shared" si="749"/>
        <v>0</v>
      </c>
      <c r="AR1659" s="284">
        <f t="shared" si="750"/>
        <v>0</v>
      </c>
      <c r="AS1659" s="281">
        <f t="shared" si="751"/>
        <v>0</v>
      </c>
      <c r="AT1659" s="284">
        <f t="shared" si="752"/>
        <v>0</v>
      </c>
    </row>
    <row r="1660" spans="1:97" s="114" customFormat="1" ht="30.9" x14ac:dyDescent="0.8">
      <c r="A1660" s="262">
        <f>ROW()</f>
        <v>1660</v>
      </c>
      <c r="C1660" s="208"/>
      <c r="D1660" s="208"/>
      <c r="E1660" s="208"/>
      <c r="F1660" s="208"/>
      <c r="G1660" s="208"/>
      <c r="H1660" s="208"/>
      <c r="J1660" s="114" t="str">
        <f t="shared" si="770"/>
        <v/>
      </c>
      <c r="K1660" s="114" t="str">
        <f>IF(COUNTBLANK(R1660)&gt;0,"",CONCATENATE(R1660," for ",N1657))</f>
        <v/>
      </c>
      <c r="M1660" s="117"/>
      <c r="N1660" s="123" t="s">
        <v>115</v>
      </c>
      <c r="O1660" s="175" t="s">
        <v>530</v>
      </c>
      <c r="P1660" s="175"/>
      <c r="Q1660" s="175"/>
      <c r="R1660" s="175"/>
      <c r="S1660" s="174">
        <f>M1657</f>
        <v>0</v>
      </c>
      <c r="T1660" s="172"/>
      <c r="U1660" s="175" t="s">
        <v>292</v>
      </c>
      <c r="V1660" s="174">
        <f t="shared" si="762"/>
        <v>0</v>
      </c>
      <c r="W1660" s="174">
        <f>VLOOKUP(U1660,Sheet1!$B$6:$C$45,2,FALSE)*V1660</f>
        <v>0</v>
      </c>
      <c r="X1660" s="174"/>
      <c r="Y1660" s="175" t="s">
        <v>292</v>
      </c>
      <c r="Z1660" s="168">
        <f>VLOOKUP(Takeoffs!Y1660,Sheet1!$B$6:$C$124,2,FALSE)</f>
        <v>0</v>
      </c>
      <c r="AA1660" s="168">
        <f t="shared" si="763"/>
        <v>0</v>
      </c>
      <c r="AB1660" s="176">
        <f t="shared" si="764"/>
        <v>0</v>
      </c>
      <c r="AC1660" s="174">
        <f t="shared" si="765"/>
        <v>0</v>
      </c>
      <c r="AD1660" s="174">
        <v>1</v>
      </c>
      <c r="AE1660" s="174"/>
      <c r="AF1660" s="175" t="s">
        <v>292</v>
      </c>
      <c r="AG1660" s="168">
        <f>VLOOKUP(Takeoffs!AF1660,Sheet1!$B$6:$C$124,2,FALSE)</f>
        <v>0</v>
      </c>
      <c r="AH1660" s="168">
        <f t="shared" si="766"/>
        <v>0</v>
      </c>
      <c r="AI1660" s="176">
        <f t="shared" si="767"/>
        <v>0</v>
      </c>
      <c r="AJ1660" s="174">
        <f t="shared" si="768"/>
        <v>0</v>
      </c>
      <c r="AK1660" s="174">
        <f t="shared" si="769"/>
        <v>0</v>
      </c>
      <c r="AL1660" s="174"/>
      <c r="AO1660" s="286"/>
      <c r="AP1660" s="284">
        <f t="shared" si="748"/>
        <v>0</v>
      </c>
      <c r="AQ1660" s="281">
        <f t="shared" si="749"/>
        <v>0</v>
      </c>
      <c r="AR1660" s="284">
        <f t="shared" si="750"/>
        <v>0</v>
      </c>
      <c r="AS1660" s="281">
        <f t="shared" si="751"/>
        <v>0</v>
      </c>
      <c r="AT1660" s="284">
        <f t="shared" si="752"/>
        <v>0</v>
      </c>
    </row>
    <row r="1661" spans="1:97" s="114" customFormat="1" ht="30.9" x14ac:dyDescent="0.8">
      <c r="A1661" s="262">
        <f>ROW()</f>
        <v>1661</v>
      </c>
      <c r="C1661" s="208"/>
      <c r="D1661" s="208"/>
      <c r="E1661" s="208"/>
      <c r="F1661" s="208"/>
      <c r="G1661" s="208"/>
      <c r="H1661" s="208"/>
      <c r="J1661" s="114" t="str">
        <f t="shared" si="770"/>
        <v/>
      </c>
      <c r="K1661" s="114" t="str">
        <f>IF(COUNTBLANK(R1661)&gt;0,"",CONCATENATE(R1661," for ",N1657))</f>
        <v/>
      </c>
      <c r="M1661" s="117"/>
      <c r="N1661" s="123" t="s">
        <v>116</v>
      </c>
      <c r="O1661" s="175" t="s">
        <v>531</v>
      </c>
      <c r="P1661" s="175"/>
      <c r="Q1661" s="175"/>
      <c r="R1661" s="175"/>
      <c r="S1661" s="174">
        <f>M1657</f>
        <v>0</v>
      </c>
      <c r="T1661" s="172"/>
      <c r="U1661" s="175" t="s">
        <v>292</v>
      </c>
      <c r="V1661" s="174">
        <f t="shared" si="762"/>
        <v>0</v>
      </c>
      <c r="W1661" s="174">
        <f>VLOOKUP(U1661,Sheet1!$B$6:$C$45,2,FALSE)*V1661</f>
        <v>0</v>
      </c>
      <c r="X1661" s="174"/>
      <c r="Y1661" s="175" t="s">
        <v>292</v>
      </c>
      <c r="Z1661" s="168">
        <f>VLOOKUP(Takeoffs!Y1661,Sheet1!$B$6:$C$124,2,FALSE)</f>
        <v>0</v>
      </c>
      <c r="AA1661" s="168">
        <f t="shared" si="763"/>
        <v>0</v>
      </c>
      <c r="AB1661" s="176">
        <f t="shared" si="764"/>
        <v>0</v>
      </c>
      <c r="AC1661" s="174">
        <f t="shared" si="765"/>
        <v>0</v>
      </c>
      <c r="AD1661" s="174">
        <v>1</v>
      </c>
      <c r="AE1661" s="174"/>
      <c r="AF1661" s="175" t="s">
        <v>292</v>
      </c>
      <c r="AG1661" s="168">
        <f>VLOOKUP(Takeoffs!AF1661,Sheet1!$B$6:$C$124,2,FALSE)</f>
        <v>0</v>
      </c>
      <c r="AH1661" s="168">
        <f t="shared" si="766"/>
        <v>0</v>
      </c>
      <c r="AI1661" s="176">
        <f t="shared" si="767"/>
        <v>0</v>
      </c>
      <c r="AJ1661" s="174">
        <f t="shared" si="768"/>
        <v>0</v>
      </c>
      <c r="AK1661" s="174">
        <f t="shared" si="769"/>
        <v>0</v>
      </c>
      <c r="AL1661" s="174"/>
      <c r="AO1661" s="286"/>
      <c r="AP1661" s="284">
        <f t="shared" si="748"/>
        <v>0</v>
      </c>
      <c r="AQ1661" s="281">
        <f t="shared" si="749"/>
        <v>0</v>
      </c>
      <c r="AR1661" s="284">
        <f t="shared" si="750"/>
        <v>0</v>
      </c>
      <c r="AS1661" s="281">
        <f t="shared" si="751"/>
        <v>0</v>
      </c>
      <c r="AT1661" s="284">
        <f t="shared" si="752"/>
        <v>0</v>
      </c>
    </row>
    <row r="1662" spans="1:97" s="114" customFormat="1" ht="30.9" x14ac:dyDescent="0.8">
      <c r="A1662" s="262">
        <f>ROW()</f>
        <v>1662</v>
      </c>
      <c r="C1662" s="208"/>
      <c r="D1662" s="208"/>
      <c r="E1662" s="208"/>
      <c r="F1662" s="208"/>
      <c r="G1662" s="208"/>
      <c r="H1662" s="208"/>
      <c r="J1662" s="114" t="str">
        <f t="shared" si="770"/>
        <v/>
      </c>
      <c r="K1662" s="114" t="str">
        <f>IF(COUNTBLANK(R1662)&gt;0,"",CONCATENATE(R1662," for ",N1657))</f>
        <v/>
      </c>
      <c r="M1662" s="117"/>
      <c r="N1662" s="123" t="s">
        <v>117</v>
      </c>
      <c r="O1662" s="175" t="s">
        <v>407</v>
      </c>
      <c r="P1662" s="175"/>
      <c r="Q1662" s="175"/>
      <c r="R1662" s="175"/>
      <c r="S1662" s="174">
        <f>M1657</f>
        <v>0</v>
      </c>
      <c r="T1662" s="172"/>
      <c r="U1662" s="175" t="s">
        <v>292</v>
      </c>
      <c r="V1662" s="174">
        <f t="shared" si="762"/>
        <v>0</v>
      </c>
      <c r="W1662" s="174">
        <f>VLOOKUP(U1662,Sheet1!$B$6:$C$45,2,FALSE)*V1662</f>
        <v>0</v>
      </c>
      <c r="X1662" s="174"/>
      <c r="Y1662" s="175" t="s">
        <v>292</v>
      </c>
      <c r="Z1662" s="168">
        <f>VLOOKUP(Takeoffs!Y1662,Sheet1!$B$6:$C$124,2,FALSE)</f>
        <v>0</v>
      </c>
      <c r="AA1662" s="168">
        <f t="shared" si="763"/>
        <v>0</v>
      </c>
      <c r="AB1662" s="176">
        <f t="shared" si="764"/>
        <v>0</v>
      </c>
      <c r="AC1662" s="174">
        <f t="shared" si="765"/>
        <v>0</v>
      </c>
      <c r="AD1662" s="174">
        <v>1</v>
      </c>
      <c r="AE1662" s="174"/>
      <c r="AF1662" s="175" t="s">
        <v>292</v>
      </c>
      <c r="AG1662" s="168">
        <f>VLOOKUP(Takeoffs!AF1662,Sheet1!$B$6:$C$124,2,FALSE)</f>
        <v>0</v>
      </c>
      <c r="AH1662" s="168">
        <f t="shared" si="766"/>
        <v>0</v>
      </c>
      <c r="AI1662" s="176">
        <f t="shared" si="767"/>
        <v>0</v>
      </c>
      <c r="AJ1662" s="174">
        <f t="shared" si="768"/>
        <v>0</v>
      </c>
      <c r="AK1662" s="174">
        <f t="shared" si="769"/>
        <v>0</v>
      </c>
      <c r="AL1662" s="174"/>
      <c r="AO1662" s="286"/>
      <c r="AP1662" s="284">
        <f t="shared" si="748"/>
        <v>0</v>
      </c>
      <c r="AQ1662" s="281">
        <f t="shared" si="749"/>
        <v>0</v>
      </c>
      <c r="AR1662" s="284">
        <f t="shared" si="750"/>
        <v>0</v>
      </c>
      <c r="AS1662" s="281">
        <f t="shared" si="751"/>
        <v>0</v>
      </c>
      <c r="AT1662" s="284">
        <f t="shared" si="752"/>
        <v>0</v>
      </c>
    </row>
    <row r="1663" spans="1:97" s="114" customFormat="1" ht="30.9" x14ac:dyDescent="0.8">
      <c r="A1663" s="262">
        <f>ROW()</f>
        <v>1663</v>
      </c>
      <c r="C1663" s="208"/>
      <c r="D1663" s="208"/>
      <c r="E1663" s="208"/>
      <c r="F1663" s="208"/>
      <c r="G1663" s="208"/>
      <c r="H1663" s="208"/>
      <c r="J1663" s="114" t="str">
        <f t="shared" si="770"/>
        <v/>
      </c>
      <c r="K1663" s="114" t="str">
        <f>IF(COUNTBLANK(R1663)&gt;0,"",CONCATENATE(R1663," for ",N1657))</f>
        <v/>
      </c>
      <c r="M1663" s="117"/>
      <c r="N1663" s="123" t="s">
        <v>118</v>
      </c>
      <c r="O1663" s="175" t="s">
        <v>408</v>
      </c>
      <c r="P1663" s="175"/>
      <c r="Q1663" s="175"/>
      <c r="R1663" s="175"/>
      <c r="S1663" s="174">
        <f>M1657</f>
        <v>0</v>
      </c>
      <c r="T1663" s="172"/>
      <c r="U1663" s="175" t="s">
        <v>292</v>
      </c>
      <c r="V1663" s="174">
        <f t="shared" si="762"/>
        <v>0</v>
      </c>
      <c r="W1663" s="174">
        <f>VLOOKUP(U1663,Sheet1!$B$6:$C$45,2,FALSE)*V1663</f>
        <v>0</v>
      </c>
      <c r="X1663" s="174"/>
      <c r="Y1663" s="175" t="s">
        <v>292</v>
      </c>
      <c r="Z1663" s="168">
        <f>VLOOKUP(Takeoffs!Y1663,Sheet1!$B$6:$C$124,2,FALSE)</f>
        <v>0</v>
      </c>
      <c r="AA1663" s="168">
        <f t="shared" si="763"/>
        <v>0</v>
      </c>
      <c r="AB1663" s="176">
        <f t="shared" si="764"/>
        <v>0</v>
      </c>
      <c r="AC1663" s="174">
        <f t="shared" si="765"/>
        <v>0</v>
      </c>
      <c r="AD1663" s="174">
        <v>1</v>
      </c>
      <c r="AE1663" s="174"/>
      <c r="AF1663" s="175" t="s">
        <v>292</v>
      </c>
      <c r="AG1663" s="168">
        <f>VLOOKUP(Takeoffs!AF1663,Sheet1!$B$6:$C$124,2,FALSE)</f>
        <v>0</v>
      </c>
      <c r="AH1663" s="168">
        <f t="shared" si="766"/>
        <v>0</v>
      </c>
      <c r="AI1663" s="176">
        <f t="shared" si="767"/>
        <v>0</v>
      </c>
      <c r="AJ1663" s="174">
        <f t="shared" si="768"/>
        <v>0</v>
      </c>
      <c r="AK1663" s="174">
        <f t="shared" si="769"/>
        <v>0</v>
      </c>
      <c r="AL1663" s="174"/>
      <c r="AO1663" s="286"/>
      <c r="AP1663" s="284">
        <f t="shared" si="748"/>
        <v>0</v>
      </c>
      <c r="AQ1663" s="281">
        <f t="shared" si="749"/>
        <v>0</v>
      </c>
      <c r="AR1663" s="284">
        <f t="shared" si="750"/>
        <v>0</v>
      </c>
      <c r="AS1663" s="281">
        <f t="shared" si="751"/>
        <v>0</v>
      </c>
      <c r="AT1663" s="284">
        <f t="shared" si="752"/>
        <v>0</v>
      </c>
    </row>
    <row r="1664" spans="1:97" s="114" customFormat="1" ht="30.9" x14ac:dyDescent="0.8">
      <c r="A1664" s="262">
        <f>ROW()</f>
        <v>1664</v>
      </c>
      <c r="C1664" s="208"/>
      <c r="D1664" s="208"/>
      <c r="E1664" s="208"/>
      <c r="F1664" s="208"/>
      <c r="G1664" s="208"/>
      <c r="H1664" s="208"/>
      <c r="J1664" s="114" t="str">
        <f t="shared" si="770"/>
        <v/>
      </c>
      <c r="K1664" s="114" t="str">
        <f>IF(COUNTBLANK(R1664)&gt;0,"",CONCATENATE(R1664," for ",N1657))</f>
        <v/>
      </c>
      <c r="N1664" s="123" t="s">
        <v>119</v>
      </c>
      <c r="O1664" s="175" t="s">
        <v>532</v>
      </c>
      <c r="P1664" s="175"/>
      <c r="Q1664" s="175"/>
      <c r="R1664" s="175"/>
      <c r="S1664" s="174">
        <f>M1657</f>
        <v>0</v>
      </c>
      <c r="T1664" s="172"/>
      <c r="U1664" s="175" t="s">
        <v>292</v>
      </c>
      <c r="V1664" s="174">
        <f t="shared" si="762"/>
        <v>0</v>
      </c>
      <c r="W1664" s="174">
        <f>VLOOKUP(U1664,Sheet1!$B$6:$C$45,2,FALSE)*V1664</f>
        <v>0</v>
      </c>
      <c r="X1664" s="174"/>
      <c r="Y1664" s="175" t="s">
        <v>292</v>
      </c>
      <c r="Z1664" s="168">
        <f>VLOOKUP(Takeoffs!Y1664,Sheet1!$B$6:$C$124,2,FALSE)</f>
        <v>0</v>
      </c>
      <c r="AA1664" s="168">
        <f t="shared" si="763"/>
        <v>0</v>
      </c>
      <c r="AB1664" s="176">
        <f t="shared" si="764"/>
        <v>0</v>
      </c>
      <c r="AC1664" s="174">
        <f t="shared" si="765"/>
        <v>0</v>
      </c>
      <c r="AD1664" s="174">
        <v>1</v>
      </c>
      <c r="AE1664" s="174"/>
      <c r="AF1664" s="175" t="s">
        <v>292</v>
      </c>
      <c r="AG1664" s="168">
        <f>VLOOKUP(Takeoffs!AF1664,Sheet1!$B$6:$C$124,2,FALSE)</f>
        <v>0</v>
      </c>
      <c r="AH1664" s="168">
        <f t="shared" si="766"/>
        <v>0</v>
      </c>
      <c r="AI1664" s="176">
        <f t="shared" si="767"/>
        <v>0</v>
      </c>
      <c r="AJ1664" s="174">
        <f t="shared" si="768"/>
        <v>0</v>
      </c>
      <c r="AK1664" s="174">
        <f t="shared" si="769"/>
        <v>0</v>
      </c>
      <c r="AL1664" s="174"/>
      <c r="AO1664" s="286"/>
      <c r="AP1664" s="284">
        <f t="shared" si="748"/>
        <v>0</v>
      </c>
      <c r="AQ1664" s="281">
        <f t="shared" si="749"/>
        <v>0</v>
      </c>
      <c r="AR1664" s="284">
        <f t="shared" si="750"/>
        <v>0</v>
      </c>
      <c r="AS1664" s="281">
        <f t="shared" si="751"/>
        <v>0</v>
      </c>
      <c r="AT1664" s="284">
        <f t="shared" si="752"/>
        <v>0</v>
      </c>
    </row>
    <row r="1665" spans="1:97" s="114" customFormat="1" ht="30.9" x14ac:dyDescent="0.8">
      <c r="A1665" s="262">
        <f>ROW()</f>
        <v>1665</v>
      </c>
      <c r="C1665" s="208"/>
      <c r="D1665" s="208"/>
      <c r="E1665" s="208"/>
      <c r="F1665" s="208"/>
      <c r="G1665" s="208"/>
      <c r="H1665" s="208"/>
      <c r="J1665" s="114" t="str">
        <f t="shared" si="770"/>
        <v/>
      </c>
      <c r="K1665" s="114" t="str">
        <f>IF(COUNTBLANK(R1665)&gt;0,"",CONCATENATE(R1665," for ",N1657))</f>
        <v/>
      </c>
      <c r="N1665" s="123" t="s">
        <v>120</v>
      </c>
      <c r="O1665" s="175"/>
      <c r="P1665" s="175"/>
      <c r="Q1665" s="175"/>
      <c r="R1665" s="175"/>
      <c r="S1665" s="174">
        <f>M1657</f>
        <v>0</v>
      </c>
      <c r="T1665" s="172"/>
      <c r="U1665" s="175" t="s">
        <v>292</v>
      </c>
      <c r="V1665" s="174">
        <f t="shared" si="762"/>
        <v>0</v>
      </c>
      <c r="W1665" s="174">
        <f>VLOOKUP(U1665,Sheet1!$B$6:$C$45,2,FALSE)*V1665</f>
        <v>0</v>
      </c>
      <c r="X1665" s="174"/>
      <c r="Y1665" s="175" t="s">
        <v>292</v>
      </c>
      <c r="Z1665" s="168">
        <f>VLOOKUP(Takeoffs!Y1665,Sheet1!$B$6:$C$124,2,FALSE)</f>
        <v>0</v>
      </c>
      <c r="AA1665" s="168">
        <f t="shared" si="763"/>
        <v>0</v>
      </c>
      <c r="AB1665" s="176">
        <f t="shared" si="764"/>
        <v>0</v>
      </c>
      <c r="AC1665" s="174">
        <f t="shared" si="765"/>
        <v>0</v>
      </c>
      <c r="AD1665" s="174">
        <v>1</v>
      </c>
      <c r="AE1665" s="174"/>
      <c r="AF1665" s="175" t="s">
        <v>292</v>
      </c>
      <c r="AG1665" s="168">
        <f>VLOOKUP(Takeoffs!AF1665,Sheet1!$B$6:$C$124,2,FALSE)</f>
        <v>0</v>
      </c>
      <c r="AH1665" s="168">
        <f t="shared" si="766"/>
        <v>0</v>
      </c>
      <c r="AI1665" s="176">
        <f t="shared" si="767"/>
        <v>0</v>
      </c>
      <c r="AJ1665" s="174">
        <f t="shared" si="768"/>
        <v>0</v>
      </c>
      <c r="AK1665" s="174">
        <f t="shared" si="769"/>
        <v>0</v>
      </c>
      <c r="AL1665" s="174"/>
      <c r="AO1665" s="286"/>
      <c r="AP1665" s="284">
        <f t="shared" si="748"/>
        <v>0</v>
      </c>
      <c r="AQ1665" s="281">
        <f t="shared" si="749"/>
        <v>0</v>
      </c>
      <c r="AR1665" s="284">
        <f t="shared" si="750"/>
        <v>0</v>
      </c>
      <c r="AS1665" s="281">
        <f t="shared" si="751"/>
        <v>0</v>
      </c>
      <c r="AT1665" s="284">
        <f t="shared" si="752"/>
        <v>0</v>
      </c>
    </row>
    <row r="1666" spans="1:97" s="114" customFormat="1" ht="30.9" x14ac:dyDescent="0.8">
      <c r="A1666" s="262">
        <f>ROW()</f>
        <v>1666</v>
      </c>
      <c r="C1666" s="208"/>
      <c r="D1666" s="208"/>
      <c r="E1666" s="208"/>
      <c r="F1666" s="208"/>
      <c r="G1666" s="208"/>
      <c r="H1666" s="208"/>
      <c r="J1666" s="114" t="str">
        <f t="shared" si="770"/>
        <v/>
      </c>
      <c r="K1666" s="114" t="str">
        <f>IF(COUNTBLANK(R1666)&gt;0,"",CONCATENATE(R1666," for ",N1657))</f>
        <v/>
      </c>
      <c r="N1666" s="123" t="s">
        <v>121</v>
      </c>
      <c r="O1666" s="175"/>
      <c r="P1666" s="175"/>
      <c r="Q1666" s="175"/>
      <c r="R1666" s="175"/>
      <c r="S1666" s="174">
        <f>M1657</f>
        <v>0</v>
      </c>
      <c r="T1666" s="172"/>
      <c r="U1666" s="175" t="s">
        <v>292</v>
      </c>
      <c r="V1666" s="174">
        <f t="shared" si="762"/>
        <v>0</v>
      </c>
      <c r="W1666" s="174">
        <f>VLOOKUP(U1666,Sheet1!$B$6:$C$45,2,FALSE)*V1666</f>
        <v>0</v>
      </c>
      <c r="X1666" s="174"/>
      <c r="Y1666" s="175" t="s">
        <v>292</v>
      </c>
      <c r="Z1666" s="168">
        <f>VLOOKUP(Takeoffs!Y1666,Sheet1!$B$6:$C$124,2,FALSE)</f>
        <v>0</v>
      </c>
      <c r="AA1666" s="168">
        <f t="shared" si="763"/>
        <v>0</v>
      </c>
      <c r="AB1666" s="176">
        <f t="shared" si="764"/>
        <v>0</v>
      </c>
      <c r="AC1666" s="174">
        <f t="shared" si="765"/>
        <v>0</v>
      </c>
      <c r="AD1666" s="174">
        <v>1</v>
      </c>
      <c r="AE1666" s="174"/>
      <c r="AF1666" s="175" t="s">
        <v>292</v>
      </c>
      <c r="AG1666" s="168">
        <f>VLOOKUP(Takeoffs!AF1666,Sheet1!$B$6:$C$124,2,FALSE)</f>
        <v>0</v>
      </c>
      <c r="AH1666" s="168">
        <f t="shared" si="766"/>
        <v>0</v>
      </c>
      <c r="AI1666" s="176">
        <f t="shared" si="767"/>
        <v>0</v>
      </c>
      <c r="AJ1666" s="174">
        <f t="shared" si="768"/>
        <v>0</v>
      </c>
      <c r="AK1666" s="174">
        <f t="shared" si="769"/>
        <v>0</v>
      </c>
      <c r="AL1666" s="174"/>
      <c r="AO1666" s="286"/>
      <c r="AP1666" s="284">
        <f t="shared" si="748"/>
        <v>0</v>
      </c>
      <c r="AQ1666" s="281">
        <f t="shared" si="749"/>
        <v>0</v>
      </c>
      <c r="AR1666" s="284">
        <f t="shared" si="750"/>
        <v>0</v>
      </c>
      <c r="AS1666" s="281">
        <f t="shared" si="751"/>
        <v>0</v>
      </c>
      <c r="AT1666" s="284">
        <f t="shared" si="752"/>
        <v>0</v>
      </c>
    </row>
    <row r="1667" spans="1:97" s="114" customFormat="1" ht="30.9" x14ac:dyDescent="0.8">
      <c r="A1667" s="262">
        <f>ROW()</f>
        <v>1667</v>
      </c>
      <c r="C1667" s="208"/>
      <c r="D1667" s="208"/>
      <c r="E1667" s="208"/>
      <c r="F1667" s="208"/>
      <c r="G1667" s="208"/>
      <c r="H1667" s="208"/>
      <c r="J1667" s="114" t="str">
        <f t="shared" si="770"/>
        <v/>
      </c>
      <c r="K1667" s="114" t="str">
        <f>IF(COUNTBLANK(R1667)&gt;0,"",CONCATENATE(R1667," for ",N1657))</f>
        <v/>
      </c>
      <c r="N1667" s="123" t="s">
        <v>122</v>
      </c>
      <c r="O1667" s="175"/>
      <c r="P1667" s="175"/>
      <c r="Q1667" s="175"/>
      <c r="R1667" s="175"/>
      <c r="S1667" s="174">
        <f>M1657</f>
        <v>0</v>
      </c>
      <c r="T1667" s="172"/>
      <c r="U1667" s="175" t="s">
        <v>292</v>
      </c>
      <c r="V1667" s="174">
        <f t="shared" si="762"/>
        <v>0</v>
      </c>
      <c r="W1667" s="174">
        <f>VLOOKUP(U1667,Sheet1!$B$6:$C$45,2,FALSE)*V1667</f>
        <v>0</v>
      </c>
      <c r="X1667" s="174"/>
      <c r="Y1667" s="175" t="s">
        <v>292</v>
      </c>
      <c r="Z1667" s="168">
        <f>VLOOKUP(Takeoffs!Y1667,Sheet1!$B$6:$C$124,2,FALSE)</f>
        <v>0</v>
      </c>
      <c r="AA1667" s="168">
        <f t="shared" si="763"/>
        <v>0</v>
      </c>
      <c r="AB1667" s="176">
        <f t="shared" si="764"/>
        <v>0</v>
      </c>
      <c r="AC1667" s="174">
        <f t="shared" si="765"/>
        <v>0</v>
      </c>
      <c r="AD1667" s="174">
        <v>1</v>
      </c>
      <c r="AE1667" s="174"/>
      <c r="AF1667" s="175" t="s">
        <v>292</v>
      </c>
      <c r="AG1667" s="168">
        <f>VLOOKUP(Takeoffs!AF1667,Sheet1!$B$6:$C$124,2,FALSE)</f>
        <v>0</v>
      </c>
      <c r="AH1667" s="168">
        <f t="shared" si="766"/>
        <v>0</v>
      </c>
      <c r="AI1667" s="176">
        <f t="shared" si="767"/>
        <v>0</v>
      </c>
      <c r="AJ1667" s="174">
        <f t="shared" si="768"/>
        <v>0</v>
      </c>
      <c r="AK1667" s="174">
        <f t="shared" si="769"/>
        <v>0</v>
      </c>
      <c r="AL1667" s="174"/>
      <c r="AO1667" s="286"/>
      <c r="AP1667" s="284">
        <f t="shared" si="748"/>
        <v>0</v>
      </c>
      <c r="AQ1667" s="281">
        <f t="shared" si="749"/>
        <v>0</v>
      </c>
      <c r="AR1667" s="284">
        <f t="shared" si="750"/>
        <v>0</v>
      </c>
      <c r="AS1667" s="281">
        <f t="shared" si="751"/>
        <v>0</v>
      </c>
      <c r="AT1667" s="284">
        <f t="shared" si="752"/>
        <v>0</v>
      </c>
    </row>
    <row r="1668" spans="1:97" s="114" customFormat="1" ht="30.9" x14ac:dyDescent="0.8">
      <c r="A1668" s="262">
        <f>ROW()</f>
        <v>1668</v>
      </c>
      <c r="C1668" s="208"/>
      <c r="D1668" s="208"/>
      <c r="E1668" s="208"/>
      <c r="F1668" s="208"/>
      <c r="G1668" s="208"/>
      <c r="H1668" s="208"/>
      <c r="J1668" s="114" t="str">
        <f t="shared" si="770"/>
        <v/>
      </c>
      <c r="K1668" s="114" t="str">
        <f>IF(COUNTBLANK(R1668)&gt;0,"",CONCATENATE(R1668," for ",N1657))</f>
        <v/>
      </c>
      <c r="N1668" s="123" t="s">
        <v>123</v>
      </c>
      <c r="O1668" s="175"/>
      <c r="P1668" s="175"/>
      <c r="Q1668" s="175"/>
      <c r="R1668" s="175"/>
      <c r="S1668" s="174">
        <f>M1657</f>
        <v>0</v>
      </c>
      <c r="T1668" s="172"/>
      <c r="U1668" s="175" t="s">
        <v>292</v>
      </c>
      <c r="V1668" s="174">
        <f t="shared" si="762"/>
        <v>0</v>
      </c>
      <c r="W1668" s="174">
        <f>VLOOKUP(U1668,Sheet1!$B$6:$C$45,2,FALSE)*V1668</f>
        <v>0</v>
      </c>
      <c r="X1668" s="174"/>
      <c r="Y1668" s="175" t="s">
        <v>292</v>
      </c>
      <c r="Z1668" s="168">
        <f>VLOOKUP(Takeoffs!Y1668,Sheet1!$B$6:$C$124,2,FALSE)</f>
        <v>0</v>
      </c>
      <c r="AA1668" s="168">
        <f t="shared" si="763"/>
        <v>0</v>
      </c>
      <c r="AB1668" s="176">
        <f t="shared" si="764"/>
        <v>0</v>
      </c>
      <c r="AC1668" s="174">
        <f t="shared" si="765"/>
        <v>0</v>
      </c>
      <c r="AD1668" s="174">
        <v>1</v>
      </c>
      <c r="AE1668" s="174"/>
      <c r="AF1668" s="175" t="s">
        <v>292</v>
      </c>
      <c r="AG1668" s="168">
        <f>VLOOKUP(Takeoffs!AF1668,Sheet1!$B$6:$C$124,2,FALSE)</f>
        <v>0</v>
      </c>
      <c r="AH1668" s="168">
        <f t="shared" si="766"/>
        <v>0</v>
      </c>
      <c r="AI1668" s="176">
        <f t="shared" si="767"/>
        <v>0</v>
      </c>
      <c r="AJ1668" s="174">
        <f t="shared" si="768"/>
        <v>0</v>
      </c>
      <c r="AK1668" s="174">
        <f t="shared" si="769"/>
        <v>0</v>
      </c>
      <c r="AL1668" s="174"/>
      <c r="AO1668" s="286"/>
      <c r="AP1668" s="284">
        <f t="shared" si="748"/>
        <v>0</v>
      </c>
      <c r="AQ1668" s="281">
        <f t="shared" si="749"/>
        <v>0</v>
      </c>
      <c r="AR1668" s="284">
        <f t="shared" si="750"/>
        <v>0</v>
      </c>
      <c r="AS1668" s="281">
        <f t="shared" si="751"/>
        <v>0</v>
      </c>
      <c r="AT1668" s="284">
        <f t="shared" si="752"/>
        <v>0</v>
      </c>
    </row>
    <row r="1669" spans="1:97" s="114" customFormat="1" ht="30.9" x14ac:dyDescent="0.8">
      <c r="A1669" s="262">
        <f>ROW()</f>
        <v>1669</v>
      </c>
      <c r="C1669" s="208"/>
      <c r="D1669" s="208"/>
      <c r="E1669" s="208"/>
      <c r="F1669" s="208"/>
      <c r="G1669" s="208"/>
      <c r="H1669" s="208"/>
      <c r="J1669" s="114" t="str">
        <f t="shared" si="770"/>
        <v/>
      </c>
      <c r="K1669" s="114" t="str">
        <f>IF(COUNTBLANK(R1669)&gt;0,"",CONCATENATE(R1669," for ",N1657))</f>
        <v/>
      </c>
      <c r="N1669" s="123" t="s">
        <v>124</v>
      </c>
      <c r="O1669" s="175"/>
      <c r="P1669" s="175"/>
      <c r="Q1669" s="175"/>
      <c r="R1669" s="175"/>
      <c r="S1669" s="174">
        <f>M1657</f>
        <v>0</v>
      </c>
      <c r="T1669" s="172"/>
      <c r="U1669" s="175" t="s">
        <v>292</v>
      </c>
      <c r="V1669" s="174">
        <f t="shared" si="762"/>
        <v>0</v>
      </c>
      <c r="W1669" s="174">
        <f>VLOOKUP(U1669,Sheet1!$B$6:$C$45,2,FALSE)*V1669</f>
        <v>0</v>
      </c>
      <c r="X1669" s="174"/>
      <c r="Y1669" s="175" t="s">
        <v>292</v>
      </c>
      <c r="Z1669" s="168">
        <f>VLOOKUP(Takeoffs!Y1669,Sheet1!$B$6:$C$124,2,FALSE)</f>
        <v>0</v>
      </c>
      <c r="AA1669" s="168">
        <f t="shared" si="763"/>
        <v>0</v>
      </c>
      <c r="AB1669" s="176">
        <f t="shared" si="764"/>
        <v>0</v>
      </c>
      <c r="AC1669" s="174">
        <f t="shared" si="765"/>
        <v>0</v>
      </c>
      <c r="AD1669" s="174">
        <v>1</v>
      </c>
      <c r="AE1669" s="174"/>
      <c r="AF1669" s="175" t="s">
        <v>292</v>
      </c>
      <c r="AG1669" s="168">
        <f>VLOOKUP(Takeoffs!AF1669,Sheet1!$B$6:$C$124,2,FALSE)</f>
        <v>0</v>
      </c>
      <c r="AH1669" s="168">
        <f t="shared" si="766"/>
        <v>0</v>
      </c>
      <c r="AI1669" s="176">
        <f t="shared" si="767"/>
        <v>0</v>
      </c>
      <c r="AJ1669" s="174">
        <f t="shared" si="768"/>
        <v>0</v>
      </c>
      <c r="AK1669" s="174">
        <f t="shared" si="769"/>
        <v>0</v>
      </c>
      <c r="AL1669" s="174"/>
      <c r="AO1669" s="286"/>
      <c r="AP1669" s="284">
        <f t="shared" si="748"/>
        <v>0</v>
      </c>
      <c r="AQ1669" s="281">
        <f t="shared" si="749"/>
        <v>0</v>
      </c>
      <c r="AR1669" s="284">
        <f t="shared" si="750"/>
        <v>0</v>
      </c>
      <c r="AS1669" s="281">
        <f t="shared" si="751"/>
        <v>0</v>
      </c>
      <c r="AT1669" s="284">
        <f t="shared" si="752"/>
        <v>0</v>
      </c>
    </row>
    <row r="1670" spans="1:97" s="114" customFormat="1" ht="30.9" x14ac:dyDescent="0.8">
      <c r="A1670" s="262">
        <f>ROW()</f>
        <v>1670</v>
      </c>
      <c r="C1670" s="208"/>
      <c r="D1670" s="208"/>
      <c r="E1670" s="208"/>
      <c r="F1670" s="208"/>
      <c r="G1670" s="208"/>
      <c r="H1670" s="208"/>
      <c r="J1670" s="114" t="str">
        <f t="shared" si="770"/>
        <v/>
      </c>
      <c r="K1670" s="114" t="str">
        <f>IF(COUNTBLANK(R1670)&gt;0,"",CONCATENATE(R1670," for ",N1657))</f>
        <v/>
      </c>
      <c r="N1670" s="123" t="s">
        <v>125</v>
      </c>
      <c r="O1670" s="175"/>
      <c r="P1670" s="175"/>
      <c r="Q1670" s="175"/>
      <c r="R1670" s="175"/>
      <c r="S1670" s="174">
        <f>M1657</f>
        <v>0</v>
      </c>
      <c r="T1670" s="172"/>
      <c r="U1670" s="175" t="s">
        <v>292</v>
      </c>
      <c r="V1670" s="174">
        <f t="shared" si="762"/>
        <v>0</v>
      </c>
      <c r="W1670" s="174">
        <f>VLOOKUP(U1670,Sheet1!$B$6:$C$45,2,FALSE)*V1670</f>
        <v>0</v>
      </c>
      <c r="X1670" s="174"/>
      <c r="Y1670" s="175" t="s">
        <v>292</v>
      </c>
      <c r="Z1670" s="168">
        <f>VLOOKUP(Takeoffs!Y1670,Sheet1!$B$6:$C$124,2,FALSE)</f>
        <v>0</v>
      </c>
      <c r="AA1670" s="168">
        <f t="shared" si="763"/>
        <v>0</v>
      </c>
      <c r="AB1670" s="176">
        <f t="shared" si="764"/>
        <v>0</v>
      </c>
      <c r="AC1670" s="174">
        <f t="shared" si="765"/>
        <v>0</v>
      </c>
      <c r="AD1670" s="174">
        <v>1</v>
      </c>
      <c r="AE1670" s="174"/>
      <c r="AF1670" s="175" t="s">
        <v>292</v>
      </c>
      <c r="AG1670" s="168">
        <f>VLOOKUP(Takeoffs!AF1670,Sheet1!$B$6:$C$124,2,FALSE)</f>
        <v>0</v>
      </c>
      <c r="AH1670" s="168">
        <f t="shared" si="766"/>
        <v>0</v>
      </c>
      <c r="AI1670" s="176">
        <f t="shared" si="767"/>
        <v>0</v>
      </c>
      <c r="AJ1670" s="174">
        <f t="shared" si="768"/>
        <v>0</v>
      </c>
      <c r="AK1670" s="174">
        <f t="shared" si="769"/>
        <v>0</v>
      </c>
      <c r="AL1670" s="174"/>
      <c r="AO1670" s="286"/>
      <c r="AP1670" s="284">
        <f t="shared" si="748"/>
        <v>0</v>
      </c>
      <c r="AQ1670" s="281">
        <f t="shared" si="749"/>
        <v>0</v>
      </c>
      <c r="AR1670" s="284">
        <f t="shared" si="750"/>
        <v>0</v>
      </c>
      <c r="AS1670" s="281">
        <f t="shared" si="751"/>
        <v>0</v>
      </c>
      <c r="AT1670" s="284">
        <f t="shared" si="752"/>
        <v>0</v>
      </c>
    </row>
    <row r="1671" spans="1:97" s="114" customFormat="1" ht="30.9" x14ac:dyDescent="0.8">
      <c r="A1671" s="262">
        <f>ROW()</f>
        <v>1671</v>
      </c>
      <c r="C1671" s="208"/>
      <c r="D1671" s="208"/>
      <c r="E1671" s="208"/>
      <c r="F1671" s="208"/>
      <c r="G1671" s="208"/>
      <c r="H1671" s="208"/>
      <c r="J1671" s="114" t="str">
        <f t="shared" si="770"/>
        <v/>
      </c>
      <c r="K1671" s="114" t="str">
        <f>IF(COUNTBLANK(R1671)&gt;0,"",CONCATENATE(R1671," for ",N1657))</f>
        <v/>
      </c>
      <c r="N1671" s="123" t="s">
        <v>126</v>
      </c>
      <c r="O1671" s="175"/>
      <c r="P1671" s="175"/>
      <c r="Q1671" s="175"/>
      <c r="R1671" s="175"/>
      <c r="S1671" s="174">
        <f>M1657</f>
        <v>0</v>
      </c>
      <c r="T1671" s="172"/>
      <c r="U1671" s="175" t="s">
        <v>292</v>
      </c>
      <c r="V1671" s="174">
        <f t="shared" si="762"/>
        <v>0</v>
      </c>
      <c r="W1671" s="174">
        <f>VLOOKUP(U1671,Sheet1!$B$6:$C$45,2,FALSE)*V1671</f>
        <v>0</v>
      </c>
      <c r="X1671" s="174"/>
      <c r="Y1671" s="175" t="s">
        <v>292</v>
      </c>
      <c r="Z1671" s="168">
        <f>VLOOKUP(Takeoffs!Y1671,Sheet1!$B$6:$C$124,2,FALSE)</f>
        <v>0</v>
      </c>
      <c r="AA1671" s="168">
        <f t="shared" si="763"/>
        <v>0</v>
      </c>
      <c r="AB1671" s="176">
        <f t="shared" si="764"/>
        <v>0</v>
      </c>
      <c r="AC1671" s="174">
        <f t="shared" si="765"/>
        <v>0</v>
      </c>
      <c r="AD1671" s="174">
        <v>1</v>
      </c>
      <c r="AE1671" s="174"/>
      <c r="AF1671" s="175" t="s">
        <v>292</v>
      </c>
      <c r="AG1671" s="168">
        <f>VLOOKUP(Takeoffs!AF1671,Sheet1!$B$6:$C$124,2,FALSE)</f>
        <v>0</v>
      </c>
      <c r="AH1671" s="168">
        <f t="shared" si="766"/>
        <v>0</v>
      </c>
      <c r="AI1671" s="176">
        <f t="shared" si="767"/>
        <v>0</v>
      </c>
      <c r="AJ1671" s="174">
        <f t="shared" si="768"/>
        <v>0</v>
      </c>
      <c r="AK1671" s="174">
        <f t="shared" si="769"/>
        <v>0</v>
      </c>
      <c r="AL1671" s="174"/>
      <c r="AO1671" s="286"/>
      <c r="AP1671" s="284">
        <f t="shared" si="748"/>
        <v>0</v>
      </c>
      <c r="AQ1671" s="281">
        <f t="shared" si="749"/>
        <v>0</v>
      </c>
      <c r="AR1671" s="284">
        <f t="shared" si="750"/>
        <v>0</v>
      </c>
      <c r="AS1671" s="281">
        <f t="shared" si="751"/>
        <v>0</v>
      </c>
      <c r="AT1671" s="284">
        <f t="shared" si="752"/>
        <v>0</v>
      </c>
    </row>
    <row r="1672" spans="1:97" s="114" customFormat="1" ht="30.9" x14ac:dyDescent="0.8">
      <c r="A1672" s="262">
        <f>ROW()</f>
        <v>1672</v>
      </c>
      <c r="C1672" s="208"/>
      <c r="D1672" s="208"/>
      <c r="E1672" s="208"/>
      <c r="F1672" s="208"/>
      <c r="G1672" s="208"/>
      <c r="H1672" s="208"/>
      <c r="J1672" s="114" t="str">
        <f t="shared" si="770"/>
        <v/>
      </c>
      <c r="K1672" s="114" t="str">
        <f>IF(COUNTBLANK(R1672)&gt;0,"",CONCATENATE(R1672," for ",N1657))</f>
        <v/>
      </c>
      <c r="N1672" s="123" t="s">
        <v>127</v>
      </c>
      <c r="O1672" s="175"/>
      <c r="P1672" s="175"/>
      <c r="Q1672" s="175"/>
      <c r="R1672" s="175"/>
      <c r="S1672" s="174">
        <f>M1657</f>
        <v>0</v>
      </c>
      <c r="T1672" s="172"/>
      <c r="U1672" s="175" t="s">
        <v>292</v>
      </c>
      <c r="V1672" s="174">
        <f t="shared" si="762"/>
        <v>0</v>
      </c>
      <c r="W1672" s="174">
        <f>VLOOKUP(U1672,Sheet1!$B$6:$C$45,2,FALSE)*V1672</f>
        <v>0</v>
      </c>
      <c r="X1672" s="174"/>
      <c r="Y1672" s="175" t="s">
        <v>292</v>
      </c>
      <c r="Z1672" s="168">
        <f>VLOOKUP(Takeoffs!Y1672,Sheet1!$B$6:$C$124,2,FALSE)</f>
        <v>0</v>
      </c>
      <c r="AA1672" s="168">
        <f t="shared" si="763"/>
        <v>0</v>
      </c>
      <c r="AB1672" s="176">
        <f t="shared" si="764"/>
        <v>0</v>
      </c>
      <c r="AC1672" s="174">
        <f t="shared" si="765"/>
        <v>0</v>
      </c>
      <c r="AD1672" s="174">
        <v>2</v>
      </c>
      <c r="AE1672" s="174"/>
      <c r="AF1672" s="175" t="s">
        <v>292</v>
      </c>
      <c r="AG1672" s="168">
        <f>VLOOKUP(Takeoffs!AF1672,Sheet1!$B$6:$C$124,2,FALSE)</f>
        <v>0</v>
      </c>
      <c r="AH1672" s="168">
        <f t="shared" si="766"/>
        <v>0</v>
      </c>
      <c r="AI1672" s="176">
        <f t="shared" si="767"/>
        <v>0</v>
      </c>
      <c r="AJ1672" s="174">
        <f t="shared" si="768"/>
        <v>0</v>
      </c>
      <c r="AK1672" s="174">
        <f t="shared" si="769"/>
        <v>0</v>
      </c>
      <c r="AL1672" s="174"/>
      <c r="AO1672" s="286"/>
      <c r="AP1672" s="284">
        <f t="shared" si="748"/>
        <v>0</v>
      </c>
      <c r="AQ1672" s="281">
        <f t="shared" si="749"/>
        <v>0</v>
      </c>
      <c r="AR1672" s="284">
        <f t="shared" si="750"/>
        <v>0</v>
      </c>
      <c r="AS1672" s="281">
        <f t="shared" si="751"/>
        <v>0</v>
      </c>
      <c r="AT1672" s="284">
        <f t="shared" si="752"/>
        <v>0</v>
      </c>
    </row>
    <row r="1673" spans="1:97" s="114" customFormat="1" ht="30.9" x14ac:dyDescent="0.8">
      <c r="A1673" s="262">
        <f>ROW()</f>
        <v>1673</v>
      </c>
      <c r="C1673" s="208"/>
      <c r="D1673" s="208"/>
      <c r="E1673" s="208"/>
      <c r="F1673" s="208"/>
      <c r="G1673" s="208"/>
      <c r="H1673" s="208"/>
      <c r="J1673" s="114" t="str">
        <f t="shared" si="770"/>
        <v/>
      </c>
      <c r="K1673" s="114" t="str">
        <f>IF(COUNTBLANK(R1673)&gt;0,"",CONCATENATE(R1673," for ",N1657))</f>
        <v/>
      </c>
      <c r="N1673" s="123" t="s">
        <v>128</v>
      </c>
      <c r="O1673" s="175"/>
      <c r="P1673" s="175"/>
      <c r="Q1673" s="175"/>
      <c r="R1673" s="175"/>
      <c r="S1673" s="174">
        <f>M1657</f>
        <v>0</v>
      </c>
      <c r="T1673" s="172"/>
      <c r="U1673" s="175" t="s">
        <v>292</v>
      </c>
      <c r="V1673" s="174">
        <f t="shared" si="762"/>
        <v>0</v>
      </c>
      <c r="W1673" s="174">
        <f>VLOOKUP(U1673,Sheet1!$B$6:$C$45,2,FALSE)*V1673</f>
        <v>0</v>
      </c>
      <c r="X1673" s="174"/>
      <c r="Y1673" s="175" t="s">
        <v>292</v>
      </c>
      <c r="Z1673" s="168">
        <f>VLOOKUP(Takeoffs!Y1673,Sheet1!$B$6:$C$124,2,FALSE)</f>
        <v>0</v>
      </c>
      <c r="AA1673" s="168">
        <f t="shared" si="763"/>
        <v>0</v>
      </c>
      <c r="AB1673" s="176">
        <f t="shared" si="764"/>
        <v>0</v>
      </c>
      <c r="AC1673" s="174">
        <f t="shared" si="765"/>
        <v>0</v>
      </c>
      <c r="AD1673" s="174">
        <v>1</v>
      </c>
      <c r="AE1673" s="174"/>
      <c r="AF1673" s="175" t="s">
        <v>292</v>
      </c>
      <c r="AG1673" s="168">
        <f>VLOOKUP(Takeoffs!AF1673,Sheet1!$B$6:$C$124,2,FALSE)</f>
        <v>0</v>
      </c>
      <c r="AH1673" s="168">
        <f t="shared" si="766"/>
        <v>0</v>
      </c>
      <c r="AI1673" s="176">
        <f t="shared" si="767"/>
        <v>0</v>
      </c>
      <c r="AJ1673" s="174">
        <f t="shared" si="768"/>
        <v>0</v>
      </c>
      <c r="AK1673" s="174">
        <f t="shared" si="769"/>
        <v>0</v>
      </c>
      <c r="AL1673" s="174"/>
      <c r="AO1673" s="286"/>
      <c r="AP1673" s="284">
        <f t="shared" si="748"/>
        <v>0</v>
      </c>
      <c r="AQ1673" s="281">
        <f t="shared" si="749"/>
        <v>0</v>
      </c>
      <c r="AR1673" s="284">
        <f t="shared" si="750"/>
        <v>0</v>
      </c>
      <c r="AS1673" s="281">
        <f t="shared" si="751"/>
        <v>0</v>
      </c>
      <c r="AT1673" s="284">
        <f t="shared" si="752"/>
        <v>0</v>
      </c>
    </row>
    <row r="1674" spans="1:97" s="114" customFormat="1" ht="30.9" x14ac:dyDescent="0.8">
      <c r="A1674" s="262">
        <f>ROW()</f>
        <v>1674</v>
      </c>
      <c r="C1674" s="208"/>
      <c r="D1674" s="208"/>
      <c r="E1674" s="208"/>
      <c r="F1674" s="208"/>
      <c r="G1674" s="208"/>
      <c r="H1674" s="208"/>
      <c r="J1674" s="114" t="str">
        <f t="shared" si="770"/>
        <v/>
      </c>
      <c r="K1674" s="114" t="str">
        <f>IF(COUNTBLANK(R1674)&gt;0,"",CONCATENATE(R1674," for ",N1657))</f>
        <v/>
      </c>
      <c r="N1674" s="123" t="s">
        <v>129</v>
      </c>
      <c r="O1674" s="175"/>
      <c r="P1674" s="175"/>
      <c r="Q1674" s="175"/>
      <c r="R1674" s="175"/>
      <c r="S1674" s="174">
        <f>M1657</f>
        <v>0</v>
      </c>
      <c r="T1674" s="172"/>
      <c r="U1674" s="175" t="s">
        <v>292</v>
      </c>
      <c r="V1674" s="174">
        <f t="shared" si="762"/>
        <v>0</v>
      </c>
      <c r="W1674" s="174">
        <f>VLOOKUP(U1674,Sheet1!$B$6:$C$45,2,FALSE)*V1674</f>
        <v>0</v>
      </c>
      <c r="X1674" s="174"/>
      <c r="Y1674" s="175" t="s">
        <v>292</v>
      </c>
      <c r="Z1674" s="168">
        <f>VLOOKUP(Takeoffs!Y1674,Sheet1!$B$6:$C$124,2,FALSE)</f>
        <v>0</v>
      </c>
      <c r="AA1674" s="168">
        <f t="shared" si="763"/>
        <v>0</v>
      </c>
      <c r="AB1674" s="176">
        <f t="shared" si="764"/>
        <v>0</v>
      </c>
      <c r="AC1674" s="174">
        <f t="shared" si="765"/>
        <v>0</v>
      </c>
      <c r="AD1674" s="174">
        <v>1</v>
      </c>
      <c r="AE1674" s="174"/>
      <c r="AF1674" s="175" t="s">
        <v>292</v>
      </c>
      <c r="AG1674" s="168">
        <f>VLOOKUP(Takeoffs!AF1674,Sheet1!$B$6:$C$124,2,FALSE)</f>
        <v>0</v>
      </c>
      <c r="AH1674" s="168">
        <f t="shared" si="766"/>
        <v>0</v>
      </c>
      <c r="AI1674" s="176">
        <f t="shared" si="767"/>
        <v>0</v>
      </c>
      <c r="AJ1674" s="174">
        <f t="shared" si="768"/>
        <v>0</v>
      </c>
      <c r="AK1674" s="174">
        <f t="shared" si="769"/>
        <v>0</v>
      </c>
      <c r="AL1674" s="174"/>
      <c r="AO1674" s="286"/>
      <c r="AP1674" s="284">
        <f t="shared" si="748"/>
        <v>0</v>
      </c>
      <c r="AQ1674" s="281">
        <f t="shared" si="749"/>
        <v>0</v>
      </c>
      <c r="AR1674" s="284">
        <f t="shared" si="750"/>
        <v>0</v>
      </c>
      <c r="AS1674" s="281">
        <f t="shared" si="751"/>
        <v>0</v>
      </c>
      <c r="AT1674" s="284">
        <f t="shared" si="752"/>
        <v>0</v>
      </c>
    </row>
    <row r="1675" spans="1:97" s="114" customFormat="1" ht="30.9" x14ac:dyDescent="0.8">
      <c r="A1675" s="262">
        <f>ROW()</f>
        <v>1675</v>
      </c>
      <c r="C1675" s="208"/>
      <c r="D1675" s="208"/>
      <c r="E1675" s="208"/>
      <c r="F1675" s="208"/>
      <c r="G1675" s="208"/>
      <c r="H1675" s="208"/>
      <c r="J1675" s="114" t="str">
        <f t="shared" si="770"/>
        <v/>
      </c>
      <c r="K1675" s="114" t="str">
        <f>IF(COUNTBLANK(R1675)&gt;0,"",CONCATENATE(R1675," for ",N1657))</f>
        <v/>
      </c>
      <c r="N1675" s="123" t="s">
        <v>130</v>
      </c>
      <c r="O1675" s="175"/>
      <c r="P1675" s="175"/>
      <c r="Q1675" s="175"/>
      <c r="R1675" s="175"/>
      <c r="S1675" s="174">
        <f>M1657</f>
        <v>0</v>
      </c>
      <c r="T1675" s="172"/>
      <c r="U1675" s="175" t="s">
        <v>292</v>
      </c>
      <c r="V1675" s="174">
        <f t="shared" si="762"/>
        <v>0</v>
      </c>
      <c r="W1675" s="174">
        <f>VLOOKUP(U1675,Sheet1!$B$6:$C$45,2,FALSE)*V1675</f>
        <v>0</v>
      </c>
      <c r="X1675" s="174"/>
      <c r="Y1675" s="175" t="s">
        <v>292</v>
      </c>
      <c r="Z1675" s="168">
        <f>VLOOKUP(Takeoffs!Y1675,Sheet1!$B$6:$C$124,2,FALSE)</f>
        <v>0</v>
      </c>
      <c r="AA1675" s="168">
        <f t="shared" si="763"/>
        <v>0</v>
      </c>
      <c r="AB1675" s="176">
        <f t="shared" si="764"/>
        <v>0</v>
      </c>
      <c r="AC1675" s="174">
        <f t="shared" si="765"/>
        <v>0</v>
      </c>
      <c r="AD1675" s="174">
        <v>1</v>
      </c>
      <c r="AE1675" s="174"/>
      <c r="AF1675" s="175" t="s">
        <v>292</v>
      </c>
      <c r="AG1675" s="168">
        <f>VLOOKUP(Takeoffs!AF1675,Sheet1!$B$6:$C$124,2,FALSE)</f>
        <v>0</v>
      </c>
      <c r="AH1675" s="168">
        <f t="shared" si="766"/>
        <v>0</v>
      </c>
      <c r="AI1675" s="176">
        <f t="shared" si="767"/>
        <v>0</v>
      </c>
      <c r="AJ1675" s="174">
        <f t="shared" si="768"/>
        <v>0</v>
      </c>
      <c r="AK1675" s="174">
        <f t="shared" si="769"/>
        <v>0</v>
      </c>
      <c r="AL1675" s="174"/>
      <c r="AO1675" s="286"/>
      <c r="AP1675" s="284">
        <f t="shared" si="748"/>
        <v>0</v>
      </c>
      <c r="AQ1675" s="281">
        <f t="shared" si="749"/>
        <v>0</v>
      </c>
      <c r="AR1675" s="284">
        <f t="shared" si="750"/>
        <v>0</v>
      </c>
      <c r="AS1675" s="281">
        <f t="shared" si="751"/>
        <v>0</v>
      </c>
      <c r="AT1675" s="284">
        <f t="shared" si="752"/>
        <v>0</v>
      </c>
    </row>
    <row r="1676" spans="1:97" s="114" customFormat="1" ht="30.9" x14ac:dyDescent="0.8">
      <c r="A1676" s="262">
        <f>ROW()</f>
        <v>1676</v>
      </c>
      <c r="C1676" s="208"/>
      <c r="D1676" s="208"/>
      <c r="E1676" s="208"/>
      <c r="F1676" s="208"/>
      <c r="G1676" s="208"/>
      <c r="H1676" s="208"/>
      <c r="J1676" s="114" t="str">
        <f t="shared" si="770"/>
        <v/>
      </c>
      <c r="K1676" s="114" t="str">
        <f>IF(COUNTBLANK(R1676)&gt;0,"",CONCATENATE(R1676," for ",N1657))</f>
        <v/>
      </c>
      <c r="N1676" s="123" t="s">
        <v>131</v>
      </c>
      <c r="O1676" s="175"/>
      <c r="P1676" s="175"/>
      <c r="Q1676" s="175"/>
      <c r="R1676" s="175"/>
      <c r="S1676" s="174">
        <f>M1657</f>
        <v>0</v>
      </c>
      <c r="T1676" s="172"/>
      <c r="U1676" s="175" t="s">
        <v>292</v>
      </c>
      <c r="V1676" s="174">
        <f t="shared" si="762"/>
        <v>0</v>
      </c>
      <c r="W1676" s="174">
        <f>VLOOKUP(U1676,Sheet1!$B$6:$C$45,2,FALSE)*V1676</f>
        <v>0</v>
      </c>
      <c r="X1676" s="174"/>
      <c r="Y1676" s="175" t="s">
        <v>292</v>
      </c>
      <c r="Z1676" s="168">
        <f>VLOOKUP(Takeoffs!Y1676,Sheet1!$B$6:$C$124,2,FALSE)</f>
        <v>0</v>
      </c>
      <c r="AA1676" s="168">
        <f t="shared" si="763"/>
        <v>0</v>
      </c>
      <c r="AB1676" s="176">
        <f t="shared" si="764"/>
        <v>0</v>
      </c>
      <c r="AC1676" s="174">
        <f t="shared" si="765"/>
        <v>0</v>
      </c>
      <c r="AD1676" s="174">
        <v>1</v>
      </c>
      <c r="AE1676" s="174"/>
      <c r="AF1676" s="175" t="s">
        <v>292</v>
      </c>
      <c r="AG1676" s="168">
        <f>VLOOKUP(Takeoffs!AF1676,Sheet1!$B$6:$C$124,2,FALSE)</f>
        <v>0</v>
      </c>
      <c r="AH1676" s="168">
        <f t="shared" si="766"/>
        <v>0</v>
      </c>
      <c r="AI1676" s="176">
        <f t="shared" si="767"/>
        <v>0</v>
      </c>
      <c r="AJ1676" s="174">
        <f t="shared" si="768"/>
        <v>0</v>
      </c>
      <c r="AK1676" s="174">
        <f t="shared" si="769"/>
        <v>0</v>
      </c>
      <c r="AL1676" s="174"/>
      <c r="AO1676" s="286"/>
      <c r="AP1676" s="284">
        <f t="shared" si="748"/>
        <v>0</v>
      </c>
      <c r="AQ1676" s="281">
        <f t="shared" si="749"/>
        <v>0</v>
      </c>
      <c r="AR1676" s="284">
        <f t="shared" si="750"/>
        <v>0</v>
      </c>
      <c r="AS1676" s="281">
        <f t="shared" si="751"/>
        <v>0</v>
      </c>
      <c r="AT1676" s="284">
        <f t="shared" si="752"/>
        <v>0</v>
      </c>
    </row>
    <row r="1677" spans="1:97" s="114" customFormat="1" ht="30.9" x14ac:dyDescent="0.8">
      <c r="A1677" s="262">
        <f>ROW()</f>
        <v>1677</v>
      </c>
      <c r="C1677" s="208"/>
      <c r="D1677" s="208"/>
      <c r="E1677" s="208"/>
      <c r="F1677" s="208"/>
      <c r="G1677" s="208"/>
      <c r="H1677" s="208"/>
      <c r="J1677" s="114" t="str">
        <f t="shared" si="770"/>
        <v/>
      </c>
      <c r="K1677" s="114" t="str">
        <f>IF(COUNTBLANK(R1677)&gt;0,"",CONCATENATE(R1677," for ",N1657))</f>
        <v/>
      </c>
      <c r="N1677" s="123" t="s">
        <v>132</v>
      </c>
      <c r="O1677" s="175"/>
      <c r="P1677" s="175"/>
      <c r="Q1677" s="175"/>
      <c r="R1677" s="175"/>
      <c r="S1677" s="174">
        <f>M1657</f>
        <v>0</v>
      </c>
      <c r="T1677" s="172"/>
      <c r="U1677" s="175" t="s">
        <v>292</v>
      </c>
      <c r="V1677" s="174">
        <f t="shared" si="762"/>
        <v>0</v>
      </c>
      <c r="W1677" s="174">
        <f>VLOOKUP(U1677,Sheet1!$B$6:$C$45,2,FALSE)*V1677</f>
        <v>0</v>
      </c>
      <c r="X1677" s="174"/>
      <c r="Y1677" s="175" t="s">
        <v>292</v>
      </c>
      <c r="Z1677" s="168">
        <f>VLOOKUP(Takeoffs!Y1677,Sheet1!$B$6:$C$124,2,FALSE)</f>
        <v>0</v>
      </c>
      <c r="AA1677" s="168">
        <f t="shared" si="763"/>
        <v>0</v>
      </c>
      <c r="AB1677" s="176">
        <f t="shared" si="764"/>
        <v>0</v>
      </c>
      <c r="AC1677" s="174">
        <f t="shared" si="765"/>
        <v>0</v>
      </c>
      <c r="AD1677" s="174">
        <v>1</v>
      </c>
      <c r="AE1677" s="174"/>
      <c r="AF1677" s="175" t="s">
        <v>292</v>
      </c>
      <c r="AG1677" s="168">
        <f>VLOOKUP(Takeoffs!AF1677,Sheet1!$B$6:$C$124,2,FALSE)</f>
        <v>0</v>
      </c>
      <c r="AH1677" s="168">
        <f t="shared" si="766"/>
        <v>0</v>
      </c>
      <c r="AI1677" s="176">
        <f t="shared" si="767"/>
        <v>0</v>
      </c>
      <c r="AJ1677" s="174">
        <f t="shared" si="768"/>
        <v>0</v>
      </c>
      <c r="AK1677" s="174">
        <f t="shared" si="769"/>
        <v>0</v>
      </c>
      <c r="AL1677" s="174"/>
      <c r="AO1677" s="286"/>
      <c r="AP1677" s="284">
        <f t="shared" si="748"/>
        <v>0</v>
      </c>
      <c r="AQ1677" s="281">
        <f t="shared" si="749"/>
        <v>0</v>
      </c>
      <c r="AR1677" s="284">
        <f t="shared" si="750"/>
        <v>0</v>
      </c>
      <c r="AS1677" s="281">
        <f t="shared" si="751"/>
        <v>0</v>
      </c>
      <c r="AT1677" s="284">
        <f t="shared" si="752"/>
        <v>0</v>
      </c>
    </row>
    <row r="1678" spans="1:97" s="128" customFormat="1" ht="31.5" customHeight="1" x14ac:dyDescent="0.8">
      <c r="A1678" s="262">
        <f>ROW()</f>
        <v>1678</v>
      </c>
      <c r="C1678" s="212"/>
      <c r="D1678" s="212"/>
      <c r="E1678" s="212"/>
      <c r="F1678" s="212"/>
      <c r="G1678" s="212"/>
      <c r="H1678" s="212"/>
      <c r="J1678" s="128" t="s">
        <v>377</v>
      </c>
      <c r="L1678" s="128" t="s">
        <v>378</v>
      </c>
      <c r="N1678" s="129"/>
      <c r="O1678" s="175" t="s">
        <v>357</v>
      </c>
      <c r="P1678" s="172">
        <f>P1679*M1657</f>
        <v>0</v>
      </c>
      <c r="Q1678" s="172"/>
      <c r="R1678" s="172"/>
      <c r="S1678" s="175"/>
      <c r="T1678" s="172"/>
      <c r="U1678" s="175" t="s">
        <v>351</v>
      </c>
      <c r="V1678" s="172">
        <f>W1678*80</f>
        <v>0</v>
      </c>
      <c r="W1678" s="177">
        <f>SUM(W1657:W1677)</f>
        <v>0</v>
      </c>
      <c r="X1678" s="178"/>
      <c r="Y1678" s="172" t="s">
        <v>352</v>
      </c>
      <c r="Z1678" s="168"/>
      <c r="AA1678" s="168">
        <f>SUM(AA1657:AA1677)</f>
        <v>0</v>
      </c>
      <c r="AB1678" s="179"/>
      <c r="AC1678" s="179"/>
      <c r="AD1678" s="179"/>
      <c r="AE1678" s="179"/>
      <c r="AF1678" s="172" t="s">
        <v>356</v>
      </c>
      <c r="AG1678" s="168"/>
      <c r="AH1678" s="168">
        <f>SUM(AH1657:AH1677)</f>
        <v>0</v>
      </c>
      <c r="AI1678" s="179"/>
      <c r="AJ1678" s="179"/>
      <c r="AK1678" s="179"/>
      <c r="AL1678" s="179"/>
      <c r="AM1678" s="150">
        <f>P1678</f>
        <v>0</v>
      </c>
      <c r="AO1678" s="286"/>
      <c r="AP1678" s="284">
        <f t="shared" si="748"/>
        <v>0</v>
      </c>
      <c r="AQ1678" s="281">
        <f t="shared" si="749"/>
        <v>0</v>
      </c>
      <c r="AR1678" s="284">
        <f t="shared" si="750"/>
        <v>0</v>
      </c>
      <c r="AS1678" s="281">
        <f t="shared" si="751"/>
        <v>0</v>
      </c>
      <c r="AT1678" s="284">
        <f t="shared" si="752"/>
        <v>0</v>
      </c>
    </row>
    <row r="1679" spans="1:97" s="234" customFormat="1" ht="92.6" x14ac:dyDescent="0.8">
      <c r="A1679" s="262">
        <f>ROW()</f>
        <v>1679</v>
      </c>
      <c r="B1679" s="234" t="s">
        <v>491</v>
      </c>
      <c r="C1679" s="217" t="str">
        <f>N1657</f>
        <v>Small Aircooled Chillers - from Chiller MSSB</v>
      </c>
      <c r="D1679" s="260" t="str">
        <f>IF(B1679="Shopping List",IF(ISNUMBER(SEARCH("MSSB",C1679)),"MSSB",IF(ISNUMBER(SEARCH("local",C1679)),"LOCAL","")))</f>
        <v>MSSB</v>
      </c>
      <c r="E1679" s="238"/>
      <c r="F1679" s="217"/>
      <c r="G1679" s="217"/>
      <c r="H1679" s="245">
        <v>2</v>
      </c>
      <c r="I1679" s="270"/>
      <c r="J1679" s="241" t="str">
        <f>CONCATENATE(O1657," ",L1657, " (",M1657,") ",N1657,".", IF(M1657&gt;1," Each "," This "),"includes supply and install of ",O1658,O1659,O1660,O1661,O1662,O1663,O1664,O1665,O1666,O1667,O1668,O1669,O1670,O1671,O1672,O1673,O1674,O1675,O1676,O1677,J1658,J1659,J1660,J1661,J1662,J1663,J1664,J1665,J1666,J1667,J1668,J1669,J1670,J1671,J1672,J1673,J1674,J1675,J1676,J1677)</f>
        <v xml:space="preserve">Electrical power supply to Zero (0) Small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679" s="246">
        <f>P1678</f>
        <v>0</v>
      </c>
      <c r="L1679" s="234" t="str">
        <f>CONCATENATE(Q1658,Q1659,Q1660,Q1661,Q1662,Q1663,Q1664,Q1665,Q1666,Q1667,Q1668,Q1669,Q1670,Q1671,Q1672,Q1673,Q1674,Q1675,Q1676,Q1677,)</f>
        <v/>
      </c>
      <c r="M1679" s="166" t="s">
        <v>367</v>
      </c>
      <c r="N1679" s="160" t="str">
        <f>N1657</f>
        <v>Small Aircooled Chillers - from Chiller MSSB</v>
      </c>
      <c r="O1679" s="175" t="s">
        <v>365</v>
      </c>
      <c r="P1679" s="64">
        <v>2000</v>
      </c>
      <c r="Q1679" s="172"/>
      <c r="R1679" s="172"/>
      <c r="S1679" s="175"/>
      <c r="T1679" s="172"/>
      <c r="U1679" s="505" t="s">
        <v>366</v>
      </c>
      <c r="V1679" s="505"/>
      <c r="W1679" s="177" t="e">
        <f>W1678/M1657</f>
        <v>#DIV/0!</v>
      </c>
      <c r="X1679" s="178"/>
      <c r="Y1679" s="506" t="s">
        <v>365</v>
      </c>
      <c r="Z1679" s="506"/>
      <c r="AA1679" s="181" t="e">
        <f>AA1678/M1657</f>
        <v>#DIV/0!</v>
      </c>
      <c r="AB1679" s="172"/>
      <c r="AC1679" s="172"/>
      <c r="AD1679" s="172"/>
      <c r="AE1679" s="172"/>
      <c r="AF1679" s="506" t="s">
        <v>365</v>
      </c>
      <c r="AG1679" s="506"/>
      <c r="AH1679" s="181" t="e">
        <f>AH1678/M1657</f>
        <v>#DIV/0!</v>
      </c>
      <c r="AI1679" s="172"/>
      <c r="AJ1679" s="172"/>
      <c r="AK1679" s="172"/>
      <c r="AL1679" s="250"/>
      <c r="AM1679" s="257"/>
      <c r="AN1679" s="236">
        <f>K1679*1.25</f>
        <v>0</v>
      </c>
      <c r="AO1679" s="286"/>
      <c r="AP1679" s="284">
        <f t="shared" si="748"/>
        <v>0</v>
      </c>
      <c r="AQ1679" s="281">
        <f t="shared" si="749"/>
        <v>0</v>
      </c>
      <c r="AR1679" s="284">
        <f t="shared" si="750"/>
        <v>0</v>
      </c>
      <c r="AS1679" s="281">
        <f t="shared" si="751"/>
        <v>0</v>
      </c>
      <c r="AT1679" s="284">
        <f t="shared" si="752"/>
        <v>0</v>
      </c>
      <c r="AU1679" s="117"/>
      <c r="AV1679" s="117"/>
      <c r="AW1679" s="117"/>
      <c r="AX1679" s="117"/>
      <c r="AY1679" s="117"/>
      <c r="AZ1679" s="117"/>
      <c r="BA1679" s="117"/>
      <c r="BB1679" s="117"/>
      <c r="BC1679" s="117"/>
      <c r="BD1679" s="117"/>
      <c r="BE1679" s="117"/>
      <c r="BF1679" s="117"/>
      <c r="BG1679" s="117"/>
      <c r="BH1679" s="117"/>
      <c r="BI1679" s="117"/>
      <c r="BJ1679" s="117"/>
      <c r="BK1679" s="117"/>
      <c r="BL1679" s="117"/>
      <c r="BM1679" s="117"/>
      <c r="BN1679" s="117"/>
      <c r="BO1679" s="117"/>
      <c r="BP1679" s="117"/>
      <c r="BQ1679" s="117"/>
      <c r="BR1679" s="117"/>
      <c r="BS1679" s="117"/>
      <c r="BT1679" s="117"/>
      <c r="BU1679" s="117"/>
      <c r="BV1679" s="117"/>
      <c r="BW1679" s="117"/>
      <c r="BX1679" s="117"/>
      <c r="BY1679" s="117"/>
      <c r="BZ1679" s="117"/>
      <c r="CA1679" s="117"/>
      <c r="CB1679" s="117"/>
      <c r="CC1679" s="117"/>
      <c r="CD1679" s="117"/>
      <c r="CE1679" s="117"/>
      <c r="CF1679" s="117"/>
      <c r="CG1679" s="117"/>
      <c r="CH1679" s="117"/>
      <c r="CI1679" s="117"/>
      <c r="CJ1679" s="117"/>
      <c r="CK1679" s="117"/>
      <c r="CL1679" s="117"/>
      <c r="CM1679" s="117"/>
      <c r="CN1679" s="117"/>
      <c r="CO1679" s="117"/>
      <c r="CP1679" s="117"/>
      <c r="CQ1679" s="117"/>
      <c r="CR1679" s="117"/>
      <c r="CS1679" s="117"/>
    </row>
    <row r="1680" spans="1:97" s="116" customFormat="1" ht="192.75" customHeight="1" x14ac:dyDescent="0.8">
      <c r="A1680" s="262">
        <f>ROW()</f>
        <v>1680</v>
      </c>
      <c r="C1680" s="211"/>
      <c r="D1680" s="211"/>
      <c r="E1680" s="211"/>
      <c r="F1680" s="211"/>
      <c r="G1680" s="211"/>
      <c r="H1680" s="211"/>
      <c r="K1680" s="116" t="s">
        <v>452</v>
      </c>
      <c r="M1680" s="116" t="s">
        <v>107</v>
      </c>
      <c r="N1680" s="116" t="s">
        <v>108</v>
      </c>
      <c r="O1680" s="170" t="s">
        <v>386</v>
      </c>
      <c r="P1680" s="502" t="s">
        <v>375</v>
      </c>
      <c r="Q1680" s="502"/>
      <c r="R1680" s="101" t="s">
        <v>452</v>
      </c>
      <c r="S1680" s="116" t="s">
        <v>0</v>
      </c>
      <c r="T1680" s="118"/>
      <c r="U1680" s="116" t="s">
        <v>287</v>
      </c>
      <c r="V1680" s="116" t="s">
        <v>288</v>
      </c>
      <c r="W1680" s="116" t="s">
        <v>291</v>
      </c>
      <c r="X1680" s="140"/>
      <c r="Y1680" s="116" t="s">
        <v>289</v>
      </c>
      <c r="Z1680" s="116" t="s">
        <v>354</v>
      </c>
      <c r="AA1680" s="116" t="s">
        <v>355</v>
      </c>
      <c r="AB1680" s="116" t="s">
        <v>317</v>
      </c>
      <c r="AC1680" s="116" t="s">
        <v>318</v>
      </c>
      <c r="AD1680" s="116" t="s">
        <v>316</v>
      </c>
      <c r="AE1680" s="140"/>
      <c r="AF1680" s="116" t="s">
        <v>293</v>
      </c>
      <c r="AG1680" s="116" t="s">
        <v>354</v>
      </c>
      <c r="AH1680" s="116" t="s">
        <v>355</v>
      </c>
      <c r="AI1680" s="116" t="s">
        <v>296</v>
      </c>
      <c r="AJ1680" s="116" t="s">
        <v>294</v>
      </c>
      <c r="AK1680" s="116" t="s">
        <v>295</v>
      </c>
      <c r="AL1680" s="140"/>
      <c r="AO1680" s="288"/>
      <c r="AP1680" s="284">
        <f t="shared" si="748"/>
        <v>0</v>
      </c>
      <c r="AQ1680" s="281">
        <f t="shared" si="749"/>
        <v>0</v>
      </c>
      <c r="AR1680" s="284">
        <f t="shared" si="750"/>
        <v>0</v>
      </c>
      <c r="AS1680" s="281">
        <f t="shared" si="751"/>
        <v>0</v>
      </c>
      <c r="AT1680" s="284">
        <f t="shared" si="752"/>
        <v>0</v>
      </c>
    </row>
    <row r="1681" spans="1:46" s="114" customFormat="1" ht="40.5" customHeight="1" x14ac:dyDescent="0.8">
      <c r="A1681" s="262">
        <f>ROW()</f>
        <v>1681</v>
      </c>
      <c r="C1681" s="208"/>
      <c r="D1681" s="208"/>
      <c r="E1681" s="208"/>
      <c r="F1681" s="208"/>
      <c r="G1681" s="208"/>
      <c r="H1681" s="208"/>
      <c r="L1681" s="124" t="str">
        <f>VLOOKUP(M1681,Sheet2!$D$2:$E$1024,2,FALSE)</f>
        <v>Zero</v>
      </c>
      <c r="M1681" s="121">
        <f>I1703</f>
        <v>0</v>
      </c>
      <c r="N1681" s="132" t="s">
        <v>561</v>
      </c>
      <c r="O1681" s="175" t="s">
        <v>133</v>
      </c>
      <c r="P1681" s="173" t="s">
        <v>379</v>
      </c>
      <c r="Q1681" s="173" t="s">
        <v>375</v>
      </c>
      <c r="R1681" s="173"/>
      <c r="S1681" s="174">
        <f>M1681</f>
        <v>0</v>
      </c>
      <c r="T1681" s="175"/>
      <c r="U1681" s="175" t="s">
        <v>292</v>
      </c>
      <c r="V1681" s="174">
        <f>S1681</f>
        <v>0</v>
      </c>
      <c r="W1681" s="174">
        <f>VLOOKUP(U1681,Sheet1!$B$6:$C$45,2,FALSE)*V1681</f>
        <v>0</v>
      </c>
      <c r="X1681" s="174"/>
      <c r="Y1681" s="175" t="s">
        <v>292</v>
      </c>
      <c r="Z1681" s="168">
        <f>VLOOKUP(Takeoffs!Y1681,Sheet1!$B$6:$C$124,2,FALSE)</f>
        <v>0</v>
      </c>
      <c r="AA1681" s="168">
        <f>Z1681*AB1681</f>
        <v>0</v>
      </c>
      <c r="AB1681" s="176">
        <f>AD1681*AC1681</f>
        <v>0</v>
      </c>
      <c r="AC1681" s="174">
        <f>S1681</f>
        <v>0</v>
      </c>
      <c r="AD1681" s="174">
        <v>1</v>
      </c>
      <c r="AE1681" s="174"/>
      <c r="AF1681" s="175" t="s">
        <v>292</v>
      </c>
      <c r="AG1681" s="168">
        <f>VLOOKUP(Takeoffs!AF1681,Sheet1!$B$6:$C$124,2,FALSE)</f>
        <v>0</v>
      </c>
      <c r="AH1681" s="168">
        <f>AG1681*AI1681</f>
        <v>0</v>
      </c>
      <c r="AI1681" s="176">
        <f>AK1681*AJ1681</f>
        <v>0</v>
      </c>
      <c r="AJ1681" s="174">
        <f>S1681</f>
        <v>0</v>
      </c>
      <c r="AK1681" s="174">
        <f>T1681</f>
        <v>0</v>
      </c>
      <c r="AL1681" s="174"/>
      <c r="AO1681" s="286"/>
      <c r="AP1681" s="284">
        <f t="shared" si="748"/>
        <v>0</v>
      </c>
      <c r="AQ1681" s="281">
        <f t="shared" si="749"/>
        <v>0</v>
      </c>
      <c r="AR1681" s="284">
        <f t="shared" si="750"/>
        <v>0</v>
      </c>
      <c r="AS1681" s="281">
        <f t="shared" si="751"/>
        <v>0</v>
      </c>
      <c r="AT1681" s="284">
        <f t="shared" si="752"/>
        <v>0</v>
      </c>
    </row>
    <row r="1682" spans="1:46" s="114" customFormat="1" ht="30.9" x14ac:dyDescent="0.8">
      <c r="A1682" s="262">
        <f>ROW()</f>
        <v>1682</v>
      </c>
      <c r="C1682" s="208"/>
      <c r="D1682" s="208"/>
      <c r="E1682" s="208"/>
      <c r="F1682" s="208"/>
      <c r="G1682" s="208"/>
      <c r="H1682" s="208"/>
      <c r="J1682" s="114" t="str">
        <f>IF(COUNTBLANK(Q1682)&gt;0,"",CONCATENATE("Coordination Note: - ",P1682,": Please refer to our exclusions relating to ",Q1682))</f>
        <v/>
      </c>
      <c r="K1682" s="114" t="str">
        <f>IF(COUNTBLANK(R1682)&gt;0,"",CONCATENATE(R1682," for ",N1681))</f>
        <v/>
      </c>
      <c r="M1682" s="117"/>
      <c r="N1682" s="123" t="s">
        <v>113</v>
      </c>
      <c r="O1682" s="175"/>
      <c r="P1682" s="175"/>
      <c r="Q1682" s="175"/>
      <c r="R1682" s="175"/>
      <c r="S1682" s="174">
        <f>M1681</f>
        <v>0</v>
      </c>
      <c r="T1682" s="172"/>
      <c r="U1682" s="175" t="s">
        <v>292</v>
      </c>
      <c r="V1682" s="174">
        <f t="shared" ref="V1682:V1701" si="771">S1682</f>
        <v>0</v>
      </c>
      <c r="W1682" s="174">
        <f>VLOOKUP(U1682,Sheet1!$B$6:$C$45,2,FALSE)*V1682</f>
        <v>0</v>
      </c>
      <c r="X1682" s="174"/>
      <c r="Y1682" s="175" t="s">
        <v>292</v>
      </c>
      <c r="Z1682" s="168">
        <f>VLOOKUP(Takeoffs!Y1682,Sheet1!$B$6:$C$124,2,FALSE)</f>
        <v>0</v>
      </c>
      <c r="AA1682" s="168">
        <f t="shared" ref="AA1682:AA1701" si="772">Z1682*AB1682</f>
        <v>0</v>
      </c>
      <c r="AB1682" s="176">
        <f t="shared" ref="AB1682:AB1701" si="773">AD1682*AC1682</f>
        <v>0</v>
      </c>
      <c r="AC1682" s="174">
        <f>S1682</f>
        <v>0</v>
      </c>
      <c r="AD1682" s="174">
        <v>1</v>
      </c>
      <c r="AE1682" s="174"/>
      <c r="AF1682" s="175" t="s">
        <v>292</v>
      </c>
      <c r="AG1682" s="168">
        <f>VLOOKUP(Takeoffs!AF1682,Sheet1!$B$6:$C$124,2,FALSE)</f>
        <v>0</v>
      </c>
      <c r="AH1682" s="168">
        <f t="shared" ref="AH1682:AH1701" si="774">AG1682*AI1682</f>
        <v>0</v>
      </c>
      <c r="AI1682" s="176">
        <f t="shared" ref="AI1682:AI1701" si="775">AK1682*AJ1682</f>
        <v>0</v>
      </c>
      <c r="AJ1682" s="174">
        <f t="shared" ref="AJ1682:AJ1701" si="776">S1682</f>
        <v>0</v>
      </c>
      <c r="AK1682" s="174">
        <f t="shared" ref="AK1682:AK1701" si="777">T1682</f>
        <v>0</v>
      </c>
      <c r="AL1682" s="174"/>
      <c r="AO1682" s="286"/>
      <c r="AP1682" s="284">
        <f t="shared" si="748"/>
        <v>0</v>
      </c>
      <c r="AQ1682" s="281">
        <f t="shared" si="749"/>
        <v>0</v>
      </c>
      <c r="AR1682" s="284">
        <f t="shared" si="750"/>
        <v>0</v>
      </c>
      <c r="AS1682" s="281">
        <f t="shared" si="751"/>
        <v>0</v>
      </c>
      <c r="AT1682" s="284">
        <f t="shared" si="752"/>
        <v>0</v>
      </c>
    </row>
    <row r="1683" spans="1:46" s="114" customFormat="1" ht="30.9" x14ac:dyDescent="0.8">
      <c r="A1683" s="262">
        <f>ROW()</f>
        <v>1683</v>
      </c>
      <c r="C1683" s="208"/>
      <c r="D1683" s="208"/>
      <c r="E1683" s="208"/>
      <c r="F1683" s="208"/>
      <c r="G1683" s="208"/>
      <c r="H1683" s="208"/>
      <c r="J1683" s="114" t="str">
        <f t="shared" ref="J1683:J1701" si="778">IF(COUNTBLANK(Q1683)&gt;0,"",CONCATENATE("Coordination Note: - ",P1683,": Please refer to our exclusions relating to ",Q1683))</f>
        <v/>
      </c>
      <c r="K1683" s="114" t="str">
        <f>IF(COUNTBLANK(R1683)&gt;0,"",CONCATENATE(R1683," for ",N1681))</f>
        <v/>
      </c>
      <c r="M1683" s="117"/>
      <c r="N1683" s="123" t="s">
        <v>114</v>
      </c>
      <c r="O1683" s="175"/>
      <c r="P1683" s="175"/>
      <c r="Q1683" s="175"/>
      <c r="R1683" s="175"/>
      <c r="S1683" s="174">
        <f>M1681</f>
        <v>0</v>
      </c>
      <c r="T1683" s="172"/>
      <c r="U1683" s="175" t="s">
        <v>292</v>
      </c>
      <c r="V1683" s="174">
        <f t="shared" si="771"/>
        <v>0</v>
      </c>
      <c r="W1683" s="174">
        <f>VLOOKUP(U1683,Sheet1!$B$6:$C$45,2,FALSE)*V1683</f>
        <v>0</v>
      </c>
      <c r="X1683" s="174"/>
      <c r="Y1683" s="175" t="s">
        <v>292</v>
      </c>
      <c r="Z1683" s="168">
        <f>VLOOKUP(Takeoffs!Y1683,Sheet1!$B$6:$C$124,2,FALSE)</f>
        <v>0</v>
      </c>
      <c r="AA1683" s="168">
        <f t="shared" si="772"/>
        <v>0</v>
      </c>
      <c r="AB1683" s="176">
        <f t="shared" si="773"/>
        <v>0</v>
      </c>
      <c r="AC1683" s="174">
        <f>S1683</f>
        <v>0</v>
      </c>
      <c r="AD1683" s="174">
        <v>1</v>
      </c>
      <c r="AE1683" s="174"/>
      <c r="AF1683" s="175" t="s">
        <v>292</v>
      </c>
      <c r="AG1683" s="168">
        <f>VLOOKUP(Takeoffs!AF1683,Sheet1!$B$6:$C$124,2,FALSE)</f>
        <v>0</v>
      </c>
      <c r="AH1683" s="168">
        <f t="shared" si="774"/>
        <v>0</v>
      </c>
      <c r="AI1683" s="176">
        <f t="shared" si="775"/>
        <v>0</v>
      </c>
      <c r="AJ1683" s="174">
        <f t="shared" si="776"/>
        <v>0</v>
      </c>
      <c r="AK1683" s="174">
        <f t="shared" si="777"/>
        <v>0</v>
      </c>
      <c r="AL1683" s="174"/>
      <c r="AO1683" s="286"/>
      <c r="AP1683" s="284">
        <f t="shared" si="748"/>
        <v>0</v>
      </c>
      <c r="AQ1683" s="281">
        <f t="shared" si="749"/>
        <v>0</v>
      </c>
      <c r="AR1683" s="284">
        <f t="shared" si="750"/>
        <v>0</v>
      </c>
      <c r="AS1683" s="281">
        <f t="shared" si="751"/>
        <v>0</v>
      </c>
      <c r="AT1683" s="284">
        <f t="shared" si="752"/>
        <v>0</v>
      </c>
    </row>
    <row r="1684" spans="1:46" s="114" customFormat="1" ht="30.9" x14ac:dyDescent="0.8">
      <c r="A1684" s="262">
        <f>ROW()</f>
        <v>1684</v>
      </c>
      <c r="C1684" s="208"/>
      <c r="D1684" s="208"/>
      <c r="E1684" s="208"/>
      <c r="F1684" s="208"/>
      <c r="G1684" s="208"/>
      <c r="H1684" s="208"/>
      <c r="J1684" s="114" t="str">
        <f t="shared" si="778"/>
        <v/>
      </c>
      <c r="K1684" s="114" t="str">
        <f>IF(COUNTBLANK(R1684)&gt;0,"",CONCATENATE(R1684," for ",N1681))</f>
        <v/>
      </c>
      <c r="M1684" s="117"/>
      <c r="N1684" s="123" t="s">
        <v>115</v>
      </c>
      <c r="O1684" s="175" t="s">
        <v>530</v>
      </c>
      <c r="P1684" s="175"/>
      <c r="Q1684" s="175"/>
      <c r="R1684" s="175"/>
      <c r="S1684" s="174">
        <f>M1681</f>
        <v>0</v>
      </c>
      <c r="T1684" s="172"/>
      <c r="U1684" s="175" t="s">
        <v>292</v>
      </c>
      <c r="V1684" s="174">
        <f t="shared" si="771"/>
        <v>0</v>
      </c>
      <c r="W1684" s="174">
        <f>VLOOKUP(U1684,Sheet1!$B$6:$C$45,2,FALSE)*V1684</f>
        <v>0</v>
      </c>
      <c r="X1684" s="174"/>
      <c r="Y1684" s="175" t="s">
        <v>292</v>
      </c>
      <c r="Z1684" s="168">
        <f>VLOOKUP(Takeoffs!Y1684,Sheet1!$B$6:$C$124,2,FALSE)</f>
        <v>0</v>
      </c>
      <c r="AA1684" s="168">
        <f t="shared" si="772"/>
        <v>0</v>
      </c>
      <c r="AB1684" s="176">
        <f t="shared" si="773"/>
        <v>0</v>
      </c>
      <c r="AC1684" s="174">
        <f t="shared" ref="AC1684:AC1701" si="779">S1684</f>
        <v>0</v>
      </c>
      <c r="AD1684" s="174">
        <v>1</v>
      </c>
      <c r="AE1684" s="174"/>
      <c r="AF1684" s="175" t="s">
        <v>292</v>
      </c>
      <c r="AG1684" s="168">
        <f>VLOOKUP(Takeoffs!AF1684,Sheet1!$B$6:$C$124,2,FALSE)</f>
        <v>0</v>
      </c>
      <c r="AH1684" s="168">
        <f t="shared" si="774"/>
        <v>0</v>
      </c>
      <c r="AI1684" s="176">
        <f t="shared" si="775"/>
        <v>0</v>
      </c>
      <c r="AJ1684" s="174">
        <f t="shared" si="776"/>
        <v>0</v>
      </c>
      <c r="AK1684" s="174">
        <f t="shared" si="777"/>
        <v>0</v>
      </c>
      <c r="AL1684" s="174"/>
      <c r="AO1684" s="286"/>
      <c r="AP1684" s="284">
        <f t="shared" ref="AP1684:AP1747" si="780">IF(AND(I1684&gt;0, ISNUMBER(I1684)),I1684*P1684,0)</f>
        <v>0</v>
      </c>
      <c r="AQ1684" s="281">
        <f t="shared" ref="AQ1684:AQ1747" si="781">IF(AND(I1684&gt;0, ISNUMBER(I1684)),I1684*W1684*80,0)</f>
        <v>0</v>
      </c>
      <c r="AR1684" s="284">
        <f t="shared" ref="AR1684:AR1747" si="782">IF(AND(I1684&gt;0, ISNUMBER(I1684)),I1684*AA1684,0)</f>
        <v>0</v>
      </c>
      <c r="AS1684" s="281">
        <f t="shared" ref="AS1684:AS1747" si="783">IF(AND(I1684&gt;0, ISNUMBER(I1684)),I1684*AH1684,0)</f>
        <v>0</v>
      </c>
      <c r="AT1684" s="284">
        <f t="shared" ref="AT1684:AT1747" si="784">IF(AND(I1684&gt;0, ISNUMBER(I1684)),I1684*(AP1684-(AQ1684+AR1684+AS1684)),0)</f>
        <v>0</v>
      </c>
    </row>
    <row r="1685" spans="1:46" s="114" customFormat="1" ht="30.9" x14ac:dyDescent="0.8">
      <c r="A1685" s="262">
        <f>ROW()</f>
        <v>1685</v>
      </c>
      <c r="C1685" s="208"/>
      <c r="D1685" s="208"/>
      <c r="E1685" s="208"/>
      <c r="F1685" s="208"/>
      <c r="G1685" s="208"/>
      <c r="H1685" s="208"/>
      <c r="J1685" s="114" t="str">
        <f t="shared" si="778"/>
        <v/>
      </c>
      <c r="K1685" s="114" t="str">
        <f>IF(COUNTBLANK(R1685)&gt;0,"",CONCATENATE(R1685," for ",N1681))</f>
        <v/>
      </c>
      <c r="M1685" s="117"/>
      <c r="N1685" s="123" t="s">
        <v>116</v>
      </c>
      <c r="O1685" s="175" t="s">
        <v>531</v>
      </c>
      <c r="P1685" s="175"/>
      <c r="Q1685" s="175"/>
      <c r="R1685" s="175"/>
      <c r="S1685" s="174">
        <f>M1681</f>
        <v>0</v>
      </c>
      <c r="T1685" s="172"/>
      <c r="U1685" s="175" t="s">
        <v>292</v>
      </c>
      <c r="V1685" s="174">
        <f t="shared" si="771"/>
        <v>0</v>
      </c>
      <c r="W1685" s="174">
        <f>VLOOKUP(U1685,Sheet1!$B$6:$C$45,2,FALSE)*V1685</f>
        <v>0</v>
      </c>
      <c r="X1685" s="174"/>
      <c r="Y1685" s="175" t="s">
        <v>292</v>
      </c>
      <c r="Z1685" s="168">
        <f>VLOOKUP(Takeoffs!Y1685,Sheet1!$B$6:$C$124,2,FALSE)</f>
        <v>0</v>
      </c>
      <c r="AA1685" s="168">
        <f t="shared" si="772"/>
        <v>0</v>
      </c>
      <c r="AB1685" s="176">
        <f t="shared" si="773"/>
        <v>0</v>
      </c>
      <c r="AC1685" s="174">
        <f t="shared" si="779"/>
        <v>0</v>
      </c>
      <c r="AD1685" s="174">
        <v>1</v>
      </c>
      <c r="AE1685" s="174"/>
      <c r="AF1685" s="175" t="s">
        <v>292</v>
      </c>
      <c r="AG1685" s="168">
        <f>VLOOKUP(Takeoffs!AF1685,Sheet1!$B$6:$C$124,2,FALSE)</f>
        <v>0</v>
      </c>
      <c r="AH1685" s="168">
        <f t="shared" si="774"/>
        <v>0</v>
      </c>
      <c r="AI1685" s="176">
        <f t="shared" si="775"/>
        <v>0</v>
      </c>
      <c r="AJ1685" s="174">
        <f t="shared" si="776"/>
        <v>0</v>
      </c>
      <c r="AK1685" s="174">
        <f t="shared" si="777"/>
        <v>0</v>
      </c>
      <c r="AL1685" s="174"/>
      <c r="AO1685" s="286"/>
      <c r="AP1685" s="284">
        <f t="shared" si="780"/>
        <v>0</v>
      </c>
      <c r="AQ1685" s="281">
        <f t="shared" si="781"/>
        <v>0</v>
      </c>
      <c r="AR1685" s="284">
        <f t="shared" si="782"/>
        <v>0</v>
      </c>
      <c r="AS1685" s="281">
        <f t="shared" si="783"/>
        <v>0</v>
      </c>
      <c r="AT1685" s="284">
        <f t="shared" si="784"/>
        <v>0</v>
      </c>
    </row>
    <row r="1686" spans="1:46" s="114" customFormat="1" ht="30.9" x14ac:dyDescent="0.8">
      <c r="A1686" s="262">
        <f>ROW()</f>
        <v>1686</v>
      </c>
      <c r="C1686" s="208"/>
      <c r="D1686" s="208"/>
      <c r="E1686" s="208"/>
      <c r="F1686" s="208"/>
      <c r="G1686" s="208"/>
      <c r="H1686" s="208"/>
      <c r="J1686" s="114" t="str">
        <f t="shared" si="778"/>
        <v/>
      </c>
      <c r="K1686" s="114" t="str">
        <f>IF(COUNTBLANK(R1686)&gt;0,"",CONCATENATE(R1686," for ",N1681))</f>
        <v/>
      </c>
      <c r="M1686" s="117"/>
      <c r="N1686" s="123" t="s">
        <v>117</v>
      </c>
      <c r="O1686" s="175" t="s">
        <v>407</v>
      </c>
      <c r="P1686" s="175"/>
      <c r="Q1686" s="175"/>
      <c r="R1686" s="175"/>
      <c r="S1686" s="174">
        <f>M1681</f>
        <v>0</v>
      </c>
      <c r="T1686" s="172"/>
      <c r="U1686" s="175" t="s">
        <v>292</v>
      </c>
      <c r="V1686" s="174">
        <f t="shared" si="771"/>
        <v>0</v>
      </c>
      <c r="W1686" s="174">
        <f>VLOOKUP(U1686,Sheet1!$B$6:$C$45,2,FALSE)*V1686</f>
        <v>0</v>
      </c>
      <c r="X1686" s="174"/>
      <c r="Y1686" s="175" t="s">
        <v>292</v>
      </c>
      <c r="Z1686" s="168">
        <f>VLOOKUP(Takeoffs!Y1686,Sheet1!$B$6:$C$124,2,FALSE)</f>
        <v>0</v>
      </c>
      <c r="AA1686" s="168">
        <f t="shared" si="772"/>
        <v>0</v>
      </c>
      <c r="AB1686" s="176">
        <f t="shared" si="773"/>
        <v>0</v>
      </c>
      <c r="AC1686" s="174">
        <f t="shared" si="779"/>
        <v>0</v>
      </c>
      <c r="AD1686" s="174">
        <v>1</v>
      </c>
      <c r="AE1686" s="174"/>
      <c r="AF1686" s="175" t="s">
        <v>292</v>
      </c>
      <c r="AG1686" s="168">
        <f>VLOOKUP(Takeoffs!AF1686,Sheet1!$B$6:$C$124,2,FALSE)</f>
        <v>0</v>
      </c>
      <c r="AH1686" s="168">
        <f t="shared" si="774"/>
        <v>0</v>
      </c>
      <c r="AI1686" s="176">
        <f t="shared" si="775"/>
        <v>0</v>
      </c>
      <c r="AJ1686" s="174">
        <f t="shared" si="776"/>
        <v>0</v>
      </c>
      <c r="AK1686" s="174">
        <f t="shared" si="777"/>
        <v>0</v>
      </c>
      <c r="AL1686" s="174"/>
      <c r="AO1686" s="286"/>
      <c r="AP1686" s="284">
        <f t="shared" si="780"/>
        <v>0</v>
      </c>
      <c r="AQ1686" s="281">
        <f t="shared" si="781"/>
        <v>0</v>
      </c>
      <c r="AR1686" s="284">
        <f t="shared" si="782"/>
        <v>0</v>
      </c>
      <c r="AS1686" s="281">
        <f t="shared" si="783"/>
        <v>0</v>
      </c>
      <c r="AT1686" s="284">
        <f t="shared" si="784"/>
        <v>0</v>
      </c>
    </row>
    <row r="1687" spans="1:46" s="114" customFormat="1" ht="30.9" x14ac:dyDescent="0.8">
      <c r="A1687" s="262">
        <f>ROW()</f>
        <v>1687</v>
      </c>
      <c r="C1687" s="208"/>
      <c r="D1687" s="208"/>
      <c r="E1687" s="208"/>
      <c r="F1687" s="208"/>
      <c r="G1687" s="208"/>
      <c r="H1687" s="208"/>
      <c r="J1687" s="114" t="str">
        <f t="shared" si="778"/>
        <v/>
      </c>
      <c r="K1687" s="114" t="str">
        <f>IF(COUNTBLANK(R1687)&gt;0,"",CONCATENATE(R1687," for ",N1681))</f>
        <v/>
      </c>
      <c r="M1687" s="117"/>
      <c r="N1687" s="123" t="s">
        <v>118</v>
      </c>
      <c r="O1687" s="175" t="s">
        <v>408</v>
      </c>
      <c r="P1687" s="175"/>
      <c r="Q1687" s="175"/>
      <c r="R1687" s="175"/>
      <c r="S1687" s="174">
        <f>M1681</f>
        <v>0</v>
      </c>
      <c r="T1687" s="172"/>
      <c r="U1687" s="175" t="s">
        <v>292</v>
      </c>
      <c r="V1687" s="174">
        <f t="shared" si="771"/>
        <v>0</v>
      </c>
      <c r="W1687" s="174">
        <f>VLOOKUP(U1687,Sheet1!$B$6:$C$45,2,FALSE)*V1687</f>
        <v>0</v>
      </c>
      <c r="X1687" s="174"/>
      <c r="Y1687" s="175" t="s">
        <v>292</v>
      </c>
      <c r="Z1687" s="168">
        <f>VLOOKUP(Takeoffs!Y1687,Sheet1!$B$6:$C$124,2,FALSE)</f>
        <v>0</v>
      </c>
      <c r="AA1687" s="168">
        <f t="shared" si="772"/>
        <v>0</v>
      </c>
      <c r="AB1687" s="176">
        <f t="shared" si="773"/>
        <v>0</v>
      </c>
      <c r="AC1687" s="174">
        <f t="shared" si="779"/>
        <v>0</v>
      </c>
      <c r="AD1687" s="174">
        <v>1</v>
      </c>
      <c r="AE1687" s="174"/>
      <c r="AF1687" s="175" t="s">
        <v>292</v>
      </c>
      <c r="AG1687" s="168">
        <f>VLOOKUP(Takeoffs!AF1687,Sheet1!$B$6:$C$124,2,FALSE)</f>
        <v>0</v>
      </c>
      <c r="AH1687" s="168">
        <f t="shared" si="774"/>
        <v>0</v>
      </c>
      <c r="AI1687" s="176">
        <f t="shared" si="775"/>
        <v>0</v>
      </c>
      <c r="AJ1687" s="174">
        <f t="shared" si="776"/>
        <v>0</v>
      </c>
      <c r="AK1687" s="174">
        <f t="shared" si="777"/>
        <v>0</v>
      </c>
      <c r="AL1687" s="174"/>
      <c r="AO1687" s="286"/>
      <c r="AP1687" s="284">
        <f t="shared" si="780"/>
        <v>0</v>
      </c>
      <c r="AQ1687" s="281">
        <f t="shared" si="781"/>
        <v>0</v>
      </c>
      <c r="AR1687" s="284">
        <f t="shared" si="782"/>
        <v>0</v>
      </c>
      <c r="AS1687" s="281">
        <f t="shared" si="783"/>
        <v>0</v>
      </c>
      <c r="AT1687" s="284">
        <f t="shared" si="784"/>
        <v>0</v>
      </c>
    </row>
    <row r="1688" spans="1:46" s="114" customFormat="1" ht="30.9" x14ac:dyDescent="0.8">
      <c r="A1688" s="262">
        <f>ROW()</f>
        <v>1688</v>
      </c>
      <c r="C1688" s="208"/>
      <c r="D1688" s="208"/>
      <c r="E1688" s="208"/>
      <c r="F1688" s="208"/>
      <c r="G1688" s="208"/>
      <c r="H1688" s="208"/>
      <c r="J1688" s="114" t="str">
        <f t="shared" si="778"/>
        <v/>
      </c>
      <c r="K1688" s="114" t="str">
        <f>IF(COUNTBLANK(R1688)&gt;0,"",CONCATENATE(R1688," for ",N1681))</f>
        <v/>
      </c>
      <c r="N1688" s="123" t="s">
        <v>119</v>
      </c>
      <c r="O1688" s="175" t="s">
        <v>532</v>
      </c>
      <c r="P1688" s="175"/>
      <c r="Q1688" s="175"/>
      <c r="R1688" s="175"/>
      <c r="S1688" s="174">
        <f>M1681</f>
        <v>0</v>
      </c>
      <c r="T1688" s="172"/>
      <c r="U1688" s="175" t="s">
        <v>292</v>
      </c>
      <c r="V1688" s="174">
        <f t="shared" si="771"/>
        <v>0</v>
      </c>
      <c r="W1688" s="174">
        <f>VLOOKUP(U1688,Sheet1!$B$6:$C$45,2,FALSE)*V1688</f>
        <v>0</v>
      </c>
      <c r="X1688" s="174"/>
      <c r="Y1688" s="175" t="s">
        <v>292</v>
      </c>
      <c r="Z1688" s="168">
        <f>VLOOKUP(Takeoffs!Y1688,Sheet1!$B$6:$C$124,2,FALSE)</f>
        <v>0</v>
      </c>
      <c r="AA1688" s="168">
        <f t="shared" si="772"/>
        <v>0</v>
      </c>
      <c r="AB1688" s="176">
        <f t="shared" si="773"/>
        <v>0</v>
      </c>
      <c r="AC1688" s="174">
        <f t="shared" si="779"/>
        <v>0</v>
      </c>
      <c r="AD1688" s="174">
        <v>1</v>
      </c>
      <c r="AE1688" s="174"/>
      <c r="AF1688" s="175" t="s">
        <v>292</v>
      </c>
      <c r="AG1688" s="168">
        <f>VLOOKUP(Takeoffs!AF1688,Sheet1!$B$6:$C$124,2,FALSE)</f>
        <v>0</v>
      </c>
      <c r="AH1688" s="168">
        <f t="shared" si="774"/>
        <v>0</v>
      </c>
      <c r="AI1688" s="176">
        <f t="shared" si="775"/>
        <v>0</v>
      </c>
      <c r="AJ1688" s="174">
        <f t="shared" si="776"/>
        <v>0</v>
      </c>
      <c r="AK1688" s="174">
        <f t="shared" si="777"/>
        <v>0</v>
      </c>
      <c r="AL1688" s="174"/>
      <c r="AO1688" s="286"/>
      <c r="AP1688" s="284">
        <f t="shared" si="780"/>
        <v>0</v>
      </c>
      <c r="AQ1688" s="281">
        <f t="shared" si="781"/>
        <v>0</v>
      </c>
      <c r="AR1688" s="284">
        <f t="shared" si="782"/>
        <v>0</v>
      </c>
      <c r="AS1688" s="281">
        <f t="shared" si="783"/>
        <v>0</v>
      </c>
      <c r="AT1688" s="284">
        <f t="shared" si="784"/>
        <v>0</v>
      </c>
    </row>
    <row r="1689" spans="1:46" s="114" customFormat="1" ht="30.9" x14ac:dyDescent="0.8">
      <c r="A1689" s="262">
        <f>ROW()</f>
        <v>1689</v>
      </c>
      <c r="C1689" s="208"/>
      <c r="D1689" s="208"/>
      <c r="E1689" s="208"/>
      <c r="F1689" s="208"/>
      <c r="G1689" s="208"/>
      <c r="H1689" s="208"/>
      <c r="J1689" s="114" t="str">
        <f t="shared" si="778"/>
        <v/>
      </c>
      <c r="K1689" s="114" t="str">
        <f>IF(COUNTBLANK(R1689)&gt;0,"",CONCATENATE(R1689," for ",N1681))</f>
        <v/>
      </c>
      <c r="N1689" s="123" t="s">
        <v>120</v>
      </c>
      <c r="O1689" s="175"/>
      <c r="P1689" s="175"/>
      <c r="Q1689" s="175"/>
      <c r="R1689" s="175"/>
      <c r="S1689" s="174">
        <f>M1681</f>
        <v>0</v>
      </c>
      <c r="T1689" s="172"/>
      <c r="U1689" s="175" t="s">
        <v>292</v>
      </c>
      <c r="V1689" s="174">
        <f t="shared" si="771"/>
        <v>0</v>
      </c>
      <c r="W1689" s="174">
        <f>VLOOKUP(U1689,Sheet1!$B$6:$C$45,2,FALSE)*V1689</f>
        <v>0</v>
      </c>
      <c r="X1689" s="174"/>
      <c r="Y1689" s="175" t="s">
        <v>292</v>
      </c>
      <c r="Z1689" s="168">
        <f>VLOOKUP(Takeoffs!Y1689,Sheet1!$B$6:$C$124,2,FALSE)</f>
        <v>0</v>
      </c>
      <c r="AA1689" s="168">
        <f t="shared" si="772"/>
        <v>0</v>
      </c>
      <c r="AB1689" s="176">
        <f t="shared" si="773"/>
        <v>0</v>
      </c>
      <c r="AC1689" s="174">
        <f t="shared" si="779"/>
        <v>0</v>
      </c>
      <c r="AD1689" s="174">
        <v>1</v>
      </c>
      <c r="AE1689" s="174"/>
      <c r="AF1689" s="175" t="s">
        <v>292</v>
      </c>
      <c r="AG1689" s="168">
        <f>VLOOKUP(Takeoffs!AF1689,Sheet1!$B$6:$C$124,2,FALSE)</f>
        <v>0</v>
      </c>
      <c r="AH1689" s="168">
        <f t="shared" si="774"/>
        <v>0</v>
      </c>
      <c r="AI1689" s="176">
        <f t="shared" si="775"/>
        <v>0</v>
      </c>
      <c r="AJ1689" s="174">
        <f t="shared" si="776"/>
        <v>0</v>
      </c>
      <c r="AK1689" s="174">
        <f t="shared" si="777"/>
        <v>0</v>
      </c>
      <c r="AL1689" s="174"/>
      <c r="AO1689" s="286"/>
      <c r="AP1689" s="284">
        <f t="shared" si="780"/>
        <v>0</v>
      </c>
      <c r="AQ1689" s="281">
        <f t="shared" si="781"/>
        <v>0</v>
      </c>
      <c r="AR1689" s="284">
        <f t="shared" si="782"/>
        <v>0</v>
      </c>
      <c r="AS1689" s="281">
        <f t="shared" si="783"/>
        <v>0</v>
      </c>
      <c r="AT1689" s="284">
        <f t="shared" si="784"/>
        <v>0</v>
      </c>
    </row>
    <row r="1690" spans="1:46" s="114" customFormat="1" ht="30.9" x14ac:dyDescent="0.8">
      <c r="A1690" s="262">
        <f>ROW()</f>
        <v>1690</v>
      </c>
      <c r="C1690" s="208"/>
      <c r="D1690" s="208"/>
      <c r="E1690" s="208"/>
      <c r="F1690" s="208"/>
      <c r="G1690" s="208"/>
      <c r="H1690" s="208"/>
      <c r="J1690" s="114" t="str">
        <f t="shared" si="778"/>
        <v/>
      </c>
      <c r="K1690" s="114" t="str">
        <f>IF(COUNTBLANK(R1690)&gt;0,"",CONCATENATE(R1690," for ",N1681))</f>
        <v/>
      </c>
      <c r="N1690" s="123" t="s">
        <v>121</v>
      </c>
      <c r="O1690" s="175"/>
      <c r="P1690" s="175"/>
      <c r="Q1690" s="175"/>
      <c r="R1690" s="175"/>
      <c r="S1690" s="174">
        <f>M1681</f>
        <v>0</v>
      </c>
      <c r="T1690" s="172"/>
      <c r="U1690" s="175" t="s">
        <v>292</v>
      </c>
      <c r="V1690" s="174">
        <f t="shared" si="771"/>
        <v>0</v>
      </c>
      <c r="W1690" s="174">
        <f>VLOOKUP(U1690,Sheet1!$B$6:$C$45,2,FALSE)*V1690</f>
        <v>0</v>
      </c>
      <c r="X1690" s="174"/>
      <c r="Y1690" s="175" t="s">
        <v>292</v>
      </c>
      <c r="Z1690" s="168">
        <f>VLOOKUP(Takeoffs!Y1690,Sheet1!$B$6:$C$124,2,FALSE)</f>
        <v>0</v>
      </c>
      <c r="AA1690" s="168">
        <f t="shared" si="772"/>
        <v>0</v>
      </c>
      <c r="AB1690" s="176">
        <f t="shared" si="773"/>
        <v>0</v>
      </c>
      <c r="AC1690" s="174">
        <f t="shared" si="779"/>
        <v>0</v>
      </c>
      <c r="AD1690" s="174">
        <v>1</v>
      </c>
      <c r="AE1690" s="174"/>
      <c r="AF1690" s="175" t="s">
        <v>292</v>
      </c>
      <c r="AG1690" s="168">
        <f>VLOOKUP(Takeoffs!AF1690,Sheet1!$B$6:$C$124,2,FALSE)</f>
        <v>0</v>
      </c>
      <c r="AH1690" s="168">
        <f t="shared" si="774"/>
        <v>0</v>
      </c>
      <c r="AI1690" s="176">
        <f t="shared" si="775"/>
        <v>0</v>
      </c>
      <c r="AJ1690" s="174">
        <f t="shared" si="776"/>
        <v>0</v>
      </c>
      <c r="AK1690" s="174">
        <f t="shared" si="777"/>
        <v>0</v>
      </c>
      <c r="AL1690" s="174"/>
      <c r="AO1690" s="286"/>
      <c r="AP1690" s="284">
        <f t="shared" si="780"/>
        <v>0</v>
      </c>
      <c r="AQ1690" s="281">
        <f t="shared" si="781"/>
        <v>0</v>
      </c>
      <c r="AR1690" s="284">
        <f t="shared" si="782"/>
        <v>0</v>
      </c>
      <c r="AS1690" s="281">
        <f t="shared" si="783"/>
        <v>0</v>
      </c>
      <c r="AT1690" s="284">
        <f t="shared" si="784"/>
        <v>0</v>
      </c>
    </row>
    <row r="1691" spans="1:46" s="114" customFormat="1" ht="30.9" x14ac:dyDescent="0.8">
      <c r="A1691" s="262">
        <f>ROW()</f>
        <v>1691</v>
      </c>
      <c r="C1691" s="208"/>
      <c r="D1691" s="208"/>
      <c r="E1691" s="208"/>
      <c r="F1691" s="208"/>
      <c r="G1691" s="208"/>
      <c r="H1691" s="208"/>
      <c r="J1691" s="114" t="str">
        <f t="shared" si="778"/>
        <v/>
      </c>
      <c r="K1691" s="114" t="str">
        <f>IF(COUNTBLANK(R1691)&gt;0,"",CONCATENATE(R1691," for ",N1681))</f>
        <v/>
      </c>
      <c r="N1691" s="123" t="s">
        <v>122</v>
      </c>
      <c r="O1691" s="175"/>
      <c r="P1691" s="175"/>
      <c r="Q1691" s="175"/>
      <c r="R1691" s="175"/>
      <c r="S1691" s="174">
        <f>M1681</f>
        <v>0</v>
      </c>
      <c r="T1691" s="172"/>
      <c r="U1691" s="175" t="s">
        <v>292</v>
      </c>
      <c r="V1691" s="174">
        <f t="shared" si="771"/>
        <v>0</v>
      </c>
      <c r="W1691" s="174">
        <f>VLOOKUP(U1691,Sheet1!$B$6:$C$45,2,FALSE)*V1691</f>
        <v>0</v>
      </c>
      <c r="X1691" s="174"/>
      <c r="Y1691" s="175" t="s">
        <v>292</v>
      </c>
      <c r="Z1691" s="168">
        <f>VLOOKUP(Takeoffs!Y1691,Sheet1!$B$6:$C$124,2,FALSE)</f>
        <v>0</v>
      </c>
      <c r="AA1691" s="168">
        <f t="shared" si="772"/>
        <v>0</v>
      </c>
      <c r="AB1691" s="176">
        <f t="shared" si="773"/>
        <v>0</v>
      </c>
      <c r="AC1691" s="174">
        <f t="shared" si="779"/>
        <v>0</v>
      </c>
      <c r="AD1691" s="174">
        <v>1</v>
      </c>
      <c r="AE1691" s="174"/>
      <c r="AF1691" s="175" t="s">
        <v>292</v>
      </c>
      <c r="AG1691" s="168">
        <f>VLOOKUP(Takeoffs!AF1691,Sheet1!$B$6:$C$124,2,FALSE)</f>
        <v>0</v>
      </c>
      <c r="AH1691" s="168">
        <f t="shared" si="774"/>
        <v>0</v>
      </c>
      <c r="AI1691" s="176">
        <f t="shared" si="775"/>
        <v>0</v>
      </c>
      <c r="AJ1691" s="174">
        <f t="shared" si="776"/>
        <v>0</v>
      </c>
      <c r="AK1691" s="174">
        <f t="shared" si="777"/>
        <v>0</v>
      </c>
      <c r="AL1691" s="174"/>
      <c r="AO1691" s="286"/>
      <c r="AP1691" s="284">
        <f t="shared" si="780"/>
        <v>0</v>
      </c>
      <c r="AQ1691" s="281">
        <f t="shared" si="781"/>
        <v>0</v>
      </c>
      <c r="AR1691" s="284">
        <f t="shared" si="782"/>
        <v>0</v>
      </c>
      <c r="AS1691" s="281">
        <f t="shared" si="783"/>
        <v>0</v>
      </c>
      <c r="AT1691" s="284">
        <f t="shared" si="784"/>
        <v>0</v>
      </c>
    </row>
    <row r="1692" spans="1:46" s="114" customFormat="1" ht="30.9" x14ac:dyDescent="0.8">
      <c r="A1692" s="262">
        <f>ROW()</f>
        <v>1692</v>
      </c>
      <c r="C1692" s="208"/>
      <c r="D1692" s="208"/>
      <c r="E1692" s="208"/>
      <c r="F1692" s="208"/>
      <c r="G1692" s="208"/>
      <c r="H1692" s="208"/>
      <c r="J1692" s="114" t="str">
        <f t="shared" si="778"/>
        <v/>
      </c>
      <c r="K1692" s="114" t="str">
        <f>IF(COUNTBLANK(R1692)&gt;0,"",CONCATENATE(R1692," for ",N1681))</f>
        <v/>
      </c>
      <c r="N1692" s="123" t="s">
        <v>123</v>
      </c>
      <c r="O1692" s="175"/>
      <c r="P1692" s="175"/>
      <c r="Q1692" s="175"/>
      <c r="R1692" s="175"/>
      <c r="S1692" s="174">
        <f>M1681</f>
        <v>0</v>
      </c>
      <c r="T1692" s="172"/>
      <c r="U1692" s="175" t="s">
        <v>292</v>
      </c>
      <c r="V1692" s="174">
        <f t="shared" si="771"/>
        <v>0</v>
      </c>
      <c r="W1692" s="174">
        <f>VLOOKUP(U1692,Sheet1!$B$6:$C$45,2,FALSE)*V1692</f>
        <v>0</v>
      </c>
      <c r="X1692" s="174"/>
      <c r="Y1692" s="175" t="s">
        <v>292</v>
      </c>
      <c r="Z1692" s="168">
        <f>VLOOKUP(Takeoffs!Y1692,Sheet1!$B$6:$C$124,2,FALSE)</f>
        <v>0</v>
      </c>
      <c r="AA1692" s="168">
        <f t="shared" si="772"/>
        <v>0</v>
      </c>
      <c r="AB1692" s="176">
        <f t="shared" si="773"/>
        <v>0</v>
      </c>
      <c r="AC1692" s="174">
        <f t="shared" si="779"/>
        <v>0</v>
      </c>
      <c r="AD1692" s="174">
        <v>1</v>
      </c>
      <c r="AE1692" s="174"/>
      <c r="AF1692" s="175" t="s">
        <v>292</v>
      </c>
      <c r="AG1692" s="168">
        <f>VLOOKUP(Takeoffs!AF1692,Sheet1!$B$6:$C$124,2,FALSE)</f>
        <v>0</v>
      </c>
      <c r="AH1692" s="168">
        <f t="shared" si="774"/>
        <v>0</v>
      </c>
      <c r="AI1692" s="176">
        <f t="shared" si="775"/>
        <v>0</v>
      </c>
      <c r="AJ1692" s="174">
        <f t="shared" si="776"/>
        <v>0</v>
      </c>
      <c r="AK1692" s="174">
        <f t="shared" si="777"/>
        <v>0</v>
      </c>
      <c r="AL1692" s="174"/>
      <c r="AO1692" s="286"/>
      <c r="AP1692" s="284">
        <f t="shared" si="780"/>
        <v>0</v>
      </c>
      <c r="AQ1692" s="281">
        <f t="shared" si="781"/>
        <v>0</v>
      </c>
      <c r="AR1692" s="284">
        <f t="shared" si="782"/>
        <v>0</v>
      </c>
      <c r="AS1692" s="281">
        <f t="shared" si="783"/>
        <v>0</v>
      </c>
      <c r="AT1692" s="284">
        <f t="shared" si="784"/>
        <v>0</v>
      </c>
    </row>
    <row r="1693" spans="1:46" s="114" customFormat="1" ht="30.9" x14ac:dyDescent="0.8">
      <c r="A1693" s="262">
        <f>ROW()</f>
        <v>1693</v>
      </c>
      <c r="C1693" s="208"/>
      <c r="D1693" s="208"/>
      <c r="E1693" s="208"/>
      <c r="F1693" s="208"/>
      <c r="G1693" s="208"/>
      <c r="H1693" s="208"/>
      <c r="J1693" s="114" t="str">
        <f t="shared" si="778"/>
        <v/>
      </c>
      <c r="K1693" s="114" t="str">
        <f>IF(COUNTBLANK(R1693)&gt;0,"",CONCATENATE(R1693," for ",N1681))</f>
        <v/>
      </c>
      <c r="N1693" s="123" t="s">
        <v>124</v>
      </c>
      <c r="O1693" s="175"/>
      <c r="P1693" s="175"/>
      <c r="Q1693" s="175"/>
      <c r="R1693" s="175"/>
      <c r="S1693" s="174">
        <f>M1681</f>
        <v>0</v>
      </c>
      <c r="T1693" s="172"/>
      <c r="U1693" s="175" t="s">
        <v>292</v>
      </c>
      <c r="V1693" s="174">
        <f t="shared" si="771"/>
        <v>0</v>
      </c>
      <c r="W1693" s="174">
        <f>VLOOKUP(U1693,Sheet1!$B$6:$C$45,2,FALSE)*V1693</f>
        <v>0</v>
      </c>
      <c r="X1693" s="174"/>
      <c r="Y1693" s="175" t="s">
        <v>292</v>
      </c>
      <c r="Z1693" s="168">
        <f>VLOOKUP(Takeoffs!Y1693,Sheet1!$B$6:$C$124,2,FALSE)</f>
        <v>0</v>
      </c>
      <c r="AA1693" s="168">
        <f t="shared" si="772"/>
        <v>0</v>
      </c>
      <c r="AB1693" s="176">
        <f t="shared" si="773"/>
        <v>0</v>
      </c>
      <c r="AC1693" s="174">
        <f t="shared" si="779"/>
        <v>0</v>
      </c>
      <c r="AD1693" s="174">
        <v>1</v>
      </c>
      <c r="AE1693" s="174"/>
      <c r="AF1693" s="175" t="s">
        <v>292</v>
      </c>
      <c r="AG1693" s="168">
        <f>VLOOKUP(Takeoffs!AF1693,Sheet1!$B$6:$C$124,2,FALSE)</f>
        <v>0</v>
      </c>
      <c r="AH1693" s="168">
        <f t="shared" si="774"/>
        <v>0</v>
      </c>
      <c r="AI1693" s="176">
        <f t="shared" si="775"/>
        <v>0</v>
      </c>
      <c r="AJ1693" s="174">
        <f t="shared" si="776"/>
        <v>0</v>
      </c>
      <c r="AK1693" s="174">
        <f t="shared" si="777"/>
        <v>0</v>
      </c>
      <c r="AL1693" s="174"/>
      <c r="AO1693" s="286"/>
      <c r="AP1693" s="284">
        <f t="shared" si="780"/>
        <v>0</v>
      </c>
      <c r="AQ1693" s="281">
        <f t="shared" si="781"/>
        <v>0</v>
      </c>
      <c r="AR1693" s="284">
        <f t="shared" si="782"/>
        <v>0</v>
      </c>
      <c r="AS1693" s="281">
        <f t="shared" si="783"/>
        <v>0</v>
      </c>
      <c r="AT1693" s="284">
        <f t="shared" si="784"/>
        <v>0</v>
      </c>
    </row>
    <row r="1694" spans="1:46" s="114" customFormat="1" ht="30.9" x14ac:dyDescent="0.8">
      <c r="A1694" s="262">
        <f>ROW()</f>
        <v>1694</v>
      </c>
      <c r="C1694" s="208"/>
      <c r="D1694" s="208"/>
      <c r="E1694" s="208"/>
      <c r="F1694" s="208"/>
      <c r="G1694" s="208"/>
      <c r="H1694" s="208"/>
      <c r="J1694" s="114" t="str">
        <f t="shared" si="778"/>
        <v/>
      </c>
      <c r="K1694" s="114" t="str">
        <f>IF(COUNTBLANK(R1694)&gt;0,"",CONCATENATE(R1694," for ",N1681))</f>
        <v/>
      </c>
      <c r="N1694" s="123" t="s">
        <v>125</v>
      </c>
      <c r="O1694" s="175"/>
      <c r="P1694" s="175"/>
      <c r="Q1694" s="175"/>
      <c r="R1694" s="175"/>
      <c r="S1694" s="174">
        <f>M1681</f>
        <v>0</v>
      </c>
      <c r="T1694" s="172"/>
      <c r="U1694" s="175" t="s">
        <v>292</v>
      </c>
      <c r="V1694" s="174">
        <f t="shared" si="771"/>
        <v>0</v>
      </c>
      <c r="W1694" s="174">
        <f>VLOOKUP(U1694,Sheet1!$B$6:$C$45,2,FALSE)*V1694</f>
        <v>0</v>
      </c>
      <c r="X1694" s="174"/>
      <c r="Y1694" s="175" t="s">
        <v>292</v>
      </c>
      <c r="Z1694" s="168">
        <f>VLOOKUP(Takeoffs!Y1694,Sheet1!$B$6:$C$124,2,FALSE)</f>
        <v>0</v>
      </c>
      <c r="AA1694" s="168">
        <f t="shared" si="772"/>
        <v>0</v>
      </c>
      <c r="AB1694" s="176">
        <f t="shared" si="773"/>
        <v>0</v>
      </c>
      <c r="AC1694" s="174">
        <f t="shared" si="779"/>
        <v>0</v>
      </c>
      <c r="AD1694" s="174">
        <v>1</v>
      </c>
      <c r="AE1694" s="174"/>
      <c r="AF1694" s="175" t="s">
        <v>292</v>
      </c>
      <c r="AG1694" s="168">
        <f>VLOOKUP(Takeoffs!AF1694,Sheet1!$B$6:$C$124,2,FALSE)</f>
        <v>0</v>
      </c>
      <c r="AH1694" s="168">
        <f t="shared" si="774"/>
        <v>0</v>
      </c>
      <c r="AI1694" s="176">
        <f t="shared" si="775"/>
        <v>0</v>
      </c>
      <c r="AJ1694" s="174">
        <f t="shared" si="776"/>
        <v>0</v>
      </c>
      <c r="AK1694" s="174">
        <f t="shared" si="777"/>
        <v>0</v>
      </c>
      <c r="AL1694" s="174"/>
      <c r="AO1694" s="286"/>
      <c r="AP1694" s="284">
        <f t="shared" si="780"/>
        <v>0</v>
      </c>
      <c r="AQ1694" s="281">
        <f t="shared" si="781"/>
        <v>0</v>
      </c>
      <c r="AR1694" s="284">
        <f t="shared" si="782"/>
        <v>0</v>
      </c>
      <c r="AS1694" s="281">
        <f t="shared" si="783"/>
        <v>0</v>
      </c>
      <c r="AT1694" s="284">
        <f t="shared" si="784"/>
        <v>0</v>
      </c>
    </row>
    <row r="1695" spans="1:46" s="114" customFormat="1" ht="30.9" x14ac:dyDescent="0.8">
      <c r="A1695" s="262">
        <f>ROW()</f>
        <v>1695</v>
      </c>
      <c r="C1695" s="208"/>
      <c r="D1695" s="208"/>
      <c r="E1695" s="208"/>
      <c r="F1695" s="208"/>
      <c r="G1695" s="208"/>
      <c r="H1695" s="208"/>
      <c r="J1695" s="114" t="str">
        <f t="shared" si="778"/>
        <v/>
      </c>
      <c r="K1695" s="114" t="str">
        <f>IF(COUNTBLANK(R1695)&gt;0,"",CONCATENATE(R1695," for ",N1681))</f>
        <v/>
      </c>
      <c r="N1695" s="123" t="s">
        <v>126</v>
      </c>
      <c r="O1695" s="175"/>
      <c r="P1695" s="175"/>
      <c r="Q1695" s="175"/>
      <c r="R1695" s="175"/>
      <c r="S1695" s="174">
        <f>M1681</f>
        <v>0</v>
      </c>
      <c r="T1695" s="172"/>
      <c r="U1695" s="175" t="s">
        <v>292</v>
      </c>
      <c r="V1695" s="174">
        <f t="shared" si="771"/>
        <v>0</v>
      </c>
      <c r="W1695" s="174">
        <f>VLOOKUP(U1695,Sheet1!$B$6:$C$45,2,FALSE)*V1695</f>
        <v>0</v>
      </c>
      <c r="X1695" s="174"/>
      <c r="Y1695" s="175" t="s">
        <v>292</v>
      </c>
      <c r="Z1695" s="168">
        <f>VLOOKUP(Takeoffs!Y1695,Sheet1!$B$6:$C$124,2,FALSE)</f>
        <v>0</v>
      </c>
      <c r="AA1695" s="168">
        <f t="shared" si="772"/>
        <v>0</v>
      </c>
      <c r="AB1695" s="176">
        <f t="shared" si="773"/>
        <v>0</v>
      </c>
      <c r="AC1695" s="174">
        <f t="shared" si="779"/>
        <v>0</v>
      </c>
      <c r="AD1695" s="174">
        <v>1</v>
      </c>
      <c r="AE1695" s="174"/>
      <c r="AF1695" s="175" t="s">
        <v>292</v>
      </c>
      <c r="AG1695" s="168">
        <f>VLOOKUP(Takeoffs!AF1695,Sheet1!$B$6:$C$124,2,FALSE)</f>
        <v>0</v>
      </c>
      <c r="AH1695" s="168">
        <f t="shared" si="774"/>
        <v>0</v>
      </c>
      <c r="AI1695" s="176">
        <f t="shared" si="775"/>
        <v>0</v>
      </c>
      <c r="AJ1695" s="174">
        <f t="shared" si="776"/>
        <v>0</v>
      </c>
      <c r="AK1695" s="174">
        <f t="shared" si="777"/>
        <v>0</v>
      </c>
      <c r="AL1695" s="174"/>
      <c r="AO1695" s="286"/>
      <c r="AP1695" s="284">
        <f t="shared" si="780"/>
        <v>0</v>
      </c>
      <c r="AQ1695" s="281">
        <f t="shared" si="781"/>
        <v>0</v>
      </c>
      <c r="AR1695" s="284">
        <f t="shared" si="782"/>
        <v>0</v>
      </c>
      <c r="AS1695" s="281">
        <f t="shared" si="783"/>
        <v>0</v>
      </c>
      <c r="AT1695" s="284">
        <f t="shared" si="784"/>
        <v>0</v>
      </c>
    </row>
    <row r="1696" spans="1:46" s="114" customFormat="1" ht="30.9" x14ac:dyDescent="0.8">
      <c r="A1696" s="262">
        <f>ROW()</f>
        <v>1696</v>
      </c>
      <c r="C1696" s="208"/>
      <c r="D1696" s="208"/>
      <c r="E1696" s="208"/>
      <c r="F1696" s="208"/>
      <c r="G1696" s="208"/>
      <c r="H1696" s="208"/>
      <c r="J1696" s="114" t="str">
        <f t="shared" si="778"/>
        <v/>
      </c>
      <c r="K1696" s="114" t="str">
        <f>IF(COUNTBLANK(R1696)&gt;0,"",CONCATENATE(R1696," for ",N1681))</f>
        <v/>
      </c>
      <c r="N1696" s="123" t="s">
        <v>127</v>
      </c>
      <c r="O1696" s="175"/>
      <c r="P1696" s="175"/>
      <c r="Q1696" s="175"/>
      <c r="R1696" s="175"/>
      <c r="S1696" s="174">
        <f>M1681</f>
        <v>0</v>
      </c>
      <c r="T1696" s="172"/>
      <c r="U1696" s="175" t="s">
        <v>292</v>
      </c>
      <c r="V1696" s="174">
        <f t="shared" si="771"/>
        <v>0</v>
      </c>
      <c r="W1696" s="174">
        <f>VLOOKUP(U1696,Sheet1!$B$6:$C$45,2,FALSE)*V1696</f>
        <v>0</v>
      </c>
      <c r="X1696" s="174"/>
      <c r="Y1696" s="175" t="s">
        <v>292</v>
      </c>
      <c r="Z1696" s="168">
        <f>VLOOKUP(Takeoffs!Y1696,Sheet1!$B$6:$C$124,2,FALSE)</f>
        <v>0</v>
      </c>
      <c r="AA1696" s="168">
        <f t="shared" si="772"/>
        <v>0</v>
      </c>
      <c r="AB1696" s="176">
        <f t="shared" si="773"/>
        <v>0</v>
      </c>
      <c r="AC1696" s="174">
        <f t="shared" si="779"/>
        <v>0</v>
      </c>
      <c r="AD1696" s="174">
        <v>2</v>
      </c>
      <c r="AE1696" s="174"/>
      <c r="AF1696" s="175" t="s">
        <v>292</v>
      </c>
      <c r="AG1696" s="168">
        <f>VLOOKUP(Takeoffs!AF1696,Sheet1!$B$6:$C$124,2,FALSE)</f>
        <v>0</v>
      </c>
      <c r="AH1696" s="168">
        <f t="shared" si="774"/>
        <v>0</v>
      </c>
      <c r="AI1696" s="176">
        <f t="shared" si="775"/>
        <v>0</v>
      </c>
      <c r="AJ1696" s="174">
        <f t="shared" si="776"/>
        <v>0</v>
      </c>
      <c r="AK1696" s="174">
        <f t="shared" si="777"/>
        <v>0</v>
      </c>
      <c r="AL1696" s="174"/>
      <c r="AO1696" s="286"/>
      <c r="AP1696" s="284">
        <f t="shared" si="780"/>
        <v>0</v>
      </c>
      <c r="AQ1696" s="281">
        <f t="shared" si="781"/>
        <v>0</v>
      </c>
      <c r="AR1696" s="284">
        <f t="shared" si="782"/>
        <v>0</v>
      </c>
      <c r="AS1696" s="281">
        <f t="shared" si="783"/>
        <v>0</v>
      </c>
      <c r="AT1696" s="284">
        <f t="shared" si="784"/>
        <v>0</v>
      </c>
    </row>
    <row r="1697" spans="1:97" s="114" customFormat="1" ht="30.9" x14ac:dyDescent="0.8">
      <c r="A1697" s="262">
        <f>ROW()</f>
        <v>1697</v>
      </c>
      <c r="C1697" s="208"/>
      <c r="D1697" s="208"/>
      <c r="E1697" s="208"/>
      <c r="F1697" s="208"/>
      <c r="G1697" s="208"/>
      <c r="H1697" s="208"/>
      <c r="J1697" s="114" t="str">
        <f t="shared" si="778"/>
        <v/>
      </c>
      <c r="K1697" s="114" t="str">
        <f>IF(COUNTBLANK(R1697)&gt;0,"",CONCATENATE(R1697," for ",N1681))</f>
        <v/>
      </c>
      <c r="N1697" s="123" t="s">
        <v>128</v>
      </c>
      <c r="O1697" s="175"/>
      <c r="P1697" s="175"/>
      <c r="Q1697" s="175"/>
      <c r="R1697" s="175"/>
      <c r="S1697" s="174">
        <f>M1681</f>
        <v>0</v>
      </c>
      <c r="T1697" s="172"/>
      <c r="U1697" s="175" t="s">
        <v>292</v>
      </c>
      <c r="V1697" s="174">
        <f t="shared" si="771"/>
        <v>0</v>
      </c>
      <c r="W1697" s="174">
        <f>VLOOKUP(U1697,Sheet1!$B$6:$C$45,2,FALSE)*V1697</f>
        <v>0</v>
      </c>
      <c r="X1697" s="174"/>
      <c r="Y1697" s="175" t="s">
        <v>292</v>
      </c>
      <c r="Z1697" s="168">
        <f>VLOOKUP(Takeoffs!Y1697,Sheet1!$B$6:$C$124,2,FALSE)</f>
        <v>0</v>
      </c>
      <c r="AA1697" s="168">
        <f t="shared" si="772"/>
        <v>0</v>
      </c>
      <c r="AB1697" s="176">
        <f t="shared" si="773"/>
        <v>0</v>
      </c>
      <c r="AC1697" s="174">
        <f t="shared" si="779"/>
        <v>0</v>
      </c>
      <c r="AD1697" s="174">
        <v>1</v>
      </c>
      <c r="AE1697" s="174"/>
      <c r="AF1697" s="175" t="s">
        <v>292</v>
      </c>
      <c r="AG1697" s="168">
        <f>VLOOKUP(Takeoffs!AF1697,Sheet1!$B$6:$C$124,2,FALSE)</f>
        <v>0</v>
      </c>
      <c r="AH1697" s="168">
        <f t="shared" si="774"/>
        <v>0</v>
      </c>
      <c r="AI1697" s="176">
        <f t="shared" si="775"/>
        <v>0</v>
      </c>
      <c r="AJ1697" s="174">
        <f t="shared" si="776"/>
        <v>0</v>
      </c>
      <c r="AK1697" s="174">
        <f t="shared" si="777"/>
        <v>0</v>
      </c>
      <c r="AL1697" s="174"/>
      <c r="AO1697" s="286"/>
      <c r="AP1697" s="284">
        <f t="shared" si="780"/>
        <v>0</v>
      </c>
      <c r="AQ1697" s="281">
        <f t="shared" si="781"/>
        <v>0</v>
      </c>
      <c r="AR1697" s="284">
        <f t="shared" si="782"/>
        <v>0</v>
      </c>
      <c r="AS1697" s="281">
        <f t="shared" si="783"/>
        <v>0</v>
      </c>
      <c r="AT1697" s="284">
        <f t="shared" si="784"/>
        <v>0</v>
      </c>
    </row>
    <row r="1698" spans="1:97" s="114" customFormat="1" ht="30.9" x14ac:dyDescent="0.8">
      <c r="A1698" s="262">
        <f>ROW()</f>
        <v>1698</v>
      </c>
      <c r="C1698" s="208"/>
      <c r="D1698" s="208"/>
      <c r="E1698" s="208"/>
      <c r="F1698" s="208"/>
      <c r="G1698" s="208"/>
      <c r="H1698" s="208"/>
      <c r="J1698" s="114" t="str">
        <f t="shared" si="778"/>
        <v/>
      </c>
      <c r="K1698" s="114" t="str">
        <f>IF(COUNTBLANK(R1698)&gt;0,"",CONCATENATE(R1698," for ",N1681))</f>
        <v/>
      </c>
      <c r="N1698" s="123" t="s">
        <v>129</v>
      </c>
      <c r="O1698" s="175"/>
      <c r="P1698" s="175"/>
      <c r="Q1698" s="175"/>
      <c r="R1698" s="175"/>
      <c r="S1698" s="174">
        <f>M1681</f>
        <v>0</v>
      </c>
      <c r="T1698" s="172"/>
      <c r="U1698" s="175" t="s">
        <v>292</v>
      </c>
      <c r="V1698" s="174">
        <f t="shared" si="771"/>
        <v>0</v>
      </c>
      <c r="W1698" s="174">
        <f>VLOOKUP(U1698,Sheet1!$B$6:$C$45,2,FALSE)*V1698</f>
        <v>0</v>
      </c>
      <c r="X1698" s="174"/>
      <c r="Y1698" s="175" t="s">
        <v>292</v>
      </c>
      <c r="Z1698" s="168">
        <f>VLOOKUP(Takeoffs!Y1698,Sheet1!$B$6:$C$124,2,FALSE)</f>
        <v>0</v>
      </c>
      <c r="AA1698" s="168">
        <f t="shared" si="772"/>
        <v>0</v>
      </c>
      <c r="AB1698" s="176">
        <f t="shared" si="773"/>
        <v>0</v>
      </c>
      <c r="AC1698" s="174">
        <f t="shared" si="779"/>
        <v>0</v>
      </c>
      <c r="AD1698" s="174">
        <v>1</v>
      </c>
      <c r="AE1698" s="174"/>
      <c r="AF1698" s="175" t="s">
        <v>292</v>
      </c>
      <c r="AG1698" s="168">
        <f>VLOOKUP(Takeoffs!AF1698,Sheet1!$B$6:$C$124,2,FALSE)</f>
        <v>0</v>
      </c>
      <c r="AH1698" s="168">
        <f t="shared" si="774"/>
        <v>0</v>
      </c>
      <c r="AI1698" s="176">
        <f t="shared" si="775"/>
        <v>0</v>
      </c>
      <c r="AJ1698" s="174">
        <f t="shared" si="776"/>
        <v>0</v>
      </c>
      <c r="AK1698" s="174">
        <f t="shared" si="777"/>
        <v>0</v>
      </c>
      <c r="AL1698" s="174"/>
      <c r="AO1698" s="286"/>
      <c r="AP1698" s="284">
        <f t="shared" si="780"/>
        <v>0</v>
      </c>
      <c r="AQ1698" s="281">
        <f t="shared" si="781"/>
        <v>0</v>
      </c>
      <c r="AR1698" s="284">
        <f t="shared" si="782"/>
        <v>0</v>
      </c>
      <c r="AS1698" s="281">
        <f t="shared" si="783"/>
        <v>0</v>
      </c>
      <c r="AT1698" s="284">
        <f t="shared" si="784"/>
        <v>0</v>
      </c>
    </row>
    <row r="1699" spans="1:97" s="114" customFormat="1" ht="30.9" x14ac:dyDescent="0.8">
      <c r="A1699" s="262">
        <f>ROW()</f>
        <v>1699</v>
      </c>
      <c r="C1699" s="208"/>
      <c r="D1699" s="208"/>
      <c r="E1699" s="208"/>
      <c r="F1699" s="208"/>
      <c r="G1699" s="208"/>
      <c r="H1699" s="208"/>
      <c r="J1699" s="114" t="str">
        <f t="shared" si="778"/>
        <v/>
      </c>
      <c r="K1699" s="114" t="str">
        <f>IF(COUNTBLANK(R1699)&gt;0,"",CONCATENATE(R1699," for ",N1681))</f>
        <v/>
      </c>
      <c r="N1699" s="123" t="s">
        <v>130</v>
      </c>
      <c r="O1699" s="175"/>
      <c r="P1699" s="175"/>
      <c r="Q1699" s="175"/>
      <c r="R1699" s="175"/>
      <c r="S1699" s="174">
        <f>M1681</f>
        <v>0</v>
      </c>
      <c r="T1699" s="172"/>
      <c r="U1699" s="175" t="s">
        <v>292</v>
      </c>
      <c r="V1699" s="174">
        <f t="shared" si="771"/>
        <v>0</v>
      </c>
      <c r="W1699" s="174">
        <f>VLOOKUP(U1699,Sheet1!$B$6:$C$45,2,FALSE)*V1699</f>
        <v>0</v>
      </c>
      <c r="X1699" s="174"/>
      <c r="Y1699" s="175" t="s">
        <v>292</v>
      </c>
      <c r="Z1699" s="168">
        <f>VLOOKUP(Takeoffs!Y1699,Sheet1!$B$6:$C$124,2,FALSE)</f>
        <v>0</v>
      </c>
      <c r="AA1699" s="168">
        <f t="shared" si="772"/>
        <v>0</v>
      </c>
      <c r="AB1699" s="176">
        <f t="shared" si="773"/>
        <v>0</v>
      </c>
      <c r="AC1699" s="174">
        <f t="shared" si="779"/>
        <v>0</v>
      </c>
      <c r="AD1699" s="174">
        <v>1</v>
      </c>
      <c r="AE1699" s="174"/>
      <c r="AF1699" s="175" t="s">
        <v>292</v>
      </c>
      <c r="AG1699" s="168">
        <f>VLOOKUP(Takeoffs!AF1699,Sheet1!$B$6:$C$124,2,FALSE)</f>
        <v>0</v>
      </c>
      <c r="AH1699" s="168">
        <f t="shared" si="774"/>
        <v>0</v>
      </c>
      <c r="AI1699" s="176">
        <f t="shared" si="775"/>
        <v>0</v>
      </c>
      <c r="AJ1699" s="174">
        <f t="shared" si="776"/>
        <v>0</v>
      </c>
      <c r="AK1699" s="174">
        <f t="shared" si="777"/>
        <v>0</v>
      </c>
      <c r="AL1699" s="174"/>
      <c r="AO1699" s="286"/>
      <c r="AP1699" s="284">
        <f t="shared" si="780"/>
        <v>0</v>
      </c>
      <c r="AQ1699" s="281">
        <f t="shared" si="781"/>
        <v>0</v>
      </c>
      <c r="AR1699" s="284">
        <f t="shared" si="782"/>
        <v>0</v>
      </c>
      <c r="AS1699" s="281">
        <f t="shared" si="783"/>
        <v>0</v>
      </c>
      <c r="AT1699" s="284">
        <f t="shared" si="784"/>
        <v>0</v>
      </c>
    </row>
    <row r="1700" spans="1:97" s="114" customFormat="1" ht="30.9" x14ac:dyDescent="0.8">
      <c r="A1700" s="262">
        <f>ROW()</f>
        <v>1700</v>
      </c>
      <c r="C1700" s="208"/>
      <c r="D1700" s="208"/>
      <c r="E1700" s="208"/>
      <c r="F1700" s="208"/>
      <c r="G1700" s="208"/>
      <c r="H1700" s="208"/>
      <c r="J1700" s="114" t="str">
        <f t="shared" si="778"/>
        <v/>
      </c>
      <c r="K1700" s="114" t="str">
        <f>IF(COUNTBLANK(R1700)&gt;0,"",CONCATENATE(R1700," for ",N1681))</f>
        <v/>
      </c>
      <c r="N1700" s="123" t="s">
        <v>131</v>
      </c>
      <c r="O1700" s="175"/>
      <c r="P1700" s="175"/>
      <c r="Q1700" s="175"/>
      <c r="R1700" s="175"/>
      <c r="S1700" s="174">
        <f>M1681</f>
        <v>0</v>
      </c>
      <c r="T1700" s="172"/>
      <c r="U1700" s="175" t="s">
        <v>292</v>
      </c>
      <c r="V1700" s="174">
        <f t="shared" si="771"/>
        <v>0</v>
      </c>
      <c r="W1700" s="174">
        <f>VLOOKUP(U1700,Sheet1!$B$6:$C$45,2,FALSE)*V1700</f>
        <v>0</v>
      </c>
      <c r="X1700" s="174"/>
      <c r="Y1700" s="175" t="s">
        <v>292</v>
      </c>
      <c r="Z1700" s="168">
        <f>VLOOKUP(Takeoffs!Y1700,Sheet1!$B$6:$C$124,2,FALSE)</f>
        <v>0</v>
      </c>
      <c r="AA1700" s="168">
        <f t="shared" si="772"/>
        <v>0</v>
      </c>
      <c r="AB1700" s="176">
        <f t="shared" si="773"/>
        <v>0</v>
      </c>
      <c r="AC1700" s="174">
        <f t="shared" si="779"/>
        <v>0</v>
      </c>
      <c r="AD1700" s="174">
        <v>1</v>
      </c>
      <c r="AE1700" s="174"/>
      <c r="AF1700" s="175" t="s">
        <v>292</v>
      </c>
      <c r="AG1700" s="168">
        <f>VLOOKUP(Takeoffs!AF1700,Sheet1!$B$6:$C$124,2,FALSE)</f>
        <v>0</v>
      </c>
      <c r="AH1700" s="168">
        <f t="shared" si="774"/>
        <v>0</v>
      </c>
      <c r="AI1700" s="176">
        <f t="shared" si="775"/>
        <v>0</v>
      </c>
      <c r="AJ1700" s="174">
        <f t="shared" si="776"/>
        <v>0</v>
      </c>
      <c r="AK1700" s="174">
        <f t="shared" si="777"/>
        <v>0</v>
      </c>
      <c r="AL1700" s="174"/>
      <c r="AO1700" s="286"/>
      <c r="AP1700" s="284">
        <f t="shared" si="780"/>
        <v>0</v>
      </c>
      <c r="AQ1700" s="281">
        <f t="shared" si="781"/>
        <v>0</v>
      </c>
      <c r="AR1700" s="284">
        <f t="shared" si="782"/>
        <v>0</v>
      </c>
      <c r="AS1700" s="281">
        <f t="shared" si="783"/>
        <v>0</v>
      </c>
      <c r="AT1700" s="284">
        <f t="shared" si="784"/>
        <v>0</v>
      </c>
    </row>
    <row r="1701" spans="1:97" s="114" customFormat="1" ht="30.9" x14ac:dyDescent="0.8">
      <c r="A1701" s="262">
        <f>ROW()</f>
        <v>1701</v>
      </c>
      <c r="C1701" s="208"/>
      <c r="D1701" s="208"/>
      <c r="E1701" s="208"/>
      <c r="F1701" s="208"/>
      <c r="G1701" s="208"/>
      <c r="H1701" s="208"/>
      <c r="J1701" s="114" t="str">
        <f t="shared" si="778"/>
        <v/>
      </c>
      <c r="K1701" s="114" t="str">
        <f>IF(COUNTBLANK(R1701)&gt;0,"",CONCATENATE(R1701," for ",N1681))</f>
        <v/>
      </c>
      <c r="N1701" s="123" t="s">
        <v>132</v>
      </c>
      <c r="O1701" s="175"/>
      <c r="P1701" s="175"/>
      <c r="Q1701" s="175"/>
      <c r="R1701" s="175"/>
      <c r="S1701" s="174">
        <f>M1681</f>
        <v>0</v>
      </c>
      <c r="T1701" s="172"/>
      <c r="U1701" s="175" t="s">
        <v>292</v>
      </c>
      <c r="V1701" s="174">
        <f t="shared" si="771"/>
        <v>0</v>
      </c>
      <c r="W1701" s="174">
        <f>VLOOKUP(U1701,Sheet1!$B$6:$C$45,2,FALSE)*V1701</f>
        <v>0</v>
      </c>
      <c r="X1701" s="174"/>
      <c r="Y1701" s="175" t="s">
        <v>292</v>
      </c>
      <c r="Z1701" s="168">
        <f>VLOOKUP(Takeoffs!Y1701,Sheet1!$B$6:$C$124,2,FALSE)</f>
        <v>0</v>
      </c>
      <c r="AA1701" s="168">
        <f t="shared" si="772"/>
        <v>0</v>
      </c>
      <c r="AB1701" s="176">
        <f t="shared" si="773"/>
        <v>0</v>
      </c>
      <c r="AC1701" s="174">
        <f t="shared" si="779"/>
        <v>0</v>
      </c>
      <c r="AD1701" s="174">
        <v>1</v>
      </c>
      <c r="AE1701" s="174"/>
      <c r="AF1701" s="175" t="s">
        <v>292</v>
      </c>
      <c r="AG1701" s="168">
        <f>VLOOKUP(Takeoffs!AF1701,Sheet1!$B$6:$C$124,2,FALSE)</f>
        <v>0</v>
      </c>
      <c r="AH1701" s="168">
        <f t="shared" si="774"/>
        <v>0</v>
      </c>
      <c r="AI1701" s="176">
        <f t="shared" si="775"/>
        <v>0</v>
      </c>
      <c r="AJ1701" s="174">
        <f t="shared" si="776"/>
        <v>0</v>
      </c>
      <c r="AK1701" s="174">
        <f t="shared" si="777"/>
        <v>0</v>
      </c>
      <c r="AL1701" s="174"/>
      <c r="AO1701" s="286"/>
      <c r="AP1701" s="284">
        <f t="shared" si="780"/>
        <v>0</v>
      </c>
      <c r="AQ1701" s="281">
        <f t="shared" si="781"/>
        <v>0</v>
      </c>
      <c r="AR1701" s="284">
        <f t="shared" si="782"/>
        <v>0</v>
      </c>
      <c r="AS1701" s="281">
        <f t="shared" si="783"/>
        <v>0</v>
      </c>
      <c r="AT1701" s="284">
        <f t="shared" si="784"/>
        <v>0</v>
      </c>
    </row>
    <row r="1702" spans="1:97" s="128" customFormat="1" ht="31.5" customHeight="1" x14ac:dyDescent="0.8">
      <c r="A1702" s="262">
        <f>ROW()</f>
        <v>1702</v>
      </c>
      <c r="C1702" s="212"/>
      <c r="D1702" s="212"/>
      <c r="E1702" s="212"/>
      <c r="F1702" s="212"/>
      <c r="G1702" s="212"/>
      <c r="H1702" s="212"/>
      <c r="J1702" s="128" t="s">
        <v>377</v>
      </c>
      <c r="L1702" s="128" t="s">
        <v>378</v>
      </c>
      <c r="N1702" s="129"/>
      <c r="O1702" s="175" t="s">
        <v>357</v>
      </c>
      <c r="P1702" s="172">
        <f>P1703*M1681</f>
        <v>0</v>
      </c>
      <c r="Q1702" s="172"/>
      <c r="R1702" s="172"/>
      <c r="S1702" s="175"/>
      <c r="T1702" s="172"/>
      <c r="U1702" s="175" t="s">
        <v>351</v>
      </c>
      <c r="V1702" s="172">
        <f>W1702*80</f>
        <v>0</v>
      </c>
      <c r="W1702" s="177">
        <f>SUM(W1681:W1701)</f>
        <v>0</v>
      </c>
      <c r="X1702" s="178"/>
      <c r="Y1702" s="172" t="s">
        <v>352</v>
      </c>
      <c r="Z1702" s="168"/>
      <c r="AA1702" s="168">
        <f>SUM(AA1681:AA1701)</f>
        <v>0</v>
      </c>
      <c r="AB1702" s="179"/>
      <c r="AC1702" s="179"/>
      <c r="AD1702" s="179"/>
      <c r="AE1702" s="179"/>
      <c r="AF1702" s="172" t="s">
        <v>356</v>
      </c>
      <c r="AG1702" s="168"/>
      <c r="AH1702" s="168">
        <f>SUM(AH1681:AH1701)</f>
        <v>0</v>
      </c>
      <c r="AI1702" s="179"/>
      <c r="AJ1702" s="179"/>
      <c r="AK1702" s="179"/>
      <c r="AL1702" s="179"/>
      <c r="AM1702" s="150">
        <f>P1702</f>
        <v>0</v>
      </c>
      <c r="AO1702" s="286"/>
      <c r="AP1702" s="284">
        <f t="shared" si="780"/>
        <v>0</v>
      </c>
      <c r="AQ1702" s="281">
        <f t="shared" si="781"/>
        <v>0</v>
      </c>
      <c r="AR1702" s="284">
        <f t="shared" si="782"/>
        <v>0</v>
      </c>
      <c r="AS1702" s="281">
        <f t="shared" si="783"/>
        <v>0</v>
      </c>
      <c r="AT1702" s="284">
        <f t="shared" si="784"/>
        <v>0</v>
      </c>
    </row>
    <row r="1703" spans="1:97" s="234" customFormat="1" ht="92.6" x14ac:dyDescent="0.8">
      <c r="A1703" s="262">
        <f>ROW()</f>
        <v>1703</v>
      </c>
      <c r="B1703" s="234" t="s">
        <v>491</v>
      </c>
      <c r="C1703" s="217" t="str">
        <f>N1681</f>
        <v>Medium Aircooled Chillers - from Chiller MSSB</v>
      </c>
      <c r="D1703" s="260" t="str">
        <f>IF(B1703="Shopping List",IF(ISNUMBER(SEARCH("MSSB",C1703)),"MSSB",IF(ISNUMBER(SEARCH("local",C1703)),"LOCAL","")))</f>
        <v>MSSB</v>
      </c>
      <c r="E1703" s="238"/>
      <c r="F1703" s="217"/>
      <c r="G1703" s="217"/>
      <c r="H1703" s="245"/>
      <c r="I1703" s="270"/>
      <c r="J1703" s="241" t="str">
        <f>CONCATENATE(O1681," ",L1681, " (",M1681,") ",N1681,".", IF(M1681&gt;1," Each "," This "),"includes supply and install of ",O1682,O1683,O1684,O1685,O1686,O1687,O1688,O1689,O1690,O1691,O1692,O1693,O1694,O1695,O1696,O1697,O1698,O1699,O1700,O1701,J1682,J1683,J1684,J1685,J1686,J1687,J1688,J1689,J1690,J1691,J1692,J1693,J1694,J1695,J1696,J1697,J1698,J1699,J1700,J1701)</f>
        <v xml:space="preserve">Electrical power supply to Zero (0) Medium Aircooled Chillers - from Chiller MSSB. This includes supply and install of Cabling to chiller, cable ladder with mechanical protection, trefolyte labelling, and commissioning/testing. Please Note: Chiller MSSB is a specialist custom made system including required components for chiller power supply. Details to be determined following consultants detailed design. </v>
      </c>
      <c r="K1703" s="246">
        <f>P1702</f>
        <v>0</v>
      </c>
      <c r="L1703" s="234" t="str">
        <f>CONCATENATE(Q1682,Q1683,Q1684,Q1685,Q1686,Q1687,Q1688,Q1689,Q1690,Q1691,Q1692,Q1693,Q1694,Q1695,Q1696,Q1697,Q1698,Q1699,Q1700,Q1701,)</f>
        <v/>
      </c>
      <c r="M1703" s="166" t="s">
        <v>367</v>
      </c>
      <c r="N1703" s="160" t="str">
        <f>N1681</f>
        <v>Medium Aircooled Chillers - from Chiller MSSB</v>
      </c>
      <c r="O1703" s="175" t="s">
        <v>365</v>
      </c>
      <c r="P1703" s="64">
        <v>2500</v>
      </c>
      <c r="Q1703" s="172"/>
      <c r="R1703" s="172"/>
      <c r="S1703" s="175"/>
      <c r="T1703" s="172"/>
      <c r="U1703" s="505" t="s">
        <v>366</v>
      </c>
      <c r="V1703" s="505"/>
      <c r="W1703" s="177" t="e">
        <f>W1702/M1681</f>
        <v>#DIV/0!</v>
      </c>
      <c r="X1703" s="178"/>
      <c r="Y1703" s="506" t="s">
        <v>365</v>
      </c>
      <c r="Z1703" s="506"/>
      <c r="AA1703" s="181" t="e">
        <f>AA1702/M1681</f>
        <v>#DIV/0!</v>
      </c>
      <c r="AB1703" s="172"/>
      <c r="AC1703" s="172"/>
      <c r="AD1703" s="172"/>
      <c r="AE1703" s="172"/>
      <c r="AF1703" s="506" t="s">
        <v>365</v>
      </c>
      <c r="AG1703" s="506"/>
      <c r="AH1703" s="181" t="e">
        <f>AH1702/M1681</f>
        <v>#DIV/0!</v>
      </c>
      <c r="AI1703" s="172"/>
      <c r="AJ1703" s="172"/>
      <c r="AK1703" s="172"/>
      <c r="AL1703" s="250"/>
      <c r="AM1703" s="257"/>
      <c r="AN1703" s="236">
        <f>K1703*1.25</f>
        <v>0</v>
      </c>
      <c r="AO1703" s="286"/>
      <c r="AP1703" s="284">
        <f t="shared" si="780"/>
        <v>0</v>
      </c>
      <c r="AQ1703" s="281">
        <f t="shared" si="781"/>
        <v>0</v>
      </c>
      <c r="AR1703" s="284">
        <f t="shared" si="782"/>
        <v>0</v>
      </c>
      <c r="AS1703" s="281">
        <f t="shared" si="783"/>
        <v>0</v>
      </c>
      <c r="AT1703" s="284">
        <f t="shared" si="784"/>
        <v>0</v>
      </c>
      <c r="AU1703" s="117"/>
      <c r="AV1703" s="117"/>
      <c r="AW1703" s="117"/>
      <c r="AX1703" s="117"/>
      <c r="AY1703" s="117"/>
      <c r="AZ1703" s="117"/>
      <c r="BA1703" s="117"/>
      <c r="BB1703" s="117"/>
      <c r="BC1703" s="117"/>
      <c r="BD1703" s="117"/>
      <c r="BE1703" s="117"/>
      <c r="BF1703" s="117"/>
      <c r="BG1703" s="117"/>
      <c r="BH1703" s="117"/>
      <c r="BI1703" s="117"/>
      <c r="BJ1703" s="117"/>
      <c r="BK1703" s="117"/>
      <c r="BL1703" s="117"/>
      <c r="BM1703" s="117"/>
      <c r="BN1703" s="117"/>
      <c r="BO1703" s="117"/>
      <c r="BP1703" s="117"/>
      <c r="BQ1703" s="117"/>
      <c r="BR1703" s="117"/>
      <c r="BS1703" s="117"/>
      <c r="BT1703" s="117"/>
      <c r="BU1703" s="117"/>
      <c r="BV1703" s="117"/>
      <c r="BW1703" s="117"/>
      <c r="BX1703" s="117"/>
      <c r="BY1703" s="117"/>
      <c r="BZ1703" s="117"/>
      <c r="CA1703" s="117"/>
      <c r="CB1703" s="117"/>
      <c r="CC1703" s="117"/>
      <c r="CD1703" s="117"/>
      <c r="CE1703" s="117"/>
      <c r="CF1703" s="117"/>
      <c r="CG1703" s="117"/>
      <c r="CH1703" s="117"/>
      <c r="CI1703" s="117"/>
      <c r="CJ1703" s="117"/>
      <c r="CK1703" s="117"/>
      <c r="CL1703" s="117"/>
      <c r="CM1703" s="117"/>
      <c r="CN1703" s="117"/>
      <c r="CO1703" s="117"/>
      <c r="CP1703" s="117"/>
      <c r="CQ1703" s="117"/>
      <c r="CR1703" s="117"/>
      <c r="CS1703" s="117"/>
    </row>
    <row r="1704" spans="1:97" s="116" customFormat="1" ht="192.75" customHeight="1" x14ac:dyDescent="0.8">
      <c r="A1704" s="262">
        <f>ROW()</f>
        <v>1704</v>
      </c>
      <c r="C1704" s="211"/>
      <c r="D1704" s="211"/>
      <c r="E1704" s="211"/>
      <c r="F1704" s="211"/>
      <c r="G1704" s="211"/>
      <c r="H1704" s="211"/>
      <c r="K1704" s="116" t="s">
        <v>452</v>
      </c>
      <c r="M1704" s="116" t="s">
        <v>107</v>
      </c>
      <c r="N1704" s="116" t="s">
        <v>108</v>
      </c>
      <c r="O1704" s="170" t="s">
        <v>386</v>
      </c>
      <c r="P1704" s="502" t="s">
        <v>375</v>
      </c>
      <c r="Q1704" s="502"/>
      <c r="R1704" s="101" t="s">
        <v>452</v>
      </c>
      <c r="S1704" s="116" t="s">
        <v>0</v>
      </c>
      <c r="T1704" s="118"/>
      <c r="U1704" s="116" t="s">
        <v>287</v>
      </c>
      <c r="V1704" s="116" t="s">
        <v>288</v>
      </c>
      <c r="W1704" s="116" t="s">
        <v>291</v>
      </c>
      <c r="X1704" s="140"/>
      <c r="Y1704" s="116" t="s">
        <v>289</v>
      </c>
      <c r="Z1704" s="116" t="s">
        <v>354</v>
      </c>
      <c r="AA1704" s="116" t="s">
        <v>355</v>
      </c>
      <c r="AB1704" s="116" t="s">
        <v>317</v>
      </c>
      <c r="AC1704" s="116" t="s">
        <v>318</v>
      </c>
      <c r="AD1704" s="116" t="s">
        <v>316</v>
      </c>
      <c r="AE1704" s="140"/>
      <c r="AF1704" s="116" t="s">
        <v>293</v>
      </c>
      <c r="AG1704" s="116" t="s">
        <v>354</v>
      </c>
      <c r="AH1704" s="116" t="s">
        <v>355</v>
      </c>
      <c r="AI1704" s="116" t="s">
        <v>296</v>
      </c>
      <c r="AJ1704" s="116" t="s">
        <v>294</v>
      </c>
      <c r="AK1704" s="116" t="s">
        <v>295</v>
      </c>
      <c r="AL1704" s="140"/>
      <c r="AO1704" s="288"/>
      <c r="AP1704" s="284">
        <f t="shared" si="780"/>
        <v>0</v>
      </c>
      <c r="AQ1704" s="281">
        <f t="shared" si="781"/>
        <v>0</v>
      </c>
      <c r="AR1704" s="284">
        <f t="shared" si="782"/>
        <v>0</v>
      </c>
      <c r="AS1704" s="281">
        <f t="shared" si="783"/>
        <v>0</v>
      </c>
      <c r="AT1704" s="284">
        <f t="shared" si="784"/>
        <v>0</v>
      </c>
    </row>
    <row r="1705" spans="1:97" s="114" customFormat="1" ht="40.5" customHeight="1" x14ac:dyDescent="0.8">
      <c r="A1705" s="262">
        <f>ROW()</f>
        <v>1705</v>
      </c>
      <c r="C1705" s="208"/>
      <c r="D1705" s="208"/>
      <c r="E1705" s="208"/>
      <c r="F1705" s="208"/>
      <c r="G1705" s="208"/>
      <c r="H1705" s="208"/>
      <c r="L1705" s="124" t="str">
        <f>VLOOKUP(M1705,Sheet2!$D$2:$E$1024,2,FALSE)</f>
        <v>Zero</v>
      </c>
      <c r="M1705" s="121">
        <f>I1727</f>
        <v>0</v>
      </c>
      <c r="N1705" s="132" t="s">
        <v>558</v>
      </c>
      <c r="O1705" s="121" t="s">
        <v>488</v>
      </c>
      <c r="P1705" s="169" t="s">
        <v>379</v>
      </c>
      <c r="Q1705" s="169" t="s">
        <v>375</v>
      </c>
      <c r="R1705" s="169"/>
      <c r="S1705" s="133">
        <f>M1705</f>
        <v>0</v>
      </c>
      <c r="T1705" s="119"/>
      <c r="U1705" s="121" t="s">
        <v>292</v>
      </c>
      <c r="V1705" s="133">
        <f>S1705</f>
        <v>0</v>
      </c>
      <c r="W1705" s="133">
        <f>VLOOKUP(U1705,Sheet1!$B$6:$C$45,2,FALSE)*V1705</f>
        <v>0</v>
      </c>
      <c r="X1705" s="141"/>
      <c r="Y1705" s="121" t="s">
        <v>292</v>
      </c>
      <c r="Z1705" s="146">
        <f>VLOOKUP(Takeoffs!Y1705,Sheet1!$B$6:$C$124,2,FALSE)</f>
        <v>0</v>
      </c>
      <c r="AA1705" s="146">
        <f>Z1705*AB1705</f>
        <v>0</v>
      </c>
      <c r="AB1705" s="143">
        <f>AD1705*AC1705</f>
        <v>0</v>
      </c>
      <c r="AC1705" s="133">
        <f>S1705</f>
        <v>0</v>
      </c>
      <c r="AD1705" s="142">
        <v>1</v>
      </c>
      <c r="AE1705" s="141"/>
      <c r="AF1705" s="121" t="s">
        <v>292</v>
      </c>
      <c r="AG1705" s="146">
        <f>VLOOKUP(Takeoffs!AF1705,Sheet1!$B$6:$C$124,2,FALSE)</f>
        <v>0</v>
      </c>
      <c r="AH1705" s="146">
        <f>AG1705*AI1705</f>
        <v>0</v>
      </c>
      <c r="AI1705" s="143">
        <f>AK1705*AJ1705</f>
        <v>0</v>
      </c>
      <c r="AJ1705" s="133">
        <f>S1705</f>
        <v>0</v>
      </c>
      <c r="AK1705" s="142">
        <f>T1705</f>
        <v>0</v>
      </c>
      <c r="AL1705" s="141"/>
      <c r="AO1705" s="286"/>
      <c r="AP1705" s="284">
        <f t="shared" si="780"/>
        <v>0</v>
      </c>
      <c r="AQ1705" s="281">
        <f t="shared" si="781"/>
        <v>0</v>
      </c>
      <c r="AR1705" s="284">
        <f t="shared" si="782"/>
        <v>0</v>
      </c>
      <c r="AS1705" s="281">
        <f t="shared" si="783"/>
        <v>0</v>
      </c>
      <c r="AT1705" s="284">
        <f t="shared" si="784"/>
        <v>0</v>
      </c>
    </row>
    <row r="1706" spans="1:97" s="114" customFormat="1" ht="30.9" x14ac:dyDescent="0.8">
      <c r="A1706" s="262">
        <f>ROW()</f>
        <v>1706</v>
      </c>
      <c r="C1706" s="208"/>
      <c r="D1706" s="208"/>
      <c r="E1706" s="208"/>
      <c r="F1706" s="208"/>
      <c r="G1706" s="208"/>
      <c r="H1706" s="208"/>
      <c r="J1706" s="114" t="str">
        <f>IF(COUNTBLANK(Q1706)&gt;0,"",CONCATENATE("Coordination Note: - ",P1706,": Please refer to our exclusions relating to ",Q1706))</f>
        <v/>
      </c>
      <c r="K1706" s="114" t="str">
        <f>IF(COUNTBLANK(R1706)&gt;0,"",CONCATENATE(R1706," for ",N1705))</f>
        <v/>
      </c>
      <c r="M1706" s="117"/>
      <c r="N1706" s="123" t="s">
        <v>113</v>
      </c>
      <c r="O1706" s="66" t="s">
        <v>340</v>
      </c>
      <c r="P1706" s="121"/>
      <c r="Q1706" s="121"/>
      <c r="R1706" s="121"/>
      <c r="S1706" s="133">
        <f>M1705</f>
        <v>0</v>
      </c>
      <c r="T1706" s="120"/>
      <c r="U1706" s="121" t="s">
        <v>292</v>
      </c>
      <c r="V1706" s="133">
        <f t="shared" ref="V1706:V1725" si="785">S1706</f>
        <v>0</v>
      </c>
      <c r="W1706" s="133">
        <f>VLOOKUP(U1706,Sheet1!$B$6:$C$45,2,FALSE)*V1706</f>
        <v>0</v>
      </c>
      <c r="X1706" s="141"/>
      <c r="Y1706" s="121" t="s">
        <v>292</v>
      </c>
      <c r="Z1706" s="146">
        <f>VLOOKUP(Takeoffs!Y1706,Sheet1!$B$6:$C$124,2,FALSE)</f>
        <v>0</v>
      </c>
      <c r="AA1706" s="146">
        <f t="shared" ref="AA1706:AA1725" si="786">Z1706*AB1706</f>
        <v>0</v>
      </c>
      <c r="AB1706" s="143">
        <f t="shared" ref="AB1706:AB1725" si="787">AD1706*AC1706</f>
        <v>0</v>
      </c>
      <c r="AC1706" s="133">
        <f t="shared" ref="AC1706:AC1725" si="788">S1706</f>
        <v>0</v>
      </c>
      <c r="AD1706" s="142">
        <v>1</v>
      </c>
      <c r="AE1706" s="141"/>
      <c r="AF1706" s="121" t="s">
        <v>292</v>
      </c>
      <c r="AG1706" s="146">
        <f>VLOOKUP(Takeoffs!AF1706,Sheet1!$B$6:$C$124,2,FALSE)</f>
        <v>0</v>
      </c>
      <c r="AH1706" s="146">
        <f t="shared" ref="AH1706:AH1725" si="789">AG1706*AI1706</f>
        <v>0</v>
      </c>
      <c r="AI1706" s="143">
        <f t="shared" ref="AI1706:AI1725" si="790">AK1706*AJ1706</f>
        <v>0</v>
      </c>
      <c r="AJ1706" s="133">
        <f t="shared" ref="AJ1706:AJ1725" si="791">S1706</f>
        <v>0</v>
      </c>
      <c r="AK1706" s="142">
        <f>T1706</f>
        <v>0</v>
      </c>
      <c r="AL1706" s="141"/>
      <c r="AO1706" s="286"/>
      <c r="AP1706" s="284">
        <f t="shared" si="780"/>
        <v>0</v>
      </c>
      <c r="AQ1706" s="281">
        <f t="shared" si="781"/>
        <v>0</v>
      </c>
      <c r="AR1706" s="284">
        <f t="shared" si="782"/>
        <v>0</v>
      </c>
      <c r="AS1706" s="281">
        <f t="shared" si="783"/>
        <v>0</v>
      </c>
      <c r="AT1706" s="284">
        <f t="shared" si="784"/>
        <v>0</v>
      </c>
    </row>
    <row r="1707" spans="1:97" s="114" customFormat="1" ht="30.9" x14ac:dyDescent="0.8">
      <c r="A1707" s="262">
        <f>ROW()</f>
        <v>1707</v>
      </c>
      <c r="C1707" s="208"/>
      <c r="D1707" s="208"/>
      <c r="E1707" s="208"/>
      <c r="F1707" s="208"/>
      <c r="G1707" s="208"/>
      <c r="H1707" s="208"/>
      <c r="J1707" s="114" t="str">
        <f t="shared" ref="J1707:J1725" si="792">IF(COUNTBLANK(Q1707)&gt;0,"",CONCATENATE("Coordination Note: - ",P1707,": Please refer to our exclusions relating to ",Q1707))</f>
        <v/>
      </c>
      <c r="K1707" s="114" t="str">
        <f>IF(COUNTBLANK(R1707)&gt;0,"",CONCATENATE(R1707," for ",N1705))</f>
        <v/>
      </c>
      <c r="M1707" s="117"/>
      <c r="N1707" s="123" t="s">
        <v>114</v>
      </c>
      <c r="O1707" s="66" t="s">
        <v>308</v>
      </c>
      <c r="P1707" s="121"/>
      <c r="Q1707" s="121"/>
      <c r="R1707" s="121"/>
      <c r="S1707" s="133">
        <f>M1705</f>
        <v>0</v>
      </c>
      <c r="T1707" s="120"/>
      <c r="U1707" s="121" t="s">
        <v>292</v>
      </c>
      <c r="V1707" s="133">
        <f t="shared" si="785"/>
        <v>0</v>
      </c>
      <c r="W1707" s="133">
        <f>VLOOKUP(U1707,Sheet1!$B$6:$C$45,2,FALSE)*V1707</f>
        <v>0</v>
      </c>
      <c r="X1707" s="141"/>
      <c r="Y1707" s="122" t="s">
        <v>252</v>
      </c>
      <c r="Z1707" s="146">
        <f>VLOOKUP(Takeoffs!Y1707,Sheet1!$B$6:$C$124,2,FALSE)</f>
        <v>43.440000000000005</v>
      </c>
      <c r="AA1707" s="146">
        <f t="shared" si="786"/>
        <v>0</v>
      </c>
      <c r="AB1707" s="143">
        <f t="shared" si="787"/>
        <v>0</v>
      </c>
      <c r="AC1707" s="133">
        <f t="shared" si="788"/>
        <v>0</v>
      </c>
      <c r="AD1707" s="142">
        <v>1</v>
      </c>
      <c r="AE1707" s="141"/>
      <c r="AF1707" s="122" t="s">
        <v>268</v>
      </c>
      <c r="AG1707" s="146">
        <f>VLOOKUP(Takeoffs!AF1707,Sheet1!$B$6:$C$124,2,FALSE)</f>
        <v>1.02</v>
      </c>
      <c r="AH1707" s="146">
        <f t="shared" si="789"/>
        <v>0</v>
      </c>
      <c r="AI1707" s="143">
        <f t="shared" si="790"/>
        <v>0</v>
      </c>
      <c r="AJ1707" s="133">
        <f t="shared" si="791"/>
        <v>0</v>
      </c>
      <c r="AK1707" s="142">
        <v>20</v>
      </c>
      <c r="AL1707" s="141"/>
      <c r="AO1707" s="286"/>
      <c r="AP1707" s="284">
        <f t="shared" si="780"/>
        <v>0</v>
      </c>
      <c r="AQ1707" s="281">
        <f t="shared" si="781"/>
        <v>0</v>
      </c>
      <c r="AR1707" s="284">
        <f t="shared" si="782"/>
        <v>0</v>
      </c>
      <c r="AS1707" s="281">
        <f t="shared" si="783"/>
        <v>0</v>
      </c>
      <c r="AT1707" s="284">
        <f t="shared" si="784"/>
        <v>0</v>
      </c>
    </row>
    <row r="1708" spans="1:97" s="114" customFormat="1" ht="30.9" x14ac:dyDescent="0.8">
      <c r="A1708" s="262">
        <f>ROW()</f>
        <v>1708</v>
      </c>
      <c r="C1708" s="208"/>
      <c r="D1708" s="208"/>
      <c r="E1708" s="208"/>
      <c r="F1708" s="208"/>
      <c r="G1708" s="208"/>
      <c r="H1708" s="208"/>
      <c r="J1708" s="114" t="str">
        <f t="shared" si="792"/>
        <v/>
      </c>
      <c r="K1708" s="114" t="str">
        <f>IF(COUNTBLANK(R1708)&gt;0,"",CONCATENATE(R1708," for ",N1705))</f>
        <v/>
      </c>
      <c r="M1708" s="117"/>
      <c r="N1708" s="123" t="s">
        <v>115</v>
      </c>
      <c r="O1708" s="66" t="s">
        <v>305</v>
      </c>
      <c r="P1708" s="121"/>
      <c r="Q1708" s="121"/>
      <c r="R1708" s="121"/>
      <c r="S1708" s="133">
        <f>M1705</f>
        <v>0</v>
      </c>
      <c r="T1708" s="120"/>
      <c r="U1708" s="117" t="s">
        <v>478</v>
      </c>
      <c r="V1708" s="133">
        <f t="shared" si="785"/>
        <v>0</v>
      </c>
      <c r="W1708" s="133">
        <f>VLOOKUP(U1708,Sheet1!$B$6:$C$45,2,FALSE)*V1708</f>
        <v>0</v>
      </c>
      <c r="X1708" s="141"/>
      <c r="Y1708" s="121" t="s">
        <v>292</v>
      </c>
      <c r="Z1708" s="146">
        <f>VLOOKUP(Takeoffs!Y1708,Sheet1!$B$6:$C$124,2,FALSE)</f>
        <v>0</v>
      </c>
      <c r="AA1708" s="146">
        <f t="shared" si="786"/>
        <v>0</v>
      </c>
      <c r="AB1708" s="143">
        <f t="shared" si="787"/>
        <v>0</v>
      </c>
      <c r="AC1708" s="133">
        <f t="shared" si="788"/>
        <v>0</v>
      </c>
      <c r="AD1708" s="142">
        <v>1</v>
      </c>
      <c r="AE1708" s="141"/>
      <c r="AF1708" s="121" t="s">
        <v>292</v>
      </c>
      <c r="AG1708" s="146">
        <f>VLOOKUP(Takeoffs!AF1708,Sheet1!$B$6:$C$124,2,FALSE)</f>
        <v>0</v>
      </c>
      <c r="AH1708" s="146">
        <f t="shared" si="789"/>
        <v>0</v>
      </c>
      <c r="AI1708" s="143">
        <f t="shared" si="790"/>
        <v>0</v>
      </c>
      <c r="AJ1708" s="133">
        <f t="shared" si="791"/>
        <v>0</v>
      </c>
      <c r="AK1708" s="142">
        <f>T1708</f>
        <v>0</v>
      </c>
      <c r="AL1708" s="141"/>
      <c r="AO1708" s="286"/>
      <c r="AP1708" s="284">
        <f t="shared" si="780"/>
        <v>0</v>
      </c>
      <c r="AQ1708" s="281">
        <f t="shared" si="781"/>
        <v>0</v>
      </c>
      <c r="AR1708" s="284">
        <f t="shared" si="782"/>
        <v>0</v>
      </c>
      <c r="AS1708" s="281">
        <f t="shared" si="783"/>
        <v>0</v>
      </c>
      <c r="AT1708" s="284">
        <f t="shared" si="784"/>
        <v>0</v>
      </c>
    </row>
    <row r="1709" spans="1:97" s="114" customFormat="1" ht="30.9" x14ac:dyDescent="0.8">
      <c r="A1709" s="262">
        <f>ROW()</f>
        <v>1709</v>
      </c>
      <c r="C1709" s="208"/>
      <c r="D1709" s="208"/>
      <c r="E1709" s="208"/>
      <c r="F1709" s="208"/>
      <c r="G1709" s="208"/>
      <c r="H1709" s="208"/>
      <c r="J1709" s="114" t="str">
        <f t="shared" si="792"/>
        <v/>
      </c>
      <c r="K1709" s="114" t="str">
        <f>IF(COUNTBLANK(R1709)&gt;0,"",CONCATENATE(R1709," for ",N1705))</f>
        <v/>
      </c>
      <c r="M1709" s="117"/>
      <c r="N1709" s="123" t="s">
        <v>116</v>
      </c>
      <c r="O1709" s="66" t="s">
        <v>323</v>
      </c>
      <c r="P1709" s="121"/>
      <c r="Q1709" s="121"/>
      <c r="R1709" s="121"/>
      <c r="S1709" s="133">
        <f>M1705</f>
        <v>0</v>
      </c>
      <c r="T1709" s="120"/>
      <c r="U1709" s="121" t="s">
        <v>235</v>
      </c>
      <c r="V1709" s="133">
        <f t="shared" si="785"/>
        <v>0</v>
      </c>
      <c r="W1709" s="133">
        <f>VLOOKUP(U1709,Sheet1!$B$6:$C$45,2,FALSE)*V1709</f>
        <v>0</v>
      </c>
      <c r="X1709" s="141"/>
      <c r="Y1709" s="135" t="s">
        <v>546</v>
      </c>
      <c r="Z1709" s="146">
        <f>VLOOKUP(Takeoffs!Y1709,Sheet1!$B$6:$C$124,2,FALSE)</f>
        <v>865.92</v>
      </c>
      <c r="AA1709" s="146">
        <f t="shared" si="786"/>
        <v>0</v>
      </c>
      <c r="AB1709" s="143">
        <f t="shared" si="787"/>
        <v>0</v>
      </c>
      <c r="AC1709" s="133">
        <f t="shared" si="788"/>
        <v>0</v>
      </c>
      <c r="AD1709" s="142">
        <v>1</v>
      </c>
      <c r="AE1709" s="141"/>
      <c r="AF1709" s="121" t="s">
        <v>292</v>
      </c>
      <c r="AG1709" s="146">
        <f>VLOOKUP(Takeoffs!AF1709,Sheet1!$B$6:$C$124,2,FALSE)</f>
        <v>0</v>
      </c>
      <c r="AH1709" s="146">
        <f t="shared" si="789"/>
        <v>0</v>
      </c>
      <c r="AI1709" s="143">
        <f t="shared" si="790"/>
        <v>0</v>
      </c>
      <c r="AJ1709" s="133">
        <f t="shared" si="791"/>
        <v>0</v>
      </c>
      <c r="AK1709" s="142">
        <f>T1709</f>
        <v>0</v>
      </c>
      <c r="AL1709" s="141"/>
      <c r="AO1709" s="286"/>
      <c r="AP1709" s="284">
        <f t="shared" si="780"/>
        <v>0</v>
      </c>
      <c r="AQ1709" s="281">
        <f t="shared" si="781"/>
        <v>0</v>
      </c>
      <c r="AR1709" s="284">
        <f t="shared" si="782"/>
        <v>0</v>
      </c>
      <c r="AS1709" s="281">
        <f t="shared" si="783"/>
        <v>0</v>
      </c>
      <c r="AT1709" s="284">
        <f t="shared" si="784"/>
        <v>0</v>
      </c>
    </row>
    <row r="1710" spans="1:97" s="114" customFormat="1" ht="30.9" x14ac:dyDescent="0.8">
      <c r="A1710" s="262">
        <f>ROW()</f>
        <v>1710</v>
      </c>
      <c r="C1710" s="208"/>
      <c r="D1710" s="208"/>
      <c r="E1710" s="208"/>
      <c r="F1710" s="208"/>
      <c r="G1710" s="208"/>
      <c r="H1710" s="208"/>
      <c r="J1710" s="114" t="str">
        <f t="shared" si="792"/>
        <v/>
      </c>
      <c r="K1710" s="114" t="str">
        <f>IF(COUNTBLANK(R1710)&gt;0,"",CONCATENATE(R1710," for ",N1705))</f>
        <v/>
      </c>
      <c r="M1710" s="117"/>
      <c r="N1710" s="123" t="s">
        <v>117</v>
      </c>
      <c r="O1710" s="66" t="s">
        <v>390</v>
      </c>
      <c r="P1710" s="121"/>
      <c r="Q1710" s="121"/>
      <c r="R1710" s="121"/>
      <c r="S1710" s="133">
        <f>M1705</f>
        <v>0</v>
      </c>
      <c r="T1710" s="120"/>
      <c r="U1710" s="121" t="s">
        <v>292</v>
      </c>
      <c r="V1710" s="133">
        <f t="shared" si="785"/>
        <v>0</v>
      </c>
      <c r="W1710" s="133">
        <f>VLOOKUP(U1710,Sheet1!$B$6:$C$45,2,FALSE)*V1710</f>
        <v>0</v>
      </c>
      <c r="X1710" s="141"/>
      <c r="Y1710" s="121" t="s">
        <v>292</v>
      </c>
      <c r="Z1710" s="146">
        <f>VLOOKUP(Takeoffs!Y1710,Sheet1!$B$6:$C$124,2,FALSE)</f>
        <v>0</v>
      </c>
      <c r="AA1710" s="146">
        <f t="shared" si="786"/>
        <v>0</v>
      </c>
      <c r="AB1710" s="143">
        <f t="shared" si="787"/>
        <v>0</v>
      </c>
      <c r="AC1710" s="133">
        <f t="shared" si="788"/>
        <v>0</v>
      </c>
      <c r="AD1710" s="142">
        <v>1</v>
      </c>
      <c r="AE1710" s="141"/>
      <c r="AF1710" s="122" t="s">
        <v>268</v>
      </c>
      <c r="AG1710" s="146">
        <f>VLOOKUP(Takeoffs!AF1710,Sheet1!$B$6:$C$124,2,FALSE)</f>
        <v>1.02</v>
      </c>
      <c r="AH1710" s="146">
        <f t="shared" si="789"/>
        <v>0</v>
      </c>
      <c r="AI1710" s="143">
        <f t="shared" si="790"/>
        <v>0</v>
      </c>
      <c r="AJ1710" s="133">
        <f t="shared" si="791"/>
        <v>0</v>
      </c>
      <c r="AK1710" s="142">
        <v>3</v>
      </c>
      <c r="AL1710" s="141"/>
      <c r="AO1710" s="286"/>
      <c r="AP1710" s="284">
        <f t="shared" si="780"/>
        <v>0</v>
      </c>
      <c r="AQ1710" s="281">
        <f t="shared" si="781"/>
        <v>0</v>
      </c>
      <c r="AR1710" s="284">
        <f t="shared" si="782"/>
        <v>0</v>
      </c>
      <c r="AS1710" s="281">
        <f t="shared" si="783"/>
        <v>0</v>
      </c>
      <c r="AT1710" s="284">
        <f t="shared" si="784"/>
        <v>0</v>
      </c>
    </row>
    <row r="1711" spans="1:97" s="114" customFormat="1" ht="30.9" x14ac:dyDescent="0.8">
      <c r="A1711" s="262">
        <f>ROW()</f>
        <v>1711</v>
      </c>
      <c r="C1711" s="208"/>
      <c r="D1711" s="208"/>
      <c r="E1711" s="208"/>
      <c r="F1711" s="208"/>
      <c r="G1711" s="208"/>
      <c r="H1711" s="208"/>
      <c r="J1711" s="114" t="str">
        <f t="shared" si="792"/>
        <v/>
      </c>
      <c r="K1711" s="114" t="str">
        <f>IF(COUNTBLANK(R1711)&gt;0,"",CONCATENATE(R1711," for ",N1705))</f>
        <v/>
      </c>
      <c r="M1711" s="117"/>
      <c r="N1711" s="123" t="s">
        <v>118</v>
      </c>
      <c r="O1711" s="66" t="s">
        <v>309</v>
      </c>
      <c r="P1711" s="121"/>
      <c r="Q1711" s="121"/>
      <c r="R1711" s="121"/>
      <c r="S1711" s="133">
        <f>M1705</f>
        <v>0</v>
      </c>
      <c r="T1711" s="120"/>
      <c r="U1711" s="121" t="s">
        <v>292</v>
      </c>
      <c r="V1711" s="133">
        <f t="shared" si="785"/>
        <v>0</v>
      </c>
      <c r="W1711" s="133">
        <f>VLOOKUP(U1711,Sheet1!$B$6:$C$45,2,FALSE)*V1711</f>
        <v>0</v>
      </c>
      <c r="X1711" s="141"/>
      <c r="Y1711" s="121" t="s">
        <v>292</v>
      </c>
      <c r="Z1711" s="146">
        <f>VLOOKUP(Takeoffs!Y1711,Sheet1!$B$6:$C$124,2,FALSE)</f>
        <v>0</v>
      </c>
      <c r="AA1711" s="146">
        <f t="shared" si="786"/>
        <v>0</v>
      </c>
      <c r="AB1711" s="143">
        <f t="shared" si="787"/>
        <v>0</v>
      </c>
      <c r="AC1711" s="133">
        <f t="shared" si="788"/>
        <v>0</v>
      </c>
      <c r="AD1711" s="142">
        <v>1</v>
      </c>
      <c r="AE1711" s="141"/>
      <c r="AF1711" s="121" t="s">
        <v>292</v>
      </c>
      <c r="AG1711" s="146">
        <f>VLOOKUP(Takeoffs!AF1711,Sheet1!$B$6:$C$124,2,FALSE)</f>
        <v>0</v>
      </c>
      <c r="AH1711" s="146">
        <f t="shared" si="789"/>
        <v>0</v>
      </c>
      <c r="AI1711" s="143">
        <f t="shared" si="790"/>
        <v>0</v>
      </c>
      <c r="AJ1711" s="133">
        <f t="shared" si="791"/>
        <v>0</v>
      </c>
      <c r="AK1711" s="142">
        <f>T1711</f>
        <v>0</v>
      </c>
      <c r="AL1711" s="141"/>
      <c r="AO1711" s="286"/>
      <c r="AP1711" s="284">
        <f t="shared" si="780"/>
        <v>0</v>
      </c>
      <c r="AQ1711" s="281">
        <f t="shared" si="781"/>
        <v>0</v>
      </c>
      <c r="AR1711" s="284">
        <f t="shared" si="782"/>
        <v>0</v>
      </c>
      <c r="AS1711" s="281">
        <f t="shared" si="783"/>
        <v>0</v>
      </c>
      <c r="AT1711" s="284">
        <f t="shared" si="784"/>
        <v>0</v>
      </c>
    </row>
    <row r="1712" spans="1:97" s="114" customFormat="1" ht="30.9" x14ac:dyDescent="0.8">
      <c r="A1712" s="262">
        <f>ROW()</f>
        <v>1712</v>
      </c>
      <c r="C1712" s="208"/>
      <c r="D1712" s="208"/>
      <c r="E1712" s="208"/>
      <c r="F1712" s="208"/>
      <c r="G1712" s="208"/>
      <c r="H1712" s="208"/>
      <c r="J1712" s="114" t="str">
        <f t="shared" si="792"/>
        <v/>
      </c>
      <c r="K1712" s="114" t="str">
        <f>IF(COUNTBLANK(R1712)&gt;0,"",CONCATENATE(R1712," for ",N1705))</f>
        <v/>
      </c>
      <c r="N1712" s="123" t="s">
        <v>119</v>
      </c>
      <c r="O1712" s="66"/>
      <c r="P1712" s="121"/>
      <c r="Q1712" s="121"/>
      <c r="R1712" s="121"/>
      <c r="S1712" s="133">
        <f>M1705</f>
        <v>0</v>
      </c>
      <c r="T1712" s="120"/>
      <c r="U1712" s="121" t="s">
        <v>292</v>
      </c>
      <c r="V1712" s="133">
        <f t="shared" si="785"/>
        <v>0</v>
      </c>
      <c r="W1712" s="133">
        <f>VLOOKUP(U1712,Sheet1!$B$6:$C$45,2,FALSE)*V1712</f>
        <v>0</v>
      </c>
      <c r="X1712" s="141"/>
      <c r="Y1712" s="121" t="s">
        <v>292</v>
      </c>
      <c r="Z1712" s="146">
        <f>VLOOKUP(Takeoffs!Y1712,Sheet1!$B$6:$C$124,2,FALSE)</f>
        <v>0</v>
      </c>
      <c r="AA1712" s="146">
        <f t="shared" si="786"/>
        <v>0</v>
      </c>
      <c r="AB1712" s="143">
        <f t="shared" si="787"/>
        <v>0</v>
      </c>
      <c r="AC1712" s="133">
        <f t="shared" si="788"/>
        <v>0</v>
      </c>
      <c r="AD1712" s="142">
        <v>1</v>
      </c>
      <c r="AE1712" s="141"/>
      <c r="AF1712" s="121" t="s">
        <v>292</v>
      </c>
      <c r="AG1712" s="146">
        <f>VLOOKUP(Takeoffs!AF1712,Sheet1!$B$6:$C$124,2,FALSE)</f>
        <v>0</v>
      </c>
      <c r="AH1712" s="146">
        <f t="shared" si="789"/>
        <v>0</v>
      </c>
      <c r="AI1712" s="143">
        <f t="shared" si="790"/>
        <v>0</v>
      </c>
      <c r="AJ1712" s="133">
        <f t="shared" si="791"/>
        <v>0</v>
      </c>
      <c r="AK1712" s="142">
        <f>T1712</f>
        <v>0</v>
      </c>
      <c r="AL1712" s="141"/>
      <c r="AO1712" s="286"/>
      <c r="AP1712" s="284">
        <f t="shared" si="780"/>
        <v>0</v>
      </c>
      <c r="AQ1712" s="281">
        <f t="shared" si="781"/>
        <v>0</v>
      </c>
      <c r="AR1712" s="284">
        <f t="shared" si="782"/>
        <v>0</v>
      </c>
      <c r="AS1712" s="281">
        <f t="shared" si="783"/>
        <v>0</v>
      </c>
      <c r="AT1712" s="284">
        <f t="shared" si="784"/>
        <v>0</v>
      </c>
    </row>
    <row r="1713" spans="1:97" s="114" customFormat="1" ht="30.9" x14ac:dyDescent="0.8">
      <c r="A1713" s="262">
        <f>ROW()</f>
        <v>1713</v>
      </c>
      <c r="C1713" s="208"/>
      <c r="D1713" s="208"/>
      <c r="E1713" s="208"/>
      <c r="F1713" s="208"/>
      <c r="G1713" s="208"/>
      <c r="H1713" s="208"/>
      <c r="J1713" s="114" t="str">
        <f t="shared" si="792"/>
        <v/>
      </c>
      <c r="K1713" s="114" t="str">
        <f>IF(COUNTBLANK(R1713)&gt;0,"",CONCATENATE(R1713," for ",N1705))</f>
        <v/>
      </c>
      <c r="N1713" s="123" t="s">
        <v>120</v>
      </c>
      <c r="O1713" s="66" t="s">
        <v>328</v>
      </c>
      <c r="P1713" s="121"/>
      <c r="Q1713" s="121"/>
      <c r="R1713" s="121"/>
      <c r="S1713" s="133">
        <f>M1705</f>
        <v>0</v>
      </c>
      <c r="T1713" s="120"/>
      <c r="U1713" s="121" t="s">
        <v>364</v>
      </c>
      <c r="V1713" s="133">
        <f t="shared" si="785"/>
        <v>0</v>
      </c>
      <c r="W1713" s="133">
        <f>VLOOKUP(U1713,Sheet1!$B$6:$C$45,2,FALSE)*V1713</f>
        <v>0</v>
      </c>
      <c r="X1713" s="141"/>
      <c r="Y1713" s="121" t="s">
        <v>292</v>
      </c>
      <c r="Z1713" s="146">
        <f>VLOOKUP(Takeoffs!Y1713,Sheet1!$B$6:$C$124,2,FALSE)</f>
        <v>0</v>
      </c>
      <c r="AA1713" s="146">
        <f t="shared" si="786"/>
        <v>0</v>
      </c>
      <c r="AB1713" s="143">
        <f t="shared" si="787"/>
        <v>0</v>
      </c>
      <c r="AC1713" s="133">
        <f t="shared" si="788"/>
        <v>0</v>
      </c>
      <c r="AD1713" s="142">
        <v>1</v>
      </c>
      <c r="AE1713" s="141"/>
      <c r="AF1713" s="121" t="s">
        <v>292</v>
      </c>
      <c r="AG1713" s="146">
        <f>VLOOKUP(Takeoffs!AF1713,Sheet1!$B$6:$C$124,2,FALSE)</f>
        <v>0</v>
      </c>
      <c r="AH1713" s="146">
        <f t="shared" si="789"/>
        <v>0</v>
      </c>
      <c r="AI1713" s="143">
        <f t="shared" si="790"/>
        <v>0</v>
      </c>
      <c r="AJ1713" s="133">
        <f t="shared" si="791"/>
        <v>0</v>
      </c>
      <c r="AK1713" s="142">
        <f>T1713</f>
        <v>0</v>
      </c>
      <c r="AL1713" s="141"/>
      <c r="AO1713" s="286"/>
      <c r="AP1713" s="284">
        <f t="shared" si="780"/>
        <v>0</v>
      </c>
      <c r="AQ1713" s="281">
        <f t="shared" si="781"/>
        <v>0</v>
      </c>
      <c r="AR1713" s="284">
        <f t="shared" si="782"/>
        <v>0</v>
      </c>
      <c r="AS1713" s="281">
        <f t="shared" si="783"/>
        <v>0</v>
      </c>
      <c r="AT1713" s="284">
        <f t="shared" si="784"/>
        <v>0</v>
      </c>
    </row>
    <row r="1714" spans="1:97" s="114" customFormat="1" ht="30.9" x14ac:dyDescent="0.8">
      <c r="A1714" s="262">
        <f>ROW()</f>
        <v>1714</v>
      </c>
      <c r="C1714" s="208"/>
      <c r="D1714" s="208"/>
      <c r="E1714" s="208"/>
      <c r="F1714" s="208"/>
      <c r="G1714" s="208"/>
      <c r="H1714" s="208"/>
      <c r="J1714" s="114" t="str">
        <f t="shared" si="792"/>
        <v/>
      </c>
      <c r="K1714" s="114" t="str">
        <f>IF(COUNTBLANK(R1714)&gt;0,"",CONCATENATE(R1714," for ",N1705))</f>
        <v/>
      </c>
      <c r="N1714" s="123" t="s">
        <v>121</v>
      </c>
      <c r="O1714" s="66"/>
      <c r="P1714" s="121"/>
      <c r="Q1714" s="121"/>
      <c r="R1714" s="121"/>
      <c r="S1714" s="133">
        <f>M1705</f>
        <v>0</v>
      </c>
      <c r="T1714" s="120"/>
      <c r="U1714" s="121" t="s">
        <v>292</v>
      </c>
      <c r="V1714" s="133">
        <f t="shared" si="785"/>
        <v>0</v>
      </c>
      <c r="W1714" s="133">
        <f>VLOOKUP(U1714,Sheet1!$B$6:$C$45,2,FALSE)*V1714</f>
        <v>0</v>
      </c>
      <c r="X1714" s="141"/>
      <c r="Y1714" s="121" t="s">
        <v>292</v>
      </c>
      <c r="Z1714" s="146">
        <f>VLOOKUP(Takeoffs!Y1714,Sheet1!$B$6:$C$124,2,FALSE)</f>
        <v>0</v>
      </c>
      <c r="AA1714" s="146">
        <f t="shared" si="786"/>
        <v>0</v>
      </c>
      <c r="AB1714" s="143">
        <f t="shared" si="787"/>
        <v>0</v>
      </c>
      <c r="AC1714" s="133">
        <f t="shared" si="788"/>
        <v>0</v>
      </c>
      <c r="AD1714" s="142">
        <v>1</v>
      </c>
      <c r="AE1714" s="141"/>
      <c r="AF1714" s="121" t="s">
        <v>292</v>
      </c>
      <c r="AG1714" s="146">
        <f>VLOOKUP(Takeoffs!AF1714,Sheet1!$B$6:$C$124,2,FALSE)</f>
        <v>0</v>
      </c>
      <c r="AH1714" s="146">
        <f t="shared" si="789"/>
        <v>0</v>
      </c>
      <c r="AI1714" s="143">
        <f t="shared" si="790"/>
        <v>0</v>
      </c>
      <c r="AJ1714" s="133">
        <f t="shared" si="791"/>
        <v>0</v>
      </c>
      <c r="AK1714" s="142">
        <f>T1714</f>
        <v>0</v>
      </c>
      <c r="AL1714" s="141"/>
      <c r="AO1714" s="286"/>
      <c r="AP1714" s="284">
        <f t="shared" si="780"/>
        <v>0</v>
      </c>
      <c r="AQ1714" s="281">
        <f t="shared" si="781"/>
        <v>0</v>
      </c>
      <c r="AR1714" s="284">
        <f t="shared" si="782"/>
        <v>0</v>
      </c>
      <c r="AS1714" s="281">
        <f t="shared" si="783"/>
        <v>0</v>
      </c>
      <c r="AT1714" s="284">
        <f t="shared" si="784"/>
        <v>0</v>
      </c>
    </row>
    <row r="1715" spans="1:97" s="114" customFormat="1" ht="30.9" x14ac:dyDescent="0.8">
      <c r="A1715" s="262">
        <f>ROW()</f>
        <v>1715</v>
      </c>
      <c r="C1715" s="208"/>
      <c r="D1715" s="208"/>
      <c r="E1715" s="208"/>
      <c r="F1715" s="208"/>
      <c r="G1715" s="208"/>
      <c r="H1715" s="208"/>
      <c r="J1715" s="114" t="str">
        <f t="shared" si="792"/>
        <v/>
      </c>
      <c r="K1715" s="114" t="str">
        <f>IF(COUNTBLANK(R1715)&gt;0,"",CONCATENATE(R1715," for ",N1705))</f>
        <v/>
      </c>
      <c r="N1715" s="123" t="s">
        <v>122</v>
      </c>
      <c r="O1715" s="66"/>
      <c r="P1715" s="121"/>
      <c r="Q1715" s="121"/>
      <c r="R1715" s="121"/>
      <c r="S1715" s="133">
        <f>M1705</f>
        <v>0</v>
      </c>
      <c r="T1715" s="120"/>
      <c r="U1715" s="121" t="s">
        <v>292</v>
      </c>
      <c r="V1715" s="133">
        <f t="shared" si="785"/>
        <v>0</v>
      </c>
      <c r="W1715" s="133">
        <f>VLOOKUP(U1715,Sheet1!$B$6:$C$45,2,FALSE)*V1715</f>
        <v>0</v>
      </c>
      <c r="X1715" s="141"/>
      <c r="Y1715" s="121" t="s">
        <v>292</v>
      </c>
      <c r="Z1715" s="146">
        <f>VLOOKUP(Takeoffs!Y1715,Sheet1!$B$6:$C$124,2,FALSE)</f>
        <v>0</v>
      </c>
      <c r="AA1715" s="146">
        <f t="shared" si="786"/>
        <v>0</v>
      </c>
      <c r="AB1715" s="143">
        <f t="shared" si="787"/>
        <v>0</v>
      </c>
      <c r="AC1715" s="133">
        <f t="shared" si="788"/>
        <v>0</v>
      </c>
      <c r="AD1715" s="142">
        <v>1</v>
      </c>
      <c r="AE1715" s="141"/>
      <c r="AF1715" s="121" t="s">
        <v>292</v>
      </c>
      <c r="AG1715" s="146">
        <f>VLOOKUP(Takeoffs!AF1715,Sheet1!$B$6:$C$124,2,FALSE)</f>
        <v>0</v>
      </c>
      <c r="AH1715" s="146">
        <f t="shared" si="789"/>
        <v>0</v>
      </c>
      <c r="AI1715" s="143">
        <f t="shared" si="790"/>
        <v>0</v>
      </c>
      <c r="AJ1715" s="133">
        <f t="shared" si="791"/>
        <v>0</v>
      </c>
      <c r="AK1715" s="142">
        <f>T1715</f>
        <v>0</v>
      </c>
      <c r="AL1715" s="141"/>
      <c r="AO1715" s="286"/>
      <c r="AP1715" s="284">
        <f t="shared" si="780"/>
        <v>0</v>
      </c>
      <c r="AQ1715" s="281">
        <f t="shared" si="781"/>
        <v>0</v>
      </c>
      <c r="AR1715" s="284">
        <f t="shared" si="782"/>
        <v>0</v>
      </c>
      <c r="AS1715" s="281">
        <f t="shared" si="783"/>
        <v>0</v>
      </c>
      <c r="AT1715" s="284">
        <f t="shared" si="784"/>
        <v>0</v>
      </c>
    </row>
    <row r="1716" spans="1:97" s="114" customFormat="1" ht="30.9" x14ac:dyDescent="0.8">
      <c r="A1716" s="262">
        <f>ROW()</f>
        <v>1716</v>
      </c>
      <c r="C1716" s="208"/>
      <c r="D1716" s="208"/>
      <c r="E1716" s="208"/>
      <c r="F1716" s="208"/>
      <c r="G1716" s="208"/>
      <c r="H1716" s="208"/>
      <c r="J1716" s="114" t="str">
        <f t="shared" si="792"/>
        <v/>
      </c>
      <c r="K1716" s="114" t="str">
        <f>IF(COUNTBLANK(R1716)&gt;0,"",CONCATENATE(R1716," for ",N1705))</f>
        <v/>
      </c>
      <c r="N1716" s="123" t="s">
        <v>123</v>
      </c>
      <c r="O1716" s="66"/>
      <c r="P1716" s="121"/>
      <c r="Q1716" s="121"/>
      <c r="R1716" s="121"/>
      <c r="S1716" s="133">
        <f>M1705</f>
        <v>0</v>
      </c>
      <c r="T1716" s="120"/>
      <c r="U1716" s="121" t="s">
        <v>292</v>
      </c>
      <c r="V1716" s="133">
        <f t="shared" si="785"/>
        <v>0</v>
      </c>
      <c r="W1716" s="133">
        <f>VLOOKUP(U1716,Sheet1!$B$6:$C$45,2,FALSE)*V1716</f>
        <v>0</v>
      </c>
      <c r="X1716" s="141"/>
      <c r="Y1716" s="121" t="s">
        <v>292</v>
      </c>
      <c r="Z1716" s="146">
        <f>VLOOKUP(Takeoffs!Y1716,Sheet1!$B$6:$C$124,2,FALSE)</f>
        <v>0</v>
      </c>
      <c r="AA1716" s="146">
        <f t="shared" si="786"/>
        <v>0</v>
      </c>
      <c r="AB1716" s="143">
        <f t="shared" si="787"/>
        <v>0</v>
      </c>
      <c r="AC1716" s="133">
        <f t="shared" si="788"/>
        <v>0</v>
      </c>
      <c r="AD1716" s="142">
        <v>1</v>
      </c>
      <c r="AE1716" s="141"/>
      <c r="AF1716" s="121" t="s">
        <v>292</v>
      </c>
      <c r="AG1716" s="146">
        <f>VLOOKUP(Takeoffs!AF1716,Sheet1!$B$6:$C$124,2,FALSE)</f>
        <v>0</v>
      </c>
      <c r="AH1716" s="146">
        <f t="shared" si="789"/>
        <v>0</v>
      </c>
      <c r="AI1716" s="143">
        <f t="shared" si="790"/>
        <v>0</v>
      </c>
      <c r="AJ1716" s="133">
        <f t="shared" si="791"/>
        <v>0</v>
      </c>
      <c r="AK1716" s="142">
        <v>0</v>
      </c>
      <c r="AL1716" s="141"/>
      <c r="AO1716" s="286"/>
      <c r="AP1716" s="284">
        <f t="shared" si="780"/>
        <v>0</v>
      </c>
      <c r="AQ1716" s="281">
        <f t="shared" si="781"/>
        <v>0</v>
      </c>
      <c r="AR1716" s="284">
        <f t="shared" si="782"/>
        <v>0</v>
      </c>
      <c r="AS1716" s="281">
        <f t="shared" si="783"/>
        <v>0</v>
      </c>
      <c r="AT1716" s="284">
        <f t="shared" si="784"/>
        <v>0</v>
      </c>
    </row>
    <row r="1717" spans="1:97" s="114" customFormat="1" ht="30.9" x14ac:dyDescent="0.8">
      <c r="A1717" s="262">
        <f>ROW()</f>
        <v>1717</v>
      </c>
      <c r="C1717" s="208"/>
      <c r="D1717" s="208"/>
      <c r="E1717" s="208"/>
      <c r="F1717" s="208"/>
      <c r="G1717" s="208"/>
      <c r="H1717" s="208"/>
      <c r="J1717" s="114" t="str">
        <f t="shared" si="792"/>
        <v/>
      </c>
      <c r="K1717" s="114" t="str">
        <f>IF(COUNTBLANK(R1717)&gt;0,"",CONCATENATE(R1717," for ",N1705))</f>
        <v/>
      </c>
      <c r="N1717" s="123" t="s">
        <v>124</v>
      </c>
      <c r="O1717" s="66" t="s">
        <v>140</v>
      </c>
      <c r="P1717" s="121"/>
      <c r="Q1717" s="121"/>
      <c r="R1717" s="121"/>
      <c r="S1717" s="133">
        <f>M1705</f>
        <v>0</v>
      </c>
      <c r="T1717" s="120"/>
      <c r="U1717" s="121" t="s">
        <v>292</v>
      </c>
      <c r="V1717" s="133">
        <f t="shared" si="785"/>
        <v>0</v>
      </c>
      <c r="W1717" s="133">
        <f>VLOOKUP(U1717,Sheet1!$B$6:$C$45,2,FALSE)*V1717</f>
        <v>0</v>
      </c>
      <c r="X1717" s="141"/>
      <c r="Y1717" s="121" t="s">
        <v>292</v>
      </c>
      <c r="Z1717" s="146">
        <f>VLOOKUP(Takeoffs!Y1717,Sheet1!$B$6:$C$124,2,FALSE)</f>
        <v>0</v>
      </c>
      <c r="AA1717" s="146">
        <f t="shared" si="786"/>
        <v>0</v>
      </c>
      <c r="AB1717" s="143">
        <f t="shared" si="787"/>
        <v>0</v>
      </c>
      <c r="AC1717" s="133">
        <f t="shared" si="788"/>
        <v>0</v>
      </c>
      <c r="AD1717" s="142">
        <v>1</v>
      </c>
      <c r="AE1717" s="141"/>
      <c r="AF1717" s="152" t="s">
        <v>418</v>
      </c>
      <c r="AG1717" s="146">
        <f>VLOOKUP(Takeoffs!AF1717,Sheet1!$B$6:$C$124,2,FALSE)</f>
        <v>0.33600000000000002</v>
      </c>
      <c r="AH1717" s="146">
        <f t="shared" si="789"/>
        <v>0</v>
      </c>
      <c r="AI1717" s="143">
        <f t="shared" si="790"/>
        <v>0</v>
      </c>
      <c r="AJ1717" s="133">
        <f t="shared" si="791"/>
        <v>0</v>
      </c>
      <c r="AK1717" s="142">
        <v>1</v>
      </c>
      <c r="AL1717" s="141"/>
      <c r="AO1717" s="286"/>
      <c r="AP1717" s="284">
        <f t="shared" si="780"/>
        <v>0</v>
      </c>
      <c r="AQ1717" s="281">
        <f t="shared" si="781"/>
        <v>0</v>
      </c>
      <c r="AR1717" s="284">
        <f t="shared" si="782"/>
        <v>0</v>
      </c>
      <c r="AS1717" s="281">
        <f t="shared" si="783"/>
        <v>0</v>
      </c>
      <c r="AT1717" s="284">
        <f t="shared" si="784"/>
        <v>0</v>
      </c>
    </row>
    <row r="1718" spans="1:97" s="114" customFormat="1" ht="30.9" x14ac:dyDescent="0.8">
      <c r="A1718" s="262">
        <f>ROW()</f>
        <v>1718</v>
      </c>
      <c r="C1718" s="208"/>
      <c r="D1718" s="208"/>
      <c r="E1718" s="208"/>
      <c r="F1718" s="208"/>
      <c r="G1718" s="208"/>
      <c r="H1718" s="208"/>
      <c r="J1718" s="114" t="str">
        <f t="shared" si="792"/>
        <v/>
      </c>
      <c r="K1718" s="114" t="str">
        <f>IF(COUNTBLANK(R1718)&gt;0,"",CONCATENATE(R1718," for ",N1705))</f>
        <v/>
      </c>
      <c r="N1718" s="123" t="s">
        <v>125</v>
      </c>
      <c r="O1718" s="66" t="s">
        <v>312</v>
      </c>
      <c r="P1718" s="121"/>
      <c r="Q1718" s="121"/>
      <c r="R1718" s="121"/>
      <c r="S1718" s="133">
        <f>M1705</f>
        <v>0</v>
      </c>
      <c r="T1718" s="120"/>
      <c r="U1718" s="121" t="s">
        <v>232</v>
      </c>
      <c r="V1718" s="133">
        <f t="shared" si="785"/>
        <v>0</v>
      </c>
      <c r="W1718" s="133">
        <f>VLOOKUP(U1718,Sheet1!$B$6:$C$45,2,FALSE)*V1718</f>
        <v>0</v>
      </c>
      <c r="X1718" s="141"/>
      <c r="Y1718" s="122" t="s">
        <v>1345</v>
      </c>
      <c r="Z1718" s="146">
        <f>VLOOKUP(Takeoffs!Y1718,Sheet1!$B$6:$C$124,2,FALSE)</f>
        <v>109.25999999999999</v>
      </c>
      <c r="AA1718" s="146">
        <f t="shared" si="786"/>
        <v>0</v>
      </c>
      <c r="AB1718" s="143">
        <f t="shared" si="787"/>
        <v>0</v>
      </c>
      <c r="AC1718" s="133">
        <f t="shared" si="788"/>
        <v>0</v>
      </c>
      <c r="AD1718" s="142">
        <v>1</v>
      </c>
      <c r="AE1718" s="141"/>
      <c r="AF1718" s="121" t="s">
        <v>292</v>
      </c>
      <c r="AG1718" s="146">
        <f>VLOOKUP(Takeoffs!AF1718,Sheet1!$B$6:$C$124,2,FALSE)</f>
        <v>0</v>
      </c>
      <c r="AH1718" s="146">
        <f t="shared" si="789"/>
        <v>0</v>
      </c>
      <c r="AI1718" s="143">
        <f t="shared" si="790"/>
        <v>0</v>
      </c>
      <c r="AJ1718" s="133">
        <f t="shared" si="791"/>
        <v>0</v>
      </c>
      <c r="AK1718" s="142">
        <f t="shared" ref="AK1718:AK1725" si="793">T1718</f>
        <v>0</v>
      </c>
      <c r="AL1718" s="141"/>
      <c r="AO1718" s="286"/>
      <c r="AP1718" s="284">
        <f t="shared" si="780"/>
        <v>0</v>
      </c>
      <c r="AQ1718" s="281">
        <f t="shared" si="781"/>
        <v>0</v>
      </c>
      <c r="AR1718" s="284">
        <f t="shared" si="782"/>
        <v>0</v>
      </c>
      <c r="AS1718" s="281">
        <f t="shared" si="783"/>
        <v>0</v>
      </c>
      <c r="AT1718" s="284">
        <f t="shared" si="784"/>
        <v>0</v>
      </c>
    </row>
    <row r="1719" spans="1:97" s="114" customFormat="1" ht="30.9" x14ac:dyDescent="0.8">
      <c r="A1719" s="262">
        <f>ROW()</f>
        <v>1719</v>
      </c>
      <c r="C1719" s="208"/>
      <c r="D1719" s="208"/>
      <c r="E1719" s="208"/>
      <c r="F1719" s="208"/>
      <c r="G1719" s="208"/>
      <c r="H1719" s="208"/>
      <c r="J1719" s="114" t="str">
        <f t="shared" si="792"/>
        <v/>
      </c>
      <c r="K1719" s="114" t="str">
        <f>IF(COUNTBLANK(R1719)&gt;0,"",CONCATENATE(R1719," for ",N1705))</f>
        <v/>
      </c>
      <c r="N1719" s="123" t="s">
        <v>126</v>
      </c>
      <c r="O1719" s="66"/>
      <c r="P1719" s="121"/>
      <c r="Q1719" s="121"/>
      <c r="R1719" s="121"/>
      <c r="S1719" s="133">
        <f>M1705</f>
        <v>0</v>
      </c>
      <c r="T1719" s="120"/>
      <c r="U1719" s="121" t="s">
        <v>292</v>
      </c>
      <c r="V1719" s="133">
        <f t="shared" si="785"/>
        <v>0</v>
      </c>
      <c r="W1719" s="133">
        <f>VLOOKUP(U1719,Sheet1!$B$6:$C$45,2,FALSE)*V1719</f>
        <v>0</v>
      </c>
      <c r="X1719" s="141"/>
      <c r="Y1719" s="121" t="s">
        <v>292</v>
      </c>
      <c r="Z1719" s="146">
        <f>VLOOKUP(Takeoffs!Y1719,Sheet1!$B$6:$C$124,2,FALSE)</f>
        <v>0</v>
      </c>
      <c r="AA1719" s="146">
        <f t="shared" si="786"/>
        <v>0</v>
      </c>
      <c r="AB1719" s="143">
        <f t="shared" si="787"/>
        <v>0</v>
      </c>
      <c r="AC1719" s="133">
        <f t="shared" si="788"/>
        <v>0</v>
      </c>
      <c r="AD1719" s="142">
        <v>1</v>
      </c>
      <c r="AE1719" s="141"/>
      <c r="AF1719" s="121" t="s">
        <v>292</v>
      </c>
      <c r="AG1719" s="146">
        <f>VLOOKUP(Takeoffs!AF1719,Sheet1!$B$6:$C$124,2,FALSE)</f>
        <v>0</v>
      </c>
      <c r="AH1719" s="146">
        <f t="shared" si="789"/>
        <v>0</v>
      </c>
      <c r="AI1719" s="143">
        <f t="shared" si="790"/>
        <v>0</v>
      </c>
      <c r="AJ1719" s="133">
        <f t="shared" si="791"/>
        <v>0</v>
      </c>
      <c r="AK1719" s="142">
        <f t="shared" si="793"/>
        <v>0</v>
      </c>
      <c r="AL1719" s="141"/>
      <c r="AO1719" s="286"/>
      <c r="AP1719" s="284">
        <f t="shared" si="780"/>
        <v>0</v>
      </c>
      <c r="AQ1719" s="281">
        <f t="shared" si="781"/>
        <v>0</v>
      </c>
      <c r="AR1719" s="284">
        <f t="shared" si="782"/>
        <v>0</v>
      </c>
      <c r="AS1719" s="281">
        <f t="shared" si="783"/>
        <v>0</v>
      </c>
      <c r="AT1719" s="284">
        <f t="shared" si="784"/>
        <v>0</v>
      </c>
    </row>
    <row r="1720" spans="1:97" s="114" customFormat="1" ht="30.9" x14ac:dyDescent="0.8">
      <c r="A1720" s="262">
        <f>ROW()</f>
        <v>1720</v>
      </c>
      <c r="C1720" s="208"/>
      <c r="D1720" s="208"/>
      <c r="E1720" s="208"/>
      <c r="F1720" s="208"/>
      <c r="G1720" s="208"/>
      <c r="H1720" s="208"/>
      <c r="J1720" s="114" t="str">
        <f t="shared" si="792"/>
        <v/>
      </c>
      <c r="K1720" s="114" t="str">
        <f>IF(COUNTBLANK(R1720)&gt;0,"",CONCATENATE(R1720," for ",N1705))</f>
        <v>run and fault lights for Small VSD pump - from MSSB power supply and BMS interface provisions</v>
      </c>
      <c r="N1720" s="123" t="s">
        <v>127</v>
      </c>
      <c r="O1720" s="66" t="s">
        <v>337</v>
      </c>
      <c r="P1720" s="121"/>
      <c r="Q1720" s="121"/>
      <c r="R1720" s="121" t="s">
        <v>331</v>
      </c>
      <c r="S1720" s="133">
        <f>M1705</f>
        <v>0</v>
      </c>
      <c r="T1720" s="120"/>
      <c r="U1720" s="121" t="s">
        <v>292</v>
      </c>
      <c r="V1720" s="133">
        <f t="shared" si="785"/>
        <v>0</v>
      </c>
      <c r="W1720" s="133">
        <f>VLOOKUP(U1720,Sheet1!$B$6:$C$45,2,FALSE)*V1720</f>
        <v>0</v>
      </c>
      <c r="X1720" s="141"/>
      <c r="Y1720" s="122" t="s">
        <v>280</v>
      </c>
      <c r="Z1720" s="146">
        <f>VLOOKUP(Takeoffs!Y1720,Sheet1!$B$6:$C$124,2,FALSE)</f>
        <v>19.2</v>
      </c>
      <c r="AA1720" s="146">
        <f t="shared" si="786"/>
        <v>0</v>
      </c>
      <c r="AB1720" s="143">
        <f t="shared" si="787"/>
        <v>0</v>
      </c>
      <c r="AC1720" s="133">
        <f t="shared" si="788"/>
        <v>0</v>
      </c>
      <c r="AD1720" s="142">
        <v>2</v>
      </c>
      <c r="AE1720" s="141"/>
      <c r="AF1720" s="121" t="s">
        <v>292</v>
      </c>
      <c r="AG1720" s="146">
        <f>VLOOKUP(Takeoffs!AF1720,Sheet1!$B$6:$C$124,2,FALSE)</f>
        <v>0</v>
      </c>
      <c r="AH1720" s="146">
        <f t="shared" si="789"/>
        <v>0</v>
      </c>
      <c r="AI1720" s="143">
        <f t="shared" si="790"/>
        <v>0</v>
      </c>
      <c r="AJ1720" s="133">
        <f t="shared" si="791"/>
        <v>0</v>
      </c>
      <c r="AK1720" s="142">
        <f t="shared" si="793"/>
        <v>0</v>
      </c>
      <c r="AL1720" s="141"/>
      <c r="AO1720" s="286"/>
      <c r="AP1720" s="284">
        <f t="shared" si="780"/>
        <v>0</v>
      </c>
      <c r="AQ1720" s="281">
        <f t="shared" si="781"/>
        <v>0</v>
      </c>
      <c r="AR1720" s="284">
        <f t="shared" si="782"/>
        <v>0</v>
      </c>
      <c r="AS1720" s="281">
        <f t="shared" si="783"/>
        <v>0</v>
      </c>
      <c r="AT1720" s="284">
        <f t="shared" si="784"/>
        <v>0</v>
      </c>
    </row>
    <row r="1721" spans="1:97" s="114" customFormat="1" ht="30.9" x14ac:dyDescent="0.8">
      <c r="A1721" s="262">
        <f>ROW()</f>
        <v>1721</v>
      </c>
      <c r="C1721" s="208"/>
      <c r="D1721" s="208"/>
      <c r="E1721" s="208"/>
      <c r="F1721" s="208"/>
      <c r="G1721" s="208"/>
      <c r="H1721" s="208"/>
      <c r="J1721" s="114" t="str">
        <f t="shared" si="792"/>
        <v/>
      </c>
      <c r="K1721" s="114" t="str">
        <f>IF(COUNTBLANK(R1721)&gt;0,"",CONCATENATE(R1721," for ",N1705))</f>
        <v/>
      </c>
      <c r="N1721" s="123" t="s">
        <v>128</v>
      </c>
      <c r="O1721" s="66" t="s">
        <v>508</v>
      </c>
      <c r="P1721" s="121"/>
      <c r="Q1721" s="121"/>
      <c r="R1721" s="121"/>
      <c r="S1721" s="133">
        <f>M1705</f>
        <v>0</v>
      </c>
      <c r="T1721" s="120"/>
      <c r="U1721" s="121" t="s">
        <v>292</v>
      </c>
      <c r="V1721" s="133">
        <f t="shared" si="785"/>
        <v>0</v>
      </c>
      <c r="W1721" s="133">
        <f>VLOOKUP(U1721,Sheet1!$B$6:$C$45,2,FALSE)*V1721</f>
        <v>0</v>
      </c>
      <c r="X1721" s="141"/>
      <c r="Y1721" s="135" t="s">
        <v>422</v>
      </c>
      <c r="Z1721" s="146">
        <f>VLOOKUP(Takeoffs!Y1721,Sheet1!$B$6:$C$124,2,FALSE)</f>
        <v>23.4</v>
      </c>
      <c r="AA1721" s="146">
        <f t="shared" si="786"/>
        <v>0</v>
      </c>
      <c r="AB1721" s="143">
        <f t="shared" si="787"/>
        <v>0</v>
      </c>
      <c r="AC1721" s="133">
        <f t="shared" si="788"/>
        <v>0</v>
      </c>
      <c r="AD1721" s="142">
        <v>1</v>
      </c>
      <c r="AE1721" s="141"/>
      <c r="AF1721" s="121" t="s">
        <v>292</v>
      </c>
      <c r="AG1721" s="146">
        <f>VLOOKUP(Takeoffs!AF1721,Sheet1!$B$6:$C$124,2,FALSE)</f>
        <v>0</v>
      </c>
      <c r="AH1721" s="146">
        <f t="shared" si="789"/>
        <v>0</v>
      </c>
      <c r="AI1721" s="143">
        <f t="shared" si="790"/>
        <v>0</v>
      </c>
      <c r="AJ1721" s="133">
        <f t="shared" si="791"/>
        <v>0</v>
      </c>
      <c r="AK1721" s="142">
        <f t="shared" si="793"/>
        <v>0</v>
      </c>
      <c r="AL1721" s="141"/>
      <c r="AO1721" s="286"/>
      <c r="AP1721" s="284">
        <f t="shared" si="780"/>
        <v>0</v>
      </c>
      <c r="AQ1721" s="281">
        <f t="shared" si="781"/>
        <v>0</v>
      </c>
      <c r="AR1721" s="284">
        <f t="shared" si="782"/>
        <v>0</v>
      </c>
      <c r="AS1721" s="281">
        <f t="shared" si="783"/>
        <v>0</v>
      </c>
      <c r="AT1721" s="284">
        <f t="shared" si="784"/>
        <v>0</v>
      </c>
    </row>
    <row r="1722" spans="1:97" s="114" customFormat="1" ht="30.9" x14ac:dyDescent="0.8">
      <c r="A1722" s="262">
        <f>ROW()</f>
        <v>1722</v>
      </c>
      <c r="C1722" s="208"/>
      <c r="D1722" s="208"/>
      <c r="E1722" s="208"/>
      <c r="F1722" s="208"/>
      <c r="G1722" s="208"/>
      <c r="H1722" s="208"/>
      <c r="J1722" s="114" t="str">
        <f t="shared" si="792"/>
        <v/>
      </c>
      <c r="K1722" s="114" t="str">
        <f>IF(COUNTBLANK(R1722)&gt;0,"",CONCATENATE(R1722," for ",N1705))</f>
        <v>Auto/Off/On switch for Small VSD pump - from MSSB power supply and BMS interface provisions</v>
      </c>
      <c r="N1722" s="123" t="s">
        <v>129</v>
      </c>
      <c r="O1722" s="66" t="s">
        <v>329</v>
      </c>
      <c r="P1722" s="121"/>
      <c r="Q1722" s="121"/>
      <c r="R1722" s="121" t="s">
        <v>304</v>
      </c>
      <c r="S1722" s="133">
        <f>M1705</f>
        <v>0</v>
      </c>
      <c r="T1722" s="120"/>
      <c r="U1722" s="121" t="s">
        <v>292</v>
      </c>
      <c r="V1722" s="133">
        <f t="shared" si="785"/>
        <v>0</v>
      </c>
      <c r="W1722" s="133">
        <f>VLOOKUP(U1722,Sheet1!$B$6:$C$45,2,FALSE)*V1722</f>
        <v>0</v>
      </c>
      <c r="X1722" s="141"/>
      <c r="Y1722" s="122" t="s">
        <v>277</v>
      </c>
      <c r="Z1722" s="146">
        <f>VLOOKUP(Takeoffs!Y1722,Sheet1!$B$6:$C$124,2,FALSE)</f>
        <v>69.540000000000006</v>
      </c>
      <c r="AA1722" s="146">
        <f t="shared" si="786"/>
        <v>0</v>
      </c>
      <c r="AB1722" s="143">
        <f t="shared" si="787"/>
        <v>0</v>
      </c>
      <c r="AC1722" s="133">
        <f t="shared" si="788"/>
        <v>0</v>
      </c>
      <c r="AD1722" s="142">
        <v>1</v>
      </c>
      <c r="AE1722" s="141"/>
      <c r="AF1722" s="121" t="s">
        <v>292</v>
      </c>
      <c r="AG1722" s="146">
        <f>VLOOKUP(Takeoffs!AF1722,Sheet1!$B$6:$C$124,2,FALSE)</f>
        <v>0</v>
      </c>
      <c r="AH1722" s="146">
        <f t="shared" si="789"/>
        <v>0</v>
      </c>
      <c r="AI1722" s="143">
        <f t="shared" si="790"/>
        <v>0</v>
      </c>
      <c r="AJ1722" s="133">
        <f t="shared" si="791"/>
        <v>0</v>
      </c>
      <c r="AK1722" s="142">
        <f t="shared" si="793"/>
        <v>0</v>
      </c>
      <c r="AL1722" s="141"/>
      <c r="AO1722" s="286"/>
      <c r="AP1722" s="284">
        <f t="shared" si="780"/>
        <v>0</v>
      </c>
      <c r="AQ1722" s="281">
        <f t="shared" si="781"/>
        <v>0</v>
      </c>
      <c r="AR1722" s="284">
        <f t="shared" si="782"/>
        <v>0</v>
      </c>
      <c r="AS1722" s="281">
        <f t="shared" si="783"/>
        <v>0</v>
      </c>
      <c r="AT1722" s="284">
        <f t="shared" si="784"/>
        <v>0</v>
      </c>
    </row>
    <row r="1723" spans="1:97" s="114" customFormat="1" ht="30.9" x14ac:dyDescent="0.8">
      <c r="A1723" s="262">
        <f>ROW()</f>
        <v>1723</v>
      </c>
      <c r="C1723" s="208"/>
      <c r="D1723" s="208"/>
      <c r="E1723" s="208"/>
      <c r="F1723" s="208"/>
      <c r="G1723" s="208"/>
      <c r="H1723" s="208"/>
      <c r="J1723" s="114" t="str">
        <f t="shared" si="792"/>
        <v/>
      </c>
      <c r="K1723" s="114" t="str">
        <f>IF(COUNTBLANK(R1723)&gt;0,"",CONCATENATE(R1723," for ",N1705))</f>
        <v/>
      </c>
      <c r="N1723" s="123" t="s">
        <v>130</v>
      </c>
      <c r="O1723" s="66" t="s">
        <v>500</v>
      </c>
      <c r="P1723" s="121"/>
      <c r="Q1723" s="121"/>
      <c r="R1723" s="121"/>
      <c r="S1723" s="133">
        <f>M1705</f>
        <v>0</v>
      </c>
      <c r="T1723" s="120"/>
      <c r="U1723" s="121" t="s">
        <v>292</v>
      </c>
      <c r="V1723" s="133">
        <f t="shared" si="785"/>
        <v>0</v>
      </c>
      <c r="W1723" s="133">
        <f>VLOOKUP(U1723,Sheet1!$B$6:$C$45,2,FALSE)*V1723</f>
        <v>0</v>
      </c>
      <c r="X1723" s="141"/>
      <c r="Y1723" s="121" t="s">
        <v>292</v>
      </c>
      <c r="Z1723" s="146">
        <f>VLOOKUP(Takeoffs!Y1723,Sheet1!$B$6:$C$124,2,FALSE)</f>
        <v>0</v>
      </c>
      <c r="AA1723" s="146">
        <f t="shared" si="786"/>
        <v>0</v>
      </c>
      <c r="AB1723" s="143">
        <f t="shared" si="787"/>
        <v>0</v>
      </c>
      <c r="AC1723" s="133">
        <f t="shared" si="788"/>
        <v>0</v>
      </c>
      <c r="AD1723" s="142">
        <v>1</v>
      </c>
      <c r="AE1723" s="141"/>
      <c r="AF1723" s="121" t="s">
        <v>292</v>
      </c>
      <c r="AG1723" s="146">
        <f>VLOOKUP(Takeoffs!AF1723,Sheet1!$B$6:$C$124,2,FALSE)</f>
        <v>0</v>
      </c>
      <c r="AH1723" s="146">
        <f t="shared" si="789"/>
        <v>0</v>
      </c>
      <c r="AI1723" s="143">
        <f t="shared" si="790"/>
        <v>0</v>
      </c>
      <c r="AJ1723" s="133">
        <f t="shared" si="791"/>
        <v>0</v>
      </c>
      <c r="AK1723" s="142">
        <f t="shared" si="793"/>
        <v>0</v>
      </c>
      <c r="AL1723" s="141"/>
      <c r="AO1723" s="286"/>
      <c r="AP1723" s="284">
        <f t="shared" si="780"/>
        <v>0</v>
      </c>
      <c r="AQ1723" s="281">
        <f t="shared" si="781"/>
        <v>0</v>
      </c>
      <c r="AR1723" s="284">
        <f t="shared" si="782"/>
        <v>0</v>
      </c>
      <c r="AS1723" s="281">
        <f t="shared" si="783"/>
        <v>0</v>
      </c>
      <c r="AT1723" s="284">
        <f t="shared" si="784"/>
        <v>0</v>
      </c>
    </row>
    <row r="1724" spans="1:97" s="114" customFormat="1" ht="30.9" x14ac:dyDescent="0.8">
      <c r="A1724" s="262">
        <f>ROW()</f>
        <v>1724</v>
      </c>
      <c r="C1724" s="208"/>
      <c r="D1724" s="208"/>
      <c r="E1724" s="208"/>
      <c r="F1724" s="208"/>
      <c r="G1724" s="208"/>
      <c r="H1724" s="208"/>
      <c r="J1724" s="114" t="str">
        <f t="shared" si="792"/>
        <v/>
      </c>
      <c r="K1724" s="114" t="str">
        <f>IF(COUNTBLANK(R1724)&gt;0,"",CONCATENATE(R1724," for ",N1705))</f>
        <v/>
      </c>
      <c r="N1724" s="123" t="s">
        <v>131</v>
      </c>
      <c r="O1724" s="66" t="s">
        <v>407</v>
      </c>
      <c r="P1724" s="121"/>
      <c r="Q1724" s="121"/>
      <c r="R1724" s="121"/>
      <c r="S1724" s="133">
        <f>M1705</f>
        <v>0</v>
      </c>
      <c r="T1724" s="120"/>
      <c r="U1724" s="121" t="s">
        <v>292</v>
      </c>
      <c r="V1724" s="133">
        <f t="shared" si="785"/>
        <v>0</v>
      </c>
      <c r="W1724" s="133">
        <f>VLOOKUP(U1724,Sheet1!$B$6:$C$45,2,FALSE)*V1724</f>
        <v>0</v>
      </c>
      <c r="X1724" s="141"/>
      <c r="Y1724" s="121" t="s">
        <v>274</v>
      </c>
      <c r="Z1724" s="146">
        <f>VLOOKUP(Takeoffs!Y1724,Sheet1!$B$6:$C$124,2,FALSE)</f>
        <v>360</v>
      </c>
      <c r="AA1724" s="146">
        <f t="shared" si="786"/>
        <v>0</v>
      </c>
      <c r="AB1724" s="143">
        <f t="shared" si="787"/>
        <v>0</v>
      </c>
      <c r="AC1724" s="133">
        <f t="shared" si="788"/>
        <v>0</v>
      </c>
      <c r="AD1724" s="142">
        <v>1</v>
      </c>
      <c r="AE1724" s="141"/>
      <c r="AF1724" s="121" t="s">
        <v>292</v>
      </c>
      <c r="AG1724" s="146">
        <f>VLOOKUP(Takeoffs!AF1724,Sheet1!$B$6:$C$124,2,FALSE)</f>
        <v>0</v>
      </c>
      <c r="AH1724" s="146">
        <f t="shared" si="789"/>
        <v>0</v>
      </c>
      <c r="AI1724" s="143">
        <f t="shared" si="790"/>
        <v>0</v>
      </c>
      <c r="AJ1724" s="133">
        <f t="shared" si="791"/>
        <v>0</v>
      </c>
      <c r="AK1724" s="142">
        <f t="shared" si="793"/>
        <v>0</v>
      </c>
      <c r="AL1724" s="141"/>
      <c r="AO1724" s="286"/>
      <c r="AP1724" s="284">
        <f t="shared" si="780"/>
        <v>0</v>
      </c>
      <c r="AQ1724" s="281">
        <f t="shared" si="781"/>
        <v>0</v>
      </c>
      <c r="AR1724" s="284">
        <f t="shared" si="782"/>
        <v>0</v>
      </c>
      <c r="AS1724" s="281">
        <f t="shared" si="783"/>
        <v>0</v>
      </c>
      <c r="AT1724" s="284">
        <f t="shared" si="784"/>
        <v>0</v>
      </c>
    </row>
    <row r="1725" spans="1:97" s="114" customFormat="1" ht="30.9" x14ac:dyDescent="0.8">
      <c r="A1725" s="262">
        <f>ROW()</f>
        <v>1725</v>
      </c>
      <c r="C1725" s="208"/>
      <c r="D1725" s="208"/>
      <c r="E1725" s="208"/>
      <c r="F1725" s="208"/>
      <c r="G1725" s="208"/>
      <c r="H1725" s="208"/>
      <c r="J1725" s="114" t="str">
        <f t="shared" si="792"/>
        <v/>
      </c>
      <c r="K1725" s="114" t="str">
        <f>IF(COUNTBLANK(R1725)&gt;0,"",CONCATENATE(R1725," for ",N1705))</f>
        <v/>
      </c>
      <c r="N1725" s="123" t="s">
        <v>132</v>
      </c>
      <c r="O1725" s="66" t="s">
        <v>408</v>
      </c>
      <c r="P1725" s="121"/>
      <c r="Q1725" s="121"/>
      <c r="R1725" s="121"/>
      <c r="S1725" s="133">
        <f>M1705</f>
        <v>0</v>
      </c>
      <c r="T1725" s="120"/>
      <c r="U1725" s="121" t="s">
        <v>362</v>
      </c>
      <c r="V1725" s="133">
        <f t="shared" si="785"/>
        <v>0</v>
      </c>
      <c r="W1725" s="133">
        <f>VLOOKUP(U1725,Sheet1!$B$6:$C$45,2,FALSE)*V1725</f>
        <v>0</v>
      </c>
      <c r="X1725" s="141"/>
      <c r="Y1725" s="121" t="s">
        <v>292</v>
      </c>
      <c r="Z1725" s="146">
        <f>VLOOKUP(Takeoffs!Y1725,Sheet1!$B$6:$C$124,2,FALSE)</f>
        <v>0</v>
      </c>
      <c r="AA1725" s="146">
        <f t="shared" si="786"/>
        <v>0</v>
      </c>
      <c r="AB1725" s="143">
        <f t="shared" si="787"/>
        <v>0</v>
      </c>
      <c r="AC1725" s="133">
        <f t="shared" si="788"/>
        <v>0</v>
      </c>
      <c r="AD1725" s="142">
        <v>1</v>
      </c>
      <c r="AE1725" s="141"/>
      <c r="AF1725" s="121" t="s">
        <v>292</v>
      </c>
      <c r="AG1725" s="146">
        <f>VLOOKUP(Takeoffs!AF1725,Sheet1!$B$6:$C$124,2,FALSE)</f>
        <v>0</v>
      </c>
      <c r="AH1725" s="146">
        <f t="shared" si="789"/>
        <v>0</v>
      </c>
      <c r="AI1725" s="143">
        <f t="shared" si="790"/>
        <v>0</v>
      </c>
      <c r="AJ1725" s="133">
        <f t="shared" si="791"/>
        <v>0</v>
      </c>
      <c r="AK1725" s="142">
        <f t="shared" si="793"/>
        <v>0</v>
      </c>
      <c r="AL1725" s="141"/>
      <c r="AO1725" s="286"/>
      <c r="AP1725" s="284">
        <f t="shared" si="780"/>
        <v>0</v>
      </c>
      <c r="AQ1725" s="281">
        <f t="shared" si="781"/>
        <v>0</v>
      </c>
      <c r="AR1725" s="284">
        <f t="shared" si="782"/>
        <v>0</v>
      </c>
      <c r="AS1725" s="281">
        <f t="shared" si="783"/>
        <v>0</v>
      </c>
      <c r="AT1725" s="284">
        <f t="shared" si="784"/>
        <v>0</v>
      </c>
    </row>
    <row r="1726" spans="1:97" s="128" customFormat="1" ht="31.5" customHeight="1" x14ac:dyDescent="0.8">
      <c r="A1726" s="262">
        <f>ROW()</f>
        <v>1726</v>
      </c>
      <c r="C1726" s="212"/>
      <c r="D1726" s="212"/>
      <c r="E1726" s="212"/>
      <c r="F1726" s="212"/>
      <c r="G1726" s="212"/>
      <c r="H1726" s="212"/>
      <c r="J1726" s="128" t="s">
        <v>377</v>
      </c>
      <c r="L1726" s="128" t="s">
        <v>378</v>
      </c>
      <c r="N1726" s="129"/>
      <c r="O1726" s="130" t="s">
        <v>357</v>
      </c>
      <c r="P1726" s="131">
        <f>V1726+AA1726+AH1726</f>
        <v>0</v>
      </c>
      <c r="Q1726" s="131"/>
      <c r="R1726" s="131"/>
      <c r="S1726" s="130"/>
      <c r="T1726" s="127"/>
      <c r="U1726" s="126" t="s">
        <v>351</v>
      </c>
      <c r="V1726" s="127">
        <f>W1726*80</f>
        <v>0</v>
      </c>
      <c r="W1726" s="147">
        <f>SUM(W1705:W1725)</f>
        <v>0</v>
      </c>
      <c r="X1726" s="148"/>
      <c r="Y1726" s="127" t="s">
        <v>352</v>
      </c>
      <c r="Z1726" s="116"/>
      <c r="AA1726" s="116">
        <f>SUM(AA1705:AA1725)</f>
        <v>0</v>
      </c>
      <c r="AB1726" s="149"/>
      <c r="AC1726" s="149"/>
      <c r="AD1726" s="149"/>
      <c r="AE1726" s="149"/>
      <c r="AF1726" s="127" t="s">
        <v>356</v>
      </c>
      <c r="AG1726" s="116"/>
      <c r="AH1726" s="116">
        <f>SUM(AH1705:AH1725)</f>
        <v>0</v>
      </c>
      <c r="AI1726" s="149"/>
      <c r="AJ1726" s="149"/>
      <c r="AK1726" s="149"/>
      <c r="AL1726" s="149"/>
      <c r="AM1726" s="150">
        <f>P1726</f>
        <v>0</v>
      </c>
      <c r="AO1726" s="286"/>
      <c r="AP1726" s="284">
        <f t="shared" si="780"/>
        <v>0</v>
      </c>
      <c r="AQ1726" s="281">
        <f t="shared" si="781"/>
        <v>0</v>
      </c>
      <c r="AR1726" s="284">
        <f t="shared" si="782"/>
        <v>0</v>
      </c>
      <c r="AS1726" s="281">
        <f t="shared" si="783"/>
        <v>0</v>
      </c>
      <c r="AT1726" s="284">
        <f t="shared" si="784"/>
        <v>0</v>
      </c>
    </row>
    <row r="1727" spans="1:97" s="234" customFormat="1" ht="154.30000000000001" x14ac:dyDescent="0.8">
      <c r="A1727" s="262">
        <f>ROW()</f>
        <v>1727</v>
      </c>
      <c r="B1727" s="234" t="s">
        <v>491</v>
      </c>
      <c r="C1727" s="217" t="str">
        <f>N1705</f>
        <v>Small VSD pump - from MSSB power supply and BMS interface provisions</v>
      </c>
      <c r="D1727" s="260" t="str">
        <f>IF(B1727="Shopping List",IF(ISNUMBER(SEARCH("MSSB",C1727)),"MSSB",IF(ISNUMBER(SEARCH("local",C1727)),"LOCAL","")))</f>
        <v>MSSB</v>
      </c>
      <c r="E1727" s="238"/>
      <c r="F1727" s="217"/>
      <c r="G1727" s="217"/>
      <c r="H1727" s="245"/>
      <c r="I1727" s="270"/>
      <c r="J1727" s="241" t="str">
        <f>CONCATENATE(O1705," ",L1705, " (",M1705,") ",N1705,".", IF(M1705&gt;1," Each "," This "),"includes supply and install of ",O1706,O1707,O1708,O1709,O1710,O1711,O1712,O1713,O1714,O1715,O1716,O1717,O1718,O1719,O1720,O1721,O1722,O1723,O1724,O1725,J1706,J1707,J1708,J1709,J1710,J1711,J1712,J1713,J1714,J1715,J1716,J1717,J1718,J1719,J1720,J1721,J1722,J1723,J1724,J1725)</f>
        <v xml:space="preserve">Electrical power supply and controls ( Excluding BMS) to Zero (0) Small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27" s="246">
        <f>P1726</f>
        <v>0</v>
      </c>
      <c r="L1727" s="234" t="str">
        <f>CONCATENATE(Q1706,Q1707,Q1708,Q1709,Q1710,Q1711,Q1712,Q1713,Q1714,Q1715,Q1716,Q1717,Q1718,Q1719,Q1720,Q1721,Q1722,Q1723,Q1724,Q1725,)</f>
        <v/>
      </c>
      <c r="M1727" s="166" t="s">
        <v>367</v>
      </c>
      <c r="N1727" s="160" t="str">
        <f>N1705</f>
        <v>Small VSD pump - from MSSB power supply and BMS interface provisions</v>
      </c>
      <c r="O1727" s="160" t="s">
        <v>365</v>
      </c>
      <c r="P1727" s="64" t="e">
        <f>P1726/M1705</f>
        <v>#DIV/0!</v>
      </c>
      <c r="Q1727" s="161"/>
      <c r="R1727" s="161"/>
      <c r="S1727" s="160"/>
      <c r="T1727" s="161"/>
      <c r="U1727" s="503" t="s">
        <v>366</v>
      </c>
      <c r="V1727" s="503"/>
      <c r="W1727" s="162" t="e">
        <f>W1726/M1705</f>
        <v>#DIV/0!</v>
      </c>
      <c r="X1727" s="163"/>
      <c r="Y1727" s="501" t="s">
        <v>365</v>
      </c>
      <c r="Z1727" s="501"/>
      <c r="AA1727" s="164" t="e">
        <f>AA1726/M1705</f>
        <v>#DIV/0!</v>
      </c>
      <c r="AB1727" s="161"/>
      <c r="AC1727" s="161"/>
      <c r="AD1727" s="161"/>
      <c r="AE1727" s="161"/>
      <c r="AF1727" s="501" t="s">
        <v>365</v>
      </c>
      <c r="AG1727" s="501"/>
      <c r="AH1727" s="164" t="e">
        <f>AH1726/M1705</f>
        <v>#DIV/0!</v>
      </c>
      <c r="AI1727" s="161"/>
      <c r="AJ1727" s="161"/>
      <c r="AK1727" s="161"/>
      <c r="AL1727" s="247"/>
      <c r="AM1727" s="257"/>
      <c r="AN1727" s="236">
        <f>K1727*1.25</f>
        <v>0</v>
      </c>
      <c r="AO1727" s="286"/>
      <c r="AP1727" s="284">
        <f t="shared" si="780"/>
        <v>0</v>
      </c>
      <c r="AQ1727" s="281">
        <f t="shared" si="781"/>
        <v>0</v>
      </c>
      <c r="AR1727" s="284">
        <f t="shared" si="782"/>
        <v>0</v>
      </c>
      <c r="AS1727" s="281">
        <f t="shared" si="783"/>
        <v>0</v>
      </c>
      <c r="AT1727" s="284">
        <f t="shared" si="784"/>
        <v>0</v>
      </c>
      <c r="AU1727" s="117"/>
      <c r="AV1727" s="117"/>
      <c r="AW1727" s="117"/>
      <c r="AX1727" s="117"/>
      <c r="AY1727" s="117"/>
      <c r="AZ1727" s="117"/>
      <c r="BA1727" s="117"/>
      <c r="BB1727" s="117"/>
      <c r="BC1727" s="117"/>
      <c r="BD1727" s="117"/>
      <c r="BE1727" s="117"/>
      <c r="BF1727" s="117"/>
      <c r="BG1727" s="117"/>
      <c r="BH1727" s="117"/>
      <c r="BI1727" s="117"/>
      <c r="BJ1727" s="117"/>
      <c r="BK1727" s="117"/>
      <c r="BL1727" s="117"/>
      <c r="BM1727" s="117"/>
      <c r="BN1727" s="117"/>
      <c r="BO1727" s="117"/>
      <c r="BP1727" s="117"/>
      <c r="BQ1727" s="117"/>
      <c r="BR1727" s="117"/>
      <c r="BS1727" s="117"/>
      <c r="BT1727" s="117"/>
      <c r="BU1727" s="117"/>
      <c r="BV1727" s="117"/>
      <c r="BW1727" s="117"/>
      <c r="BX1727" s="117"/>
      <c r="BY1727" s="117"/>
      <c r="BZ1727" s="117"/>
      <c r="CA1727" s="117"/>
      <c r="CB1727" s="117"/>
      <c r="CC1727" s="117"/>
      <c r="CD1727" s="117"/>
      <c r="CE1727" s="117"/>
      <c r="CF1727" s="117"/>
      <c r="CG1727" s="117"/>
      <c r="CH1727" s="117"/>
      <c r="CI1727" s="117"/>
      <c r="CJ1727" s="117"/>
      <c r="CK1727" s="117"/>
      <c r="CL1727" s="117"/>
      <c r="CM1727" s="117"/>
      <c r="CN1727" s="117"/>
      <c r="CO1727" s="117"/>
      <c r="CP1727" s="117"/>
      <c r="CQ1727" s="117"/>
      <c r="CR1727" s="117"/>
      <c r="CS1727" s="117"/>
    </row>
    <row r="1728" spans="1:97" s="116" customFormat="1" ht="192.75" customHeight="1" x14ac:dyDescent="0.8">
      <c r="A1728" s="262">
        <f>ROW()</f>
        <v>1728</v>
      </c>
      <c r="C1728" s="211"/>
      <c r="D1728" s="211"/>
      <c r="E1728" s="211"/>
      <c r="F1728" s="211"/>
      <c r="G1728" s="211"/>
      <c r="H1728" s="211"/>
      <c r="K1728" s="116" t="s">
        <v>452</v>
      </c>
      <c r="M1728" s="116" t="s">
        <v>107</v>
      </c>
      <c r="N1728" s="116" t="s">
        <v>108</v>
      </c>
      <c r="O1728" s="170" t="s">
        <v>386</v>
      </c>
      <c r="P1728" s="502" t="s">
        <v>375</v>
      </c>
      <c r="Q1728" s="502"/>
      <c r="R1728" s="101" t="s">
        <v>452</v>
      </c>
      <c r="S1728" s="116" t="s">
        <v>0</v>
      </c>
      <c r="T1728" s="118"/>
      <c r="U1728" s="116" t="s">
        <v>287</v>
      </c>
      <c r="V1728" s="116" t="s">
        <v>288</v>
      </c>
      <c r="W1728" s="116" t="s">
        <v>291</v>
      </c>
      <c r="X1728" s="140"/>
      <c r="Y1728" s="116" t="s">
        <v>289</v>
      </c>
      <c r="Z1728" s="116" t="s">
        <v>354</v>
      </c>
      <c r="AA1728" s="116" t="s">
        <v>355</v>
      </c>
      <c r="AB1728" s="116" t="s">
        <v>317</v>
      </c>
      <c r="AC1728" s="116" t="s">
        <v>318</v>
      </c>
      <c r="AD1728" s="116" t="s">
        <v>316</v>
      </c>
      <c r="AE1728" s="140"/>
      <c r="AF1728" s="116" t="s">
        <v>293</v>
      </c>
      <c r="AG1728" s="116" t="s">
        <v>354</v>
      </c>
      <c r="AH1728" s="116" t="s">
        <v>355</v>
      </c>
      <c r="AI1728" s="116" t="s">
        <v>296</v>
      </c>
      <c r="AJ1728" s="116" t="s">
        <v>294</v>
      </c>
      <c r="AK1728" s="116" t="s">
        <v>295</v>
      </c>
      <c r="AL1728" s="140"/>
      <c r="AO1728" s="288"/>
      <c r="AP1728" s="284">
        <f t="shared" si="780"/>
        <v>0</v>
      </c>
      <c r="AQ1728" s="281">
        <f t="shared" si="781"/>
        <v>0</v>
      </c>
      <c r="AR1728" s="284">
        <f t="shared" si="782"/>
        <v>0</v>
      </c>
      <c r="AS1728" s="281">
        <f t="shared" si="783"/>
        <v>0</v>
      </c>
      <c r="AT1728" s="284">
        <f t="shared" si="784"/>
        <v>0</v>
      </c>
    </row>
    <row r="1729" spans="1:46" s="114" customFormat="1" ht="40.5" customHeight="1" x14ac:dyDescent="0.8">
      <c r="A1729" s="262">
        <f>ROW()</f>
        <v>1729</v>
      </c>
      <c r="C1729" s="208"/>
      <c r="D1729" s="208"/>
      <c r="E1729" s="208"/>
      <c r="F1729" s="208"/>
      <c r="G1729" s="208"/>
      <c r="H1729" s="208"/>
      <c r="L1729" s="124" t="str">
        <f>VLOOKUP(M1729,Sheet2!$D$2:$E$1024,2,FALSE)</f>
        <v>Zero</v>
      </c>
      <c r="M1729" s="121">
        <f>I1751</f>
        <v>0</v>
      </c>
      <c r="N1729" s="132" t="s">
        <v>560</v>
      </c>
      <c r="O1729" s="121" t="s">
        <v>488</v>
      </c>
      <c r="P1729" s="169" t="s">
        <v>379</v>
      </c>
      <c r="Q1729" s="169" t="s">
        <v>375</v>
      </c>
      <c r="R1729" s="169"/>
      <c r="S1729" s="133">
        <f>M1729</f>
        <v>0</v>
      </c>
      <c r="T1729" s="119"/>
      <c r="U1729" s="121" t="s">
        <v>292</v>
      </c>
      <c r="V1729" s="133">
        <f>S1729</f>
        <v>0</v>
      </c>
      <c r="W1729" s="133">
        <f>VLOOKUP(U1729,Sheet1!$B$6:$C$45,2,FALSE)*V1729</f>
        <v>0</v>
      </c>
      <c r="X1729" s="141"/>
      <c r="Y1729" s="121" t="s">
        <v>292</v>
      </c>
      <c r="Z1729" s="146">
        <f>VLOOKUP(Takeoffs!Y1729,Sheet1!$B$6:$C$124,2,FALSE)</f>
        <v>0</v>
      </c>
      <c r="AA1729" s="146">
        <f>Z1729*AB1729</f>
        <v>0</v>
      </c>
      <c r="AB1729" s="143">
        <f>AD1729*AC1729</f>
        <v>0</v>
      </c>
      <c r="AC1729" s="133">
        <f>S1729</f>
        <v>0</v>
      </c>
      <c r="AD1729" s="142">
        <v>1</v>
      </c>
      <c r="AE1729" s="141"/>
      <c r="AF1729" s="121" t="s">
        <v>292</v>
      </c>
      <c r="AG1729" s="146">
        <f>VLOOKUP(Takeoffs!AF1729,Sheet1!$B$6:$C$124,2,FALSE)</f>
        <v>0</v>
      </c>
      <c r="AH1729" s="146">
        <f>AG1729*AI1729</f>
        <v>0</v>
      </c>
      <c r="AI1729" s="143">
        <f>AK1729*AJ1729</f>
        <v>0</v>
      </c>
      <c r="AJ1729" s="133">
        <f>S1729</f>
        <v>0</v>
      </c>
      <c r="AK1729" s="142">
        <f>T1729</f>
        <v>0</v>
      </c>
      <c r="AL1729" s="141"/>
      <c r="AO1729" s="286"/>
      <c r="AP1729" s="284">
        <f t="shared" si="780"/>
        <v>0</v>
      </c>
      <c r="AQ1729" s="281">
        <f t="shared" si="781"/>
        <v>0</v>
      </c>
      <c r="AR1729" s="284">
        <f t="shared" si="782"/>
        <v>0</v>
      </c>
      <c r="AS1729" s="281">
        <f t="shared" si="783"/>
        <v>0</v>
      </c>
      <c r="AT1729" s="284">
        <f t="shared" si="784"/>
        <v>0</v>
      </c>
    </row>
    <row r="1730" spans="1:46" s="114" customFormat="1" ht="30.9" x14ac:dyDescent="0.8">
      <c r="A1730" s="262">
        <f>ROW()</f>
        <v>1730</v>
      </c>
      <c r="C1730" s="208"/>
      <c r="D1730" s="208"/>
      <c r="E1730" s="208"/>
      <c r="F1730" s="208"/>
      <c r="G1730" s="208"/>
      <c r="H1730" s="208"/>
      <c r="J1730" s="114" t="str">
        <f>IF(COUNTBLANK(Q1730)&gt;0,"",CONCATENATE("Coordination Note: - ",P1730,": Please refer to our exclusions relating to ",Q1730))</f>
        <v/>
      </c>
      <c r="K1730" s="114" t="str">
        <f>IF(COUNTBLANK(R1730)&gt;0,"",CONCATENATE(R1730," for ",N1729))</f>
        <v/>
      </c>
      <c r="M1730" s="117"/>
      <c r="N1730" s="123" t="s">
        <v>113</v>
      </c>
      <c r="O1730" s="66" t="s">
        <v>340</v>
      </c>
      <c r="P1730" s="121"/>
      <c r="Q1730" s="121"/>
      <c r="R1730" s="121"/>
      <c r="S1730" s="133">
        <f>M1729</f>
        <v>0</v>
      </c>
      <c r="T1730" s="120"/>
      <c r="U1730" s="121" t="s">
        <v>292</v>
      </c>
      <c r="V1730" s="133">
        <f t="shared" ref="V1730:V1749" si="794">S1730</f>
        <v>0</v>
      </c>
      <c r="W1730" s="133">
        <f>VLOOKUP(U1730,Sheet1!$B$6:$C$45,2,FALSE)*V1730</f>
        <v>0</v>
      </c>
      <c r="X1730" s="141"/>
      <c r="Y1730" s="121" t="s">
        <v>292</v>
      </c>
      <c r="Z1730" s="146">
        <f>VLOOKUP(Takeoffs!Y1730,Sheet1!$B$6:$C$124,2,FALSE)</f>
        <v>0</v>
      </c>
      <c r="AA1730" s="146">
        <f t="shared" ref="AA1730:AA1749" si="795">Z1730*AB1730</f>
        <v>0</v>
      </c>
      <c r="AB1730" s="143">
        <f t="shared" ref="AB1730:AB1749" si="796">AD1730*AC1730</f>
        <v>0</v>
      </c>
      <c r="AC1730" s="133">
        <f t="shared" ref="AC1730:AC1749" si="797">S1730</f>
        <v>0</v>
      </c>
      <c r="AD1730" s="142">
        <v>1</v>
      </c>
      <c r="AE1730" s="141"/>
      <c r="AF1730" s="121" t="s">
        <v>292</v>
      </c>
      <c r="AG1730" s="146">
        <f>VLOOKUP(Takeoffs!AF1730,Sheet1!$B$6:$C$124,2,FALSE)</f>
        <v>0</v>
      </c>
      <c r="AH1730" s="146">
        <f t="shared" ref="AH1730:AH1749" si="798">AG1730*AI1730</f>
        <v>0</v>
      </c>
      <c r="AI1730" s="143">
        <f t="shared" ref="AI1730:AI1749" si="799">AK1730*AJ1730</f>
        <v>0</v>
      </c>
      <c r="AJ1730" s="133">
        <f t="shared" ref="AJ1730:AJ1749" si="800">S1730</f>
        <v>0</v>
      </c>
      <c r="AK1730" s="142">
        <f>T1730</f>
        <v>0</v>
      </c>
      <c r="AL1730" s="141"/>
      <c r="AO1730" s="286"/>
      <c r="AP1730" s="284">
        <f t="shared" si="780"/>
        <v>0</v>
      </c>
      <c r="AQ1730" s="281">
        <f t="shared" si="781"/>
        <v>0</v>
      </c>
      <c r="AR1730" s="284">
        <f t="shared" si="782"/>
        <v>0</v>
      </c>
      <c r="AS1730" s="281">
        <f t="shared" si="783"/>
        <v>0</v>
      </c>
      <c r="AT1730" s="284">
        <f t="shared" si="784"/>
        <v>0</v>
      </c>
    </row>
    <row r="1731" spans="1:46" s="114" customFormat="1" ht="30.9" x14ac:dyDescent="0.8">
      <c r="A1731" s="262">
        <f>ROW()</f>
        <v>1731</v>
      </c>
      <c r="C1731" s="208"/>
      <c r="D1731" s="208"/>
      <c r="E1731" s="208"/>
      <c r="F1731" s="208"/>
      <c r="G1731" s="208"/>
      <c r="H1731" s="208"/>
      <c r="J1731" s="114" t="str">
        <f t="shared" ref="J1731:J1749" si="801">IF(COUNTBLANK(Q1731)&gt;0,"",CONCATENATE("Coordination Note: - ",P1731,": Please refer to our exclusions relating to ",Q1731))</f>
        <v/>
      </c>
      <c r="K1731" s="114" t="str">
        <f>IF(COUNTBLANK(R1731)&gt;0,"",CONCATENATE(R1731," for ",N1729))</f>
        <v/>
      </c>
      <c r="M1731" s="117"/>
      <c r="N1731" s="123" t="s">
        <v>114</v>
      </c>
      <c r="O1731" s="66" t="s">
        <v>308</v>
      </c>
      <c r="P1731" s="121"/>
      <c r="Q1731" s="121"/>
      <c r="R1731" s="121"/>
      <c r="S1731" s="133">
        <f>M1729</f>
        <v>0</v>
      </c>
      <c r="T1731" s="120"/>
      <c r="U1731" s="121" t="s">
        <v>292</v>
      </c>
      <c r="V1731" s="133">
        <f t="shared" si="794"/>
        <v>0</v>
      </c>
      <c r="W1731" s="133">
        <f>VLOOKUP(U1731,Sheet1!$B$6:$C$45,2,FALSE)*V1731</f>
        <v>0</v>
      </c>
      <c r="X1731" s="141"/>
      <c r="Y1731" s="122" t="s">
        <v>252</v>
      </c>
      <c r="Z1731" s="146">
        <f>VLOOKUP(Takeoffs!Y1731,Sheet1!$B$6:$C$124,2,FALSE)</f>
        <v>43.440000000000005</v>
      </c>
      <c r="AA1731" s="146">
        <f t="shared" si="795"/>
        <v>0</v>
      </c>
      <c r="AB1731" s="143">
        <f t="shared" si="796"/>
        <v>0</v>
      </c>
      <c r="AC1731" s="133">
        <f t="shared" si="797"/>
        <v>0</v>
      </c>
      <c r="AD1731" s="142">
        <v>1</v>
      </c>
      <c r="AE1731" s="141"/>
      <c r="AF1731" s="122" t="s">
        <v>268</v>
      </c>
      <c r="AG1731" s="146">
        <f>VLOOKUP(Takeoffs!AF1731,Sheet1!$B$6:$C$124,2,FALSE)</f>
        <v>1.02</v>
      </c>
      <c r="AH1731" s="146">
        <f t="shared" si="798"/>
        <v>0</v>
      </c>
      <c r="AI1731" s="143">
        <f t="shared" si="799"/>
        <v>0</v>
      </c>
      <c r="AJ1731" s="133">
        <f t="shared" si="800"/>
        <v>0</v>
      </c>
      <c r="AK1731" s="142">
        <v>20</v>
      </c>
      <c r="AL1731" s="141"/>
      <c r="AO1731" s="286"/>
      <c r="AP1731" s="284">
        <f t="shared" si="780"/>
        <v>0</v>
      </c>
      <c r="AQ1731" s="281">
        <f t="shared" si="781"/>
        <v>0</v>
      </c>
      <c r="AR1731" s="284">
        <f t="shared" si="782"/>
        <v>0</v>
      </c>
      <c r="AS1731" s="281">
        <f t="shared" si="783"/>
        <v>0</v>
      </c>
      <c r="AT1731" s="284">
        <f t="shared" si="784"/>
        <v>0</v>
      </c>
    </row>
    <row r="1732" spans="1:46" s="114" customFormat="1" ht="30.9" x14ac:dyDescent="0.8">
      <c r="A1732" s="262">
        <f>ROW()</f>
        <v>1732</v>
      </c>
      <c r="C1732" s="208"/>
      <c r="D1732" s="208"/>
      <c r="E1732" s="208"/>
      <c r="F1732" s="208"/>
      <c r="G1732" s="208"/>
      <c r="H1732" s="208"/>
      <c r="J1732" s="114" t="str">
        <f t="shared" si="801"/>
        <v/>
      </c>
      <c r="K1732" s="114" t="str">
        <f>IF(COUNTBLANK(R1732)&gt;0,"",CONCATENATE(R1732," for ",N1729))</f>
        <v/>
      </c>
      <c r="M1732" s="117"/>
      <c r="N1732" s="123" t="s">
        <v>115</v>
      </c>
      <c r="O1732" s="66" t="s">
        <v>305</v>
      </c>
      <c r="P1732" s="121"/>
      <c r="Q1732" s="121"/>
      <c r="R1732" s="121"/>
      <c r="S1732" s="133">
        <f>M1729</f>
        <v>0</v>
      </c>
      <c r="T1732" s="120"/>
      <c r="U1732" s="117" t="s">
        <v>478</v>
      </c>
      <c r="V1732" s="133">
        <f t="shared" si="794"/>
        <v>0</v>
      </c>
      <c r="W1732" s="133">
        <f>VLOOKUP(U1732,Sheet1!$B$6:$C$45,2,FALSE)*V1732</f>
        <v>0</v>
      </c>
      <c r="X1732" s="141"/>
      <c r="Y1732" s="121" t="s">
        <v>292</v>
      </c>
      <c r="Z1732" s="146">
        <f>VLOOKUP(Takeoffs!Y1732,Sheet1!$B$6:$C$124,2,FALSE)</f>
        <v>0</v>
      </c>
      <c r="AA1732" s="146">
        <f t="shared" si="795"/>
        <v>0</v>
      </c>
      <c r="AB1732" s="143">
        <f t="shared" si="796"/>
        <v>0</v>
      </c>
      <c r="AC1732" s="133">
        <f t="shared" si="797"/>
        <v>0</v>
      </c>
      <c r="AD1732" s="142">
        <v>1</v>
      </c>
      <c r="AE1732" s="141"/>
      <c r="AF1732" s="121" t="s">
        <v>292</v>
      </c>
      <c r="AG1732" s="146">
        <f>VLOOKUP(Takeoffs!AF1732,Sheet1!$B$6:$C$124,2,FALSE)</f>
        <v>0</v>
      </c>
      <c r="AH1732" s="146">
        <f t="shared" si="798"/>
        <v>0</v>
      </c>
      <c r="AI1732" s="143">
        <f t="shared" si="799"/>
        <v>0</v>
      </c>
      <c r="AJ1732" s="133">
        <f t="shared" si="800"/>
        <v>0</v>
      </c>
      <c r="AK1732" s="142">
        <f>T1732</f>
        <v>0</v>
      </c>
      <c r="AL1732" s="141"/>
      <c r="AO1732" s="286"/>
      <c r="AP1732" s="284">
        <f t="shared" si="780"/>
        <v>0</v>
      </c>
      <c r="AQ1732" s="281">
        <f t="shared" si="781"/>
        <v>0</v>
      </c>
      <c r="AR1732" s="284">
        <f t="shared" si="782"/>
        <v>0</v>
      </c>
      <c r="AS1732" s="281">
        <f t="shared" si="783"/>
        <v>0</v>
      </c>
      <c r="AT1732" s="284">
        <f t="shared" si="784"/>
        <v>0</v>
      </c>
    </row>
    <row r="1733" spans="1:46" s="114" customFormat="1" ht="30.9" x14ac:dyDescent="0.8">
      <c r="A1733" s="262">
        <f>ROW()</f>
        <v>1733</v>
      </c>
      <c r="C1733" s="208"/>
      <c r="D1733" s="208"/>
      <c r="E1733" s="208"/>
      <c r="F1733" s="208"/>
      <c r="G1733" s="208"/>
      <c r="H1733" s="208"/>
      <c r="J1733" s="114" t="str">
        <f t="shared" si="801"/>
        <v/>
      </c>
      <c r="K1733" s="114" t="str">
        <f>IF(COUNTBLANK(R1733)&gt;0,"",CONCATENATE(R1733," for ",N1729))</f>
        <v/>
      </c>
      <c r="M1733" s="117"/>
      <c r="N1733" s="123" t="s">
        <v>116</v>
      </c>
      <c r="O1733" s="66" t="s">
        <v>323</v>
      </c>
      <c r="P1733" s="121"/>
      <c r="Q1733" s="121"/>
      <c r="R1733" s="121"/>
      <c r="S1733" s="133">
        <f>M1729</f>
        <v>0</v>
      </c>
      <c r="T1733" s="120"/>
      <c r="U1733" s="135" t="s">
        <v>233</v>
      </c>
      <c r="V1733" s="133">
        <f t="shared" si="794"/>
        <v>0</v>
      </c>
      <c r="W1733" s="133">
        <f>VLOOKUP(U1733,Sheet1!$B$6:$C$45,2,FALSE)*V1733</f>
        <v>0</v>
      </c>
      <c r="X1733" s="141"/>
      <c r="Y1733" s="121" t="s">
        <v>292</v>
      </c>
      <c r="Z1733" s="146">
        <f>VLOOKUP(Takeoffs!Y1733,Sheet1!$B$6:$C$124,2,FALSE)</f>
        <v>0</v>
      </c>
      <c r="AA1733" s="146">
        <f t="shared" si="795"/>
        <v>0</v>
      </c>
      <c r="AB1733" s="143">
        <f t="shared" si="796"/>
        <v>0</v>
      </c>
      <c r="AC1733" s="133">
        <f t="shared" si="797"/>
        <v>0</v>
      </c>
      <c r="AD1733" s="142">
        <v>1</v>
      </c>
      <c r="AE1733" s="141"/>
      <c r="AF1733" s="121" t="s">
        <v>292</v>
      </c>
      <c r="AG1733" s="146">
        <f>VLOOKUP(Takeoffs!AF1733,Sheet1!$B$6:$C$124,2,FALSE)</f>
        <v>0</v>
      </c>
      <c r="AH1733" s="146">
        <f t="shared" si="798"/>
        <v>0</v>
      </c>
      <c r="AI1733" s="143">
        <f t="shared" si="799"/>
        <v>0</v>
      </c>
      <c r="AJ1733" s="133">
        <f t="shared" si="800"/>
        <v>0</v>
      </c>
      <c r="AK1733" s="142">
        <f>T1733</f>
        <v>0</v>
      </c>
      <c r="AL1733" s="141"/>
      <c r="AO1733" s="286"/>
      <c r="AP1733" s="284">
        <f t="shared" si="780"/>
        <v>0</v>
      </c>
      <c r="AQ1733" s="281">
        <f t="shared" si="781"/>
        <v>0</v>
      </c>
      <c r="AR1733" s="284">
        <f t="shared" si="782"/>
        <v>0</v>
      </c>
      <c r="AS1733" s="281">
        <f t="shared" si="783"/>
        <v>0</v>
      </c>
      <c r="AT1733" s="284">
        <f t="shared" si="784"/>
        <v>0</v>
      </c>
    </row>
    <row r="1734" spans="1:46" s="114" customFormat="1" ht="30.9" x14ac:dyDescent="0.8">
      <c r="A1734" s="262">
        <f>ROW()</f>
        <v>1734</v>
      </c>
      <c r="C1734" s="208"/>
      <c r="D1734" s="208"/>
      <c r="E1734" s="208"/>
      <c r="F1734" s="208"/>
      <c r="G1734" s="208"/>
      <c r="H1734" s="208"/>
      <c r="J1734" s="114" t="str">
        <f t="shared" si="801"/>
        <v/>
      </c>
      <c r="K1734" s="114" t="str">
        <f>IF(COUNTBLANK(R1734)&gt;0,"",CONCATENATE(R1734," for ",N1729))</f>
        <v/>
      </c>
      <c r="M1734" s="117"/>
      <c r="N1734" s="123" t="s">
        <v>117</v>
      </c>
      <c r="O1734" s="66" t="s">
        <v>390</v>
      </c>
      <c r="P1734" s="121"/>
      <c r="Q1734" s="121"/>
      <c r="R1734" s="121"/>
      <c r="S1734" s="133">
        <f>M1729</f>
        <v>0</v>
      </c>
      <c r="T1734" s="120"/>
      <c r="U1734" s="121" t="s">
        <v>292</v>
      </c>
      <c r="V1734" s="133">
        <f t="shared" si="794"/>
        <v>0</v>
      </c>
      <c r="W1734" s="133">
        <f>VLOOKUP(U1734,Sheet1!$B$6:$C$45,2,FALSE)*V1734</f>
        <v>0</v>
      </c>
      <c r="X1734" s="141"/>
      <c r="Y1734" s="121" t="s">
        <v>292</v>
      </c>
      <c r="Z1734" s="146">
        <f>VLOOKUP(Takeoffs!Y1734,Sheet1!$B$6:$C$124,2,FALSE)</f>
        <v>0</v>
      </c>
      <c r="AA1734" s="146">
        <f t="shared" si="795"/>
        <v>0</v>
      </c>
      <c r="AB1734" s="143">
        <f t="shared" si="796"/>
        <v>0</v>
      </c>
      <c r="AC1734" s="133">
        <f t="shared" si="797"/>
        <v>0</v>
      </c>
      <c r="AD1734" s="142">
        <v>1</v>
      </c>
      <c r="AE1734" s="141"/>
      <c r="AF1734" s="122" t="s">
        <v>268</v>
      </c>
      <c r="AG1734" s="146">
        <f>VLOOKUP(Takeoffs!AF1734,Sheet1!$B$6:$C$124,2,FALSE)</f>
        <v>1.02</v>
      </c>
      <c r="AH1734" s="146">
        <f t="shared" si="798"/>
        <v>0</v>
      </c>
      <c r="AI1734" s="143">
        <f t="shared" si="799"/>
        <v>0</v>
      </c>
      <c r="AJ1734" s="133">
        <f t="shared" si="800"/>
        <v>0</v>
      </c>
      <c r="AK1734" s="142">
        <v>3</v>
      </c>
      <c r="AL1734" s="141"/>
      <c r="AO1734" s="286"/>
      <c r="AP1734" s="284">
        <f t="shared" si="780"/>
        <v>0</v>
      </c>
      <c r="AQ1734" s="281">
        <f t="shared" si="781"/>
        <v>0</v>
      </c>
      <c r="AR1734" s="284">
        <f t="shared" si="782"/>
        <v>0</v>
      </c>
      <c r="AS1734" s="281">
        <f t="shared" si="783"/>
        <v>0</v>
      </c>
      <c r="AT1734" s="284">
        <f t="shared" si="784"/>
        <v>0</v>
      </c>
    </row>
    <row r="1735" spans="1:46" s="114" customFormat="1" ht="30.9" x14ac:dyDescent="0.8">
      <c r="A1735" s="262">
        <f>ROW()</f>
        <v>1735</v>
      </c>
      <c r="C1735" s="208"/>
      <c r="D1735" s="208"/>
      <c r="E1735" s="208"/>
      <c r="F1735" s="208"/>
      <c r="G1735" s="208"/>
      <c r="H1735" s="208"/>
      <c r="J1735" s="114" t="str">
        <f t="shared" si="801"/>
        <v/>
      </c>
      <c r="K1735" s="114" t="str">
        <f>IF(COUNTBLANK(R1735)&gt;0,"",CONCATENATE(R1735," for ",N1729))</f>
        <v/>
      </c>
      <c r="M1735" s="117"/>
      <c r="N1735" s="123" t="s">
        <v>118</v>
      </c>
      <c r="O1735" s="66" t="s">
        <v>309</v>
      </c>
      <c r="P1735" s="121"/>
      <c r="Q1735" s="121"/>
      <c r="R1735" s="121"/>
      <c r="S1735" s="133">
        <f>M1729</f>
        <v>0</v>
      </c>
      <c r="T1735" s="120"/>
      <c r="U1735" s="121" t="s">
        <v>292</v>
      </c>
      <c r="V1735" s="133">
        <f t="shared" si="794"/>
        <v>0</v>
      </c>
      <c r="W1735" s="133">
        <f>VLOOKUP(U1735,Sheet1!$B$6:$C$45,2,FALSE)*V1735</f>
        <v>0</v>
      </c>
      <c r="X1735" s="141"/>
      <c r="Y1735" s="121" t="s">
        <v>292</v>
      </c>
      <c r="Z1735" s="146">
        <f>VLOOKUP(Takeoffs!Y1735,Sheet1!$B$6:$C$124,2,FALSE)</f>
        <v>0</v>
      </c>
      <c r="AA1735" s="146">
        <f t="shared" si="795"/>
        <v>0</v>
      </c>
      <c r="AB1735" s="143">
        <f t="shared" si="796"/>
        <v>0</v>
      </c>
      <c r="AC1735" s="133">
        <f t="shared" si="797"/>
        <v>0</v>
      </c>
      <c r="AD1735" s="142">
        <v>1</v>
      </c>
      <c r="AE1735" s="141"/>
      <c r="AF1735" s="121" t="s">
        <v>292</v>
      </c>
      <c r="AG1735" s="146">
        <f>VLOOKUP(Takeoffs!AF1735,Sheet1!$B$6:$C$124,2,FALSE)</f>
        <v>0</v>
      </c>
      <c r="AH1735" s="146">
        <f t="shared" si="798"/>
        <v>0</v>
      </c>
      <c r="AI1735" s="143">
        <f t="shared" si="799"/>
        <v>0</v>
      </c>
      <c r="AJ1735" s="133">
        <f t="shared" si="800"/>
        <v>0</v>
      </c>
      <c r="AK1735" s="142">
        <f>T1735</f>
        <v>0</v>
      </c>
      <c r="AL1735" s="141"/>
      <c r="AO1735" s="286"/>
      <c r="AP1735" s="284">
        <f t="shared" si="780"/>
        <v>0</v>
      </c>
      <c r="AQ1735" s="281">
        <f t="shared" si="781"/>
        <v>0</v>
      </c>
      <c r="AR1735" s="284">
        <f t="shared" si="782"/>
        <v>0</v>
      </c>
      <c r="AS1735" s="281">
        <f t="shared" si="783"/>
        <v>0</v>
      </c>
      <c r="AT1735" s="284">
        <f t="shared" si="784"/>
        <v>0</v>
      </c>
    </row>
    <row r="1736" spans="1:46" s="114" customFormat="1" ht="30.9" x14ac:dyDescent="0.8">
      <c r="A1736" s="262">
        <f>ROW()</f>
        <v>1736</v>
      </c>
      <c r="C1736" s="208"/>
      <c r="D1736" s="208"/>
      <c r="E1736" s="208"/>
      <c r="F1736" s="208"/>
      <c r="G1736" s="208"/>
      <c r="H1736" s="208"/>
      <c r="J1736" s="114" t="str">
        <f t="shared" si="801"/>
        <v/>
      </c>
      <c r="K1736" s="114" t="str">
        <f>IF(COUNTBLANK(R1736)&gt;0,"",CONCATENATE(R1736," for ",N1729))</f>
        <v/>
      </c>
      <c r="N1736" s="123" t="s">
        <v>119</v>
      </c>
      <c r="O1736" s="66"/>
      <c r="P1736" s="121"/>
      <c r="Q1736" s="121"/>
      <c r="R1736" s="121"/>
      <c r="S1736" s="133">
        <f>M1729</f>
        <v>0</v>
      </c>
      <c r="T1736" s="120"/>
      <c r="U1736" s="121" t="s">
        <v>292</v>
      </c>
      <c r="V1736" s="133">
        <f t="shared" si="794"/>
        <v>0</v>
      </c>
      <c r="W1736" s="133">
        <f>VLOOKUP(U1736,Sheet1!$B$6:$C$45,2,FALSE)*V1736</f>
        <v>0</v>
      </c>
      <c r="X1736" s="141"/>
      <c r="Y1736" s="121" t="s">
        <v>292</v>
      </c>
      <c r="Z1736" s="146">
        <f>VLOOKUP(Takeoffs!Y1736,Sheet1!$B$6:$C$124,2,FALSE)</f>
        <v>0</v>
      </c>
      <c r="AA1736" s="146">
        <f t="shared" si="795"/>
        <v>0</v>
      </c>
      <c r="AB1736" s="143">
        <f t="shared" si="796"/>
        <v>0</v>
      </c>
      <c r="AC1736" s="133">
        <f t="shared" si="797"/>
        <v>0</v>
      </c>
      <c r="AD1736" s="142">
        <v>1</v>
      </c>
      <c r="AE1736" s="141"/>
      <c r="AF1736" s="121" t="s">
        <v>292</v>
      </c>
      <c r="AG1736" s="146">
        <f>VLOOKUP(Takeoffs!AF1736,Sheet1!$B$6:$C$124,2,FALSE)</f>
        <v>0</v>
      </c>
      <c r="AH1736" s="146">
        <f t="shared" si="798"/>
        <v>0</v>
      </c>
      <c r="AI1736" s="143">
        <f t="shared" si="799"/>
        <v>0</v>
      </c>
      <c r="AJ1736" s="133">
        <f t="shared" si="800"/>
        <v>0</v>
      </c>
      <c r="AK1736" s="142">
        <f>T1736</f>
        <v>0</v>
      </c>
      <c r="AL1736" s="141"/>
      <c r="AO1736" s="286"/>
      <c r="AP1736" s="284">
        <f t="shared" si="780"/>
        <v>0</v>
      </c>
      <c r="AQ1736" s="281">
        <f t="shared" si="781"/>
        <v>0</v>
      </c>
      <c r="AR1736" s="284">
        <f t="shared" si="782"/>
        <v>0</v>
      </c>
      <c r="AS1736" s="281">
        <f t="shared" si="783"/>
        <v>0</v>
      </c>
      <c r="AT1736" s="284">
        <f t="shared" si="784"/>
        <v>0</v>
      </c>
    </row>
    <row r="1737" spans="1:46" s="114" customFormat="1" ht="30.9" x14ac:dyDescent="0.8">
      <c r="A1737" s="262">
        <f>ROW()</f>
        <v>1737</v>
      </c>
      <c r="C1737" s="208"/>
      <c r="D1737" s="208"/>
      <c r="E1737" s="208"/>
      <c r="F1737" s="208"/>
      <c r="G1737" s="208"/>
      <c r="H1737" s="208"/>
      <c r="J1737" s="114" t="str">
        <f t="shared" si="801"/>
        <v/>
      </c>
      <c r="K1737" s="114" t="str">
        <f>IF(COUNTBLANK(R1737)&gt;0,"",CONCATENATE(R1737," for ",N1729))</f>
        <v/>
      </c>
      <c r="N1737" s="123" t="s">
        <v>120</v>
      </c>
      <c r="O1737" s="66" t="s">
        <v>328</v>
      </c>
      <c r="P1737" s="121"/>
      <c r="Q1737" s="121"/>
      <c r="R1737" s="121"/>
      <c r="S1737" s="133">
        <f>M1729</f>
        <v>0</v>
      </c>
      <c r="T1737" s="120"/>
      <c r="U1737" s="121" t="s">
        <v>364</v>
      </c>
      <c r="V1737" s="133">
        <f t="shared" si="794"/>
        <v>0</v>
      </c>
      <c r="W1737" s="133">
        <f>VLOOKUP(U1737,Sheet1!$B$6:$C$45,2,FALSE)*V1737</f>
        <v>0</v>
      </c>
      <c r="X1737" s="141"/>
      <c r="Y1737" s="121" t="s">
        <v>292</v>
      </c>
      <c r="Z1737" s="146">
        <f>VLOOKUP(Takeoffs!Y1737,Sheet1!$B$6:$C$124,2,FALSE)</f>
        <v>0</v>
      </c>
      <c r="AA1737" s="146">
        <f t="shared" si="795"/>
        <v>0</v>
      </c>
      <c r="AB1737" s="143">
        <f t="shared" si="796"/>
        <v>0</v>
      </c>
      <c r="AC1737" s="133">
        <f t="shared" si="797"/>
        <v>0</v>
      </c>
      <c r="AD1737" s="142">
        <v>1</v>
      </c>
      <c r="AE1737" s="141"/>
      <c r="AF1737" s="121" t="s">
        <v>292</v>
      </c>
      <c r="AG1737" s="146">
        <f>VLOOKUP(Takeoffs!AF1737,Sheet1!$B$6:$C$124,2,FALSE)</f>
        <v>0</v>
      </c>
      <c r="AH1737" s="146">
        <f t="shared" si="798"/>
        <v>0</v>
      </c>
      <c r="AI1737" s="143">
        <f t="shared" si="799"/>
        <v>0</v>
      </c>
      <c r="AJ1737" s="133">
        <f t="shared" si="800"/>
        <v>0</v>
      </c>
      <c r="AK1737" s="142">
        <f>T1737</f>
        <v>0</v>
      </c>
      <c r="AL1737" s="141"/>
      <c r="AO1737" s="286"/>
      <c r="AP1737" s="284">
        <f t="shared" si="780"/>
        <v>0</v>
      </c>
      <c r="AQ1737" s="281">
        <f t="shared" si="781"/>
        <v>0</v>
      </c>
      <c r="AR1737" s="284">
        <f t="shared" si="782"/>
        <v>0</v>
      </c>
      <c r="AS1737" s="281">
        <f t="shared" si="783"/>
        <v>0</v>
      </c>
      <c r="AT1737" s="284">
        <f t="shared" si="784"/>
        <v>0</v>
      </c>
    </row>
    <row r="1738" spans="1:46" s="114" customFormat="1" ht="30.9" x14ac:dyDescent="0.8">
      <c r="A1738" s="262">
        <f>ROW()</f>
        <v>1738</v>
      </c>
      <c r="C1738" s="208"/>
      <c r="D1738" s="208"/>
      <c r="E1738" s="208"/>
      <c r="F1738" s="208"/>
      <c r="G1738" s="208"/>
      <c r="H1738" s="208"/>
      <c r="J1738" s="114" t="str">
        <f t="shared" si="801"/>
        <v/>
      </c>
      <c r="K1738" s="114" t="str">
        <f>IF(COUNTBLANK(R1738)&gt;0,"",CONCATENATE(R1738," for ",N1729))</f>
        <v/>
      </c>
      <c r="N1738" s="123" t="s">
        <v>121</v>
      </c>
      <c r="O1738" s="66"/>
      <c r="P1738" s="121"/>
      <c r="Q1738" s="121"/>
      <c r="R1738" s="121"/>
      <c r="S1738" s="133">
        <f>M1729</f>
        <v>0</v>
      </c>
      <c r="T1738" s="120"/>
      <c r="U1738" s="121" t="s">
        <v>292</v>
      </c>
      <c r="V1738" s="133">
        <f t="shared" si="794"/>
        <v>0</v>
      </c>
      <c r="W1738" s="133">
        <f>VLOOKUP(U1738,Sheet1!$B$6:$C$45,2,FALSE)*V1738</f>
        <v>0</v>
      </c>
      <c r="X1738" s="141"/>
      <c r="Y1738" s="121" t="s">
        <v>292</v>
      </c>
      <c r="Z1738" s="146">
        <f>VLOOKUP(Takeoffs!Y1738,Sheet1!$B$6:$C$124,2,FALSE)</f>
        <v>0</v>
      </c>
      <c r="AA1738" s="146">
        <f t="shared" si="795"/>
        <v>0</v>
      </c>
      <c r="AB1738" s="143">
        <f t="shared" si="796"/>
        <v>0</v>
      </c>
      <c r="AC1738" s="133">
        <f t="shared" si="797"/>
        <v>0</v>
      </c>
      <c r="AD1738" s="142">
        <v>1</v>
      </c>
      <c r="AE1738" s="141"/>
      <c r="AF1738" s="121" t="s">
        <v>292</v>
      </c>
      <c r="AG1738" s="146">
        <f>VLOOKUP(Takeoffs!AF1738,Sheet1!$B$6:$C$124,2,FALSE)</f>
        <v>0</v>
      </c>
      <c r="AH1738" s="146">
        <f t="shared" si="798"/>
        <v>0</v>
      </c>
      <c r="AI1738" s="143">
        <f t="shared" si="799"/>
        <v>0</v>
      </c>
      <c r="AJ1738" s="133">
        <f t="shared" si="800"/>
        <v>0</v>
      </c>
      <c r="AK1738" s="142">
        <f>T1738</f>
        <v>0</v>
      </c>
      <c r="AL1738" s="141"/>
      <c r="AO1738" s="286"/>
      <c r="AP1738" s="284">
        <f t="shared" si="780"/>
        <v>0</v>
      </c>
      <c r="AQ1738" s="281">
        <f t="shared" si="781"/>
        <v>0</v>
      </c>
      <c r="AR1738" s="284">
        <f t="shared" si="782"/>
        <v>0</v>
      </c>
      <c r="AS1738" s="281">
        <f t="shared" si="783"/>
        <v>0</v>
      </c>
      <c r="AT1738" s="284">
        <f t="shared" si="784"/>
        <v>0</v>
      </c>
    </row>
    <row r="1739" spans="1:46" s="114" customFormat="1" ht="30.9" x14ac:dyDescent="0.8">
      <c r="A1739" s="262">
        <f>ROW()</f>
        <v>1739</v>
      </c>
      <c r="C1739" s="208"/>
      <c r="D1739" s="208"/>
      <c r="E1739" s="208"/>
      <c r="F1739" s="208"/>
      <c r="G1739" s="208"/>
      <c r="H1739" s="208"/>
      <c r="J1739" s="114" t="str">
        <f t="shared" si="801"/>
        <v/>
      </c>
      <c r="K1739" s="114" t="str">
        <f>IF(COUNTBLANK(R1739)&gt;0,"",CONCATENATE(R1739," for ",N1729))</f>
        <v/>
      </c>
      <c r="N1739" s="123" t="s">
        <v>122</v>
      </c>
      <c r="O1739" s="66"/>
      <c r="P1739" s="121"/>
      <c r="Q1739" s="121"/>
      <c r="R1739" s="121"/>
      <c r="S1739" s="133">
        <f>M1729</f>
        <v>0</v>
      </c>
      <c r="T1739" s="120"/>
      <c r="U1739" s="121" t="s">
        <v>292</v>
      </c>
      <c r="V1739" s="133">
        <f t="shared" si="794"/>
        <v>0</v>
      </c>
      <c r="W1739" s="133">
        <f>VLOOKUP(U1739,Sheet1!$B$6:$C$45,2,FALSE)*V1739</f>
        <v>0</v>
      </c>
      <c r="X1739" s="141"/>
      <c r="Y1739" s="121" t="s">
        <v>292</v>
      </c>
      <c r="Z1739" s="146">
        <f>VLOOKUP(Takeoffs!Y1739,Sheet1!$B$6:$C$124,2,FALSE)</f>
        <v>0</v>
      </c>
      <c r="AA1739" s="146">
        <f t="shared" si="795"/>
        <v>0</v>
      </c>
      <c r="AB1739" s="143">
        <f t="shared" si="796"/>
        <v>0</v>
      </c>
      <c r="AC1739" s="133">
        <f t="shared" si="797"/>
        <v>0</v>
      </c>
      <c r="AD1739" s="142">
        <v>1</v>
      </c>
      <c r="AE1739" s="141"/>
      <c r="AF1739" s="121" t="s">
        <v>292</v>
      </c>
      <c r="AG1739" s="146">
        <f>VLOOKUP(Takeoffs!AF1739,Sheet1!$B$6:$C$124,2,FALSE)</f>
        <v>0</v>
      </c>
      <c r="AH1739" s="146">
        <f t="shared" si="798"/>
        <v>0</v>
      </c>
      <c r="AI1739" s="143">
        <f t="shared" si="799"/>
        <v>0</v>
      </c>
      <c r="AJ1739" s="133">
        <f t="shared" si="800"/>
        <v>0</v>
      </c>
      <c r="AK1739" s="142">
        <f>T1739</f>
        <v>0</v>
      </c>
      <c r="AL1739" s="141"/>
      <c r="AO1739" s="286"/>
      <c r="AP1739" s="284">
        <f t="shared" si="780"/>
        <v>0</v>
      </c>
      <c r="AQ1739" s="281">
        <f t="shared" si="781"/>
        <v>0</v>
      </c>
      <c r="AR1739" s="284">
        <f t="shared" si="782"/>
        <v>0</v>
      </c>
      <c r="AS1739" s="281">
        <f t="shared" si="783"/>
        <v>0</v>
      </c>
      <c r="AT1739" s="284">
        <f t="shared" si="784"/>
        <v>0</v>
      </c>
    </row>
    <row r="1740" spans="1:46" s="114" customFormat="1" ht="30.9" x14ac:dyDescent="0.8">
      <c r="A1740" s="262">
        <f>ROW()</f>
        <v>1740</v>
      </c>
      <c r="C1740" s="208"/>
      <c r="D1740" s="208"/>
      <c r="E1740" s="208"/>
      <c r="F1740" s="208"/>
      <c r="G1740" s="208"/>
      <c r="H1740" s="208"/>
      <c r="J1740" s="114" t="str">
        <f t="shared" si="801"/>
        <v/>
      </c>
      <c r="K1740" s="114" t="str">
        <f>IF(COUNTBLANK(R1740)&gt;0,"",CONCATENATE(R1740," for ",N1729))</f>
        <v/>
      </c>
      <c r="N1740" s="123" t="s">
        <v>123</v>
      </c>
      <c r="O1740" s="66"/>
      <c r="P1740" s="121"/>
      <c r="Q1740" s="121"/>
      <c r="R1740" s="121"/>
      <c r="S1740" s="133">
        <f>M1729</f>
        <v>0</v>
      </c>
      <c r="T1740" s="120"/>
      <c r="U1740" s="121" t="s">
        <v>292</v>
      </c>
      <c r="V1740" s="133">
        <f t="shared" si="794"/>
        <v>0</v>
      </c>
      <c r="W1740" s="133">
        <f>VLOOKUP(U1740,Sheet1!$B$6:$C$45,2,FALSE)*V1740</f>
        <v>0</v>
      </c>
      <c r="X1740" s="141"/>
      <c r="Y1740" s="121" t="s">
        <v>292</v>
      </c>
      <c r="Z1740" s="146">
        <f>VLOOKUP(Takeoffs!Y1740,Sheet1!$B$6:$C$124,2,FALSE)</f>
        <v>0</v>
      </c>
      <c r="AA1740" s="146">
        <f t="shared" si="795"/>
        <v>0</v>
      </c>
      <c r="AB1740" s="143">
        <f t="shared" si="796"/>
        <v>0</v>
      </c>
      <c r="AC1740" s="133">
        <f t="shared" si="797"/>
        <v>0</v>
      </c>
      <c r="AD1740" s="142">
        <v>1</v>
      </c>
      <c r="AE1740" s="141"/>
      <c r="AF1740" s="121" t="s">
        <v>292</v>
      </c>
      <c r="AG1740" s="146">
        <f>VLOOKUP(Takeoffs!AF1740,Sheet1!$B$6:$C$124,2,FALSE)</f>
        <v>0</v>
      </c>
      <c r="AH1740" s="146">
        <f t="shared" si="798"/>
        <v>0</v>
      </c>
      <c r="AI1740" s="143">
        <f t="shared" si="799"/>
        <v>0</v>
      </c>
      <c r="AJ1740" s="133">
        <f t="shared" si="800"/>
        <v>0</v>
      </c>
      <c r="AK1740" s="142">
        <v>0</v>
      </c>
      <c r="AL1740" s="141"/>
      <c r="AO1740" s="286"/>
      <c r="AP1740" s="284">
        <f t="shared" si="780"/>
        <v>0</v>
      </c>
      <c r="AQ1740" s="281">
        <f t="shared" si="781"/>
        <v>0</v>
      </c>
      <c r="AR1740" s="284">
        <f t="shared" si="782"/>
        <v>0</v>
      </c>
      <c r="AS1740" s="281">
        <f t="shared" si="783"/>
        <v>0</v>
      </c>
      <c r="AT1740" s="284">
        <f t="shared" si="784"/>
        <v>0</v>
      </c>
    </row>
    <row r="1741" spans="1:46" s="114" customFormat="1" ht="30.9" x14ac:dyDescent="0.8">
      <c r="A1741" s="262">
        <f>ROW()</f>
        <v>1741</v>
      </c>
      <c r="C1741" s="208"/>
      <c r="D1741" s="208"/>
      <c r="E1741" s="208"/>
      <c r="F1741" s="208"/>
      <c r="G1741" s="208"/>
      <c r="H1741" s="208"/>
      <c r="J1741" s="114" t="str">
        <f t="shared" si="801"/>
        <v/>
      </c>
      <c r="K1741" s="114" t="str">
        <f>IF(COUNTBLANK(R1741)&gt;0,"",CONCATENATE(R1741," for ",N1729))</f>
        <v/>
      </c>
      <c r="N1741" s="123" t="s">
        <v>124</v>
      </c>
      <c r="O1741" s="66" t="s">
        <v>140</v>
      </c>
      <c r="P1741" s="121"/>
      <c r="Q1741" s="121"/>
      <c r="R1741" s="121"/>
      <c r="S1741" s="133">
        <f>M1729</f>
        <v>0</v>
      </c>
      <c r="T1741" s="120"/>
      <c r="U1741" s="121" t="s">
        <v>292</v>
      </c>
      <c r="V1741" s="133">
        <f t="shared" si="794"/>
        <v>0</v>
      </c>
      <c r="W1741" s="133">
        <f>VLOOKUP(U1741,Sheet1!$B$6:$C$45,2,FALSE)*V1741</f>
        <v>0</v>
      </c>
      <c r="X1741" s="141"/>
      <c r="Y1741" s="121" t="s">
        <v>292</v>
      </c>
      <c r="Z1741" s="146">
        <f>VLOOKUP(Takeoffs!Y1741,Sheet1!$B$6:$C$124,2,FALSE)</f>
        <v>0</v>
      </c>
      <c r="AA1741" s="146">
        <f t="shared" si="795"/>
        <v>0</v>
      </c>
      <c r="AB1741" s="143">
        <f t="shared" si="796"/>
        <v>0</v>
      </c>
      <c r="AC1741" s="133">
        <f t="shared" si="797"/>
        <v>0</v>
      </c>
      <c r="AD1741" s="142">
        <v>1</v>
      </c>
      <c r="AE1741" s="141"/>
      <c r="AF1741" s="152" t="s">
        <v>418</v>
      </c>
      <c r="AG1741" s="146">
        <f>VLOOKUP(Takeoffs!AF1741,Sheet1!$B$6:$C$124,2,FALSE)</f>
        <v>0.33600000000000002</v>
      </c>
      <c r="AH1741" s="146">
        <f t="shared" si="798"/>
        <v>0</v>
      </c>
      <c r="AI1741" s="143">
        <f t="shared" si="799"/>
        <v>0</v>
      </c>
      <c r="AJ1741" s="133">
        <f t="shared" si="800"/>
        <v>0</v>
      </c>
      <c r="AK1741" s="142">
        <v>1</v>
      </c>
      <c r="AL1741" s="141"/>
      <c r="AO1741" s="286"/>
      <c r="AP1741" s="284">
        <f t="shared" si="780"/>
        <v>0</v>
      </c>
      <c r="AQ1741" s="281">
        <f t="shared" si="781"/>
        <v>0</v>
      </c>
      <c r="AR1741" s="284">
        <f t="shared" si="782"/>
        <v>0</v>
      </c>
      <c r="AS1741" s="281">
        <f t="shared" si="783"/>
        <v>0</v>
      </c>
      <c r="AT1741" s="284">
        <f t="shared" si="784"/>
        <v>0</v>
      </c>
    </row>
    <row r="1742" spans="1:46" s="114" customFormat="1" ht="30.9" x14ac:dyDescent="0.8">
      <c r="A1742" s="262">
        <f>ROW()</f>
        <v>1742</v>
      </c>
      <c r="C1742" s="208"/>
      <c r="D1742" s="208"/>
      <c r="E1742" s="208"/>
      <c r="F1742" s="208"/>
      <c r="G1742" s="208"/>
      <c r="H1742" s="208"/>
      <c r="J1742" s="114" t="str">
        <f t="shared" si="801"/>
        <v/>
      </c>
      <c r="K1742" s="114" t="str">
        <f>IF(COUNTBLANK(R1742)&gt;0,"",CONCATENATE(R1742," for ",N1729))</f>
        <v/>
      </c>
      <c r="N1742" s="123" t="s">
        <v>125</v>
      </c>
      <c r="O1742" s="66" t="s">
        <v>312</v>
      </c>
      <c r="P1742" s="121"/>
      <c r="Q1742" s="121"/>
      <c r="R1742" s="121"/>
      <c r="S1742" s="133">
        <f>M1729</f>
        <v>0</v>
      </c>
      <c r="T1742" s="120"/>
      <c r="U1742" s="121" t="s">
        <v>232</v>
      </c>
      <c r="V1742" s="133">
        <f t="shared" si="794"/>
        <v>0</v>
      </c>
      <c r="W1742" s="133">
        <f>VLOOKUP(U1742,Sheet1!$B$6:$C$45,2,FALSE)*V1742</f>
        <v>0</v>
      </c>
      <c r="X1742" s="141"/>
      <c r="Y1742" s="122" t="s">
        <v>1345</v>
      </c>
      <c r="Z1742" s="146">
        <f>VLOOKUP(Takeoffs!Y1742,Sheet1!$B$6:$C$124,2,FALSE)</f>
        <v>109.25999999999999</v>
      </c>
      <c r="AA1742" s="146">
        <f t="shared" si="795"/>
        <v>0</v>
      </c>
      <c r="AB1742" s="143">
        <f t="shared" si="796"/>
        <v>0</v>
      </c>
      <c r="AC1742" s="133">
        <f t="shared" si="797"/>
        <v>0</v>
      </c>
      <c r="AD1742" s="142">
        <v>1</v>
      </c>
      <c r="AE1742" s="141"/>
      <c r="AF1742" s="121" t="s">
        <v>292</v>
      </c>
      <c r="AG1742" s="146">
        <f>VLOOKUP(Takeoffs!AF1742,Sheet1!$B$6:$C$124,2,FALSE)</f>
        <v>0</v>
      </c>
      <c r="AH1742" s="146">
        <f t="shared" si="798"/>
        <v>0</v>
      </c>
      <c r="AI1742" s="143">
        <f t="shared" si="799"/>
        <v>0</v>
      </c>
      <c r="AJ1742" s="133">
        <f t="shared" si="800"/>
        <v>0</v>
      </c>
      <c r="AK1742" s="142">
        <f t="shared" ref="AK1742:AK1749" si="802">T1742</f>
        <v>0</v>
      </c>
      <c r="AL1742" s="141"/>
      <c r="AO1742" s="286"/>
      <c r="AP1742" s="284">
        <f t="shared" si="780"/>
        <v>0</v>
      </c>
      <c r="AQ1742" s="281">
        <f t="shared" si="781"/>
        <v>0</v>
      </c>
      <c r="AR1742" s="284">
        <f t="shared" si="782"/>
        <v>0</v>
      </c>
      <c r="AS1742" s="281">
        <f t="shared" si="783"/>
        <v>0</v>
      </c>
      <c r="AT1742" s="284">
        <f t="shared" si="784"/>
        <v>0</v>
      </c>
    </row>
    <row r="1743" spans="1:46" s="114" customFormat="1" ht="30.9" x14ac:dyDescent="0.8">
      <c r="A1743" s="262">
        <f>ROW()</f>
        <v>1743</v>
      </c>
      <c r="C1743" s="208"/>
      <c r="D1743" s="208"/>
      <c r="E1743" s="208"/>
      <c r="F1743" s="208"/>
      <c r="G1743" s="208"/>
      <c r="H1743" s="208"/>
      <c r="J1743" s="114" t="str">
        <f t="shared" si="801"/>
        <v/>
      </c>
      <c r="K1743" s="114" t="str">
        <f>IF(COUNTBLANK(R1743)&gt;0,"",CONCATENATE(R1743," for ",N1729))</f>
        <v/>
      </c>
      <c r="N1743" s="123" t="s">
        <v>126</v>
      </c>
      <c r="O1743" s="66"/>
      <c r="P1743" s="121"/>
      <c r="Q1743" s="121"/>
      <c r="R1743" s="121"/>
      <c r="S1743" s="133">
        <f>M1729</f>
        <v>0</v>
      </c>
      <c r="T1743" s="120"/>
      <c r="U1743" s="121" t="s">
        <v>292</v>
      </c>
      <c r="V1743" s="133">
        <f t="shared" si="794"/>
        <v>0</v>
      </c>
      <c r="W1743" s="133">
        <f>VLOOKUP(U1743,Sheet1!$B$6:$C$45,2,FALSE)*V1743</f>
        <v>0</v>
      </c>
      <c r="X1743" s="141"/>
      <c r="Y1743" s="121" t="s">
        <v>292</v>
      </c>
      <c r="Z1743" s="146">
        <f>VLOOKUP(Takeoffs!Y1743,Sheet1!$B$6:$C$124,2,FALSE)</f>
        <v>0</v>
      </c>
      <c r="AA1743" s="146">
        <f t="shared" si="795"/>
        <v>0</v>
      </c>
      <c r="AB1743" s="143">
        <f t="shared" si="796"/>
        <v>0</v>
      </c>
      <c r="AC1743" s="133">
        <f t="shared" si="797"/>
        <v>0</v>
      </c>
      <c r="AD1743" s="142">
        <v>1</v>
      </c>
      <c r="AE1743" s="141"/>
      <c r="AF1743" s="121" t="s">
        <v>292</v>
      </c>
      <c r="AG1743" s="146">
        <f>VLOOKUP(Takeoffs!AF1743,Sheet1!$B$6:$C$124,2,FALSE)</f>
        <v>0</v>
      </c>
      <c r="AH1743" s="146">
        <f t="shared" si="798"/>
        <v>0</v>
      </c>
      <c r="AI1743" s="143">
        <f t="shared" si="799"/>
        <v>0</v>
      </c>
      <c r="AJ1743" s="133">
        <f t="shared" si="800"/>
        <v>0</v>
      </c>
      <c r="AK1743" s="142">
        <f t="shared" si="802"/>
        <v>0</v>
      </c>
      <c r="AL1743" s="141"/>
      <c r="AO1743" s="286"/>
      <c r="AP1743" s="284">
        <f t="shared" si="780"/>
        <v>0</v>
      </c>
      <c r="AQ1743" s="281">
        <f t="shared" si="781"/>
        <v>0</v>
      </c>
      <c r="AR1743" s="284">
        <f t="shared" si="782"/>
        <v>0</v>
      </c>
      <c r="AS1743" s="281">
        <f t="shared" si="783"/>
        <v>0</v>
      </c>
      <c r="AT1743" s="284">
        <f t="shared" si="784"/>
        <v>0</v>
      </c>
    </row>
    <row r="1744" spans="1:46" s="114" customFormat="1" ht="30.9" x14ac:dyDescent="0.8">
      <c r="A1744" s="262">
        <f>ROW()</f>
        <v>1744</v>
      </c>
      <c r="C1744" s="208"/>
      <c r="D1744" s="208"/>
      <c r="E1744" s="208"/>
      <c r="F1744" s="208"/>
      <c r="G1744" s="208"/>
      <c r="H1744" s="208"/>
      <c r="J1744" s="114" t="str">
        <f t="shared" si="801"/>
        <v/>
      </c>
      <c r="K1744" s="114" t="str">
        <f>IF(COUNTBLANK(R1744)&gt;0,"",CONCATENATE(R1744," for ",N1729))</f>
        <v>run and fault lights for Small DOL pump - from MSSB power supply and BMS interface provisions</v>
      </c>
      <c r="N1744" s="123" t="s">
        <v>127</v>
      </c>
      <c r="O1744" s="66" t="s">
        <v>337</v>
      </c>
      <c r="P1744" s="121"/>
      <c r="Q1744" s="121"/>
      <c r="R1744" s="121" t="s">
        <v>331</v>
      </c>
      <c r="S1744" s="133">
        <f>M1729</f>
        <v>0</v>
      </c>
      <c r="T1744" s="120"/>
      <c r="U1744" s="121" t="s">
        <v>292</v>
      </c>
      <c r="V1744" s="133">
        <f t="shared" si="794"/>
        <v>0</v>
      </c>
      <c r="W1744" s="133">
        <f>VLOOKUP(U1744,Sheet1!$B$6:$C$45,2,FALSE)*V1744</f>
        <v>0</v>
      </c>
      <c r="X1744" s="141"/>
      <c r="Y1744" s="122" t="s">
        <v>280</v>
      </c>
      <c r="Z1744" s="146">
        <f>VLOOKUP(Takeoffs!Y1744,Sheet1!$B$6:$C$124,2,FALSE)</f>
        <v>19.2</v>
      </c>
      <c r="AA1744" s="146">
        <f t="shared" si="795"/>
        <v>0</v>
      </c>
      <c r="AB1744" s="143">
        <f t="shared" si="796"/>
        <v>0</v>
      </c>
      <c r="AC1744" s="133">
        <f t="shared" si="797"/>
        <v>0</v>
      </c>
      <c r="AD1744" s="142">
        <v>2</v>
      </c>
      <c r="AE1744" s="141"/>
      <c r="AF1744" s="121" t="s">
        <v>292</v>
      </c>
      <c r="AG1744" s="146">
        <f>VLOOKUP(Takeoffs!AF1744,Sheet1!$B$6:$C$124,2,FALSE)</f>
        <v>0</v>
      </c>
      <c r="AH1744" s="146">
        <f t="shared" si="798"/>
        <v>0</v>
      </c>
      <c r="AI1744" s="143">
        <f t="shared" si="799"/>
        <v>0</v>
      </c>
      <c r="AJ1744" s="133">
        <f t="shared" si="800"/>
        <v>0</v>
      </c>
      <c r="AK1744" s="142">
        <f t="shared" si="802"/>
        <v>0</v>
      </c>
      <c r="AL1744" s="141"/>
      <c r="AO1744" s="286"/>
      <c r="AP1744" s="284">
        <f t="shared" si="780"/>
        <v>0</v>
      </c>
      <c r="AQ1744" s="281">
        <f t="shared" si="781"/>
        <v>0</v>
      </c>
      <c r="AR1744" s="284">
        <f t="shared" si="782"/>
        <v>0</v>
      </c>
      <c r="AS1744" s="281">
        <f t="shared" si="783"/>
        <v>0</v>
      </c>
      <c r="AT1744" s="284">
        <f t="shared" si="784"/>
        <v>0</v>
      </c>
    </row>
    <row r="1745" spans="1:97" s="114" customFormat="1" ht="30.9" x14ac:dyDescent="0.8">
      <c r="A1745" s="262">
        <f>ROW()</f>
        <v>1745</v>
      </c>
      <c r="C1745" s="208"/>
      <c r="D1745" s="208"/>
      <c r="E1745" s="208"/>
      <c r="F1745" s="208"/>
      <c r="G1745" s="208"/>
      <c r="H1745" s="208"/>
      <c r="J1745" s="114" t="str">
        <f t="shared" si="801"/>
        <v/>
      </c>
      <c r="K1745" s="114" t="str">
        <f>IF(COUNTBLANK(R1745)&gt;0,"",CONCATENATE(R1745," for ",N1729))</f>
        <v/>
      </c>
      <c r="N1745" s="123" t="s">
        <v>128</v>
      </c>
      <c r="O1745" s="66" t="s">
        <v>508</v>
      </c>
      <c r="P1745" s="121"/>
      <c r="Q1745" s="121"/>
      <c r="R1745" s="121"/>
      <c r="S1745" s="133">
        <f>M1729</f>
        <v>0</v>
      </c>
      <c r="T1745" s="120"/>
      <c r="U1745" s="121" t="s">
        <v>292</v>
      </c>
      <c r="V1745" s="133">
        <f t="shared" si="794"/>
        <v>0</v>
      </c>
      <c r="W1745" s="133">
        <f>VLOOKUP(U1745,Sheet1!$B$6:$C$45,2,FALSE)*V1745</f>
        <v>0</v>
      </c>
      <c r="X1745" s="141"/>
      <c r="Y1745" s="135" t="s">
        <v>422</v>
      </c>
      <c r="Z1745" s="146">
        <f>VLOOKUP(Takeoffs!Y1745,Sheet1!$B$6:$C$124,2,FALSE)</f>
        <v>23.4</v>
      </c>
      <c r="AA1745" s="146">
        <f t="shared" si="795"/>
        <v>0</v>
      </c>
      <c r="AB1745" s="143">
        <f t="shared" si="796"/>
        <v>0</v>
      </c>
      <c r="AC1745" s="133">
        <f t="shared" si="797"/>
        <v>0</v>
      </c>
      <c r="AD1745" s="142">
        <v>1</v>
      </c>
      <c r="AE1745" s="141"/>
      <c r="AF1745" s="121" t="s">
        <v>292</v>
      </c>
      <c r="AG1745" s="146">
        <f>VLOOKUP(Takeoffs!AF1745,Sheet1!$B$6:$C$124,2,FALSE)</f>
        <v>0</v>
      </c>
      <c r="AH1745" s="146">
        <f t="shared" si="798"/>
        <v>0</v>
      </c>
      <c r="AI1745" s="143">
        <f t="shared" si="799"/>
        <v>0</v>
      </c>
      <c r="AJ1745" s="133">
        <f t="shared" si="800"/>
        <v>0</v>
      </c>
      <c r="AK1745" s="142">
        <f t="shared" si="802"/>
        <v>0</v>
      </c>
      <c r="AL1745" s="141"/>
      <c r="AO1745" s="286"/>
      <c r="AP1745" s="284">
        <f t="shared" si="780"/>
        <v>0</v>
      </c>
      <c r="AQ1745" s="281">
        <f t="shared" si="781"/>
        <v>0</v>
      </c>
      <c r="AR1745" s="284">
        <f t="shared" si="782"/>
        <v>0</v>
      </c>
      <c r="AS1745" s="281">
        <f t="shared" si="783"/>
        <v>0</v>
      </c>
      <c r="AT1745" s="284">
        <f t="shared" si="784"/>
        <v>0</v>
      </c>
    </row>
    <row r="1746" spans="1:97" s="114" customFormat="1" ht="30.9" x14ac:dyDescent="0.8">
      <c r="A1746" s="262">
        <f>ROW()</f>
        <v>1746</v>
      </c>
      <c r="C1746" s="208"/>
      <c r="D1746" s="208"/>
      <c r="E1746" s="208"/>
      <c r="F1746" s="208"/>
      <c r="G1746" s="208"/>
      <c r="H1746" s="208"/>
      <c r="J1746" s="114" t="str">
        <f t="shared" si="801"/>
        <v/>
      </c>
      <c r="K1746" s="114" t="str">
        <f>IF(COUNTBLANK(R1746)&gt;0,"",CONCATENATE(R1746," for ",N1729))</f>
        <v>Auto/Off/On switch for Small DOL pump - from MSSB power supply and BMS interface provisions</v>
      </c>
      <c r="N1746" s="123" t="s">
        <v>129</v>
      </c>
      <c r="O1746" s="66" t="s">
        <v>329</v>
      </c>
      <c r="P1746" s="121"/>
      <c r="Q1746" s="121"/>
      <c r="R1746" s="121" t="s">
        <v>304</v>
      </c>
      <c r="S1746" s="133">
        <f>M1729</f>
        <v>0</v>
      </c>
      <c r="T1746" s="120"/>
      <c r="U1746" s="121" t="s">
        <v>292</v>
      </c>
      <c r="V1746" s="133">
        <f t="shared" si="794"/>
        <v>0</v>
      </c>
      <c r="W1746" s="133">
        <f>VLOOKUP(U1746,Sheet1!$B$6:$C$45,2,FALSE)*V1746</f>
        <v>0</v>
      </c>
      <c r="X1746" s="141"/>
      <c r="Y1746" s="122" t="s">
        <v>277</v>
      </c>
      <c r="Z1746" s="146">
        <f>VLOOKUP(Takeoffs!Y1746,Sheet1!$B$6:$C$124,2,FALSE)</f>
        <v>69.540000000000006</v>
      </c>
      <c r="AA1746" s="146">
        <f t="shared" si="795"/>
        <v>0</v>
      </c>
      <c r="AB1746" s="143">
        <f t="shared" si="796"/>
        <v>0</v>
      </c>
      <c r="AC1746" s="133">
        <f t="shared" si="797"/>
        <v>0</v>
      </c>
      <c r="AD1746" s="142">
        <v>1</v>
      </c>
      <c r="AE1746" s="141"/>
      <c r="AF1746" s="121" t="s">
        <v>292</v>
      </c>
      <c r="AG1746" s="146">
        <f>VLOOKUP(Takeoffs!AF1746,Sheet1!$B$6:$C$124,2,FALSE)</f>
        <v>0</v>
      </c>
      <c r="AH1746" s="146">
        <f t="shared" si="798"/>
        <v>0</v>
      </c>
      <c r="AI1746" s="143">
        <f t="shared" si="799"/>
        <v>0</v>
      </c>
      <c r="AJ1746" s="133">
        <f t="shared" si="800"/>
        <v>0</v>
      </c>
      <c r="AK1746" s="142">
        <f t="shared" si="802"/>
        <v>0</v>
      </c>
      <c r="AL1746" s="141"/>
      <c r="AO1746" s="286"/>
      <c r="AP1746" s="284">
        <f t="shared" si="780"/>
        <v>0</v>
      </c>
      <c r="AQ1746" s="281">
        <f t="shared" si="781"/>
        <v>0</v>
      </c>
      <c r="AR1746" s="284">
        <f t="shared" si="782"/>
        <v>0</v>
      </c>
      <c r="AS1746" s="281">
        <f t="shared" si="783"/>
        <v>0</v>
      </c>
      <c r="AT1746" s="284">
        <f t="shared" si="784"/>
        <v>0</v>
      </c>
    </row>
    <row r="1747" spans="1:97" s="114" customFormat="1" ht="30.9" x14ac:dyDescent="0.8">
      <c r="A1747" s="262">
        <f>ROW()</f>
        <v>1747</v>
      </c>
      <c r="C1747" s="208"/>
      <c r="D1747" s="208"/>
      <c r="E1747" s="208"/>
      <c r="F1747" s="208"/>
      <c r="G1747" s="208"/>
      <c r="H1747" s="208"/>
      <c r="J1747" s="114" t="str">
        <f t="shared" si="801"/>
        <v/>
      </c>
      <c r="K1747" s="114" t="str">
        <f>IF(COUNTBLANK(R1747)&gt;0,"",CONCATENATE(R1747," for ",N1729))</f>
        <v/>
      </c>
      <c r="N1747" s="123" t="s">
        <v>130</v>
      </c>
      <c r="O1747" s="66" t="s">
        <v>500</v>
      </c>
      <c r="P1747" s="121"/>
      <c r="Q1747" s="121"/>
      <c r="R1747" s="121"/>
      <c r="S1747" s="133">
        <f>M1729</f>
        <v>0</v>
      </c>
      <c r="T1747" s="120"/>
      <c r="U1747" s="121" t="s">
        <v>292</v>
      </c>
      <c r="V1747" s="133">
        <f t="shared" si="794"/>
        <v>0</v>
      </c>
      <c r="W1747" s="133">
        <f>VLOOKUP(U1747,Sheet1!$B$6:$C$45,2,FALSE)*V1747</f>
        <v>0</v>
      </c>
      <c r="X1747" s="141"/>
      <c r="Y1747" s="121" t="s">
        <v>292</v>
      </c>
      <c r="Z1747" s="146">
        <f>VLOOKUP(Takeoffs!Y1747,Sheet1!$B$6:$C$124,2,FALSE)</f>
        <v>0</v>
      </c>
      <c r="AA1747" s="146">
        <f t="shared" si="795"/>
        <v>0</v>
      </c>
      <c r="AB1747" s="143">
        <f t="shared" si="796"/>
        <v>0</v>
      </c>
      <c r="AC1747" s="133">
        <f t="shared" si="797"/>
        <v>0</v>
      </c>
      <c r="AD1747" s="142">
        <v>1</v>
      </c>
      <c r="AE1747" s="141"/>
      <c r="AF1747" s="121" t="s">
        <v>292</v>
      </c>
      <c r="AG1747" s="146">
        <f>VLOOKUP(Takeoffs!AF1747,Sheet1!$B$6:$C$124,2,FALSE)</f>
        <v>0</v>
      </c>
      <c r="AH1747" s="146">
        <f t="shared" si="798"/>
        <v>0</v>
      </c>
      <c r="AI1747" s="143">
        <f t="shared" si="799"/>
        <v>0</v>
      </c>
      <c r="AJ1747" s="133">
        <f t="shared" si="800"/>
        <v>0</v>
      </c>
      <c r="AK1747" s="142">
        <f t="shared" si="802"/>
        <v>0</v>
      </c>
      <c r="AL1747" s="141"/>
      <c r="AO1747" s="286"/>
      <c r="AP1747" s="284">
        <f t="shared" si="780"/>
        <v>0</v>
      </c>
      <c r="AQ1747" s="281">
        <f t="shared" si="781"/>
        <v>0</v>
      </c>
      <c r="AR1747" s="284">
        <f t="shared" si="782"/>
        <v>0</v>
      </c>
      <c r="AS1747" s="281">
        <f t="shared" si="783"/>
        <v>0</v>
      </c>
      <c r="AT1747" s="284">
        <f t="shared" si="784"/>
        <v>0</v>
      </c>
    </row>
    <row r="1748" spans="1:97" s="114" customFormat="1" ht="30.9" x14ac:dyDescent="0.8">
      <c r="A1748" s="262">
        <f>ROW()</f>
        <v>1748</v>
      </c>
      <c r="C1748" s="208"/>
      <c r="D1748" s="208"/>
      <c r="E1748" s="208"/>
      <c r="F1748" s="208"/>
      <c r="G1748" s="208"/>
      <c r="H1748" s="208"/>
      <c r="J1748" s="114" t="str">
        <f t="shared" si="801"/>
        <v/>
      </c>
      <c r="K1748" s="114" t="str">
        <f>IF(COUNTBLANK(R1748)&gt;0,"",CONCATENATE(R1748," for ",N1729))</f>
        <v/>
      </c>
      <c r="N1748" s="123" t="s">
        <v>131</v>
      </c>
      <c r="O1748" s="66" t="s">
        <v>407</v>
      </c>
      <c r="P1748" s="121"/>
      <c r="Q1748" s="121"/>
      <c r="R1748" s="121"/>
      <c r="S1748" s="133">
        <f>M1729</f>
        <v>0</v>
      </c>
      <c r="T1748" s="120"/>
      <c r="U1748" s="121" t="s">
        <v>292</v>
      </c>
      <c r="V1748" s="133">
        <f t="shared" si="794"/>
        <v>0</v>
      </c>
      <c r="W1748" s="133">
        <f>VLOOKUP(U1748,Sheet1!$B$6:$C$45,2,FALSE)*V1748</f>
        <v>0</v>
      </c>
      <c r="X1748" s="141"/>
      <c r="Y1748" s="121" t="s">
        <v>274</v>
      </c>
      <c r="Z1748" s="146">
        <f>VLOOKUP(Takeoffs!Y1748,Sheet1!$B$6:$C$124,2,FALSE)</f>
        <v>360</v>
      </c>
      <c r="AA1748" s="146">
        <f t="shared" si="795"/>
        <v>0</v>
      </c>
      <c r="AB1748" s="143">
        <f t="shared" si="796"/>
        <v>0</v>
      </c>
      <c r="AC1748" s="133">
        <f t="shared" si="797"/>
        <v>0</v>
      </c>
      <c r="AD1748" s="142">
        <v>1</v>
      </c>
      <c r="AE1748" s="141"/>
      <c r="AF1748" s="121" t="s">
        <v>292</v>
      </c>
      <c r="AG1748" s="146">
        <f>VLOOKUP(Takeoffs!AF1748,Sheet1!$B$6:$C$124,2,FALSE)</f>
        <v>0</v>
      </c>
      <c r="AH1748" s="146">
        <f t="shared" si="798"/>
        <v>0</v>
      </c>
      <c r="AI1748" s="143">
        <f t="shared" si="799"/>
        <v>0</v>
      </c>
      <c r="AJ1748" s="133">
        <f t="shared" si="800"/>
        <v>0</v>
      </c>
      <c r="AK1748" s="142">
        <f t="shared" si="802"/>
        <v>0</v>
      </c>
      <c r="AL1748" s="141"/>
      <c r="AO1748" s="286"/>
      <c r="AP1748" s="284">
        <f t="shared" ref="AP1748:AP1811" si="803">IF(AND(I1748&gt;0, ISNUMBER(I1748)),I1748*P1748,0)</f>
        <v>0</v>
      </c>
      <c r="AQ1748" s="281">
        <f t="shared" ref="AQ1748:AQ1811" si="804">IF(AND(I1748&gt;0, ISNUMBER(I1748)),I1748*W1748*80,0)</f>
        <v>0</v>
      </c>
      <c r="AR1748" s="284">
        <f t="shared" ref="AR1748:AR1811" si="805">IF(AND(I1748&gt;0, ISNUMBER(I1748)),I1748*AA1748,0)</f>
        <v>0</v>
      </c>
      <c r="AS1748" s="281">
        <f t="shared" ref="AS1748:AS1811" si="806">IF(AND(I1748&gt;0, ISNUMBER(I1748)),I1748*AH1748,0)</f>
        <v>0</v>
      </c>
      <c r="AT1748" s="284">
        <f t="shared" ref="AT1748:AT1811" si="807">IF(AND(I1748&gt;0, ISNUMBER(I1748)),I1748*(AP1748-(AQ1748+AR1748+AS1748)),0)</f>
        <v>0</v>
      </c>
    </row>
    <row r="1749" spans="1:97" s="114" customFormat="1" ht="30.9" x14ac:dyDescent="0.8">
      <c r="A1749" s="262">
        <f>ROW()</f>
        <v>1749</v>
      </c>
      <c r="C1749" s="208"/>
      <c r="D1749" s="208"/>
      <c r="E1749" s="208"/>
      <c r="F1749" s="208"/>
      <c r="G1749" s="208"/>
      <c r="H1749" s="208"/>
      <c r="J1749" s="114" t="str">
        <f t="shared" si="801"/>
        <v/>
      </c>
      <c r="K1749" s="114" t="str">
        <f>IF(COUNTBLANK(R1749)&gt;0,"",CONCATENATE(R1749," for ",N1729))</f>
        <v/>
      </c>
      <c r="N1749" s="123" t="s">
        <v>132</v>
      </c>
      <c r="O1749" s="66" t="s">
        <v>408</v>
      </c>
      <c r="P1749" s="121"/>
      <c r="Q1749" s="121"/>
      <c r="R1749" s="121"/>
      <c r="S1749" s="133">
        <f>M1729</f>
        <v>0</v>
      </c>
      <c r="T1749" s="120"/>
      <c r="U1749" s="121" t="s">
        <v>362</v>
      </c>
      <c r="V1749" s="133">
        <f t="shared" si="794"/>
        <v>0</v>
      </c>
      <c r="W1749" s="133">
        <f>VLOOKUP(U1749,Sheet1!$B$6:$C$45,2,FALSE)*V1749</f>
        <v>0</v>
      </c>
      <c r="X1749" s="141"/>
      <c r="Y1749" s="121" t="s">
        <v>292</v>
      </c>
      <c r="Z1749" s="146">
        <f>VLOOKUP(Takeoffs!Y1749,Sheet1!$B$6:$C$124,2,FALSE)</f>
        <v>0</v>
      </c>
      <c r="AA1749" s="146">
        <f t="shared" si="795"/>
        <v>0</v>
      </c>
      <c r="AB1749" s="143">
        <f t="shared" si="796"/>
        <v>0</v>
      </c>
      <c r="AC1749" s="133">
        <f t="shared" si="797"/>
        <v>0</v>
      </c>
      <c r="AD1749" s="142">
        <v>1</v>
      </c>
      <c r="AE1749" s="141"/>
      <c r="AF1749" s="121" t="s">
        <v>292</v>
      </c>
      <c r="AG1749" s="146">
        <f>VLOOKUP(Takeoffs!AF1749,Sheet1!$B$6:$C$124,2,FALSE)</f>
        <v>0</v>
      </c>
      <c r="AH1749" s="146">
        <f t="shared" si="798"/>
        <v>0</v>
      </c>
      <c r="AI1749" s="143">
        <f t="shared" si="799"/>
        <v>0</v>
      </c>
      <c r="AJ1749" s="133">
        <f t="shared" si="800"/>
        <v>0</v>
      </c>
      <c r="AK1749" s="142">
        <f t="shared" si="802"/>
        <v>0</v>
      </c>
      <c r="AL1749" s="141"/>
      <c r="AO1749" s="286"/>
      <c r="AP1749" s="284">
        <f t="shared" si="803"/>
        <v>0</v>
      </c>
      <c r="AQ1749" s="281">
        <f t="shared" si="804"/>
        <v>0</v>
      </c>
      <c r="AR1749" s="284">
        <f t="shared" si="805"/>
        <v>0</v>
      </c>
      <c r="AS1749" s="281">
        <f t="shared" si="806"/>
        <v>0</v>
      </c>
      <c r="AT1749" s="284">
        <f t="shared" si="807"/>
        <v>0</v>
      </c>
    </row>
    <row r="1750" spans="1:97" s="128" customFormat="1" ht="31.5" customHeight="1" x14ac:dyDescent="0.8">
      <c r="A1750" s="262">
        <f>ROW()</f>
        <v>1750</v>
      </c>
      <c r="C1750" s="212"/>
      <c r="D1750" s="212"/>
      <c r="E1750" s="212"/>
      <c r="F1750" s="212"/>
      <c r="G1750" s="212"/>
      <c r="H1750" s="212"/>
      <c r="J1750" s="128" t="s">
        <v>377</v>
      </c>
      <c r="L1750" s="128" t="s">
        <v>378</v>
      </c>
      <c r="N1750" s="129"/>
      <c r="O1750" s="130" t="s">
        <v>357</v>
      </c>
      <c r="P1750" s="131">
        <f>V1750+AA1750+AH1750</f>
        <v>0</v>
      </c>
      <c r="Q1750" s="131"/>
      <c r="R1750" s="131"/>
      <c r="S1750" s="130"/>
      <c r="T1750" s="127"/>
      <c r="U1750" s="126" t="s">
        <v>351</v>
      </c>
      <c r="V1750" s="127">
        <f>W1750*80</f>
        <v>0</v>
      </c>
      <c r="W1750" s="147">
        <f>SUM(W1729:W1749)</f>
        <v>0</v>
      </c>
      <c r="X1750" s="148"/>
      <c r="Y1750" s="127" t="s">
        <v>352</v>
      </c>
      <c r="Z1750" s="116"/>
      <c r="AA1750" s="116">
        <f>SUM(AA1729:AA1749)</f>
        <v>0</v>
      </c>
      <c r="AB1750" s="149"/>
      <c r="AC1750" s="149"/>
      <c r="AD1750" s="149"/>
      <c r="AE1750" s="149"/>
      <c r="AF1750" s="127" t="s">
        <v>356</v>
      </c>
      <c r="AG1750" s="116"/>
      <c r="AH1750" s="116">
        <f>SUM(AH1729:AH1749)</f>
        <v>0</v>
      </c>
      <c r="AI1750" s="149"/>
      <c r="AJ1750" s="149"/>
      <c r="AK1750" s="149"/>
      <c r="AL1750" s="149"/>
      <c r="AM1750" s="150">
        <f>P1750</f>
        <v>0</v>
      </c>
      <c r="AO1750" s="286"/>
      <c r="AP1750" s="284">
        <f t="shared" si="803"/>
        <v>0</v>
      </c>
      <c r="AQ1750" s="281">
        <f t="shared" si="804"/>
        <v>0</v>
      </c>
      <c r="AR1750" s="284">
        <f t="shared" si="805"/>
        <v>0</v>
      </c>
      <c r="AS1750" s="281">
        <f t="shared" si="806"/>
        <v>0</v>
      </c>
      <c r="AT1750" s="284">
        <f t="shared" si="807"/>
        <v>0</v>
      </c>
    </row>
    <row r="1751" spans="1:97" s="234" customFormat="1" ht="154.30000000000001" x14ac:dyDescent="0.8">
      <c r="A1751" s="262">
        <f>ROW()</f>
        <v>1751</v>
      </c>
      <c r="B1751" s="234" t="s">
        <v>491</v>
      </c>
      <c r="C1751" s="217" t="str">
        <f>N1729</f>
        <v>Small DOL pump - from MSSB power supply and BMS interface provisions</v>
      </c>
      <c r="D1751" s="260" t="str">
        <f>IF(B1751="Shopping List",IF(ISNUMBER(SEARCH("MSSB",C1751)),"MSSB",IF(ISNUMBER(SEARCH("local",C1751)),"LOCAL","")))</f>
        <v>MSSB</v>
      </c>
      <c r="E1751" s="238"/>
      <c r="F1751" s="217"/>
      <c r="G1751" s="217"/>
      <c r="H1751" s="245"/>
      <c r="I1751" s="270"/>
      <c r="J1751" s="241" t="str">
        <f>CONCATENATE(O1729," ",L1729, " (",M1729,") ",N1729,".", IF(M1729&gt;1," Each "," This "),"includes supply and install of ",O1730,O1731,O1732,O1733,O1734,O1735,O1736,O1737,O1738,O1739,O1740,O1741,O1742,O1743,O1744,O1745,O1746,O1747,O1748,O1749,J1730,J1731,J1732,J1733,J1734,J1735,J1736,J1737,J1738,J1739,J1740,J1741,J1742,J1743,J1744,J1745,J1746,J1747,J1748,J1749)</f>
        <v xml:space="preserve">Electrical power supply and controls ( Excluding BMS) to Zero (0) Small DOL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51" s="246">
        <f>P1750</f>
        <v>0</v>
      </c>
      <c r="L1751" s="234" t="str">
        <f>CONCATENATE(Q1730,Q1731,Q1732,Q1733,Q1734,Q1735,Q1736,Q1737,Q1738,Q1739,Q1740,Q1741,Q1742,Q1743,Q1744,Q1745,Q1746,Q1747,Q1748,Q1749,)</f>
        <v/>
      </c>
      <c r="M1751" s="166" t="s">
        <v>367</v>
      </c>
      <c r="N1751" s="160" t="str">
        <f>N1729</f>
        <v>Small DOL pump - from MSSB power supply and BMS interface provisions</v>
      </c>
      <c r="O1751" s="160" t="s">
        <v>365</v>
      </c>
      <c r="P1751" s="64" t="e">
        <f>P1750/M1729</f>
        <v>#DIV/0!</v>
      </c>
      <c r="Q1751" s="161"/>
      <c r="R1751" s="161"/>
      <c r="S1751" s="160"/>
      <c r="T1751" s="161"/>
      <c r="U1751" s="503" t="s">
        <v>366</v>
      </c>
      <c r="V1751" s="503"/>
      <c r="W1751" s="162" t="e">
        <f>W1750/M1729</f>
        <v>#DIV/0!</v>
      </c>
      <c r="X1751" s="163"/>
      <c r="Y1751" s="501" t="s">
        <v>365</v>
      </c>
      <c r="Z1751" s="501"/>
      <c r="AA1751" s="164" t="e">
        <f>AA1750/M1729</f>
        <v>#DIV/0!</v>
      </c>
      <c r="AB1751" s="161"/>
      <c r="AC1751" s="161"/>
      <c r="AD1751" s="161"/>
      <c r="AE1751" s="161"/>
      <c r="AF1751" s="501" t="s">
        <v>365</v>
      </c>
      <c r="AG1751" s="501"/>
      <c r="AH1751" s="164" t="e">
        <f>AH1750/M1729</f>
        <v>#DIV/0!</v>
      </c>
      <c r="AI1751" s="161"/>
      <c r="AJ1751" s="161"/>
      <c r="AK1751" s="161"/>
      <c r="AL1751" s="247"/>
      <c r="AM1751" s="257"/>
      <c r="AN1751" s="236">
        <f>K1751*1.25</f>
        <v>0</v>
      </c>
      <c r="AO1751" s="286"/>
      <c r="AP1751" s="284">
        <f t="shared" si="803"/>
        <v>0</v>
      </c>
      <c r="AQ1751" s="281">
        <f t="shared" si="804"/>
        <v>0</v>
      </c>
      <c r="AR1751" s="284">
        <f t="shared" si="805"/>
        <v>0</v>
      </c>
      <c r="AS1751" s="281">
        <f t="shared" si="806"/>
        <v>0</v>
      </c>
      <c r="AT1751" s="284">
        <f t="shared" si="807"/>
        <v>0</v>
      </c>
      <c r="AU1751" s="117"/>
      <c r="AV1751" s="117"/>
      <c r="AW1751" s="117"/>
      <c r="AX1751" s="117"/>
      <c r="AY1751" s="117"/>
      <c r="AZ1751" s="117"/>
      <c r="BA1751" s="117"/>
      <c r="BB1751" s="117"/>
      <c r="BC1751" s="117"/>
      <c r="BD1751" s="117"/>
      <c r="BE1751" s="117"/>
      <c r="BF1751" s="117"/>
      <c r="BG1751" s="117"/>
      <c r="BH1751" s="117"/>
      <c r="BI1751" s="117"/>
      <c r="BJ1751" s="117"/>
      <c r="BK1751" s="117"/>
      <c r="BL1751" s="117"/>
      <c r="BM1751" s="117"/>
      <c r="BN1751" s="117"/>
      <c r="BO1751" s="117"/>
      <c r="BP1751" s="117"/>
      <c r="BQ1751" s="117"/>
      <c r="BR1751" s="117"/>
      <c r="BS1751" s="117"/>
      <c r="BT1751" s="117"/>
      <c r="BU1751" s="117"/>
      <c r="BV1751" s="117"/>
      <c r="BW1751" s="117"/>
      <c r="BX1751" s="117"/>
      <c r="BY1751" s="117"/>
      <c r="BZ1751" s="117"/>
      <c r="CA1751" s="117"/>
      <c r="CB1751" s="117"/>
      <c r="CC1751" s="117"/>
      <c r="CD1751" s="117"/>
      <c r="CE1751" s="117"/>
      <c r="CF1751" s="117"/>
      <c r="CG1751" s="117"/>
      <c r="CH1751" s="117"/>
      <c r="CI1751" s="117"/>
      <c r="CJ1751" s="117"/>
      <c r="CK1751" s="117"/>
      <c r="CL1751" s="117"/>
      <c r="CM1751" s="117"/>
      <c r="CN1751" s="117"/>
      <c r="CO1751" s="117"/>
      <c r="CP1751" s="117"/>
      <c r="CQ1751" s="117"/>
      <c r="CR1751" s="117"/>
      <c r="CS1751" s="117"/>
    </row>
    <row r="1752" spans="1:97" s="116" customFormat="1" ht="192.75" customHeight="1" x14ac:dyDescent="0.8">
      <c r="A1752" s="262">
        <f>ROW()</f>
        <v>1752</v>
      </c>
      <c r="C1752" s="211"/>
      <c r="D1752" s="211"/>
      <c r="E1752" s="211"/>
      <c r="F1752" s="211"/>
      <c r="G1752" s="211"/>
      <c r="H1752" s="211"/>
      <c r="K1752" s="116" t="s">
        <v>452</v>
      </c>
      <c r="M1752" s="116" t="s">
        <v>107</v>
      </c>
      <c r="N1752" s="116" t="s">
        <v>108</v>
      </c>
      <c r="O1752" s="170" t="s">
        <v>386</v>
      </c>
      <c r="P1752" s="502" t="s">
        <v>375</v>
      </c>
      <c r="Q1752" s="502"/>
      <c r="R1752" s="101" t="s">
        <v>452</v>
      </c>
      <c r="S1752" s="116" t="s">
        <v>0</v>
      </c>
      <c r="T1752" s="118"/>
      <c r="U1752" s="116" t="s">
        <v>287</v>
      </c>
      <c r="V1752" s="116" t="s">
        <v>288</v>
      </c>
      <c r="W1752" s="116" t="s">
        <v>291</v>
      </c>
      <c r="X1752" s="140"/>
      <c r="Y1752" s="116" t="s">
        <v>289</v>
      </c>
      <c r="Z1752" s="116" t="s">
        <v>354</v>
      </c>
      <c r="AA1752" s="116" t="s">
        <v>355</v>
      </c>
      <c r="AB1752" s="116" t="s">
        <v>317</v>
      </c>
      <c r="AC1752" s="116" t="s">
        <v>318</v>
      </c>
      <c r="AD1752" s="116" t="s">
        <v>316</v>
      </c>
      <c r="AE1752" s="140"/>
      <c r="AF1752" s="116" t="s">
        <v>293</v>
      </c>
      <c r="AG1752" s="116" t="s">
        <v>354</v>
      </c>
      <c r="AH1752" s="116" t="s">
        <v>355</v>
      </c>
      <c r="AI1752" s="116" t="s">
        <v>296</v>
      </c>
      <c r="AJ1752" s="116" t="s">
        <v>294</v>
      </c>
      <c r="AK1752" s="116" t="s">
        <v>295</v>
      </c>
      <c r="AL1752" s="140"/>
      <c r="AO1752" s="288"/>
      <c r="AP1752" s="284">
        <f t="shared" si="803"/>
        <v>0</v>
      </c>
      <c r="AQ1752" s="281">
        <f t="shared" si="804"/>
        <v>0</v>
      </c>
      <c r="AR1752" s="284">
        <f t="shared" si="805"/>
        <v>0</v>
      </c>
      <c r="AS1752" s="281">
        <f t="shared" si="806"/>
        <v>0</v>
      </c>
      <c r="AT1752" s="284">
        <f t="shared" si="807"/>
        <v>0</v>
      </c>
    </row>
    <row r="1753" spans="1:97" s="114" customFormat="1" ht="40.5" customHeight="1" x14ac:dyDescent="0.8">
      <c r="A1753" s="262">
        <f>ROW()</f>
        <v>1753</v>
      </c>
      <c r="C1753" s="208"/>
      <c r="D1753" s="208"/>
      <c r="E1753" s="208"/>
      <c r="F1753" s="208"/>
      <c r="G1753" s="208"/>
      <c r="H1753" s="208"/>
      <c r="L1753" s="124" t="str">
        <f>VLOOKUP(M1753,Sheet2!$D$2:$E$1024,2,FALSE)</f>
        <v>Zero</v>
      </c>
      <c r="M1753" s="121">
        <f>I1775</f>
        <v>0</v>
      </c>
      <c r="N1753" s="132" t="s">
        <v>559</v>
      </c>
      <c r="O1753" s="121" t="s">
        <v>488</v>
      </c>
      <c r="P1753" s="169" t="s">
        <v>379</v>
      </c>
      <c r="Q1753" s="169" t="s">
        <v>375</v>
      </c>
      <c r="R1753" s="169"/>
      <c r="S1753" s="133">
        <f>M1753</f>
        <v>0</v>
      </c>
      <c r="T1753" s="119"/>
      <c r="U1753" s="121" t="s">
        <v>292</v>
      </c>
      <c r="V1753" s="133">
        <f>S1753</f>
        <v>0</v>
      </c>
      <c r="W1753" s="133">
        <f>VLOOKUP(U1753,Sheet1!$B$6:$C$45,2,FALSE)*V1753</f>
        <v>0</v>
      </c>
      <c r="X1753" s="141"/>
      <c r="Y1753" s="121" t="s">
        <v>292</v>
      </c>
      <c r="Z1753" s="146">
        <f>VLOOKUP(Takeoffs!Y1753,Sheet1!$B$6:$C$124,2,FALSE)</f>
        <v>0</v>
      </c>
      <c r="AA1753" s="146">
        <f>Z1753*AB1753</f>
        <v>0</v>
      </c>
      <c r="AB1753" s="143">
        <f>AD1753*AC1753</f>
        <v>0</v>
      </c>
      <c r="AC1753" s="133">
        <f>S1753</f>
        <v>0</v>
      </c>
      <c r="AD1753" s="142">
        <v>1</v>
      </c>
      <c r="AE1753" s="141"/>
      <c r="AF1753" s="121" t="s">
        <v>292</v>
      </c>
      <c r="AG1753" s="146">
        <f>VLOOKUP(Takeoffs!AF1753,Sheet1!$B$6:$C$124,2,FALSE)</f>
        <v>0</v>
      </c>
      <c r="AH1753" s="146">
        <f>AG1753*AI1753</f>
        <v>0</v>
      </c>
      <c r="AI1753" s="143">
        <f>AK1753*AJ1753</f>
        <v>0</v>
      </c>
      <c r="AJ1753" s="133">
        <f>S1753</f>
        <v>0</v>
      </c>
      <c r="AK1753" s="142">
        <f>T1753</f>
        <v>0</v>
      </c>
      <c r="AL1753" s="141"/>
      <c r="AO1753" s="286"/>
      <c r="AP1753" s="284">
        <f t="shared" si="803"/>
        <v>0</v>
      </c>
      <c r="AQ1753" s="281">
        <f t="shared" si="804"/>
        <v>0</v>
      </c>
      <c r="AR1753" s="284">
        <f t="shared" si="805"/>
        <v>0</v>
      </c>
      <c r="AS1753" s="281">
        <f t="shared" si="806"/>
        <v>0</v>
      </c>
      <c r="AT1753" s="284">
        <f t="shared" si="807"/>
        <v>0</v>
      </c>
    </row>
    <row r="1754" spans="1:97" s="114" customFormat="1" ht="30.9" x14ac:dyDescent="0.8">
      <c r="A1754" s="262">
        <f>ROW()</f>
        <v>1754</v>
      </c>
      <c r="C1754" s="208"/>
      <c r="D1754" s="208"/>
      <c r="E1754" s="208"/>
      <c r="F1754" s="208"/>
      <c r="G1754" s="208"/>
      <c r="H1754" s="208"/>
      <c r="J1754" s="114" t="str">
        <f>IF(COUNTBLANK(Q1754)&gt;0,"",CONCATENATE("Coordination Note: - ",P1754,": Please refer to our exclusions relating to ",Q1754))</f>
        <v/>
      </c>
      <c r="K1754" s="114" t="str">
        <f>IF(COUNTBLANK(R1754)&gt;0,"",CONCATENATE(R1754," for ",N1753))</f>
        <v/>
      </c>
      <c r="M1754" s="117"/>
      <c r="N1754" s="123" t="s">
        <v>113</v>
      </c>
      <c r="O1754" s="66" t="s">
        <v>340</v>
      </c>
      <c r="P1754" s="121"/>
      <c r="Q1754" s="121"/>
      <c r="R1754" s="121"/>
      <c r="S1754" s="133">
        <f>M1753</f>
        <v>0</v>
      </c>
      <c r="T1754" s="120"/>
      <c r="U1754" s="121" t="s">
        <v>292</v>
      </c>
      <c r="V1754" s="133">
        <f t="shared" ref="V1754:V1773" si="808">S1754</f>
        <v>0</v>
      </c>
      <c r="W1754" s="133">
        <f>VLOOKUP(U1754,Sheet1!$B$6:$C$45,2,FALSE)*V1754</f>
        <v>0</v>
      </c>
      <c r="X1754" s="141"/>
      <c r="Y1754" s="121" t="s">
        <v>292</v>
      </c>
      <c r="Z1754" s="146">
        <f>VLOOKUP(Takeoffs!Y1754,Sheet1!$B$6:$C$124,2,FALSE)</f>
        <v>0</v>
      </c>
      <c r="AA1754" s="146">
        <f t="shared" ref="AA1754:AA1773" si="809">Z1754*AB1754</f>
        <v>0</v>
      </c>
      <c r="AB1754" s="143">
        <f t="shared" ref="AB1754:AB1773" si="810">AD1754*AC1754</f>
        <v>0</v>
      </c>
      <c r="AC1754" s="133">
        <f>S1754</f>
        <v>0</v>
      </c>
      <c r="AD1754" s="142">
        <v>1</v>
      </c>
      <c r="AE1754" s="141"/>
      <c r="AF1754" s="121" t="s">
        <v>292</v>
      </c>
      <c r="AG1754" s="146">
        <f>VLOOKUP(Takeoffs!AF1754,Sheet1!$B$6:$C$124,2,FALSE)</f>
        <v>0</v>
      </c>
      <c r="AH1754" s="146">
        <f t="shared" ref="AH1754:AH1773" si="811">AG1754*AI1754</f>
        <v>0</v>
      </c>
      <c r="AI1754" s="143">
        <f t="shared" ref="AI1754:AI1773" si="812">AK1754*AJ1754</f>
        <v>0</v>
      </c>
      <c r="AJ1754" s="133">
        <f t="shared" ref="AJ1754:AJ1773" si="813">S1754</f>
        <v>0</v>
      </c>
      <c r="AK1754" s="142">
        <f>T1754</f>
        <v>0</v>
      </c>
      <c r="AL1754" s="141"/>
      <c r="AO1754" s="286"/>
      <c r="AP1754" s="284">
        <f t="shared" si="803"/>
        <v>0</v>
      </c>
      <c r="AQ1754" s="281">
        <f t="shared" si="804"/>
        <v>0</v>
      </c>
      <c r="AR1754" s="284">
        <f t="shared" si="805"/>
        <v>0</v>
      </c>
      <c r="AS1754" s="281">
        <f t="shared" si="806"/>
        <v>0</v>
      </c>
      <c r="AT1754" s="284">
        <f t="shared" si="807"/>
        <v>0</v>
      </c>
    </row>
    <row r="1755" spans="1:97" s="114" customFormat="1" ht="30.9" x14ac:dyDescent="0.8">
      <c r="A1755" s="262">
        <f>ROW()</f>
        <v>1755</v>
      </c>
      <c r="C1755" s="208"/>
      <c r="D1755" s="208"/>
      <c r="E1755" s="208"/>
      <c r="F1755" s="208"/>
      <c r="G1755" s="208"/>
      <c r="H1755" s="208"/>
      <c r="J1755" s="114" t="str">
        <f t="shared" ref="J1755:J1773" si="814">IF(COUNTBLANK(Q1755)&gt;0,"",CONCATENATE("Coordination Note: - ",P1755,": Please refer to our exclusions relating to ",Q1755))</f>
        <v/>
      </c>
      <c r="K1755" s="114" t="str">
        <f>IF(COUNTBLANK(R1755)&gt;0,"",CONCATENATE(R1755," for ",N1753))</f>
        <v/>
      </c>
      <c r="M1755" s="117"/>
      <c r="N1755" s="123" t="s">
        <v>114</v>
      </c>
      <c r="O1755" s="66" t="s">
        <v>308</v>
      </c>
      <c r="P1755" s="121"/>
      <c r="Q1755" s="121"/>
      <c r="R1755" s="121"/>
      <c r="S1755" s="133">
        <f>M1753</f>
        <v>0</v>
      </c>
      <c r="T1755" s="120"/>
      <c r="U1755" s="121" t="s">
        <v>292</v>
      </c>
      <c r="V1755" s="133">
        <f t="shared" si="808"/>
        <v>0</v>
      </c>
      <c r="W1755" s="133">
        <f>VLOOKUP(U1755,Sheet1!$B$6:$C$45,2,FALSE)*V1755</f>
        <v>0</v>
      </c>
      <c r="X1755" s="141"/>
      <c r="Y1755" s="122" t="s">
        <v>252</v>
      </c>
      <c r="Z1755" s="146">
        <f>VLOOKUP(Takeoffs!Y1755,Sheet1!$B$6:$C$124,2,FALSE)</f>
        <v>43.440000000000005</v>
      </c>
      <c r="AA1755" s="146">
        <f t="shared" si="809"/>
        <v>0</v>
      </c>
      <c r="AB1755" s="143">
        <f t="shared" si="810"/>
        <v>0</v>
      </c>
      <c r="AC1755" s="133">
        <f>S1755</f>
        <v>0</v>
      </c>
      <c r="AD1755" s="142">
        <v>1</v>
      </c>
      <c r="AE1755" s="141"/>
      <c r="AF1755" s="52" t="s">
        <v>267</v>
      </c>
      <c r="AG1755" s="146">
        <f>VLOOKUP(Takeoffs!AF1755,Sheet1!$B$6:$C$124,2,FALSE)</f>
        <v>3.48</v>
      </c>
      <c r="AH1755" s="146">
        <f t="shared" si="811"/>
        <v>0</v>
      </c>
      <c r="AI1755" s="143">
        <f t="shared" si="812"/>
        <v>0</v>
      </c>
      <c r="AJ1755" s="133">
        <f t="shared" si="813"/>
        <v>0</v>
      </c>
      <c r="AK1755" s="142">
        <v>20</v>
      </c>
      <c r="AL1755" s="141"/>
      <c r="AO1755" s="286"/>
      <c r="AP1755" s="284">
        <f t="shared" si="803"/>
        <v>0</v>
      </c>
      <c r="AQ1755" s="281">
        <f t="shared" si="804"/>
        <v>0</v>
      </c>
      <c r="AR1755" s="284">
        <f t="shared" si="805"/>
        <v>0</v>
      </c>
      <c r="AS1755" s="281">
        <f t="shared" si="806"/>
        <v>0</v>
      </c>
      <c r="AT1755" s="284">
        <f t="shared" si="807"/>
        <v>0</v>
      </c>
    </row>
    <row r="1756" spans="1:97" s="114" customFormat="1" ht="30.9" x14ac:dyDescent="0.8">
      <c r="A1756" s="262">
        <f>ROW()</f>
        <v>1756</v>
      </c>
      <c r="C1756" s="208"/>
      <c r="D1756" s="208"/>
      <c r="E1756" s="208"/>
      <c r="F1756" s="208"/>
      <c r="G1756" s="208"/>
      <c r="H1756" s="208"/>
      <c r="J1756" s="114" t="str">
        <f t="shared" si="814"/>
        <v/>
      </c>
      <c r="K1756" s="114" t="str">
        <f>IF(COUNTBLANK(R1756)&gt;0,"",CONCATENATE(R1756," for ",N1753))</f>
        <v/>
      </c>
      <c r="M1756" s="117"/>
      <c r="N1756" s="123" t="s">
        <v>115</v>
      </c>
      <c r="O1756" s="66" t="s">
        <v>305</v>
      </c>
      <c r="P1756" s="121"/>
      <c r="Q1756" s="121"/>
      <c r="R1756" s="121"/>
      <c r="S1756" s="133">
        <f>M1753</f>
        <v>0</v>
      </c>
      <c r="T1756" s="120"/>
      <c r="U1756" s="117" t="s">
        <v>478</v>
      </c>
      <c r="V1756" s="133">
        <f t="shared" si="808"/>
        <v>0</v>
      </c>
      <c r="W1756" s="133">
        <f>VLOOKUP(U1756,Sheet1!$B$6:$C$45,2,FALSE)*V1756</f>
        <v>0</v>
      </c>
      <c r="X1756" s="141"/>
      <c r="Y1756" s="121" t="s">
        <v>292</v>
      </c>
      <c r="Z1756" s="146">
        <f>VLOOKUP(Takeoffs!Y1756,Sheet1!$B$6:$C$124,2,FALSE)</f>
        <v>0</v>
      </c>
      <c r="AA1756" s="146">
        <f t="shared" si="809"/>
        <v>0</v>
      </c>
      <c r="AB1756" s="143">
        <f t="shared" si="810"/>
        <v>0</v>
      </c>
      <c r="AC1756" s="133">
        <f t="shared" ref="AC1756:AC1773" si="815">S1756</f>
        <v>0</v>
      </c>
      <c r="AD1756" s="142">
        <v>1</v>
      </c>
      <c r="AE1756" s="141"/>
      <c r="AF1756" s="121" t="s">
        <v>292</v>
      </c>
      <c r="AG1756" s="146">
        <f>VLOOKUP(Takeoffs!AF1756,Sheet1!$B$6:$C$124,2,FALSE)</f>
        <v>0</v>
      </c>
      <c r="AH1756" s="146">
        <f t="shared" si="811"/>
        <v>0</v>
      </c>
      <c r="AI1756" s="143">
        <f t="shared" si="812"/>
        <v>0</v>
      </c>
      <c r="AJ1756" s="133">
        <f t="shared" si="813"/>
        <v>0</v>
      </c>
      <c r="AK1756" s="142">
        <f>T1756</f>
        <v>0</v>
      </c>
      <c r="AL1756" s="141"/>
      <c r="AO1756" s="286"/>
      <c r="AP1756" s="284">
        <f t="shared" si="803"/>
        <v>0</v>
      </c>
      <c r="AQ1756" s="281">
        <f t="shared" si="804"/>
        <v>0</v>
      </c>
      <c r="AR1756" s="284">
        <f t="shared" si="805"/>
        <v>0</v>
      </c>
      <c r="AS1756" s="281">
        <f t="shared" si="806"/>
        <v>0</v>
      </c>
      <c r="AT1756" s="284">
        <f t="shared" si="807"/>
        <v>0</v>
      </c>
    </row>
    <row r="1757" spans="1:97" s="114" customFormat="1" ht="30.9" x14ac:dyDescent="0.8">
      <c r="A1757" s="262">
        <f>ROW()</f>
        <v>1757</v>
      </c>
      <c r="C1757" s="208"/>
      <c r="D1757" s="208"/>
      <c r="E1757" s="208"/>
      <c r="F1757" s="208"/>
      <c r="G1757" s="208"/>
      <c r="H1757" s="208"/>
      <c r="J1757" s="114" t="str">
        <f t="shared" si="814"/>
        <v/>
      </c>
      <c r="K1757" s="114" t="str">
        <f>IF(COUNTBLANK(R1757)&gt;0,"",CONCATENATE(R1757," for ",N1753))</f>
        <v/>
      </c>
      <c r="M1757" s="117"/>
      <c r="N1757" s="123" t="s">
        <v>116</v>
      </c>
      <c r="O1757" s="66" t="s">
        <v>323</v>
      </c>
      <c r="P1757" s="121"/>
      <c r="Q1757" s="121"/>
      <c r="R1757" s="121"/>
      <c r="S1757" s="133">
        <f>M1753</f>
        <v>0</v>
      </c>
      <c r="T1757" s="120"/>
      <c r="U1757" s="121" t="s">
        <v>235</v>
      </c>
      <c r="V1757" s="133">
        <f t="shared" si="808"/>
        <v>0</v>
      </c>
      <c r="W1757" s="133">
        <f>VLOOKUP(U1757,Sheet1!$B$6:$C$45,2,FALSE)*V1757</f>
        <v>0</v>
      </c>
      <c r="X1757" s="141"/>
      <c r="Y1757" s="135" t="s">
        <v>490</v>
      </c>
      <c r="Z1757" s="146">
        <f>VLOOKUP(Takeoffs!Y1757,Sheet1!$B$6:$C$124,2,FALSE)</f>
        <v>1226.28</v>
      </c>
      <c r="AA1757" s="146">
        <f t="shared" si="809"/>
        <v>0</v>
      </c>
      <c r="AB1757" s="143">
        <f t="shared" si="810"/>
        <v>0</v>
      </c>
      <c r="AC1757" s="133">
        <f t="shared" si="815"/>
        <v>0</v>
      </c>
      <c r="AD1757" s="142">
        <v>1</v>
      </c>
      <c r="AE1757" s="141"/>
      <c r="AF1757" s="121" t="s">
        <v>292</v>
      </c>
      <c r="AG1757" s="146">
        <f>VLOOKUP(Takeoffs!AF1757,Sheet1!$B$6:$C$124,2,FALSE)</f>
        <v>0</v>
      </c>
      <c r="AH1757" s="146">
        <f t="shared" si="811"/>
        <v>0</v>
      </c>
      <c r="AI1757" s="143">
        <f t="shared" si="812"/>
        <v>0</v>
      </c>
      <c r="AJ1757" s="133">
        <f t="shared" si="813"/>
        <v>0</v>
      </c>
      <c r="AK1757" s="142">
        <f>T1757</f>
        <v>0</v>
      </c>
      <c r="AL1757" s="141"/>
      <c r="AO1757" s="286"/>
      <c r="AP1757" s="284">
        <f t="shared" si="803"/>
        <v>0</v>
      </c>
      <c r="AQ1757" s="281">
        <f t="shared" si="804"/>
        <v>0</v>
      </c>
      <c r="AR1757" s="284">
        <f t="shared" si="805"/>
        <v>0</v>
      </c>
      <c r="AS1757" s="281">
        <f t="shared" si="806"/>
        <v>0</v>
      </c>
      <c r="AT1757" s="284">
        <f t="shared" si="807"/>
        <v>0</v>
      </c>
    </row>
    <row r="1758" spans="1:97" s="114" customFormat="1" ht="30.9" x14ac:dyDescent="0.8">
      <c r="A1758" s="262">
        <f>ROW()</f>
        <v>1758</v>
      </c>
      <c r="C1758" s="208"/>
      <c r="D1758" s="208"/>
      <c r="E1758" s="208"/>
      <c r="F1758" s="208"/>
      <c r="G1758" s="208"/>
      <c r="H1758" s="208"/>
      <c r="J1758" s="114" t="str">
        <f t="shared" si="814"/>
        <v/>
      </c>
      <c r="K1758" s="114" t="str">
        <f>IF(COUNTBLANK(R1758)&gt;0,"",CONCATENATE(R1758," for ",N1753))</f>
        <v/>
      </c>
      <c r="M1758" s="117"/>
      <c r="N1758" s="123" t="s">
        <v>117</v>
      </c>
      <c r="O1758" s="66" t="s">
        <v>390</v>
      </c>
      <c r="P1758" s="121"/>
      <c r="Q1758" s="121"/>
      <c r="R1758" s="121"/>
      <c r="S1758" s="133">
        <f>M1753</f>
        <v>0</v>
      </c>
      <c r="T1758" s="120"/>
      <c r="U1758" s="121" t="s">
        <v>292</v>
      </c>
      <c r="V1758" s="133">
        <f t="shared" si="808"/>
        <v>0</v>
      </c>
      <c r="W1758" s="133">
        <f>VLOOKUP(U1758,Sheet1!$B$6:$C$45,2,FALSE)*V1758</f>
        <v>0</v>
      </c>
      <c r="X1758" s="141"/>
      <c r="Y1758" s="121" t="s">
        <v>292</v>
      </c>
      <c r="Z1758" s="146">
        <f>VLOOKUP(Takeoffs!Y1758,Sheet1!$B$6:$C$124,2,FALSE)</f>
        <v>0</v>
      </c>
      <c r="AA1758" s="146">
        <f t="shared" si="809"/>
        <v>0</v>
      </c>
      <c r="AB1758" s="143">
        <f t="shared" si="810"/>
        <v>0</v>
      </c>
      <c r="AC1758" s="133">
        <f t="shared" si="815"/>
        <v>0</v>
      </c>
      <c r="AD1758" s="142">
        <v>1</v>
      </c>
      <c r="AE1758" s="141"/>
      <c r="AF1758" s="122" t="s">
        <v>268</v>
      </c>
      <c r="AG1758" s="146">
        <f>VLOOKUP(Takeoffs!AF1758,Sheet1!$B$6:$C$124,2,FALSE)</f>
        <v>1.02</v>
      </c>
      <c r="AH1758" s="146">
        <f t="shared" si="811"/>
        <v>0</v>
      </c>
      <c r="AI1758" s="143">
        <f t="shared" si="812"/>
        <v>0</v>
      </c>
      <c r="AJ1758" s="133">
        <f t="shared" si="813"/>
        <v>0</v>
      </c>
      <c r="AK1758" s="142">
        <v>3</v>
      </c>
      <c r="AL1758" s="141"/>
      <c r="AO1758" s="286"/>
      <c r="AP1758" s="284">
        <f t="shared" si="803"/>
        <v>0</v>
      </c>
      <c r="AQ1758" s="281">
        <f t="shared" si="804"/>
        <v>0</v>
      </c>
      <c r="AR1758" s="284">
        <f t="shared" si="805"/>
        <v>0</v>
      </c>
      <c r="AS1758" s="281">
        <f t="shared" si="806"/>
        <v>0</v>
      </c>
      <c r="AT1758" s="284">
        <f t="shared" si="807"/>
        <v>0</v>
      </c>
    </row>
    <row r="1759" spans="1:97" s="114" customFormat="1" ht="30.9" x14ac:dyDescent="0.8">
      <c r="A1759" s="262">
        <f>ROW()</f>
        <v>1759</v>
      </c>
      <c r="C1759" s="208"/>
      <c r="D1759" s="208"/>
      <c r="E1759" s="208"/>
      <c r="F1759" s="208"/>
      <c r="G1759" s="208"/>
      <c r="H1759" s="208"/>
      <c r="J1759" s="114" t="str">
        <f t="shared" si="814"/>
        <v/>
      </c>
      <c r="K1759" s="114" t="str">
        <f>IF(COUNTBLANK(R1759)&gt;0,"",CONCATENATE(R1759," for ",N1753))</f>
        <v/>
      </c>
      <c r="M1759" s="117"/>
      <c r="N1759" s="123" t="s">
        <v>118</v>
      </c>
      <c r="O1759" s="66" t="s">
        <v>309</v>
      </c>
      <c r="P1759" s="121"/>
      <c r="Q1759" s="121"/>
      <c r="R1759" s="121"/>
      <c r="S1759" s="133">
        <f>M1753</f>
        <v>0</v>
      </c>
      <c r="T1759" s="120"/>
      <c r="U1759" s="121" t="s">
        <v>292</v>
      </c>
      <c r="V1759" s="133">
        <f t="shared" si="808"/>
        <v>0</v>
      </c>
      <c r="W1759" s="133">
        <f>VLOOKUP(U1759,Sheet1!$B$6:$C$45,2,FALSE)*V1759</f>
        <v>0</v>
      </c>
      <c r="X1759" s="141"/>
      <c r="Y1759" s="121" t="s">
        <v>292</v>
      </c>
      <c r="Z1759" s="146">
        <f>VLOOKUP(Takeoffs!Y1759,Sheet1!$B$6:$C$124,2,FALSE)</f>
        <v>0</v>
      </c>
      <c r="AA1759" s="146">
        <f t="shared" si="809"/>
        <v>0</v>
      </c>
      <c r="AB1759" s="143">
        <f t="shared" si="810"/>
        <v>0</v>
      </c>
      <c r="AC1759" s="133">
        <f t="shared" si="815"/>
        <v>0</v>
      </c>
      <c r="AD1759" s="142">
        <v>1</v>
      </c>
      <c r="AE1759" s="141"/>
      <c r="AF1759" s="121" t="s">
        <v>292</v>
      </c>
      <c r="AG1759" s="146">
        <f>VLOOKUP(Takeoffs!AF1759,Sheet1!$B$6:$C$124,2,FALSE)</f>
        <v>0</v>
      </c>
      <c r="AH1759" s="146">
        <f t="shared" si="811"/>
        <v>0</v>
      </c>
      <c r="AI1759" s="143">
        <f t="shared" si="812"/>
        <v>0</v>
      </c>
      <c r="AJ1759" s="133">
        <f t="shared" si="813"/>
        <v>0</v>
      </c>
      <c r="AK1759" s="142">
        <f>T1759</f>
        <v>0</v>
      </c>
      <c r="AL1759" s="141"/>
      <c r="AO1759" s="286"/>
      <c r="AP1759" s="284">
        <f t="shared" si="803"/>
        <v>0</v>
      </c>
      <c r="AQ1759" s="281">
        <f t="shared" si="804"/>
        <v>0</v>
      </c>
      <c r="AR1759" s="284">
        <f t="shared" si="805"/>
        <v>0</v>
      </c>
      <c r="AS1759" s="281">
        <f t="shared" si="806"/>
        <v>0</v>
      </c>
      <c r="AT1759" s="284">
        <f t="shared" si="807"/>
        <v>0</v>
      </c>
    </row>
    <row r="1760" spans="1:97" s="114" customFormat="1" ht="30.9" x14ac:dyDescent="0.8">
      <c r="A1760" s="262">
        <f>ROW()</f>
        <v>1760</v>
      </c>
      <c r="C1760" s="208"/>
      <c r="D1760" s="208"/>
      <c r="E1760" s="208"/>
      <c r="F1760" s="208"/>
      <c r="G1760" s="208"/>
      <c r="H1760" s="208"/>
      <c r="J1760" s="114" t="str">
        <f t="shared" si="814"/>
        <v/>
      </c>
      <c r="K1760" s="114" t="str">
        <f>IF(COUNTBLANK(R1760)&gt;0,"",CONCATENATE(R1760," for ",N1753))</f>
        <v/>
      </c>
      <c r="N1760" s="123" t="s">
        <v>119</v>
      </c>
      <c r="O1760" s="66"/>
      <c r="P1760" s="121"/>
      <c r="Q1760" s="121"/>
      <c r="R1760" s="121"/>
      <c r="S1760" s="133">
        <f>M1753</f>
        <v>0</v>
      </c>
      <c r="T1760" s="120"/>
      <c r="U1760" s="121" t="s">
        <v>292</v>
      </c>
      <c r="V1760" s="133">
        <f t="shared" si="808"/>
        <v>0</v>
      </c>
      <c r="W1760" s="133">
        <f>VLOOKUP(U1760,Sheet1!$B$6:$C$45,2,FALSE)*V1760</f>
        <v>0</v>
      </c>
      <c r="X1760" s="141"/>
      <c r="Y1760" s="121" t="s">
        <v>292</v>
      </c>
      <c r="Z1760" s="146">
        <f>VLOOKUP(Takeoffs!Y1760,Sheet1!$B$6:$C$124,2,FALSE)</f>
        <v>0</v>
      </c>
      <c r="AA1760" s="146">
        <f t="shared" si="809"/>
        <v>0</v>
      </c>
      <c r="AB1760" s="143">
        <f t="shared" si="810"/>
        <v>0</v>
      </c>
      <c r="AC1760" s="133">
        <f t="shared" si="815"/>
        <v>0</v>
      </c>
      <c r="AD1760" s="142">
        <v>1</v>
      </c>
      <c r="AE1760" s="141"/>
      <c r="AF1760" s="121" t="s">
        <v>292</v>
      </c>
      <c r="AG1760" s="146">
        <f>VLOOKUP(Takeoffs!AF1760,Sheet1!$B$6:$C$124,2,FALSE)</f>
        <v>0</v>
      </c>
      <c r="AH1760" s="146">
        <f t="shared" si="811"/>
        <v>0</v>
      </c>
      <c r="AI1760" s="143">
        <f t="shared" si="812"/>
        <v>0</v>
      </c>
      <c r="AJ1760" s="133">
        <f t="shared" si="813"/>
        <v>0</v>
      </c>
      <c r="AK1760" s="142">
        <f>T1760</f>
        <v>0</v>
      </c>
      <c r="AL1760" s="141"/>
      <c r="AO1760" s="286"/>
      <c r="AP1760" s="284">
        <f t="shared" si="803"/>
        <v>0</v>
      </c>
      <c r="AQ1760" s="281">
        <f t="shared" si="804"/>
        <v>0</v>
      </c>
      <c r="AR1760" s="284">
        <f t="shared" si="805"/>
        <v>0</v>
      </c>
      <c r="AS1760" s="281">
        <f t="shared" si="806"/>
        <v>0</v>
      </c>
      <c r="AT1760" s="284">
        <f t="shared" si="807"/>
        <v>0</v>
      </c>
    </row>
    <row r="1761" spans="1:97" s="114" customFormat="1" ht="30.9" x14ac:dyDescent="0.8">
      <c r="A1761" s="262">
        <f>ROW()</f>
        <v>1761</v>
      </c>
      <c r="C1761" s="208"/>
      <c r="D1761" s="208"/>
      <c r="E1761" s="208"/>
      <c r="F1761" s="208"/>
      <c r="G1761" s="208"/>
      <c r="H1761" s="208"/>
      <c r="J1761" s="114" t="str">
        <f t="shared" si="814"/>
        <v/>
      </c>
      <c r="K1761" s="114" t="str">
        <f>IF(COUNTBLANK(R1761)&gt;0,"",CONCATENATE(R1761," for ",N1753))</f>
        <v/>
      </c>
      <c r="N1761" s="123" t="s">
        <v>120</v>
      </c>
      <c r="O1761" s="66" t="s">
        <v>328</v>
      </c>
      <c r="P1761" s="121"/>
      <c r="Q1761" s="121"/>
      <c r="R1761" s="121"/>
      <c r="S1761" s="133">
        <f>M1753</f>
        <v>0</v>
      </c>
      <c r="T1761" s="120"/>
      <c r="U1761" s="121" t="s">
        <v>364</v>
      </c>
      <c r="V1761" s="133">
        <f t="shared" si="808"/>
        <v>0</v>
      </c>
      <c r="W1761" s="133">
        <f>VLOOKUP(U1761,Sheet1!$B$6:$C$45,2,FALSE)*V1761</f>
        <v>0</v>
      </c>
      <c r="X1761" s="141"/>
      <c r="Y1761" s="121" t="s">
        <v>292</v>
      </c>
      <c r="Z1761" s="146">
        <f>VLOOKUP(Takeoffs!Y1761,Sheet1!$B$6:$C$124,2,FALSE)</f>
        <v>0</v>
      </c>
      <c r="AA1761" s="146">
        <f t="shared" si="809"/>
        <v>0</v>
      </c>
      <c r="AB1761" s="143">
        <f t="shared" si="810"/>
        <v>0</v>
      </c>
      <c r="AC1761" s="133">
        <f t="shared" si="815"/>
        <v>0</v>
      </c>
      <c r="AD1761" s="142">
        <v>1</v>
      </c>
      <c r="AE1761" s="141"/>
      <c r="AF1761" s="121" t="s">
        <v>292</v>
      </c>
      <c r="AG1761" s="146">
        <f>VLOOKUP(Takeoffs!AF1761,Sheet1!$B$6:$C$124,2,FALSE)</f>
        <v>0</v>
      </c>
      <c r="AH1761" s="146">
        <f t="shared" si="811"/>
        <v>0</v>
      </c>
      <c r="AI1761" s="143">
        <f t="shared" si="812"/>
        <v>0</v>
      </c>
      <c r="AJ1761" s="133">
        <f t="shared" si="813"/>
        <v>0</v>
      </c>
      <c r="AK1761" s="142">
        <f>T1761</f>
        <v>0</v>
      </c>
      <c r="AL1761" s="141"/>
      <c r="AO1761" s="286"/>
      <c r="AP1761" s="284">
        <f t="shared" si="803"/>
        <v>0</v>
      </c>
      <c r="AQ1761" s="281">
        <f t="shared" si="804"/>
        <v>0</v>
      </c>
      <c r="AR1761" s="284">
        <f t="shared" si="805"/>
        <v>0</v>
      </c>
      <c r="AS1761" s="281">
        <f t="shared" si="806"/>
        <v>0</v>
      </c>
      <c r="AT1761" s="284">
        <f t="shared" si="807"/>
        <v>0</v>
      </c>
    </row>
    <row r="1762" spans="1:97" s="114" customFormat="1" ht="30.9" x14ac:dyDescent="0.8">
      <c r="A1762" s="262">
        <f>ROW()</f>
        <v>1762</v>
      </c>
      <c r="C1762" s="208"/>
      <c r="D1762" s="208"/>
      <c r="E1762" s="208"/>
      <c r="F1762" s="208"/>
      <c r="G1762" s="208"/>
      <c r="H1762" s="208"/>
      <c r="J1762" s="114" t="str">
        <f t="shared" si="814"/>
        <v/>
      </c>
      <c r="K1762" s="114" t="str">
        <f>IF(COUNTBLANK(R1762)&gt;0,"",CONCATENATE(R1762," for ",N1753))</f>
        <v/>
      </c>
      <c r="N1762" s="123" t="s">
        <v>121</v>
      </c>
      <c r="O1762" s="66"/>
      <c r="P1762" s="121"/>
      <c r="Q1762" s="121"/>
      <c r="R1762" s="121"/>
      <c r="S1762" s="133">
        <f>M1753</f>
        <v>0</v>
      </c>
      <c r="T1762" s="120"/>
      <c r="U1762" s="121" t="s">
        <v>292</v>
      </c>
      <c r="V1762" s="133">
        <f t="shared" si="808"/>
        <v>0</v>
      </c>
      <c r="W1762" s="133">
        <f>VLOOKUP(U1762,Sheet1!$B$6:$C$45,2,FALSE)*V1762</f>
        <v>0</v>
      </c>
      <c r="X1762" s="141"/>
      <c r="Y1762" s="121" t="s">
        <v>292</v>
      </c>
      <c r="Z1762" s="146">
        <f>VLOOKUP(Takeoffs!Y1762,Sheet1!$B$6:$C$124,2,FALSE)</f>
        <v>0</v>
      </c>
      <c r="AA1762" s="146">
        <f t="shared" si="809"/>
        <v>0</v>
      </c>
      <c r="AB1762" s="143">
        <f t="shared" si="810"/>
        <v>0</v>
      </c>
      <c r="AC1762" s="133">
        <f t="shared" si="815"/>
        <v>0</v>
      </c>
      <c r="AD1762" s="142">
        <v>1</v>
      </c>
      <c r="AE1762" s="141"/>
      <c r="AF1762" s="121" t="s">
        <v>292</v>
      </c>
      <c r="AG1762" s="146">
        <f>VLOOKUP(Takeoffs!AF1762,Sheet1!$B$6:$C$124,2,FALSE)</f>
        <v>0</v>
      </c>
      <c r="AH1762" s="146">
        <f t="shared" si="811"/>
        <v>0</v>
      </c>
      <c r="AI1762" s="143">
        <f t="shared" si="812"/>
        <v>0</v>
      </c>
      <c r="AJ1762" s="133">
        <f t="shared" si="813"/>
        <v>0</v>
      </c>
      <c r="AK1762" s="142">
        <f>T1762</f>
        <v>0</v>
      </c>
      <c r="AL1762" s="141"/>
      <c r="AO1762" s="286"/>
      <c r="AP1762" s="284">
        <f t="shared" si="803"/>
        <v>0</v>
      </c>
      <c r="AQ1762" s="281">
        <f t="shared" si="804"/>
        <v>0</v>
      </c>
      <c r="AR1762" s="284">
        <f t="shared" si="805"/>
        <v>0</v>
      </c>
      <c r="AS1762" s="281">
        <f t="shared" si="806"/>
        <v>0</v>
      </c>
      <c r="AT1762" s="284">
        <f t="shared" si="807"/>
        <v>0</v>
      </c>
    </row>
    <row r="1763" spans="1:97" s="114" customFormat="1" ht="30.9" x14ac:dyDescent="0.8">
      <c r="A1763" s="262">
        <f>ROW()</f>
        <v>1763</v>
      </c>
      <c r="C1763" s="208"/>
      <c r="D1763" s="208"/>
      <c r="E1763" s="208"/>
      <c r="F1763" s="208"/>
      <c r="G1763" s="208"/>
      <c r="H1763" s="208"/>
      <c r="J1763" s="114" t="str">
        <f t="shared" si="814"/>
        <v/>
      </c>
      <c r="K1763" s="114" t="str">
        <f>IF(COUNTBLANK(R1763)&gt;0,"",CONCATENATE(R1763," for ",N1753))</f>
        <v/>
      </c>
      <c r="N1763" s="123" t="s">
        <v>122</v>
      </c>
      <c r="O1763" s="66"/>
      <c r="P1763" s="121"/>
      <c r="Q1763" s="121"/>
      <c r="R1763" s="121"/>
      <c r="S1763" s="133">
        <f>M1753</f>
        <v>0</v>
      </c>
      <c r="T1763" s="120"/>
      <c r="U1763" s="121" t="s">
        <v>292</v>
      </c>
      <c r="V1763" s="133">
        <f t="shared" si="808"/>
        <v>0</v>
      </c>
      <c r="W1763" s="133">
        <f>VLOOKUP(U1763,Sheet1!$B$6:$C$45,2,FALSE)*V1763</f>
        <v>0</v>
      </c>
      <c r="X1763" s="141"/>
      <c r="Y1763" s="121" t="s">
        <v>292</v>
      </c>
      <c r="Z1763" s="146">
        <f>VLOOKUP(Takeoffs!Y1763,Sheet1!$B$6:$C$124,2,FALSE)</f>
        <v>0</v>
      </c>
      <c r="AA1763" s="146">
        <f t="shared" si="809"/>
        <v>0</v>
      </c>
      <c r="AB1763" s="143">
        <f t="shared" si="810"/>
        <v>0</v>
      </c>
      <c r="AC1763" s="133">
        <f t="shared" si="815"/>
        <v>0</v>
      </c>
      <c r="AD1763" s="142">
        <v>1</v>
      </c>
      <c r="AE1763" s="141"/>
      <c r="AF1763" s="121" t="s">
        <v>292</v>
      </c>
      <c r="AG1763" s="146">
        <f>VLOOKUP(Takeoffs!AF1763,Sheet1!$B$6:$C$124,2,FALSE)</f>
        <v>0</v>
      </c>
      <c r="AH1763" s="146">
        <f t="shared" si="811"/>
        <v>0</v>
      </c>
      <c r="AI1763" s="143">
        <f t="shared" si="812"/>
        <v>0</v>
      </c>
      <c r="AJ1763" s="133">
        <f t="shared" si="813"/>
        <v>0</v>
      </c>
      <c r="AK1763" s="142">
        <f>T1763</f>
        <v>0</v>
      </c>
      <c r="AL1763" s="141"/>
      <c r="AO1763" s="286"/>
      <c r="AP1763" s="284">
        <f t="shared" si="803"/>
        <v>0</v>
      </c>
      <c r="AQ1763" s="281">
        <f t="shared" si="804"/>
        <v>0</v>
      </c>
      <c r="AR1763" s="284">
        <f t="shared" si="805"/>
        <v>0</v>
      </c>
      <c r="AS1763" s="281">
        <f t="shared" si="806"/>
        <v>0</v>
      </c>
      <c r="AT1763" s="284">
        <f t="shared" si="807"/>
        <v>0</v>
      </c>
    </row>
    <row r="1764" spans="1:97" s="114" customFormat="1" ht="30.9" x14ac:dyDescent="0.8">
      <c r="A1764" s="262">
        <f>ROW()</f>
        <v>1764</v>
      </c>
      <c r="C1764" s="208"/>
      <c r="D1764" s="208"/>
      <c r="E1764" s="208"/>
      <c r="F1764" s="208"/>
      <c r="G1764" s="208"/>
      <c r="H1764" s="208"/>
      <c r="J1764" s="114" t="str">
        <f t="shared" si="814"/>
        <v/>
      </c>
      <c r="K1764" s="114" t="str">
        <f>IF(COUNTBLANK(R1764)&gt;0,"",CONCATENATE(R1764," for ",N1753))</f>
        <v/>
      </c>
      <c r="N1764" s="123" t="s">
        <v>123</v>
      </c>
      <c r="O1764" s="66"/>
      <c r="P1764" s="121"/>
      <c r="Q1764" s="121"/>
      <c r="R1764" s="121"/>
      <c r="S1764" s="133">
        <f>M1753</f>
        <v>0</v>
      </c>
      <c r="T1764" s="120"/>
      <c r="U1764" s="121" t="s">
        <v>292</v>
      </c>
      <c r="V1764" s="133">
        <f t="shared" si="808"/>
        <v>0</v>
      </c>
      <c r="W1764" s="133">
        <f>VLOOKUP(U1764,Sheet1!$B$6:$C$45,2,FALSE)*V1764</f>
        <v>0</v>
      </c>
      <c r="X1764" s="141"/>
      <c r="Y1764" s="121" t="s">
        <v>292</v>
      </c>
      <c r="Z1764" s="146">
        <f>VLOOKUP(Takeoffs!Y1764,Sheet1!$B$6:$C$124,2,FALSE)</f>
        <v>0</v>
      </c>
      <c r="AA1764" s="146">
        <f t="shared" si="809"/>
        <v>0</v>
      </c>
      <c r="AB1764" s="143">
        <f t="shared" si="810"/>
        <v>0</v>
      </c>
      <c r="AC1764" s="133">
        <f t="shared" si="815"/>
        <v>0</v>
      </c>
      <c r="AD1764" s="142">
        <v>1</v>
      </c>
      <c r="AE1764" s="141"/>
      <c r="AF1764" s="121" t="s">
        <v>292</v>
      </c>
      <c r="AG1764" s="146">
        <f>VLOOKUP(Takeoffs!AF1764,Sheet1!$B$6:$C$124,2,FALSE)</f>
        <v>0</v>
      </c>
      <c r="AH1764" s="146">
        <f t="shared" si="811"/>
        <v>0</v>
      </c>
      <c r="AI1764" s="143">
        <f t="shared" si="812"/>
        <v>0</v>
      </c>
      <c r="AJ1764" s="133">
        <f t="shared" si="813"/>
        <v>0</v>
      </c>
      <c r="AK1764" s="142">
        <v>0</v>
      </c>
      <c r="AL1764" s="141"/>
      <c r="AO1764" s="286"/>
      <c r="AP1764" s="284">
        <f t="shared" si="803"/>
        <v>0</v>
      </c>
      <c r="AQ1764" s="281">
        <f t="shared" si="804"/>
        <v>0</v>
      </c>
      <c r="AR1764" s="284">
        <f t="shared" si="805"/>
        <v>0</v>
      </c>
      <c r="AS1764" s="281">
        <f t="shared" si="806"/>
        <v>0</v>
      </c>
      <c r="AT1764" s="284">
        <f t="shared" si="807"/>
        <v>0</v>
      </c>
    </row>
    <row r="1765" spans="1:97" s="114" customFormat="1" ht="30.9" x14ac:dyDescent="0.8">
      <c r="A1765" s="262">
        <f>ROW()</f>
        <v>1765</v>
      </c>
      <c r="C1765" s="208"/>
      <c r="D1765" s="208"/>
      <c r="E1765" s="208"/>
      <c r="F1765" s="208"/>
      <c r="G1765" s="208"/>
      <c r="H1765" s="208"/>
      <c r="J1765" s="114" t="str">
        <f t="shared" si="814"/>
        <v/>
      </c>
      <c r="K1765" s="114" t="str">
        <f>IF(COUNTBLANK(R1765)&gt;0,"",CONCATENATE(R1765," for ",N1753))</f>
        <v/>
      </c>
      <c r="N1765" s="123" t="s">
        <v>124</v>
      </c>
      <c r="O1765" s="66" t="s">
        <v>140</v>
      </c>
      <c r="P1765" s="121"/>
      <c r="Q1765" s="121"/>
      <c r="R1765" s="121"/>
      <c r="S1765" s="133">
        <f>M1753</f>
        <v>0</v>
      </c>
      <c r="T1765" s="120"/>
      <c r="U1765" s="121" t="s">
        <v>292</v>
      </c>
      <c r="V1765" s="133">
        <f t="shared" si="808"/>
        <v>0</v>
      </c>
      <c r="W1765" s="133">
        <f>VLOOKUP(U1765,Sheet1!$B$6:$C$45,2,FALSE)*V1765</f>
        <v>0</v>
      </c>
      <c r="X1765" s="141"/>
      <c r="Y1765" s="121" t="s">
        <v>292</v>
      </c>
      <c r="Z1765" s="146">
        <f>VLOOKUP(Takeoffs!Y1765,Sheet1!$B$6:$C$124,2,FALSE)</f>
        <v>0</v>
      </c>
      <c r="AA1765" s="146">
        <f t="shared" si="809"/>
        <v>0</v>
      </c>
      <c r="AB1765" s="143">
        <f t="shared" si="810"/>
        <v>0</v>
      </c>
      <c r="AC1765" s="133">
        <f t="shared" si="815"/>
        <v>0</v>
      </c>
      <c r="AD1765" s="142">
        <v>1</v>
      </c>
      <c r="AE1765" s="141"/>
      <c r="AF1765" s="152" t="s">
        <v>418</v>
      </c>
      <c r="AG1765" s="146">
        <f>VLOOKUP(Takeoffs!AF1765,Sheet1!$B$6:$C$124,2,FALSE)</f>
        <v>0.33600000000000002</v>
      </c>
      <c r="AH1765" s="146">
        <f t="shared" si="811"/>
        <v>0</v>
      </c>
      <c r="AI1765" s="143">
        <f t="shared" si="812"/>
        <v>0</v>
      </c>
      <c r="AJ1765" s="133">
        <f t="shared" si="813"/>
        <v>0</v>
      </c>
      <c r="AK1765" s="142">
        <v>1</v>
      </c>
      <c r="AL1765" s="141"/>
      <c r="AO1765" s="286"/>
      <c r="AP1765" s="284">
        <f t="shared" si="803"/>
        <v>0</v>
      </c>
      <c r="AQ1765" s="281">
        <f t="shared" si="804"/>
        <v>0</v>
      </c>
      <c r="AR1765" s="284">
        <f t="shared" si="805"/>
        <v>0</v>
      </c>
      <c r="AS1765" s="281">
        <f t="shared" si="806"/>
        <v>0</v>
      </c>
      <c r="AT1765" s="284">
        <f t="shared" si="807"/>
        <v>0</v>
      </c>
    </row>
    <row r="1766" spans="1:97" s="114" customFormat="1" ht="30.9" x14ac:dyDescent="0.8">
      <c r="A1766" s="262">
        <f>ROW()</f>
        <v>1766</v>
      </c>
      <c r="C1766" s="208"/>
      <c r="D1766" s="208"/>
      <c r="E1766" s="208"/>
      <c r="F1766" s="208"/>
      <c r="G1766" s="208"/>
      <c r="H1766" s="208"/>
      <c r="J1766" s="114" t="str">
        <f t="shared" si="814"/>
        <v/>
      </c>
      <c r="K1766" s="114" t="str">
        <f>IF(COUNTBLANK(R1766)&gt;0,"",CONCATENATE(R1766," for ",N1753))</f>
        <v/>
      </c>
      <c r="N1766" s="123" t="s">
        <v>125</v>
      </c>
      <c r="O1766" s="66" t="s">
        <v>312</v>
      </c>
      <c r="P1766" s="121"/>
      <c r="Q1766" s="121"/>
      <c r="R1766" s="121"/>
      <c r="S1766" s="133">
        <f>M1753</f>
        <v>0</v>
      </c>
      <c r="T1766" s="120"/>
      <c r="U1766" s="121" t="s">
        <v>232</v>
      </c>
      <c r="V1766" s="133">
        <f t="shared" si="808"/>
        <v>0</v>
      </c>
      <c r="W1766" s="133">
        <f>VLOOKUP(U1766,Sheet1!$B$6:$C$45,2,FALSE)*V1766</f>
        <v>0</v>
      </c>
      <c r="X1766" s="141"/>
      <c r="Y1766" s="122" t="s">
        <v>1345</v>
      </c>
      <c r="Z1766" s="146">
        <f>VLOOKUP(Takeoffs!Y1766,Sheet1!$B$6:$C$124,2,FALSE)</f>
        <v>109.25999999999999</v>
      </c>
      <c r="AA1766" s="146">
        <f t="shared" si="809"/>
        <v>0</v>
      </c>
      <c r="AB1766" s="143">
        <f t="shared" si="810"/>
        <v>0</v>
      </c>
      <c r="AC1766" s="133">
        <f t="shared" si="815"/>
        <v>0</v>
      </c>
      <c r="AD1766" s="142">
        <v>1</v>
      </c>
      <c r="AE1766" s="141"/>
      <c r="AF1766" s="121" t="s">
        <v>292</v>
      </c>
      <c r="AG1766" s="146">
        <f>VLOOKUP(Takeoffs!AF1766,Sheet1!$B$6:$C$124,2,FALSE)</f>
        <v>0</v>
      </c>
      <c r="AH1766" s="146">
        <f t="shared" si="811"/>
        <v>0</v>
      </c>
      <c r="AI1766" s="143">
        <f t="shared" si="812"/>
        <v>0</v>
      </c>
      <c r="AJ1766" s="133">
        <f t="shared" si="813"/>
        <v>0</v>
      </c>
      <c r="AK1766" s="142">
        <f t="shared" ref="AK1766:AK1773" si="816">T1766</f>
        <v>0</v>
      </c>
      <c r="AL1766" s="141"/>
      <c r="AO1766" s="286"/>
      <c r="AP1766" s="284">
        <f t="shared" si="803"/>
        <v>0</v>
      </c>
      <c r="AQ1766" s="281">
        <f t="shared" si="804"/>
        <v>0</v>
      </c>
      <c r="AR1766" s="284">
        <f t="shared" si="805"/>
        <v>0</v>
      </c>
      <c r="AS1766" s="281">
        <f t="shared" si="806"/>
        <v>0</v>
      </c>
      <c r="AT1766" s="284">
        <f t="shared" si="807"/>
        <v>0</v>
      </c>
    </row>
    <row r="1767" spans="1:97" s="114" customFormat="1" ht="30.9" x14ac:dyDescent="0.8">
      <c r="A1767" s="262">
        <f>ROW()</f>
        <v>1767</v>
      </c>
      <c r="C1767" s="208"/>
      <c r="D1767" s="208"/>
      <c r="E1767" s="208"/>
      <c r="F1767" s="208"/>
      <c r="G1767" s="208"/>
      <c r="H1767" s="208"/>
      <c r="J1767" s="114" t="str">
        <f t="shared" si="814"/>
        <v/>
      </c>
      <c r="K1767" s="114" t="str">
        <f>IF(COUNTBLANK(R1767)&gt;0,"",CONCATENATE(R1767," for ",N1753))</f>
        <v/>
      </c>
      <c r="N1767" s="123" t="s">
        <v>126</v>
      </c>
      <c r="O1767" s="66"/>
      <c r="P1767" s="121"/>
      <c r="Q1767" s="121"/>
      <c r="R1767" s="121"/>
      <c r="S1767" s="133">
        <f>M1753</f>
        <v>0</v>
      </c>
      <c r="T1767" s="120"/>
      <c r="U1767" s="121" t="s">
        <v>292</v>
      </c>
      <c r="V1767" s="133">
        <f t="shared" si="808"/>
        <v>0</v>
      </c>
      <c r="W1767" s="133">
        <f>VLOOKUP(U1767,Sheet1!$B$6:$C$45,2,FALSE)*V1767</f>
        <v>0</v>
      </c>
      <c r="X1767" s="141"/>
      <c r="Y1767" s="121" t="s">
        <v>292</v>
      </c>
      <c r="Z1767" s="146">
        <f>VLOOKUP(Takeoffs!Y1767,Sheet1!$B$6:$C$124,2,FALSE)</f>
        <v>0</v>
      </c>
      <c r="AA1767" s="146">
        <f t="shared" si="809"/>
        <v>0</v>
      </c>
      <c r="AB1767" s="143">
        <f t="shared" si="810"/>
        <v>0</v>
      </c>
      <c r="AC1767" s="133">
        <f t="shared" si="815"/>
        <v>0</v>
      </c>
      <c r="AD1767" s="142">
        <v>1</v>
      </c>
      <c r="AE1767" s="141"/>
      <c r="AF1767" s="121" t="s">
        <v>292</v>
      </c>
      <c r="AG1767" s="146">
        <f>VLOOKUP(Takeoffs!AF1767,Sheet1!$B$6:$C$124,2,FALSE)</f>
        <v>0</v>
      </c>
      <c r="AH1767" s="146">
        <f t="shared" si="811"/>
        <v>0</v>
      </c>
      <c r="AI1767" s="143">
        <f t="shared" si="812"/>
        <v>0</v>
      </c>
      <c r="AJ1767" s="133">
        <f t="shared" si="813"/>
        <v>0</v>
      </c>
      <c r="AK1767" s="142">
        <f t="shared" si="816"/>
        <v>0</v>
      </c>
      <c r="AL1767" s="141"/>
      <c r="AO1767" s="286"/>
      <c r="AP1767" s="284">
        <f t="shared" si="803"/>
        <v>0</v>
      </c>
      <c r="AQ1767" s="281">
        <f t="shared" si="804"/>
        <v>0</v>
      </c>
      <c r="AR1767" s="284">
        <f t="shared" si="805"/>
        <v>0</v>
      </c>
      <c r="AS1767" s="281">
        <f t="shared" si="806"/>
        <v>0</v>
      </c>
      <c r="AT1767" s="284">
        <f t="shared" si="807"/>
        <v>0</v>
      </c>
    </row>
    <row r="1768" spans="1:97" s="114" customFormat="1" ht="30.9" x14ac:dyDescent="0.8">
      <c r="A1768" s="262">
        <f>ROW()</f>
        <v>1768</v>
      </c>
      <c r="C1768" s="208"/>
      <c r="D1768" s="208"/>
      <c r="E1768" s="208"/>
      <c r="F1768" s="208"/>
      <c r="G1768" s="208"/>
      <c r="H1768" s="208"/>
      <c r="J1768" s="114" t="str">
        <f t="shared" si="814"/>
        <v/>
      </c>
      <c r="K1768" s="114" t="str">
        <f>IF(COUNTBLANK(R1768)&gt;0,"",CONCATENATE(R1768," for ",N1753))</f>
        <v>run and fault lights for Medium VSD pump - from MSSB power supply and BMS interface provisions</v>
      </c>
      <c r="N1768" s="123" t="s">
        <v>127</v>
      </c>
      <c r="O1768" s="66" t="s">
        <v>337</v>
      </c>
      <c r="P1768" s="121"/>
      <c r="Q1768" s="121"/>
      <c r="R1768" s="121" t="s">
        <v>331</v>
      </c>
      <c r="S1768" s="133">
        <f>M1753</f>
        <v>0</v>
      </c>
      <c r="T1768" s="120"/>
      <c r="U1768" s="121" t="s">
        <v>292</v>
      </c>
      <c r="V1768" s="133">
        <f t="shared" si="808"/>
        <v>0</v>
      </c>
      <c r="W1768" s="133">
        <f>VLOOKUP(U1768,Sheet1!$B$6:$C$45,2,FALSE)*V1768</f>
        <v>0</v>
      </c>
      <c r="X1768" s="141"/>
      <c r="Y1768" s="122" t="s">
        <v>280</v>
      </c>
      <c r="Z1768" s="146">
        <f>VLOOKUP(Takeoffs!Y1768,Sheet1!$B$6:$C$124,2,FALSE)</f>
        <v>19.2</v>
      </c>
      <c r="AA1768" s="146">
        <f t="shared" si="809"/>
        <v>0</v>
      </c>
      <c r="AB1768" s="143">
        <f t="shared" si="810"/>
        <v>0</v>
      </c>
      <c r="AC1768" s="133">
        <f t="shared" si="815"/>
        <v>0</v>
      </c>
      <c r="AD1768" s="142">
        <v>2</v>
      </c>
      <c r="AE1768" s="141"/>
      <c r="AF1768" s="121" t="s">
        <v>292</v>
      </c>
      <c r="AG1768" s="146">
        <f>VLOOKUP(Takeoffs!AF1768,Sheet1!$B$6:$C$124,2,FALSE)</f>
        <v>0</v>
      </c>
      <c r="AH1768" s="146">
        <f t="shared" si="811"/>
        <v>0</v>
      </c>
      <c r="AI1768" s="143">
        <f t="shared" si="812"/>
        <v>0</v>
      </c>
      <c r="AJ1768" s="133">
        <f t="shared" si="813"/>
        <v>0</v>
      </c>
      <c r="AK1768" s="142">
        <f t="shared" si="816"/>
        <v>0</v>
      </c>
      <c r="AL1768" s="141"/>
      <c r="AO1768" s="286"/>
      <c r="AP1768" s="284">
        <f t="shared" si="803"/>
        <v>0</v>
      </c>
      <c r="AQ1768" s="281">
        <f t="shared" si="804"/>
        <v>0</v>
      </c>
      <c r="AR1768" s="284">
        <f t="shared" si="805"/>
        <v>0</v>
      </c>
      <c r="AS1768" s="281">
        <f t="shared" si="806"/>
        <v>0</v>
      </c>
      <c r="AT1768" s="284">
        <f t="shared" si="807"/>
        <v>0</v>
      </c>
    </row>
    <row r="1769" spans="1:97" s="114" customFormat="1" ht="30.9" x14ac:dyDescent="0.8">
      <c r="A1769" s="262">
        <f>ROW()</f>
        <v>1769</v>
      </c>
      <c r="C1769" s="208"/>
      <c r="D1769" s="208"/>
      <c r="E1769" s="208"/>
      <c r="F1769" s="208"/>
      <c r="G1769" s="208"/>
      <c r="H1769" s="208"/>
      <c r="J1769" s="114" t="str">
        <f t="shared" si="814"/>
        <v/>
      </c>
      <c r="K1769" s="114" t="str">
        <f>IF(COUNTBLANK(R1769)&gt;0,"",CONCATENATE(R1769," for ",N1753))</f>
        <v/>
      </c>
      <c r="N1769" s="123" t="s">
        <v>128</v>
      </c>
      <c r="O1769" s="66" t="s">
        <v>508</v>
      </c>
      <c r="P1769" s="121"/>
      <c r="Q1769" s="121"/>
      <c r="R1769" s="121"/>
      <c r="S1769" s="133">
        <f>M1753</f>
        <v>0</v>
      </c>
      <c r="T1769" s="120"/>
      <c r="U1769" s="121" t="s">
        <v>292</v>
      </c>
      <c r="V1769" s="133">
        <f t="shared" si="808"/>
        <v>0</v>
      </c>
      <c r="W1769" s="133">
        <f>VLOOKUP(U1769,Sheet1!$B$6:$C$45,2,FALSE)*V1769</f>
        <v>0</v>
      </c>
      <c r="X1769" s="141"/>
      <c r="Y1769" s="135" t="s">
        <v>422</v>
      </c>
      <c r="Z1769" s="146">
        <f>VLOOKUP(Takeoffs!Y1769,Sheet1!$B$6:$C$124,2,FALSE)</f>
        <v>23.4</v>
      </c>
      <c r="AA1769" s="146">
        <f t="shared" si="809"/>
        <v>0</v>
      </c>
      <c r="AB1769" s="143">
        <f t="shared" si="810"/>
        <v>0</v>
      </c>
      <c r="AC1769" s="133">
        <f t="shared" si="815"/>
        <v>0</v>
      </c>
      <c r="AD1769" s="142">
        <v>1</v>
      </c>
      <c r="AE1769" s="141"/>
      <c r="AF1769" s="121" t="s">
        <v>292</v>
      </c>
      <c r="AG1769" s="146">
        <f>VLOOKUP(Takeoffs!AF1769,Sheet1!$B$6:$C$124,2,FALSE)</f>
        <v>0</v>
      </c>
      <c r="AH1769" s="146">
        <f t="shared" si="811"/>
        <v>0</v>
      </c>
      <c r="AI1769" s="143">
        <f t="shared" si="812"/>
        <v>0</v>
      </c>
      <c r="AJ1769" s="133">
        <f t="shared" si="813"/>
        <v>0</v>
      </c>
      <c r="AK1769" s="142">
        <f t="shared" si="816"/>
        <v>0</v>
      </c>
      <c r="AL1769" s="141"/>
      <c r="AO1769" s="286"/>
      <c r="AP1769" s="284">
        <f t="shared" si="803"/>
        <v>0</v>
      </c>
      <c r="AQ1769" s="281">
        <f t="shared" si="804"/>
        <v>0</v>
      </c>
      <c r="AR1769" s="284">
        <f t="shared" si="805"/>
        <v>0</v>
      </c>
      <c r="AS1769" s="281">
        <f t="shared" si="806"/>
        <v>0</v>
      </c>
      <c r="AT1769" s="284">
        <f t="shared" si="807"/>
        <v>0</v>
      </c>
    </row>
    <row r="1770" spans="1:97" s="114" customFormat="1" ht="30.9" x14ac:dyDescent="0.8">
      <c r="A1770" s="262">
        <f>ROW()</f>
        <v>1770</v>
      </c>
      <c r="C1770" s="208"/>
      <c r="D1770" s="208"/>
      <c r="E1770" s="208"/>
      <c r="F1770" s="208"/>
      <c r="G1770" s="208"/>
      <c r="H1770" s="208"/>
      <c r="J1770" s="114" t="str">
        <f t="shared" si="814"/>
        <v/>
      </c>
      <c r="K1770" s="114" t="str">
        <f>IF(COUNTBLANK(R1770)&gt;0,"",CONCATENATE(R1770," for ",N1753))</f>
        <v>Auto/Off/On switch for Medium VSD pump - from MSSB power supply and BMS interface provisions</v>
      </c>
      <c r="N1770" s="123" t="s">
        <v>129</v>
      </c>
      <c r="O1770" s="66" t="s">
        <v>329</v>
      </c>
      <c r="P1770" s="121"/>
      <c r="Q1770" s="121"/>
      <c r="R1770" s="121" t="s">
        <v>304</v>
      </c>
      <c r="S1770" s="133">
        <f>M1753</f>
        <v>0</v>
      </c>
      <c r="T1770" s="120"/>
      <c r="U1770" s="121" t="s">
        <v>292</v>
      </c>
      <c r="V1770" s="133">
        <f t="shared" si="808"/>
        <v>0</v>
      </c>
      <c r="W1770" s="133">
        <f>VLOOKUP(U1770,Sheet1!$B$6:$C$45,2,FALSE)*V1770</f>
        <v>0</v>
      </c>
      <c r="X1770" s="141"/>
      <c r="Y1770" s="122" t="s">
        <v>277</v>
      </c>
      <c r="Z1770" s="146">
        <f>VLOOKUP(Takeoffs!Y1770,Sheet1!$B$6:$C$124,2,FALSE)</f>
        <v>69.540000000000006</v>
      </c>
      <c r="AA1770" s="146">
        <f t="shared" si="809"/>
        <v>0</v>
      </c>
      <c r="AB1770" s="143">
        <f t="shared" si="810"/>
        <v>0</v>
      </c>
      <c r="AC1770" s="133">
        <f t="shared" si="815"/>
        <v>0</v>
      </c>
      <c r="AD1770" s="142">
        <v>1</v>
      </c>
      <c r="AE1770" s="141"/>
      <c r="AF1770" s="121" t="s">
        <v>292</v>
      </c>
      <c r="AG1770" s="146">
        <f>VLOOKUP(Takeoffs!AF1770,Sheet1!$B$6:$C$124,2,FALSE)</f>
        <v>0</v>
      </c>
      <c r="AH1770" s="146">
        <f t="shared" si="811"/>
        <v>0</v>
      </c>
      <c r="AI1770" s="143">
        <f t="shared" si="812"/>
        <v>0</v>
      </c>
      <c r="AJ1770" s="133">
        <f t="shared" si="813"/>
        <v>0</v>
      </c>
      <c r="AK1770" s="142">
        <f t="shared" si="816"/>
        <v>0</v>
      </c>
      <c r="AL1770" s="141"/>
      <c r="AO1770" s="286"/>
      <c r="AP1770" s="284">
        <f t="shared" si="803"/>
        <v>0</v>
      </c>
      <c r="AQ1770" s="281">
        <f t="shared" si="804"/>
        <v>0</v>
      </c>
      <c r="AR1770" s="284">
        <f t="shared" si="805"/>
        <v>0</v>
      </c>
      <c r="AS1770" s="281">
        <f t="shared" si="806"/>
        <v>0</v>
      </c>
      <c r="AT1770" s="284">
        <f t="shared" si="807"/>
        <v>0</v>
      </c>
    </row>
    <row r="1771" spans="1:97" s="114" customFormat="1" ht="30.9" x14ac:dyDescent="0.8">
      <c r="A1771" s="262">
        <f>ROW()</f>
        <v>1771</v>
      </c>
      <c r="C1771" s="208"/>
      <c r="D1771" s="208"/>
      <c r="E1771" s="208"/>
      <c r="F1771" s="208"/>
      <c r="G1771" s="208"/>
      <c r="H1771" s="208"/>
      <c r="J1771" s="114" t="str">
        <f t="shared" si="814"/>
        <v/>
      </c>
      <c r="K1771" s="114" t="str">
        <f>IF(COUNTBLANK(R1771)&gt;0,"",CONCATENATE(R1771," for ",N1753))</f>
        <v/>
      </c>
      <c r="N1771" s="123" t="s">
        <v>130</v>
      </c>
      <c r="O1771" s="66" t="s">
        <v>500</v>
      </c>
      <c r="P1771" s="121"/>
      <c r="Q1771" s="121"/>
      <c r="R1771" s="121"/>
      <c r="S1771" s="133">
        <f>M1753</f>
        <v>0</v>
      </c>
      <c r="T1771" s="120"/>
      <c r="U1771" s="121" t="s">
        <v>292</v>
      </c>
      <c r="V1771" s="133">
        <f t="shared" si="808"/>
        <v>0</v>
      </c>
      <c r="W1771" s="133">
        <f>VLOOKUP(U1771,Sheet1!$B$6:$C$45,2,FALSE)*V1771</f>
        <v>0</v>
      </c>
      <c r="X1771" s="141"/>
      <c r="Y1771" s="121" t="s">
        <v>292</v>
      </c>
      <c r="Z1771" s="146">
        <f>VLOOKUP(Takeoffs!Y1771,Sheet1!$B$6:$C$124,2,FALSE)</f>
        <v>0</v>
      </c>
      <c r="AA1771" s="146">
        <f t="shared" si="809"/>
        <v>0</v>
      </c>
      <c r="AB1771" s="143">
        <f t="shared" si="810"/>
        <v>0</v>
      </c>
      <c r="AC1771" s="133">
        <f t="shared" si="815"/>
        <v>0</v>
      </c>
      <c r="AD1771" s="142">
        <v>1</v>
      </c>
      <c r="AE1771" s="141"/>
      <c r="AF1771" s="121" t="s">
        <v>292</v>
      </c>
      <c r="AG1771" s="146">
        <f>VLOOKUP(Takeoffs!AF1771,Sheet1!$B$6:$C$124,2,FALSE)</f>
        <v>0</v>
      </c>
      <c r="AH1771" s="146">
        <f t="shared" si="811"/>
        <v>0</v>
      </c>
      <c r="AI1771" s="143">
        <f t="shared" si="812"/>
        <v>0</v>
      </c>
      <c r="AJ1771" s="133">
        <f t="shared" si="813"/>
        <v>0</v>
      </c>
      <c r="AK1771" s="142">
        <f t="shared" si="816"/>
        <v>0</v>
      </c>
      <c r="AL1771" s="141"/>
      <c r="AO1771" s="286"/>
      <c r="AP1771" s="284">
        <f t="shared" si="803"/>
        <v>0</v>
      </c>
      <c r="AQ1771" s="281">
        <f t="shared" si="804"/>
        <v>0</v>
      </c>
      <c r="AR1771" s="284">
        <f t="shared" si="805"/>
        <v>0</v>
      </c>
      <c r="AS1771" s="281">
        <f t="shared" si="806"/>
        <v>0</v>
      </c>
      <c r="AT1771" s="284">
        <f t="shared" si="807"/>
        <v>0</v>
      </c>
    </row>
    <row r="1772" spans="1:97" s="114" customFormat="1" ht="30.9" x14ac:dyDescent="0.8">
      <c r="A1772" s="262">
        <f>ROW()</f>
        <v>1772</v>
      </c>
      <c r="C1772" s="208"/>
      <c r="D1772" s="208"/>
      <c r="E1772" s="208"/>
      <c r="F1772" s="208"/>
      <c r="G1772" s="208"/>
      <c r="H1772" s="208"/>
      <c r="J1772" s="114" t="str">
        <f t="shared" si="814"/>
        <v/>
      </c>
      <c r="K1772" s="114" t="str">
        <f>IF(COUNTBLANK(R1772)&gt;0,"",CONCATENATE(R1772," for ",N1753))</f>
        <v/>
      </c>
      <c r="N1772" s="123" t="s">
        <v>131</v>
      </c>
      <c r="O1772" s="66" t="s">
        <v>407</v>
      </c>
      <c r="P1772" s="121"/>
      <c r="Q1772" s="121"/>
      <c r="R1772" s="121"/>
      <c r="S1772" s="133">
        <f>M1753</f>
        <v>0</v>
      </c>
      <c r="T1772" s="120"/>
      <c r="U1772" s="121" t="s">
        <v>292</v>
      </c>
      <c r="V1772" s="133">
        <f t="shared" si="808"/>
        <v>0</v>
      </c>
      <c r="W1772" s="133">
        <f>VLOOKUP(U1772,Sheet1!$B$6:$C$45,2,FALSE)*V1772</f>
        <v>0</v>
      </c>
      <c r="X1772" s="141"/>
      <c r="Y1772" s="121" t="s">
        <v>274</v>
      </c>
      <c r="Z1772" s="146">
        <f>VLOOKUP(Takeoffs!Y1772,Sheet1!$B$6:$C$124,2,FALSE)</f>
        <v>360</v>
      </c>
      <c r="AA1772" s="146">
        <f t="shared" si="809"/>
        <v>0</v>
      </c>
      <c r="AB1772" s="143">
        <f t="shared" si="810"/>
        <v>0</v>
      </c>
      <c r="AC1772" s="133">
        <f t="shared" si="815"/>
        <v>0</v>
      </c>
      <c r="AD1772" s="142">
        <v>1</v>
      </c>
      <c r="AE1772" s="141"/>
      <c r="AF1772" s="121" t="s">
        <v>292</v>
      </c>
      <c r="AG1772" s="146">
        <f>VLOOKUP(Takeoffs!AF1772,Sheet1!$B$6:$C$124,2,FALSE)</f>
        <v>0</v>
      </c>
      <c r="AH1772" s="146">
        <f t="shared" si="811"/>
        <v>0</v>
      </c>
      <c r="AI1772" s="143">
        <f t="shared" si="812"/>
        <v>0</v>
      </c>
      <c r="AJ1772" s="133">
        <f t="shared" si="813"/>
        <v>0</v>
      </c>
      <c r="AK1772" s="142">
        <f t="shared" si="816"/>
        <v>0</v>
      </c>
      <c r="AL1772" s="141"/>
      <c r="AO1772" s="286"/>
      <c r="AP1772" s="284">
        <f t="shared" si="803"/>
        <v>0</v>
      </c>
      <c r="AQ1772" s="281">
        <f t="shared" si="804"/>
        <v>0</v>
      </c>
      <c r="AR1772" s="284">
        <f t="shared" si="805"/>
        <v>0</v>
      </c>
      <c r="AS1772" s="281">
        <f t="shared" si="806"/>
        <v>0</v>
      </c>
      <c r="AT1772" s="284">
        <f t="shared" si="807"/>
        <v>0</v>
      </c>
    </row>
    <row r="1773" spans="1:97" s="114" customFormat="1" ht="30.9" x14ac:dyDescent="0.8">
      <c r="A1773" s="262">
        <f>ROW()</f>
        <v>1773</v>
      </c>
      <c r="C1773" s="208"/>
      <c r="D1773" s="208"/>
      <c r="E1773" s="208"/>
      <c r="F1773" s="208"/>
      <c r="G1773" s="208"/>
      <c r="H1773" s="208"/>
      <c r="J1773" s="114" t="str">
        <f t="shared" si="814"/>
        <v/>
      </c>
      <c r="K1773" s="114" t="str">
        <f>IF(COUNTBLANK(R1773)&gt;0,"",CONCATENATE(R1773," for ",N1753))</f>
        <v/>
      </c>
      <c r="N1773" s="123" t="s">
        <v>132</v>
      </c>
      <c r="O1773" s="66" t="s">
        <v>408</v>
      </c>
      <c r="P1773" s="121"/>
      <c r="Q1773" s="121"/>
      <c r="R1773" s="121"/>
      <c r="S1773" s="133">
        <f>M1753</f>
        <v>0</v>
      </c>
      <c r="T1773" s="120"/>
      <c r="U1773" s="121" t="s">
        <v>362</v>
      </c>
      <c r="V1773" s="133">
        <f t="shared" si="808"/>
        <v>0</v>
      </c>
      <c r="W1773" s="133">
        <f>VLOOKUP(U1773,Sheet1!$B$6:$C$45,2,FALSE)*V1773</f>
        <v>0</v>
      </c>
      <c r="X1773" s="141"/>
      <c r="Y1773" s="121" t="s">
        <v>292</v>
      </c>
      <c r="Z1773" s="146">
        <f>VLOOKUP(Takeoffs!Y1773,Sheet1!$B$6:$C$124,2,FALSE)</f>
        <v>0</v>
      </c>
      <c r="AA1773" s="146">
        <f t="shared" si="809"/>
        <v>0</v>
      </c>
      <c r="AB1773" s="143">
        <f t="shared" si="810"/>
        <v>0</v>
      </c>
      <c r="AC1773" s="133">
        <f t="shared" si="815"/>
        <v>0</v>
      </c>
      <c r="AD1773" s="142">
        <v>1</v>
      </c>
      <c r="AE1773" s="141"/>
      <c r="AF1773" s="121" t="s">
        <v>292</v>
      </c>
      <c r="AG1773" s="146">
        <f>VLOOKUP(Takeoffs!AF1773,Sheet1!$B$6:$C$124,2,FALSE)</f>
        <v>0</v>
      </c>
      <c r="AH1773" s="146">
        <f t="shared" si="811"/>
        <v>0</v>
      </c>
      <c r="AI1773" s="143">
        <f t="shared" si="812"/>
        <v>0</v>
      </c>
      <c r="AJ1773" s="133">
        <f t="shared" si="813"/>
        <v>0</v>
      </c>
      <c r="AK1773" s="142">
        <f t="shared" si="816"/>
        <v>0</v>
      </c>
      <c r="AL1773" s="141"/>
      <c r="AO1773" s="286"/>
      <c r="AP1773" s="284">
        <f t="shared" si="803"/>
        <v>0</v>
      </c>
      <c r="AQ1773" s="281">
        <f t="shared" si="804"/>
        <v>0</v>
      </c>
      <c r="AR1773" s="284">
        <f t="shared" si="805"/>
        <v>0</v>
      </c>
      <c r="AS1773" s="281">
        <f t="shared" si="806"/>
        <v>0</v>
      </c>
      <c r="AT1773" s="284">
        <f t="shared" si="807"/>
        <v>0</v>
      </c>
    </row>
    <row r="1774" spans="1:97" s="128" customFormat="1" ht="31.5" customHeight="1" x14ac:dyDescent="0.8">
      <c r="A1774" s="262">
        <f>ROW()</f>
        <v>1774</v>
      </c>
      <c r="C1774" s="212"/>
      <c r="D1774" s="212"/>
      <c r="E1774" s="212"/>
      <c r="F1774" s="212"/>
      <c r="G1774" s="212"/>
      <c r="H1774" s="212"/>
      <c r="J1774" s="128" t="s">
        <v>377</v>
      </c>
      <c r="L1774" s="128" t="s">
        <v>378</v>
      </c>
      <c r="N1774" s="129"/>
      <c r="O1774" s="130" t="s">
        <v>357</v>
      </c>
      <c r="P1774" s="131">
        <f>V1774+AA1774+AH1774</f>
        <v>0</v>
      </c>
      <c r="Q1774" s="131"/>
      <c r="R1774" s="131"/>
      <c r="S1774" s="130"/>
      <c r="T1774" s="127"/>
      <c r="U1774" s="126" t="s">
        <v>351</v>
      </c>
      <c r="V1774" s="127">
        <f>W1774*80</f>
        <v>0</v>
      </c>
      <c r="W1774" s="147">
        <f>SUM(W1753:W1773)</f>
        <v>0</v>
      </c>
      <c r="X1774" s="148"/>
      <c r="Y1774" s="127" t="s">
        <v>352</v>
      </c>
      <c r="Z1774" s="116"/>
      <c r="AA1774" s="116">
        <f>SUM(AA1753:AA1773)</f>
        <v>0</v>
      </c>
      <c r="AB1774" s="149"/>
      <c r="AC1774" s="149"/>
      <c r="AD1774" s="149"/>
      <c r="AE1774" s="149"/>
      <c r="AF1774" s="127" t="s">
        <v>356</v>
      </c>
      <c r="AG1774" s="116"/>
      <c r="AH1774" s="116">
        <f>SUM(AH1753:AH1773)</f>
        <v>0</v>
      </c>
      <c r="AI1774" s="149"/>
      <c r="AJ1774" s="149"/>
      <c r="AK1774" s="149"/>
      <c r="AL1774" s="149"/>
      <c r="AM1774" s="150">
        <f>P1774</f>
        <v>0</v>
      </c>
      <c r="AO1774" s="286"/>
      <c r="AP1774" s="284">
        <f t="shared" si="803"/>
        <v>0</v>
      </c>
      <c r="AQ1774" s="281">
        <f t="shared" si="804"/>
        <v>0</v>
      </c>
      <c r="AR1774" s="284">
        <f t="shared" si="805"/>
        <v>0</v>
      </c>
      <c r="AS1774" s="281">
        <f t="shared" si="806"/>
        <v>0</v>
      </c>
      <c r="AT1774" s="284">
        <f t="shared" si="807"/>
        <v>0</v>
      </c>
    </row>
    <row r="1775" spans="1:97" s="234" customFormat="1" ht="154.30000000000001" x14ac:dyDescent="0.8">
      <c r="A1775" s="262">
        <f>ROW()</f>
        <v>1775</v>
      </c>
      <c r="B1775" s="234" t="s">
        <v>491</v>
      </c>
      <c r="C1775" s="217" t="str">
        <f>N1753</f>
        <v>Medium VSD pump - from MSSB power supply and BMS interface provisions</v>
      </c>
      <c r="D1775" s="260" t="str">
        <f>IF(B1775="Shopping List",IF(ISNUMBER(SEARCH("MSSB",C1775)),"MSSB",IF(ISNUMBER(SEARCH("local",C1775)),"LOCAL","")))</f>
        <v>MSSB</v>
      </c>
      <c r="E1775" s="238"/>
      <c r="F1775" s="217"/>
      <c r="G1775" s="217"/>
      <c r="H1775" s="245">
        <v>2</v>
      </c>
      <c r="I1775" s="270"/>
      <c r="J1775" s="241" t="str">
        <f>CONCATENATE(O1753," ",L1753, " (",M1753,") ",N1753,".", IF(M1753&gt;1," Each "," This "),"includes supply and install of ",O1754,O1755,O1756,O1757,O1758,O1759,O1760,O1761,O1762,O1763,O1764,O1765,O1766,O1767,O1768,O1769,O1770,O1771,O1772,O1773,J1754,J1755,J1756,J1757,J1758,J1759,J1760,J1761,J1762,J1763,J1764,J1765,J1766,J1767,J1768,J1769,J1770,J1771,J1772,J1773)</f>
        <v xml:space="preserve">Electrical power supply and controls ( Excluding BMS) to Zero (0) Medium VSD pump - from MSSB power supply and BMS interface provisions. This includes supply and install of power and controls. Power for system includes: CB, cabling to VSD, Danfoss VSD, shielded cabling, local isolator, Controls for system includes: controls cabling, contactors/relays, run and fault lights, current switch for pump status, Auto/Off/On switch, BMS terminals for on/off control, trefolyte labelling, and commissioning/testing. </v>
      </c>
      <c r="K1775" s="246">
        <f>P1774</f>
        <v>0</v>
      </c>
      <c r="L1775" s="234" t="str">
        <f>CONCATENATE(Q1754,Q1755,Q1756,Q1757,Q1758,Q1759,Q1760,Q1761,Q1762,Q1763,Q1764,Q1765,Q1766,Q1767,Q1768,Q1769,Q1770,Q1771,Q1772,Q1773,)</f>
        <v/>
      </c>
      <c r="M1775" s="166" t="s">
        <v>367</v>
      </c>
      <c r="N1775" s="160" t="str">
        <f>N1753</f>
        <v>Medium VSD pump - from MSSB power supply and BMS interface provisions</v>
      </c>
      <c r="O1775" s="160" t="s">
        <v>365</v>
      </c>
      <c r="P1775" s="64" t="e">
        <f>P1774/M1753</f>
        <v>#DIV/0!</v>
      </c>
      <c r="Q1775" s="161"/>
      <c r="R1775" s="161"/>
      <c r="S1775" s="160"/>
      <c r="T1775" s="161"/>
      <c r="U1775" s="503" t="s">
        <v>366</v>
      </c>
      <c r="V1775" s="503"/>
      <c r="W1775" s="162" t="e">
        <f>W1774/M1753</f>
        <v>#DIV/0!</v>
      </c>
      <c r="X1775" s="163"/>
      <c r="Y1775" s="501" t="s">
        <v>365</v>
      </c>
      <c r="Z1775" s="501"/>
      <c r="AA1775" s="164" t="e">
        <f>AA1774/M1753</f>
        <v>#DIV/0!</v>
      </c>
      <c r="AB1775" s="161"/>
      <c r="AC1775" s="161"/>
      <c r="AD1775" s="161"/>
      <c r="AE1775" s="161"/>
      <c r="AF1775" s="501" t="s">
        <v>365</v>
      </c>
      <c r="AG1775" s="501"/>
      <c r="AH1775" s="164" t="e">
        <f>AH1774/M1753</f>
        <v>#DIV/0!</v>
      </c>
      <c r="AI1775" s="161"/>
      <c r="AJ1775" s="161"/>
      <c r="AK1775" s="161"/>
      <c r="AL1775" s="247"/>
      <c r="AM1775" s="257"/>
      <c r="AN1775" s="236">
        <f>K1775*1.25</f>
        <v>0</v>
      </c>
      <c r="AO1775" s="286"/>
      <c r="AP1775" s="284">
        <f t="shared" si="803"/>
        <v>0</v>
      </c>
      <c r="AQ1775" s="281">
        <f t="shared" si="804"/>
        <v>0</v>
      </c>
      <c r="AR1775" s="284">
        <f t="shared" si="805"/>
        <v>0</v>
      </c>
      <c r="AS1775" s="281">
        <f t="shared" si="806"/>
        <v>0</v>
      </c>
      <c r="AT1775" s="284">
        <f t="shared" si="807"/>
        <v>0</v>
      </c>
      <c r="AU1775" s="117"/>
      <c r="AV1775" s="117"/>
      <c r="AW1775" s="117"/>
      <c r="AX1775" s="117"/>
      <c r="AY1775" s="117"/>
      <c r="AZ1775" s="117"/>
      <c r="BA1775" s="117"/>
      <c r="BB1775" s="117"/>
      <c r="BC1775" s="117"/>
      <c r="BD1775" s="117"/>
      <c r="BE1775" s="117"/>
      <c r="BF1775" s="117"/>
      <c r="BG1775" s="117"/>
      <c r="BH1775" s="117"/>
      <c r="BI1775" s="117"/>
      <c r="BJ1775" s="117"/>
      <c r="BK1775" s="117"/>
      <c r="BL1775" s="117"/>
      <c r="BM1775" s="117"/>
      <c r="BN1775" s="117"/>
      <c r="BO1775" s="117"/>
      <c r="BP1775" s="117"/>
      <c r="BQ1775" s="117"/>
      <c r="BR1775" s="117"/>
      <c r="BS1775" s="117"/>
      <c r="BT1775" s="117"/>
      <c r="BU1775" s="117"/>
      <c r="BV1775" s="117"/>
      <c r="BW1775" s="117"/>
      <c r="BX1775" s="117"/>
      <c r="BY1775" s="117"/>
      <c r="BZ1775" s="117"/>
      <c r="CA1775" s="117"/>
      <c r="CB1775" s="117"/>
      <c r="CC1775" s="117"/>
      <c r="CD1775" s="117"/>
      <c r="CE1775" s="117"/>
      <c r="CF1775" s="117"/>
      <c r="CG1775" s="117"/>
      <c r="CH1775" s="117"/>
      <c r="CI1775" s="117"/>
      <c r="CJ1775" s="117"/>
      <c r="CK1775" s="117"/>
      <c r="CL1775" s="117"/>
      <c r="CM1775" s="117"/>
      <c r="CN1775" s="117"/>
      <c r="CO1775" s="117"/>
      <c r="CP1775" s="117"/>
      <c r="CQ1775" s="117"/>
      <c r="CR1775" s="117"/>
      <c r="CS1775" s="117"/>
    </row>
    <row r="1776" spans="1:97" s="261" customFormat="1" ht="92.6" x14ac:dyDescent="1.2">
      <c r="A1776" s="262">
        <f>ROW()</f>
        <v>1776</v>
      </c>
      <c r="B1776" s="261" t="s">
        <v>491</v>
      </c>
      <c r="D1776" s="261" t="str">
        <f>IF(B1776="Shopping List",IF(ISNUMBER(SEARCH("MSSB",C1776)),"MSSB",IF(ISNUMBER(SEARCH("local",C1776)),"LOCAL","")))</f>
        <v/>
      </c>
      <c r="I1776" s="269">
        <f>SUM(I1800:I1896)</f>
        <v>0</v>
      </c>
      <c r="J1776" s="261" t="s">
        <v>495</v>
      </c>
      <c r="L1776" s="261" t="str">
        <f>J1776</f>
        <v>Smoke Management</v>
      </c>
      <c r="AN1776" s="261">
        <f>K1776*1.25</f>
        <v>0</v>
      </c>
      <c r="AO1776" s="289"/>
      <c r="AP1776" s="284">
        <f t="shared" si="803"/>
        <v>0</v>
      </c>
      <c r="AQ1776" s="281">
        <f t="shared" si="804"/>
        <v>0</v>
      </c>
      <c r="AR1776" s="284">
        <f t="shared" si="805"/>
        <v>0</v>
      </c>
      <c r="AS1776" s="281">
        <f t="shared" si="806"/>
        <v>0</v>
      </c>
      <c r="AT1776" s="284">
        <f t="shared" si="807"/>
        <v>0</v>
      </c>
    </row>
    <row r="1777" spans="1:46" s="116" customFormat="1" ht="192.75" customHeight="1" x14ac:dyDescent="0.8">
      <c r="A1777" s="262">
        <f>ROW()</f>
        <v>1777</v>
      </c>
      <c r="C1777" s="211"/>
      <c r="D1777" s="211"/>
      <c r="E1777" s="211"/>
      <c r="F1777" s="211"/>
      <c r="G1777" s="211"/>
      <c r="H1777" s="211"/>
      <c r="K1777" s="116" t="s">
        <v>452</v>
      </c>
      <c r="M1777" s="116" t="s">
        <v>107</v>
      </c>
      <c r="N1777" s="116" t="s">
        <v>108</v>
      </c>
      <c r="O1777" s="170" t="s">
        <v>386</v>
      </c>
      <c r="P1777" s="502" t="s">
        <v>375</v>
      </c>
      <c r="Q1777" s="502"/>
      <c r="R1777" s="101" t="s">
        <v>452</v>
      </c>
      <c r="S1777" s="116" t="s">
        <v>0</v>
      </c>
      <c r="T1777" s="118"/>
      <c r="U1777" s="116" t="s">
        <v>287</v>
      </c>
      <c r="V1777" s="116" t="s">
        <v>288</v>
      </c>
      <c r="W1777" s="116" t="s">
        <v>291</v>
      </c>
      <c r="X1777" s="140"/>
      <c r="Y1777" s="116" t="s">
        <v>289</v>
      </c>
      <c r="Z1777" s="116" t="s">
        <v>354</v>
      </c>
      <c r="AA1777" s="116" t="s">
        <v>355</v>
      </c>
      <c r="AB1777" s="116" t="s">
        <v>317</v>
      </c>
      <c r="AC1777" s="116" t="s">
        <v>318</v>
      </c>
      <c r="AD1777" s="116" t="s">
        <v>316</v>
      </c>
      <c r="AE1777" s="140"/>
      <c r="AF1777" s="116" t="s">
        <v>293</v>
      </c>
      <c r="AG1777" s="116" t="s">
        <v>354</v>
      </c>
      <c r="AH1777" s="116" t="s">
        <v>355</v>
      </c>
      <c r="AI1777" s="116" t="s">
        <v>296</v>
      </c>
      <c r="AJ1777" s="116" t="s">
        <v>294</v>
      </c>
      <c r="AK1777" s="116" t="s">
        <v>295</v>
      </c>
      <c r="AL1777" s="140"/>
      <c r="AO1777" s="288"/>
      <c r="AP1777" s="284">
        <f t="shared" si="803"/>
        <v>0</v>
      </c>
      <c r="AQ1777" s="281">
        <f t="shared" si="804"/>
        <v>0</v>
      </c>
      <c r="AR1777" s="284">
        <f t="shared" si="805"/>
        <v>0</v>
      </c>
      <c r="AS1777" s="281">
        <f t="shared" si="806"/>
        <v>0</v>
      </c>
      <c r="AT1777" s="284">
        <f t="shared" si="807"/>
        <v>0</v>
      </c>
    </row>
    <row r="1778" spans="1:46" s="114" customFormat="1" ht="31.5" customHeight="1" x14ac:dyDescent="0.8">
      <c r="A1778" s="262">
        <f>ROW()</f>
        <v>1778</v>
      </c>
      <c r="C1778" s="208"/>
      <c r="D1778" s="208"/>
      <c r="E1778" s="208"/>
      <c r="F1778" s="208"/>
      <c r="G1778" s="208"/>
      <c r="H1778" s="208"/>
      <c r="L1778" s="124" t="str">
        <f>VLOOKUP(M1778,Sheet2!$D$2:$E$1024,2,FALSE)</f>
        <v>Zero</v>
      </c>
      <c r="M1778" s="121">
        <f>I1800</f>
        <v>0</v>
      </c>
      <c r="N1778" s="132" t="s">
        <v>568</v>
      </c>
      <c r="O1778" s="121" t="s">
        <v>347</v>
      </c>
      <c r="P1778" s="169" t="s">
        <v>379</v>
      </c>
      <c r="Q1778" s="169" t="s">
        <v>375</v>
      </c>
      <c r="R1778" s="169"/>
      <c r="S1778" s="133">
        <f>M1778</f>
        <v>0</v>
      </c>
      <c r="T1778" s="119"/>
      <c r="U1778" s="153" t="s">
        <v>292</v>
      </c>
      <c r="V1778" s="133">
        <f>S1778</f>
        <v>0</v>
      </c>
      <c r="W1778" s="133">
        <f>VLOOKUP(U1778,Sheet1!$B$6:$C$45,2,FALSE)*V1778</f>
        <v>0</v>
      </c>
      <c r="X1778" s="141"/>
      <c r="Y1778" s="121" t="s">
        <v>292</v>
      </c>
      <c r="Z1778" s="146">
        <f>VLOOKUP(Takeoffs!Y1778,Sheet1!$B$6:$C$124,2,FALSE)</f>
        <v>0</v>
      </c>
      <c r="AA1778" s="146">
        <f>Z1778*AB1778</f>
        <v>0</v>
      </c>
      <c r="AB1778" s="143">
        <f>AD1778*AC1778</f>
        <v>0</v>
      </c>
      <c r="AC1778" s="133">
        <f>S1778</f>
        <v>0</v>
      </c>
      <c r="AD1778" s="142">
        <v>1</v>
      </c>
      <c r="AE1778" s="141"/>
      <c r="AF1778" s="121" t="s">
        <v>292</v>
      </c>
      <c r="AG1778" s="146">
        <f>VLOOKUP(Takeoffs!AF1778,Sheet1!$B$6:$C$124,2,FALSE)</f>
        <v>0</v>
      </c>
      <c r="AH1778" s="146">
        <f>AG1778*AI1778</f>
        <v>0</v>
      </c>
      <c r="AI1778" s="143">
        <f>AK1778*AJ1778</f>
        <v>0</v>
      </c>
      <c r="AJ1778" s="133">
        <f>S1778</f>
        <v>0</v>
      </c>
      <c r="AK1778" s="142">
        <f>T1778</f>
        <v>0</v>
      </c>
      <c r="AL1778" s="141"/>
      <c r="AO1778" s="286"/>
      <c r="AP1778" s="284">
        <f t="shared" si="803"/>
        <v>0</v>
      </c>
      <c r="AQ1778" s="281">
        <f t="shared" si="804"/>
        <v>0</v>
      </c>
      <c r="AR1778" s="284">
        <f t="shared" si="805"/>
        <v>0</v>
      </c>
      <c r="AS1778" s="281">
        <f t="shared" si="806"/>
        <v>0</v>
      </c>
      <c r="AT1778" s="284">
        <f t="shared" si="807"/>
        <v>0</v>
      </c>
    </row>
    <row r="1779" spans="1:46" s="114" customFormat="1" ht="30.9" x14ac:dyDescent="0.8">
      <c r="A1779" s="262">
        <f>ROW()</f>
        <v>1779</v>
      </c>
      <c r="C1779" s="208"/>
      <c r="D1779" s="208"/>
      <c r="E1779" s="208"/>
      <c r="F1779" s="208"/>
      <c r="G1779" s="208"/>
      <c r="H1779" s="208"/>
      <c r="J1779" s="114" t="str">
        <f>IF(COUNTBLANK(Q1779)&gt;0,"",CONCATENATE("Coordination Note: - ",P1779,": Please refer to our exclusions relating to ",Q1779))</f>
        <v/>
      </c>
      <c r="K1779" s="114" t="str">
        <f>IF(COUNTBLANK(R1779)&gt;0,"",CONCATENATE(R1779," for ",N1778))</f>
        <v/>
      </c>
      <c r="M1779" s="117"/>
      <c r="N1779" s="123" t="s">
        <v>113</v>
      </c>
      <c r="O1779" s="66" t="s">
        <v>411</v>
      </c>
      <c r="P1779" s="121"/>
      <c r="Q1779" s="121"/>
      <c r="R1779" s="121"/>
      <c r="S1779" s="133">
        <f>M1778</f>
        <v>0</v>
      </c>
      <c r="T1779" s="120"/>
      <c r="U1779" s="121" t="s">
        <v>235</v>
      </c>
      <c r="V1779" s="133">
        <f t="shared" ref="V1779:V1798" si="817">S1779</f>
        <v>0</v>
      </c>
      <c r="W1779" s="133">
        <f>VLOOKUP(U1779,Sheet1!$B$6:$C$45,2,FALSE)*V1779</f>
        <v>0</v>
      </c>
      <c r="X1779" s="141"/>
      <c r="Y1779" s="121" t="s">
        <v>292</v>
      </c>
      <c r="Z1779" s="146">
        <f>VLOOKUP(Takeoffs!Y1779,Sheet1!$B$6:$C$124,2,FALSE)</f>
        <v>0</v>
      </c>
      <c r="AA1779" s="146">
        <f t="shared" ref="AA1779:AA1798" si="818">Z1779*AB1779</f>
        <v>0</v>
      </c>
      <c r="AB1779" s="143">
        <f t="shared" ref="AB1779:AB1798" si="819">AD1779*AC1779</f>
        <v>0</v>
      </c>
      <c r="AC1779" s="133">
        <f t="shared" ref="AC1779:AC1798" si="820">S1779</f>
        <v>0</v>
      </c>
      <c r="AD1779" s="142">
        <v>1</v>
      </c>
      <c r="AE1779" s="141"/>
      <c r="AF1779" s="121" t="s">
        <v>292</v>
      </c>
      <c r="AG1779" s="146">
        <f>VLOOKUP(Takeoffs!AF1779,Sheet1!$B$6:$C$124,2,FALSE)</f>
        <v>0</v>
      </c>
      <c r="AH1779" s="146">
        <f t="shared" ref="AH1779:AH1798" si="821">AG1779*AI1779</f>
        <v>0</v>
      </c>
      <c r="AI1779" s="143">
        <f t="shared" ref="AI1779:AI1798" si="822">AK1779*AJ1779</f>
        <v>0</v>
      </c>
      <c r="AJ1779" s="133">
        <f t="shared" ref="AJ1779:AJ1798" si="823">S1779</f>
        <v>0</v>
      </c>
      <c r="AK1779" s="142"/>
      <c r="AL1779" s="141"/>
      <c r="AO1779" s="286"/>
      <c r="AP1779" s="284">
        <f t="shared" si="803"/>
        <v>0</v>
      </c>
      <c r="AQ1779" s="281">
        <f t="shared" si="804"/>
        <v>0</v>
      </c>
      <c r="AR1779" s="284">
        <f t="shared" si="805"/>
        <v>0</v>
      </c>
      <c r="AS1779" s="281">
        <f t="shared" si="806"/>
        <v>0</v>
      </c>
      <c r="AT1779" s="284">
        <f t="shared" si="807"/>
        <v>0</v>
      </c>
    </row>
    <row r="1780" spans="1:46" s="114" customFormat="1" ht="30.9" x14ac:dyDescent="0.8">
      <c r="A1780" s="262">
        <f>ROW()</f>
        <v>1780</v>
      </c>
      <c r="C1780" s="208"/>
      <c r="D1780" s="208"/>
      <c r="E1780" s="208"/>
      <c r="F1780" s="208"/>
      <c r="G1780" s="208"/>
      <c r="H1780" s="208"/>
      <c r="J1780" s="114" t="str">
        <f t="shared" ref="J1780:J1798" si="824">IF(COUNTBLANK(Q1780)&gt;0,"",CONCATENATE("Coordination Note: - ",P1780,": Please refer to our exclusions relating to ",Q1780))</f>
        <v/>
      </c>
      <c r="K1780" s="114" t="str">
        <f>IF(COUNTBLANK(R1780)&gt;0,"",CONCATENATE(R1780," for ",N1778))</f>
        <v/>
      </c>
      <c r="M1780" s="117"/>
      <c r="N1780" s="123" t="s">
        <v>114</v>
      </c>
      <c r="O1780" s="66" t="s">
        <v>308</v>
      </c>
      <c r="P1780" s="121"/>
      <c r="Q1780" s="121"/>
      <c r="R1780" s="121"/>
      <c r="S1780" s="133">
        <f>M1778</f>
        <v>0</v>
      </c>
      <c r="T1780" s="120"/>
      <c r="U1780" s="121" t="s">
        <v>292</v>
      </c>
      <c r="V1780" s="133">
        <f t="shared" si="817"/>
        <v>0</v>
      </c>
      <c r="W1780" s="133">
        <f>VLOOKUP(U1780,Sheet1!$B$6:$C$45,2,FALSE)*V1780</f>
        <v>0</v>
      </c>
      <c r="X1780" s="141"/>
      <c r="Y1780" s="122" t="s">
        <v>252</v>
      </c>
      <c r="Z1780" s="146">
        <f>VLOOKUP(Takeoffs!Y1780,Sheet1!$B$6:$C$124,2,FALSE)</f>
        <v>43.440000000000005</v>
      </c>
      <c r="AA1780" s="146">
        <f t="shared" si="818"/>
        <v>0</v>
      </c>
      <c r="AB1780" s="143">
        <f t="shared" si="819"/>
        <v>0</v>
      </c>
      <c r="AC1780" s="133">
        <f t="shared" si="820"/>
        <v>0</v>
      </c>
      <c r="AD1780" s="142">
        <v>1</v>
      </c>
      <c r="AE1780" s="141"/>
      <c r="AF1780" s="121" t="s">
        <v>292</v>
      </c>
      <c r="AG1780" s="146">
        <f>VLOOKUP(Takeoffs!AF1780,Sheet1!$B$6:$C$124,2,FALSE)</f>
        <v>0</v>
      </c>
      <c r="AH1780" s="146">
        <f t="shared" si="821"/>
        <v>0</v>
      </c>
      <c r="AI1780" s="143">
        <f t="shared" si="822"/>
        <v>0</v>
      </c>
      <c r="AJ1780" s="133">
        <f t="shared" si="823"/>
        <v>0</v>
      </c>
      <c r="AK1780" s="142">
        <f>T1780</f>
        <v>0</v>
      </c>
      <c r="AL1780" s="141"/>
      <c r="AO1780" s="286"/>
      <c r="AP1780" s="284">
        <f t="shared" si="803"/>
        <v>0</v>
      </c>
      <c r="AQ1780" s="281">
        <f t="shared" si="804"/>
        <v>0</v>
      </c>
      <c r="AR1780" s="284">
        <f t="shared" si="805"/>
        <v>0</v>
      </c>
      <c r="AS1780" s="281">
        <f t="shared" si="806"/>
        <v>0</v>
      </c>
      <c r="AT1780" s="284">
        <f t="shared" si="807"/>
        <v>0</v>
      </c>
    </row>
    <row r="1781" spans="1:46" s="114" customFormat="1" ht="30.9" x14ac:dyDescent="0.8">
      <c r="A1781" s="262">
        <f>ROW()</f>
        <v>1781</v>
      </c>
      <c r="C1781" s="208"/>
      <c r="D1781" s="208"/>
      <c r="E1781" s="208"/>
      <c r="F1781" s="208"/>
      <c r="G1781" s="208"/>
      <c r="H1781" s="208"/>
      <c r="J1781" s="114" t="str">
        <f t="shared" si="824"/>
        <v/>
      </c>
      <c r="K1781" s="114" t="str">
        <f>IF(COUNTBLANK(R1781)&gt;0,"",CONCATENATE(R1781," for ",N1778))</f>
        <v/>
      </c>
      <c r="M1781" s="117"/>
      <c r="N1781" s="123" t="s">
        <v>115</v>
      </c>
      <c r="O1781" s="66" t="s">
        <v>305</v>
      </c>
      <c r="P1781" s="121"/>
      <c r="Q1781" s="121"/>
      <c r="R1781" s="121"/>
      <c r="S1781" s="133">
        <f>M1778</f>
        <v>0</v>
      </c>
      <c r="T1781" s="120"/>
      <c r="U1781" s="121" t="s">
        <v>361</v>
      </c>
      <c r="V1781" s="133">
        <f t="shared" si="817"/>
        <v>0</v>
      </c>
      <c r="W1781" s="133">
        <f>VLOOKUP(U1781,Sheet1!$B$6:$C$45,2,FALSE)*V1781</f>
        <v>0</v>
      </c>
      <c r="X1781" s="141"/>
      <c r="Y1781" s="121" t="s">
        <v>292</v>
      </c>
      <c r="Z1781" s="146">
        <f>VLOOKUP(Takeoffs!Y1781,Sheet1!$B$6:$C$124,2,FALSE)</f>
        <v>0</v>
      </c>
      <c r="AA1781" s="146">
        <f t="shared" si="818"/>
        <v>0</v>
      </c>
      <c r="AB1781" s="143">
        <f t="shared" si="819"/>
        <v>0</v>
      </c>
      <c r="AC1781" s="133">
        <f t="shared" si="820"/>
        <v>0</v>
      </c>
      <c r="AD1781" s="142">
        <v>1</v>
      </c>
      <c r="AE1781" s="141"/>
      <c r="AF1781" s="122" t="s">
        <v>267</v>
      </c>
      <c r="AG1781" s="146">
        <f>VLOOKUP(Takeoffs!AF1781,Sheet1!$B$6:$C$124,2,FALSE)</f>
        <v>3.48</v>
      </c>
      <c r="AH1781" s="146">
        <f t="shared" si="821"/>
        <v>0</v>
      </c>
      <c r="AI1781" s="143">
        <f t="shared" si="822"/>
        <v>0</v>
      </c>
      <c r="AJ1781" s="133">
        <f t="shared" si="823"/>
        <v>0</v>
      </c>
      <c r="AK1781" s="142">
        <v>1.5</v>
      </c>
      <c r="AL1781" s="141"/>
      <c r="AO1781" s="286"/>
      <c r="AP1781" s="284">
        <f t="shared" si="803"/>
        <v>0</v>
      </c>
      <c r="AQ1781" s="281">
        <f t="shared" si="804"/>
        <v>0</v>
      </c>
      <c r="AR1781" s="284">
        <f t="shared" si="805"/>
        <v>0</v>
      </c>
      <c r="AS1781" s="281">
        <f t="shared" si="806"/>
        <v>0</v>
      </c>
      <c r="AT1781" s="284">
        <f t="shared" si="807"/>
        <v>0</v>
      </c>
    </row>
    <row r="1782" spans="1:46" s="114" customFormat="1" ht="30.9" x14ac:dyDescent="0.8">
      <c r="A1782" s="262">
        <f>ROW()</f>
        <v>1782</v>
      </c>
      <c r="C1782" s="208"/>
      <c r="D1782" s="208"/>
      <c r="E1782" s="208"/>
      <c r="F1782" s="208"/>
      <c r="G1782" s="208"/>
      <c r="H1782" s="208"/>
      <c r="J1782" s="114" t="str">
        <f t="shared" si="824"/>
        <v/>
      </c>
      <c r="K1782" s="114" t="str">
        <f>IF(COUNTBLANK(R1782)&gt;0,"",CONCATENATE(R1782," for ",N1778))</f>
        <v/>
      </c>
      <c r="M1782" s="117"/>
      <c r="N1782" s="123" t="s">
        <v>116</v>
      </c>
      <c r="O1782" s="66" t="s">
        <v>391</v>
      </c>
      <c r="P1782" s="121"/>
      <c r="Q1782" s="121"/>
      <c r="R1782" s="121"/>
      <c r="S1782" s="133">
        <f>M1778</f>
        <v>0</v>
      </c>
      <c r="T1782" s="120"/>
      <c r="U1782" s="121" t="s">
        <v>292</v>
      </c>
      <c r="V1782" s="133">
        <f t="shared" si="817"/>
        <v>0</v>
      </c>
      <c r="W1782" s="133">
        <f>VLOOKUP(U1782,Sheet1!$B$6:$C$45,2,FALSE)*V1782</f>
        <v>0</v>
      </c>
      <c r="X1782" s="141"/>
      <c r="Y1782" s="122" t="s">
        <v>265</v>
      </c>
      <c r="Z1782" s="146">
        <f>VLOOKUP(Takeoffs!Y1782,Sheet1!$B$6:$C$124,2,FALSE)</f>
        <v>971.52</v>
      </c>
      <c r="AA1782" s="146">
        <f t="shared" si="818"/>
        <v>0</v>
      </c>
      <c r="AB1782" s="143">
        <f t="shared" si="819"/>
        <v>0</v>
      </c>
      <c r="AC1782" s="133">
        <f t="shared" si="820"/>
        <v>0</v>
      </c>
      <c r="AD1782" s="142">
        <v>1</v>
      </c>
      <c r="AE1782" s="141"/>
      <c r="AF1782" s="121" t="s">
        <v>292</v>
      </c>
      <c r="AG1782" s="146">
        <f>VLOOKUP(Takeoffs!AF1782,Sheet1!$B$6:$C$124,2,FALSE)</f>
        <v>0</v>
      </c>
      <c r="AH1782" s="146">
        <f t="shared" si="821"/>
        <v>0</v>
      </c>
      <c r="AI1782" s="143">
        <f t="shared" si="822"/>
        <v>0</v>
      </c>
      <c r="AJ1782" s="133">
        <f t="shared" si="823"/>
        <v>0</v>
      </c>
      <c r="AK1782" s="142">
        <f>T1782</f>
        <v>0</v>
      </c>
      <c r="AL1782" s="141"/>
      <c r="AO1782" s="286"/>
      <c r="AP1782" s="284">
        <f t="shared" si="803"/>
        <v>0</v>
      </c>
      <c r="AQ1782" s="281">
        <f t="shared" si="804"/>
        <v>0</v>
      </c>
      <c r="AR1782" s="284">
        <f t="shared" si="805"/>
        <v>0</v>
      </c>
      <c r="AS1782" s="281">
        <f t="shared" si="806"/>
        <v>0</v>
      </c>
      <c r="AT1782" s="284">
        <f t="shared" si="807"/>
        <v>0</v>
      </c>
    </row>
    <row r="1783" spans="1:46" s="114" customFormat="1" ht="30.9" x14ac:dyDescent="0.8">
      <c r="A1783" s="262">
        <f>ROW()</f>
        <v>1783</v>
      </c>
      <c r="C1783" s="208"/>
      <c r="D1783" s="208"/>
      <c r="E1783" s="208"/>
      <c r="F1783" s="208"/>
      <c r="G1783" s="208"/>
      <c r="H1783" s="208"/>
      <c r="J1783" s="114" t="str">
        <f t="shared" si="824"/>
        <v/>
      </c>
      <c r="K1783" s="114" t="str">
        <f>IF(COUNTBLANK(R1783)&gt;0,"",CONCATENATE(R1783," for ",N1778))</f>
        <v/>
      </c>
      <c r="M1783" s="117"/>
      <c r="N1783" s="123" t="s">
        <v>117</v>
      </c>
      <c r="O1783" s="66" t="s">
        <v>390</v>
      </c>
      <c r="P1783" s="121"/>
      <c r="Q1783" s="121"/>
      <c r="R1783" s="121"/>
      <c r="S1783" s="133">
        <f>M1778</f>
        <v>0</v>
      </c>
      <c r="T1783" s="120"/>
      <c r="U1783" s="121" t="s">
        <v>292</v>
      </c>
      <c r="V1783" s="133">
        <f t="shared" si="817"/>
        <v>0</v>
      </c>
      <c r="W1783" s="133">
        <f>VLOOKUP(U1783,Sheet1!$B$6:$C$45,2,FALSE)*V1783</f>
        <v>0</v>
      </c>
      <c r="X1783" s="141"/>
      <c r="Y1783" s="121" t="s">
        <v>292</v>
      </c>
      <c r="Z1783" s="146">
        <f>VLOOKUP(Takeoffs!Y1783,Sheet1!$B$6:$C$124,2,FALSE)</f>
        <v>0</v>
      </c>
      <c r="AA1783" s="146">
        <f t="shared" si="818"/>
        <v>0</v>
      </c>
      <c r="AB1783" s="143">
        <f t="shared" si="819"/>
        <v>0</v>
      </c>
      <c r="AC1783" s="133">
        <f t="shared" si="820"/>
        <v>0</v>
      </c>
      <c r="AD1783" s="142">
        <v>1</v>
      </c>
      <c r="AE1783" s="141"/>
      <c r="AF1783" s="122" t="s">
        <v>270</v>
      </c>
      <c r="AG1783" s="146">
        <f>VLOOKUP(Takeoffs!AF1783,Sheet1!$B$6:$C$124,2,FALSE)</f>
        <v>5.7960000000000003</v>
      </c>
      <c r="AH1783" s="146">
        <f t="shared" si="821"/>
        <v>0</v>
      </c>
      <c r="AI1783" s="143">
        <f t="shared" si="822"/>
        <v>0</v>
      </c>
      <c r="AJ1783" s="133">
        <f t="shared" si="823"/>
        <v>0</v>
      </c>
      <c r="AK1783" s="142">
        <v>15</v>
      </c>
      <c r="AL1783" s="141"/>
      <c r="AO1783" s="286"/>
      <c r="AP1783" s="284">
        <f t="shared" si="803"/>
        <v>0</v>
      </c>
      <c r="AQ1783" s="281">
        <f t="shared" si="804"/>
        <v>0</v>
      </c>
      <c r="AR1783" s="284">
        <f t="shared" si="805"/>
        <v>0</v>
      </c>
      <c r="AS1783" s="281">
        <f t="shared" si="806"/>
        <v>0</v>
      </c>
      <c r="AT1783" s="284">
        <f t="shared" si="807"/>
        <v>0</v>
      </c>
    </row>
    <row r="1784" spans="1:46" s="114" customFormat="1" ht="30.9" x14ac:dyDescent="0.8">
      <c r="A1784" s="262">
        <f>ROW()</f>
        <v>1784</v>
      </c>
      <c r="C1784" s="208"/>
      <c r="D1784" s="208"/>
      <c r="E1784" s="208"/>
      <c r="F1784" s="208"/>
      <c r="G1784" s="208"/>
      <c r="H1784" s="208"/>
      <c r="J1784" s="114" t="str">
        <f t="shared" si="824"/>
        <v/>
      </c>
      <c r="K1784" s="114" t="str">
        <f>IF(COUNTBLANK(R1784)&gt;0,"",CONCATENATE(R1784," for ",N1778))</f>
        <v/>
      </c>
      <c r="M1784" s="117"/>
      <c r="N1784" s="123" t="s">
        <v>118</v>
      </c>
      <c r="O1784" s="66" t="s">
        <v>309</v>
      </c>
      <c r="P1784" s="121"/>
      <c r="Q1784" s="121"/>
      <c r="R1784" s="121"/>
      <c r="S1784" s="133">
        <f>M1778</f>
        <v>0</v>
      </c>
      <c r="T1784" s="120"/>
      <c r="U1784" s="121" t="s">
        <v>292</v>
      </c>
      <c r="V1784" s="133">
        <f t="shared" si="817"/>
        <v>0</v>
      </c>
      <c r="W1784" s="133">
        <f>VLOOKUP(U1784,Sheet1!$B$6:$C$45,2,FALSE)*V1784</f>
        <v>0</v>
      </c>
      <c r="X1784" s="141"/>
      <c r="Y1784" s="122" t="s">
        <v>245</v>
      </c>
      <c r="Z1784" s="146">
        <f>VLOOKUP(Takeoffs!Y1784,Sheet1!$B$6:$C$124,2,FALSE)</f>
        <v>46.463999999999999</v>
      </c>
      <c r="AA1784" s="146">
        <f t="shared" si="818"/>
        <v>0</v>
      </c>
      <c r="AB1784" s="143">
        <f t="shared" si="819"/>
        <v>0</v>
      </c>
      <c r="AC1784" s="133">
        <f t="shared" si="820"/>
        <v>0</v>
      </c>
      <c r="AD1784" s="142">
        <v>1</v>
      </c>
      <c r="AE1784" s="141"/>
      <c r="AF1784" s="121" t="s">
        <v>292</v>
      </c>
      <c r="AG1784" s="146">
        <f>VLOOKUP(Takeoffs!AF1784,Sheet1!$B$6:$C$124,2,FALSE)</f>
        <v>0</v>
      </c>
      <c r="AH1784" s="146">
        <f t="shared" si="821"/>
        <v>0</v>
      </c>
      <c r="AI1784" s="143">
        <f t="shared" si="822"/>
        <v>0</v>
      </c>
      <c r="AJ1784" s="133">
        <f t="shared" si="823"/>
        <v>0</v>
      </c>
      <c r="AK1784" s="142">
        <f>T1784</f>
        <v>0</v>
      </c>
      <c r="AL1784" s="141"/>
      <c r="AO1784" s="286"/>
      <c r="AP1784" s="284">
        <f t="shared" si="803"/>
        <v>0</v>
      </c>
      <c r="AQ1784" s="281">
        <f t="shared" si="804"/>
        <v>0</v>
      </c>
      <c r="AR1784" s="284">
        <f t="shared" si="805"/>
        <v>0</v>
      </c>
      <c r="AS1784" s="281">
        <f t="shared" si="806"/>
        <v>0</v>
      </c>
      <c r="AT1784" s="284">
        <f t="shared" si="807"/>
        <v>0</v>
      </c>
    </row>
    <row r="1785" spans="1:46" s="114" customFormat="1" ht="30.9" x14ac:dyDescent="0.8">
      <c r="A1785" s="262">
        <f>ROW()</f>
        <v>1785</v>
      </c>
      <c r="C1785" s="208"/>
      <c r="D1785" s="208"/>
      <c r="E1785" s="208"/>
      <c r="F1785" s="208"/>
      <c r="G1785" s="208"/>
      <c r="H1785" s="208"/>
      <c r="J1785" s="114" t="str">
        <f t="shared" si="824"/>
        <v/>
      </c>
      <c r="K1785" s="114" t="str">
        <f>IF(COUNTBLANK(R1785)&gt;0,"",CONCATENATE(R1785," for ",N1778))</f>
        <v/>
      </c>
      <c r="N1785" s="123" t="s">
        <v>119</v>
      </c>
      <c r="O1785" s="66" t="s">
        <v>310</v>
      </c>
      <c r="P1785" s="121"/>
      <c r="Q1785" s="121"/>
      <c r="R1785" s="121"/>
      <c r="S1785" s="133">
        <f>M1778</f>
        <v>0</v>
      </c>
      <c r="T1785" s="120"/>
      <c r="U1785" s="121" t="s">
        <v>292</v>
      </c>
      <c r="V1785" s="133">
        <f t="shared" si="817"/>
        <v>0</v>
      </c>
      <c r="W1785" s="133">
        <f>VLOOKUP(U1785,Sheet1!$B$6:$C$45,2,FALSE)*V1785</f>
        <v>0</v>
      </c>
      <c r="X1785" s="141"/>
      <c r="Y1785" s="122" t="s">
        <v>278</v>
      </c>
      <c r="Z1785" s="146">
        <f>VLOOKUP(Takeoffs!Y1785,Sheet1!$B$6:$C$124,2,FALSE)</f>
        <v>36</v>
      </c>
      <c r="AA1785" s="146">
        <f t="shared" si="818"/>
        <v>0</v>
      </c>
      <c r="AB1785" s="143">
        <f t="shared" si="819"/>
        <v>0</v>
      </c>
      <c r="AC1785" s="133">
        <f t="shared" si="820"/>
        <v>0</v>
      </c>
      <c r="AD1785" s="142">
        <v>1</v>
      </c>
      <c r="AE1785" s="141"/>
      <c r="AF1785" s="121" t="s">
        <v>292</v>
      </c>
      <c r="AG1785" s="146">
        <f>VLOOKUP(Takeoffs!AF1785,Sheet1!$B$6:$C$124,2,FALSE)</f>
        <v>0</v>
      </c>
      <c r="AH1785" s="146">
        <f t="shared" si="821"/>
        <v>0</v>
      </c>
      <c r="AI1785" s="143">
        <f t="shared" si="822"/>
        <v>0</v>
      </c>
      <c r="AJ1785" s="133">
        <f t="shared" si="823"/>
        <v>0</v>
      </c>
      <c r="AK1785" s="142">
        <f>T1785</f>
        <v>0</v>
      </c>
      <c r="AL1785" s="141"/>
      <c r="AO1785" s="286"/>
      <c r="AP1785" s="284">
        <f t="shared" si="803"/>
        <v>0</v>
      </c>
      <c r="AQ1785" s="281">
        <f t="shared" si="804"/>
        <v>0</v>
      </c>
      <c r="AR1785" s="284">
        <f t="shared" si="805"/>
        <v>0</v>
      </c>
      <c r="AS1785" s="281">
        <f t="shared" si="806"/>
        <v>0</v>
      </c>
      <c r="AT1785" s="284">
        <f t="shared" si="807"/>
        <v>0</v>
      </c>
    </row>
    <row r="1786" spans="1:46" s="114" customFormat="1" ht="30.9" x14ac:dyDescent="0.8">
      <c r="A1786" s="262">
        <f>ROW()</f>
        <v>1786</v>
      </c>
      <c r="C1786" s="208"/>
      <c r="D1786" s="208"/>
      <c r="E1786" s="208"/>
      <c r="F1786" s="208"/>
      <c r="G1786" s="208"/>
      <c r="H1786" s="208"/>
      <c r="J1786" s="114" t="str">
        <f t="shared" si="824"/>
        <v/>
      </c>
      <c r="K1786" s="114" t="str">
        <f>IF(COUNTBLANK(R1786)&gt;0,"",CONCATENATE(R1786," for ",N1778))</f>
        <v/>
      </c>
      <c r="N1786" s="123" t="s">
        <v>120</v>
      </c>
      <c r="O1786" s="66" t="s">
        <v>306</v>
      </c>
      <c r="P1786" s="121"/>
      <c r="Q1786" s="121"/>
      <c r="R1786" s="121"/>
      <c r="S1786" s="133">
        <f>M1778</f>
        <v>0</v>
      </c>
      <c r="T1786" s="120"/>
      <c r="U1786" s="121" t="s">
        <v>292</v>
      </c>
      <c r="V1786" s="133">
        <f t="shared" si="817"/>
        <v>0</v>
      </c>
      <c r="W1786" s="133">
        <f>VLOOKUP(U1786,Sheet1!$B$6:$C$45,2,FALSE)*V1786</f>
        <v>0</v>
      </c>
      <c r="X1786" s="141"/>
      <c r="Y1786" s="122" t="s">
        <v>274</v>
      </c>
      <c r="Z1786" s="146">
        <f>VLOOKUP(Takeoffs!Y1786,Sheet1!$B$6:$C$124,2,FALSE)</f>
        <v>360</v>
      </c>
      <c r="AA1786" s="146">
        <f t="shared" si="818"/>
        <v>0</v>
      </c>
      <c r="AB1786" s="143">
        <f t="shared" si="819"/>
        <v>0</v>
      </c>
      <c r="AC1786" s="133">
        <f t="shared" si="820"/>
        <v>0</v>
      </c>
      <c r="AD1786" s="142">
        <v>1</v>
      </c>
      <c r="AE1786" s="141"/>
      <c r="AF1786" s="121" t="s">
        <v>292</v>
      </c>
      <c r="AG1786" s="146">
        <f>VLOOKUP(Takeoffs!AF1786,Sheet1!$B$6:$C$124,2,FALSE)</f>
        <v>0</v>
      </c>
      <c r="AH1786" s="146">
        <f t="shared" si="821"/>
        <v>0</v>
      </c>
      <c r="AI1786" s="143">
        <f t="shared" si="822"/>
        <v>0</v>
      </c>
      <c r="AJ1786" s="133">
        <f t="shared" si="823"/>
        <v>0</v>
      </c>
      <c r="AK1786" s="142">
        <f>T1786</f>
        <v>0</v>
      </c>
      <c r="AL1786" s="141"/>
      <c r="AO1786" s="286"/>
      <c r="AP1786" s="284">
        <f t="shared" si="803"/>
        <v>0</v>
      </c>
      <c r="AQ1786" s="281">
        <f t="shared" si="804"/>
        <v>0</v>
      </c>
      <c r="AR1786" s="284">
        <f t="shared" si="805"/>
        <v>0</v>
      </c>
      <c r="AS1786" s="281">
        <f t="shared" si="806"/>
        <v>0</v>
      </c>
      <c r="AT1786" s="284">
        <f t="shared" si="807"/>
        <v>0</v>
      </c>
    </row>
    <row r="1787" spans="1:46" s="114" customFormat="1" ht="30.9" x14ac:dyDescent="0.8">
      <c r="A1787" s="262">
        <f>ROW()</f>
        <v>1787</v>
      </c>
      <c r="C1787" s="208"/>
      <c r="D1787" s="208"/>
      <c r="E1787" s="208"/>
      <c r="F1787" s="208"/>
      <c r="G1787" s="208"/>
      <c r="H1787" s="208"/>
      <c r="J1787" s="114" t="str">
        <f t="shared" si="824"/>
        <v/>
      </c>
      <c r="K1787" s="114" t="str">
        <f>IF(COUNTBLANK(R1787)&gt;0,"",CONCATENATE(R1787," for ",N1778))</f>
        <v/>
      </c>
      <c r="N1787" s="123" t="s">
        <v>121</v>
      </c>
      <c r="O1787" s="66" t="s">
        <v>307</v>
      </c>
      <c r="P1787" s="121"/>
      <c r="Q1787" s="121"/>
      <c r="R1787" s="121"/>
      <c r="S1787" s="133">
        <f>M1778</f>
        <v>0</v>
      </c>
      <c r="T1787" s="120"/>
      <c r="U1787" s="121" t="s">
        <v>364</v>
      </c>
      <c r="V1787" s="133">
        <f t="shared" si="817"/>
        <v>0</v>
      </c>
      <c r="W1787" s="133">
        <f>VLOOKUP(U1787,Sheet1!$B$6:$C$45,2,FALSE)*V1787</f>
        <v>0</v>
      </c>
      <c r="X1787" s="141"/>
      <c r="Y1787" s="121" t="s">
        <v>292</v>
      </c>
      <c r="Z1787" s="146">
        <f>VLOOKUP(Takeoffs!Y1787,Sheet1!$B$6:$C$124,2,FALSE)</f>
        <v>0</v>
      </c>
      <c r="AA1787" s="146">
        <f t="shared" si="818"/>
        <v>0</v>
      </c>
      <c r="AB1787" s="143">
        <f t="shared" si="819"/>
        <v>0</v>
      </c>
      <c r="AC1787" s="133">
        <f t="shared" si="820"/>
        <v>0</v>
      </c>
      <c r="AD1787" s="142">
        <v>1</v>
      </c>
      <c r="AE1787" s="141"/>
      <c r="AF1787" s="122" t="s">
        <v>270</v>
      </c>
      <c r="AG1787" s="146">
        <f>VLOOKUP(Takeoffs!AF1787,Sheet1!$B$6:$C$124,2,FALSE)</f>
        <v>5.7960000000000003</v>
      </c>
      <c r="AH1787" s="146">
        <f t="shared" si="821"/>
        <v>0</v>
      </c>
      <c r="AI1787" s="143">
        <f t="shared" si="822"/>
        <v>0</v>
      </c>
      <c r="AJ1787" s="133">
        <f t="shared" si="823"/>
        <v>0</v>
      </c>
      <c r="AK1787" s="142">
        <v>20</v>
      </c>
      <c r="AL1787" s="141"/>
      <c r="AO1787" s="286"/>
      <c r="AP1787" s="284">
        <f t="shared" si="803"/>
        <v>0</v>
      </c>
      <c r="AQ1787" s="281">
        <f t="shared" si="804"/>
        <v>0</v>
      </c>
      <c r="AR1787" s="284">
        <f t="shared" si="805"/>
        <v>0</v>
      </c>
      <c r="AS1787" s="281">
        <f t="shared" si="806"/>
        <v>0</v>
      </c>
      <c r="AT1787" s="284">
        <f t="shared" si="807"/>
        <v>0</v>
      </c>
    </row>
    <row r="1788" spans="1:46" s="114" customFormat="1" ht="30.9" x14ac:dyDescent="0.8">
      <c r="A1788" s="262">
        <f>ROW()</f>
        <v>1788</v>
      </c>
      <c r="C1788" s="208"/>
      <c r="D1788" s="208"/>
      <c r="E1788" s="208"/>
      <c r="F1788" s="208"/>
      <c r="G1788" s="208"/>
      <c r="H1788" s="208"/>
      <c r="J1788" s="114" t="str">
        <f t="shared" si="824"/>
        <v/>
      </c>
      <c r="K1788" s="114" t="str">
        <f>IF(COUNTBLANK(R1788)&gt;0,"",CONCATENATE(R1788," for ",N1778))</f>
        <v/>
      </c>
      <c r="N1788" s="123" t="s">
        <v>122</v>
      </c>
      <c r="O1788" s="66"/>
      <c r="P1788" s="121"/>
      <c r="Q1788" s="121"/>
      <c r="R1788" s="121"/>
      <c r="S1788" s="133">
        <f>M1778</f>
        <v>0</v>
      </c>
      <c r="T1788" s="120"/>
      <c r="U1788" s="121" t="s">
        <v>292</v>
      </c>
      <c r="V1788" s="133">
        <f t="shared" si="817"/>
        <v>0</v>
      </c>
      <c r="W1788" s="133">
        <f>VLOOKUP(U1788,Sheet1!$B$6:$C$45,2,FALSE)*V1788</f>
        <v>0</v>
      </c>
      <c r="X1788" s="141"/>
      <c r="Y1788" s="121" t="s">
        <v>292</v>
      </c>
      <c r="Z1788" s="146">
        <f>VLOOKUP(Takeoffs!Y1788,Sheet1!$B$6:$C$124,2,FALSE)</f>
        <v>0</v>
      </c>
      <c r="AA1788" s="146">
        <f t="shared" si="818"/>
        <v>0</v>
      </c>
      <c r="AB1788" s="143">
        <f t="shared" si="819"/>
        <v>0</v>
      </c>
      <c r="AC1788" s="133">
        <f t="shared" si="820"/>
        <v>0</v>
      </c>
      <c r="AD1788" s="142">
        <v>2</v>
      </c>
      <c r="AE1788" s="141"/>
      <c r="AF1788" s="121" t="s">
        <v>292</v>
      </c>
      <c r="AG1788" s="146">
        <f>VLOOKUP(Takeoffs!AF1788,Sheet1!$B$6:$C$124,2,FALSE)</f>
        <v>0</v>
      </c>
      <c r="AH1788" s="146">
        <f t="shared" si="821"/>
        <v>0</v>
      </c>
      <c r="AI1788" s="143">
        <f t="shared" si="822"/>
        <v>0</v>
      </c>
      <c r="AJ1788" s="133">
        <f t="shared" si="823"/>
        <v>0</v>
      </c>
      <c r="AK1788" s="142">
        <f>T1788</f>
        <v>0</v>
      </c>
      <c r="AL1788" s="141"/>
      <c r="AO1788" s="286"/>
      <c r="AP1788" s="284">
        <f t="shared" si="803"/>
        <v>0</v>
      </c>
      <c r="AQ1788" s="281">
        <f t="shared" si="804"/>
        <v>0</v>
      </c>
      <c r="AR1788" s="284">
        <f t="shared" si="805"/>
        <v>0</v>
      </c>
      <c r="AS1788" s="281">
        <f t="shared" si="806"/>
        <v>0</v>
      </c>
      <c r="AT1788" s="284">
        <f t="shared" si="807"/>
        <v>0</v>
      </c>
    </row>
    <row r="1789" spans="1:46" s="114" customFormat="1" ht="30.9" x14ac:dyDescent="0.8">
      <c r="A1789" s="262">
        <f>ROW()</f>
        <v>1789</v>
      </c>
      <c r="C1789" s="208"/>
      <c r="D1789" s="208"/>
      <c r="E1789" s="208"/>
      <c r="F1789" s="208"/>
      <c r="G1789" s="208"/>
      <c r="H1789" s="208"/>
      <c r="J1789" s="114" t="str">
        <f t="shared" si="824"/>
        <v/>
      </c>
      <c r="K1789" s="114" t="str">
        <f>IF(COUNTBLANK(R1789)&gt;0,"",CONCATENATE(R1789," for ",N1778))</f>
        <v/>
      </c>
      <c r="N1789" s="123" t="s">
        <v>123</v>
      </c>
      <c r="O1789" s="66"/>
      <c r="P1789" s="121"/>
      <c r="Q1789" s="121"/>
      <c r="R1789" s="121"/>
      <c r="S1789" s="133">
        <f>M1778</f>
        <v>0</v>
      </c>
      <c r="T1789" s="120"/>
      <c r="U1789" s="121" t="s">
        <v>292</v>
      </c>
      <c r="V1789" s="133">
        <f t="shared" si="817"/>
        <v>0</v>
      </c>
      <c r="W1789" s="133">
        <f>VLOOKUP(U1789,Sheet1!$B$6:$C$45,2,FALSE)*V1789</f>
        <v>0</v>
      </c>
      <c r="X1789" s="141"/>
      <c r="Y1789" s="121" t="s">
        <v>292</v>
      </c>
      <c r="Z1789" s="146">
        <f>VLOOKUP(Takeoffs!Y1789,Sheet1!$B$6:$C$124,2,FALSE)</f>
        <v>0</v>
      </c>
      <c r="AA1789" s="146">
        <f t="shared" si="818"/>
        <v>0</v>
      </c>
      <c r="AB1789" s="143">
        <f t="shared" si="819"/>
        <v>0</v>
      </c>
      <c r="AC1789" s="133">
        <f t="shared" si="820"/>
        <v>0</v>
      </c>
      <c r="AD1789" s="142">
        <v>1</v>
      </c>
      <c r="AE1789" s="141"/>
      <c r="AF1789" s="121" t="s">
        <v>292</v>
      </c>
      <c r="AG1789" s="146">
        <f>VLOOKUP(Takeoffs!AF1789,Sheet1!$B$6:$C$124,2,FALSE)</f>
        <v>0</v>
      </c>
      <c r="AH1789" s="146">
        <f t="shared" si="821"/>
        <v>0</v>
      </c>
      <c r="AI1789" s="143">
        <f t="shared" si="822"/>
        <v>0</v>
      </c>
      <c r="AJ1789" s="133">
        <f t="shared" si="823"/>
        <v>0</v>
      </c>
      <c r="AK1789" s="142">
        <v>0</v>
      </c>
      <c r="AL1789" s="141"/>
      <c r="AO1789" s="286"/>
      <c r="AP1789" s="284">
        <f t="shared" si="803"/>
        <v>0</v>
      </c>
      <c r="AQ1789" s="281">
        <f t="shared" si="804"/>
        <v>0</v>
      </c>
      <c r="AR1789" s="284">
        <f t="shared" si="805"/>
        <v>0</v>
      </c>
      <c r="AS1789" s="281">
        <f t="shared" si="806"/>
        <v>0</v>
      </c>
      <c r="AT1789" s="284">
        <f t="shared" si="807"/>
        <v>0</v>
      </c>
    </row>
    <row r="1790" spans="1:46" s="114" customFormat="1" ht="30.9" x14ac:dyDescent="0.8">
      <c r="A1790" s="262">
        <f>ROW()</f>
        <v>1790</v>
      </c>
      <c r="C1790" s="208"/>
      <c r="D1790" s="208"/>
      <c r="E1790" s="208"/>
      <c r="F1790" s="208"/>
      <c r="G1790" s="208"/>
      <c r="H1790" s="208"/>
      <c r="J1790" s="114" t="str">
        <f t="shared" si="824"/>
        <v/>
      </c>
      <c r="K1790" s="114" t="str">
        <f>IF(COUNTBLANK(R1790)&gt;0,"",CONCATENATE(R1790," for ",N1778))</f>
        <v/>
      </c>
      <c r="N1790" s="123" t="s">
        <v>124</v>
      </c>
      <c r="O1790" s="66" t="s">
        <v>140</v>
      </c>
      <c r="P1790" s="121"/>
      <c r="Q1790" s="121"/>
      <c r="R1790" s="121"/>
      <c r="S1790" s="133">
        <f>M1778</f>
        <v>0</v>
      </c>
      <c r="T1790" s="120"/>
      <c r="U1790" s="121" t="s">
        <v>364</v>
      </c>
      <c r="V1790" s="133">
        <f t="shared" si="817"/>
        <v>0</v>
      </c>
      <c r="W1790" s="133">
        <f>VLOOKUP(U1790,Sheet1!$B$6:$C$45,2,FALSE)*V1790</f>
        <v>0</v>
      </c>
      <c r="X1790" s="141"/>
      <c r="Y1790" s="121" t="s">
        <v>292</v>
      </c>
      <c r="Z1790" s="146">
        <f>VLOOKUP(Takeoffs!Y1790,Sheet1!$B$6:$C$124,2,FALSE)</f>
        <v>0</v>
      </c>
      <c r="AA1790" s="146">
        <f t="shared" si="818"/>
        <v>0</v>
      </c>
      <c r="AB1790" s="143">
        <f t="shared" si="819"/>
        <v>0</v>
      </c>
      <c r="AC1790" s="133">
        <f t="shared" si="820"/>
        <v>0</v>
      </c>
      <c r="AD1790" s="142">
        <v>1</v>
      </c>
      <c r="AE1790" s="141"/>
      <c r="AF1790" s="121" t="s">
        <v>292</v>
      </c>
      <c r="AG1790" s="146">
        <f>VLOOKUP(Takeoffs!AF1790,Sheet1!$B$6:$C$124,2,FALSE)</f>
        <v>0</v>
      </c>
      <c r="AH1790" s="146">
        <f t="shared" si="821"/>
        <v>0</v>
      </c>
      <c r="AI1790" s="143">
        <f t="shared" si="822"/>
        <v>0</v>
      </c>
      <c r="AJ1790" s="133">
        <f t="shared" si="823"/>
        <v>0</v>
      </c>
      <c r="AK1790" s="142">
        <f t="shared" ref="AK1790:AK1798" si="825">T1790</f>
        <v>0</v>
      </c>
      <c r="AL1790" s="141"/>
      <c r="AO1790" s="286"/>
      <c r="AP1790" s="284">
        <f t="shared" si="803"/>
        <v>0</v>
      </c>
      <c r="AQ1790" s="281">
        <f t="shared" si="804"/>
        <v>0</v>
      </c>
      <c r="AR1790" s="284">
        <f t="shared" si="805"/>
        <v>0</v>
      </c>
      <c r="AS1790" s="281">
        <f t="shared" si="806"/>
        <v>0</v>
      </c>
      <c r="AT1790" s="284">
        <f t="shared" si="807"/>
        <v>0</v>
      </c>
    </row>
    <row r="1791" spans="1:46" s="114" customFormat="1" ht="30.9" x14ac:dyDescent="0.8">
      <c r="A1791" s="262">
        <f>ROW()</f>
        <v>1791</v>
      </c>
      <c r="C1791" s="208"/>
      <c r="D1791" s="208"/>
      <c r="E1791" s="208"/>
      <c r="F1791" s="208"/>
      <c r="G1791" s="208"/>
      <c r="H1791" s="208"/>
      <c r="J1791" s="114" t="str">
        <f t="shared" si="824"/>
        <v/>
      </c>
      <c r="K1791" s="114" t="str">
        <f>IF(COUNTBLANK(R1791)&gt;0,"",CONCATENATE(R1791," for ",N1778))</f>
        <v/>
      </c>
      <c r="N1791" s="123" t="s">
        <v>125</v>
      </c>
      <c r="O1791" s="66" t="s">
        <v>312</v>
      </c>
      <c r="P1791" s="121"/>
      <c r="Q1791" s="121"/>
      <c r="R1791" s="121"/>
      <c r="S1791" s="133">
        <f>M1778</f>
        <v>0</v>
      </c>
      <c r="T1791" s="120"/>
      <c r="U1791" s="121" t="s">
        <v>232</v>
      </c>
      <c r="V1791" s="133">
        <f t="shared" si="817"/>
        <v>0</v>
      </c>
      <c r="W1791" s="133">
        <f>VLOOKUP(U1791,Sheet1!$B$6:$C$45,2,FALSE)*V1791</f>
        <v>0</v>
      </c>
      <c r="X1791" s="141"/>
      <c r="Y1791" s="122" t="s">
        <v>1345</v>
      </c>
      <c r="Z1791" s="146">
        <f>VLOOKUP(Takeoffs!Y1791,Sheet1!$B$6:$C$124,2,FALSE)</f>
        <v>109.25999999999999</v>
      </c>
      <c r="AA1791" s="146">
        <f t="shared" si="818"/>
        <v>0</v>
      </c>
      <c r="AB1791" s="143">
        <f t="shared" si="819"/>
        <v>0</v>
      </c>
      <c r="AC1791" s="133">
        <f t="shared" si="820"/>
        <v>0</v>
      </c>
      <c r="AD1791" s="142">
        <v>1</v>
      </c>
      <c r="AE1791" s="141"/>
      <c r="AF1791" s="121" t="s">
        <v>292</v>
      </c>
      <c r="AG1791" s="146">
        <f>VLOOKUP(Takeoffs!AF1791,Sheet1!$B$6:$C$124,2,FALSE)</f>
        <v>0</v>
      </c>
      <c r="AH1791" s="146">
        <f t="shared" si="821"/>
        <v>0</v>
      </c>
      <c r="AI1791" s="143">
        <f t="shared" si="822"/>
        <v>0</v>
      </c>
      <c r="AJ1791" s="133">
        <f t="shared" si="823"/>
        <v>0</v>
      </c>
      <c r="AK1791" s="142">
        <f t="shared" si="825"/>
        <v>0</v>
      </c>
      <c r="AL1791" s="141"/>
      <c r="AO1791" s="286"/>
      <c r="AP1791" s="284">
        <f t="shared" si="803"/>
        <v>0</v>
      </c>
      <c r="AQ1791" s="281">
        <f t="shared" si="804"/>
        <v>0</v>
      </c>
      <c r="AR1791" s="284">
        <f t="shared" si="805"/>
        <v>0</v>
      </c>
      <c r="AS1791" s="281">
        <f t="shared" si="806"/>
        <v>0</v>
      </c>
      <c r="AT1791" s="284">
        <f t="shared" si="807"/>
        <v>0</v>
      </c>
    </row>
    <row r="1792" spans="1:46" s="114" customFormat="1" ht="30.9" x14ac:dyDescent="0.8">
      <c r="A1792" s="262">
        <f>ROW()</f>
        <v>1792</v>
      </c>
      <c r="C1792" s="208"/>
      <c r="D1792" s="208"/>
      <c r="E1792" s="208"/>
      <c r="F1792" s="208"/>
      <c r="G1792" s="208"/>
      <c r="H1792" s="208"/>
      <c r="J1792" s="114" t="str">
        <f t="shared" si="824"/>
        <v/>
      </c>
      <c r="K1792" s="114" t="str">
        <f>IF(COUNTBLANK(R1792)&gt;0,"",CONCATENATE(R1792," for ",N1778))</f>
        <v/>
      </c>
      <c r="N1792" s="123" t="s">
        <v>126</v>
      </c>
      <c r="O1792" s="66" t="s">
        <v>313</v>
      </c>
      <c r="P1792" s="121"/>
      <c r="Q1792" s="121"/>
      <c r="R1792" s="121"/>
      <c r="S1792" s="133">
        <f>M1778</f>
        <v>0</v>
      </c>
      <c r="T1792" s="120"/>
      <c r="U1792" s="121" t="s">
        <v>363</v>
      </c>
      <c r="V1792" s="133">
        <f t="shared" si="817"/>
        <v>0</v>
      </c>
      <c r="W1792" s="133">
        <f>VLOOKUP(U1792,Sheet1!$B$6:$C$45,2,FALSE)*V1792</f>
        <v>0</v>
      </c>
      <c r="X1792" s="141"/>
      <c r="Y1792" s="122" t="s">
        <v>321</v>
      </c>
      <c r="Z1792" s="146">
        <f>VLOOKUP(Takeoffs!Y1792,Sheet1!$B$6:$C$124,2,FALSE)</f>
        <v>60</v>
      </c>
      <c r="AA1792" s="146">
        <f t="shared" si="818"/>
        <v>0</v>
      </c>
      <c r="AB1792" s="143">
        <f t="shared" si="819"/>
        <v>0</v>
      </c>
      <c r="AC1792" s="133">
        <f t="shared" si="820"/>
        <v>0</v>
      </c>
      <c r="AD1792" s="142">
        <v>1</v>
      </c>
      <c r="AE1792" s="141"/>
      <c r="AF1792" s="121" t="s">
        <v>292</v>
      </c>
      <c r="AG1792" s="146">
        <f>VLOOKUP(Takeoffs!AF1792,Sheet1!$B$6:$C$124,2,FALSE)</f>
        <v>0</v>
      </c>
      <c r="AH1792" s="146">
        <f t="shared" si="821"/>
        <v>0</v>
      </c>
      <c r="AI1792" s="143">
        <f t="shared" si="822"/>
        <v>0</v>
      </c>
      <c r="AJ1792" s="133">
        <f t="shared" si="823"/>
        <v>0</v>
      </c>
      <c r="AK1792" s="142">
        <f t="shared" si="825"/>
        <v>0</v>
      </c>
      <c r="AL1792" s="141"/>
      <c r="AO1792" s="286"/>
      <c r="AP1792" s="284">
        <f t="shared" si="803"/>
        <v>0</v>
      </c>
      <c r="AQ1792" s="281">
        <f t="shared" si="804"/>
        <v>0</v>
      </c>
      <c r="AR1792" s="284">
        <f t="shared" si="805"/>
        <v>0</v>
      </c>
      <c r="AS1792" s="281">
        <f t="shared" si="806"/>
        <v>0</v>
      </c>
      <c r="AT1792" s="284">
        <f t="shared" si="807"/>
        <v>0</v>
      </c>
    </row>
    <row r="1793" spans="1:97" s="114" customFormat="1" ht="30.9" x14ac:dyDescent="0.8">
      <c r="A1793" s="262">
        <f>ROW()</f>
        <v>1793</v>
      </c>
      <c r="C1793" s="208"/>
      <c r="D1793" s="208"/>
      <c r="E1793" s="208"/>
      <c r="F1793" s="208"/>
      <c r="G1793" s="208"/>
      <c r="H1793" s="208"/>
      <c r="J1793" s="114" t="str">
        <f t="shared" si="824"/>
        <v/>
      </c>
      <c r="K1793" s="114" t="str">
        <f>IF(COUNTBLANK(R1793)&gt;0,"",CONCATENATE(R1793," for ",N1778))</f>
        <v>Run and fault lights for smoke exhaust systems</v>
      </c>
      <c r="N1793" s="123" t="s">
        <v>127</v>
      </c>
      <c r="O1793" s="66" t="s">
        <v>314</v>
      </c>
      <c r="P1793" s="121"/>
      <c r="Q1793" s="121"/>
      <c r="R1793" s="121" t="s">
        <v>455</v>
      </c>
      <c r="S1793" s="133">
        <f>M1778</f>
        <v>0</v>
      </c>
      <c r="T1793" s="120"/>
      <c r="U1793" s="121" t="s">
        <v>292</v>
      </c>
      <c r="V1793" s="133">
        <f t="shared" si="817"/>
        <v>0</v>
      </c>
      <c r="W1793" s="133">
        <f>VLOOKUP(U1793,Sheet1!$B$6:$C$45,2,FALSE)*V1793</f>
        <v>0</v>
      </c>
      <c r="X1793" s="141"/>
      <c r="Y1793" s="122" t="s">
        <v>280</v>
      </c>
      <c r="Z1793" s="146">
        <f>VLOOKUP(Takeoffs!Y1793,Sheet1!$B$6:$C$124,2,FALSE)</f>
        <v>19.2</v>
      </c>
      <c r="AA1793" s="146">
        <f t="shared" si="818"/>
        <v>0</v>
      </c>
      <c r="AB1793" s="143">
        <f t="shared" si="819"/>
        <v>0</v>
      </c>
      <c r="AC1793" s="133">
        <f t="shared" si="820"/>
        <v>0</v>
      </c>
      <c r="AD1793" s="142">
        <v>1</v>
      </c>
      <c r="AE1793" s="141"/>
      <c r="AF1793" s="121" t="s">
        <v>292</v>
      </c>
      <c r="AG1793" s="146">
        <f>VLOOKUP(Takeoffs!AF1793,Sheet1!$B$6:$C$124,2,FALSE)</f>
        <v>0</v>
      </c>
      <c r="AH1793" s="146">
        <f t="shared" si="821"/>
        <v>0</v>
      </c>
      <c r="AI1793" s="143">
        <f t="shared" si="822"/>
        <v>0</v>
      </c>
      <c r="AJ1793" s="133">
        <f t="shared" si="823"/>
        <v>0</v>
      </c>
      <c r="AK1793" s="142">
        <f t="shared" si="825"/>
        <v>0</v>
      </c>
      <c r="AL1793" s="141"/>
      <c r="AO1793" s="286"/>
      <c r="AP1793" s="284">
        <f t="shared" si="803"/>
        <v>0</v>
      </c>
      <c r="AQ1793" s="281">
        <f t="shared" si="804"/>
        <v>0</v>
      </c>
      <c r="AR1793" s="284">
        <f t="shared" si="805"/>
        <v>0</v>
      </c>
      <c r="AS1793" s="281">
        <f t="shared" si="806"/>
        <v>0</v>
      </c>
      <c r="AT1793" s="284">
        <f t="shared" si="807"/>
        <v>0</v>
      </c>
    </row>
    <row r="1794" spans="1:97" s="114" customFormat="1" ht="30.9" x14ac:dyDescent="0.8">
      <c r="A1794" s="262">
        <f>ROW()</f>
        <v>1794</v>
      </c>
      <c r="C1794" s="208"/>
      <c r="D1794" s="208"/>
      <c r="E1794" s="208"/>
      <c r="F1794" s="208"/>
      <c r="G1794" s="208"/>
      <c r="H1794" s="208"/>
      <c r="J1794" s="114" t="str">
        <f t="shared" si="824"/>
        <v/>
      </c>
      <c r="K1794" s="114" t="str">
        <f>IF(COUNTBLANK(R1794)&gt;0,"",CONCATENATE(R1794," for ",N1778))</f>
        <v/>
      </c>
      <c r="N1794" s="123" t="s">
        <v>128</v>
      </c>
      <c r="O1794" s="66" t="s">
        <v>315</v>
      </c>
      <c r="P1794" s="121"/>
      <c r="Q1794" s="121"/>
      <c r="R1794" s="121"/>
      <c r="S1794" s="133">
        <f>M1778</f>
        <v>0</v>
      </c>
      <c r="T1794" s="120"/>
      <c r="U1794" s="121" t="s">
        <v>292</v>
      </c>
      <c r="V1794" s="133">
        <f t="shared" si="817"/>
        <v>0</v>
      </c>
      <c r="W1794" s="133">
        <f>VLOOKUP(U1794,Sheet1!$B$6:$C$45,2,FALSE)*V1794</f>
        <v>0</v>
      </c>
      <c r="X1794" s="141"/>
      <c r="Y1794" s="122" t="s">
        <v>280</v>
      </c>
      <c r="Z1794" s="146">
        <f>VLOOKUP(Takeoffs!Y1794,Sheet1!$B$6:$C$124,2,FALSE)</f>
        <v>19.2</v>
      </c>
      <c r="AA1794" s="146">
        <f t="shared" si="818"/>
        <v>0</v>
      </c>
      <c r="AB1794" s="143">
        <f t="shared" si="819"/>
        <v>0</v>
      </c>
      <c r="AC1794" s="133">
        <f t="shared" si="820"/>
        <v>0</v>
      </c>
      <c r="AD1794" s="142">
        <v>1</v>
      </c>
      <c r="AE1794" s="141"/>
      <c r="AF1794" s="121" t="s">
        <v>292</v>
      </c>
      <c r="AG1794" s="146">
        <f>VLOOKUP(Takeoffs!AF1794,Sheet1!$B$6:$C$124,2,FALSE)</f>
        <v>0</v>
      </c>
      <c r="AH1794" s="146">
        <f t="shared" si="821"/>
        <v>0</v>
      </c>
      <c r="AI1794" s="143">
        <f t="shared" si="822"/>
        <v>0</v>
      </c>
      <c r="AJ1794" s="133">
        <f t="shared" si="823"/>
        <v>0</v>
      </c>
      <c r="AK1794" s="142">
        <f t="shared" si="825"/>
        <v>0</v>
      </c>
      <c r="AL1794" s="141"/>
      <c r="AO1794" s="286"/>
      <c r="AP1794" s="284">
        <f t="shared" si="803"/>
        <v>0</v>
      </c>
      <c r="AQ1794" s="281">
        <f t="shared" si="804"/>
        <v>0</v>
      </c>
      <c r="AR1794" s="284">
        <f t="shared" si="805"/>
        <v>0</v>
      </c>
      <c r="AS1794" s="281">
        <f t="shared" si="806"/>
        <v>0</v>
      </c>
      <c r="AT1794" s="284">
        <f t="shared" si="807"/>
        <v>0</v>
      </c>
    </row>
    <row r="1795" spans="1:97" s="114" customFormat="1" ht="30.9" x14ac:dyDescent="0.8">
      <c r="A1795" s="262">
        <f>ROW()</f>
        <v>1795</v>
      </c>
      <c r="C1795" s="208"/>
      <c r="D1795" s="208"/>
      <c r="E1795" s="208"/>
      <c r="F1795" s="208"/>
      <c r="G1795" s="208"/>
      <c r="H1795" s="208"/>
      <c r="J1795" s="114" t="str">
        <f t="shared" si="824"/>
        <v/>
      </c>
      <c r="K1795" s="114" t="str">
        <f>IF(COUNTBLANK(R1795)&gt;0,"",CONCATENATE(R1795," for ",N1778))</f>
        <v>Auto/Off/On switch for smoke exhaust systems</v>
      </c>
      <c r="N1795" s="123" t="s">
        <v>129</v>
      </c>
      <c r="O1795" s="66" t="s">
        <v>329</v>
      </c>
      <c r="P1795" s="121"/>
      <c r="Q1795" s="121"/>
      <c r="R1795" s="121" t="s">
        <v>304</v>
      </c>
      <c r="S1795" s="133">
        <f>M1778</f>
        <v>0</v>
      </c>
      <c r="T1795" s="120"/>
      <c r="U1795" s="121" t="s">
        <v>292</v>
      </c>
      <c r="V1795" s="133">
        <f t="shared" si="817"/>
        <v>0</v>
      </c>
      <c r="W1795" s="133">
        <f>VLOOKUP(U1795,Sheet1!$B$6:$C$45,2,FALSE)*V1795</f>
        <v>0</v>
      </c>
      <c r="X1795" s="141"/>
      <c r="Y1795" s="122" t="s">
        <v>277</v>
      </c>
      <c r="Z1795" s="146">
        <f>VLOOKUP(Takeoffs!Y1795,Sheet1!$B$6:$C$124,2,FALSE)</f>
        <v>69.540000000000006</v>
      </c>
      <c r="AA1795" s="146">
        <f t="shared" si="818"/>
        <v>0</v>
      </c>
      <c r="AB1795" s="143">
        <f t="shared" si="819"/>
        <v>0</v>
      </c>
      <c r="AC1795" s="133">
        <f t="shared" si="820"/>
        <v>0</v>
      </c>
      <c r="AD1795" s="142">
        <v>1</v>
      </c>
      <c r="AE1795" s="141"/>
      <c r="AF1795" s="121" t="s">
        <v>292</v>
      </c>
      <c r="AG1795" s="146">
        <f>VLOOKUP(Takeoffs!AF1795,Sheet1!$B$6:$C$124,2,FALSE)</f>
        <v>0</v>
      </c>
      <c r="AH1795" s="146">
        <f t="shared" si="821"/>
        <v>0</v>
      </c>
      <c r="AI1795" s="143">
        <f t="shared" si="822"/>
        <v>0</v>
      </c>
      <c r="AJ1795" s="133">
        <f t="shared" si="823"/>
        <v>0</v>
      </c>
      <c r="AK1795" s="142">
        <f t="shared" si="825"/>
        <v>0</v>
      </c>
      <c r="AL1795" s="141"/>
      <c r="AO1795" s="286"/>
      <c r="AP1795" s="284">
        <f t="shared" si="803"/>
        <v>0</v>
      </c>
      <c r="AQ1795" s="281">
        <f t="shared" si="804"/>
        <v>0</v>
      </c>
      <c r="AR1795" s="284">
        <f t="shared" si="805"/>
        <v>0</v>
      </c>
      <c r="AS1795" s="281">
        <f t="shared" si="806"/>
        <v>0</v>
      </c>
      <c r="AT1795" s="284">
        <f t="shared" si="807"/>
        <v>0</v>
      </c>
    </row>
    <row r="1796" spans="1:97" s="114" customFormat="1" ht="30.9" x14ac:dyDescent="0.8">
      <c r="A1796" s="262">
        <f>ROW()</f>
        <v>1796</v>
      </c>
      <c r="C1796" s="208"/>
      <c r="D1796" s="208"/>
      <c r="E1796" s="208"/>
      <c r="F1796" s="208"/>
      <c r="G1796" s="208"/>
      <c r="H1796" s="208"/>
      <c r="J1796" s="114" t="str">
        <f t="shared" si="824"/>
        <v/>
      </c>
      <c r="K1796" s="114" t="str">
        <f>IF(COUNTBLANK(R1796)&gt;0,"",CONCATENATE(R1796," for ",N1778))</f>
        <v/>
      </c>
      <c r="N1796" s="123" t="s">
        <v>130</v>
      </c>
      <c r="O1796" s="66"/>
      <c r="P1796" s="121"/>
      <c r="Q1796" s="121"/>
      <c r="R1796" s="121"/>
      <c r="S1796" s="133">
        <f>M1778</f>
        <v>0</v>
      </c>
      <c r="T1796" s="120"/>
      <c r="U1796" s="121" t="s">
        <v>292</v>
      </c>
      <c r="V1796" s="133">
        <f t="shared" si="817"/>
        <v>0</v>
      </c>
      <c r="W1796" s="133">
        <f>VLOOKUP(U1796,Sheet1!$B$6:$C$45,2,FALSE)*V1796</f>
        <v>0</v>
      </c>
      <c r="X1796" s="141"/>
      <c r="Y1796" s="121" t="s">
        <v>292</v>
      </c>
      <c r="Z1796" s="146">
        <f>VLOOKUP(Takeoffs!Y1796,Sheet1!$B$6:$C$124,2,FALSE)</f>
        <v>0</v>
      </c>
      <c r="AA1796" s="146">
        <f t="shared" si="818"/>
        <v>0</v>
      </c>
      <c r="AB1796" s="143">
        <f t="shared" si="819"/>
        <v>0</v>
      </c>
      <c r="AC1796" s="133">
        <f t="shared" si="820"/>
        <v>0</v>
      </c>
      <c r="AD1796" s="142">
        <v>1</v>
      </c>
      <c r="AE1796" s="141"/>
      <c r="AF1796" s="121" t="s">
        <v>292</v>
      </c>
      <c r="AG1796" s="146">
        <f>VLOOKUP(Takeoffs!AF1796,Sheet1!$B$6:$C$124,2,FALSE)</f>
        <v>0</v>
      </c>
      <c r="AH1796" s="146">
        <f t="shared" si="821"/>
        <v>0</v>
      </c>
      <c r="AI1796" s="143">
        <f t="shared" si="822"/>
        <v>0</v>
      </c>
      <c r="AJ1796" s="133">
        <f t="shared" si="823"/>
        <v>0</v>
      </c>
      <c r="AK1796" s="142">
        <f t="shared" si="825"/>
        <v>0</v>
      </c>
      <c r="AL1796" s="141"/>
      <c r="AO1796" s="286"/>
      <c r="AP1796" s="284">
        <f t="shared" si="803"/>
        <v>0</v>
      </c>
      <c r="AQ1796" s="281">
        <f t="shared" si="804"/>
        <v>0</v>
      </c>
      <c r="AR1796" s="284">
        <f t="shared" si="805"/>
        <v>0</v>
      </c>
      <c r="AS1796" s="281">
        <f t="shared" si="806"/>
        <v>0</v>
      </c>
      <c r="AT1796" s="284">
        <f t="shared" si="807"/>
        <v>0</v>
      </c>
    </row>
    <row r="1797" spans="1:97" s="114" customFormat="1" ht="30.9" x14ac:dyDescent="0.8">
      <c r="A1797" s="262">
        <f>ROW()</f>
        <v>1797</v>
      </c>
      <c r="C1797" s="208"/>
      <c r="D1797" s="208"/>
      <c r="E1797" s="208"/>
      <c r="F1797" s="208"/>
      <c r="G1797" s="208"/>
      <c r="H1797" s="208"/>
      <c r="J1797" s="114" t="str">
        <f t="shared" si="824"/>
        <v>Coordination Note: - Fire trade: Please refer to our exclusions relating to fire cabling from FIP.</v>
      </c>
      <c r="K1797" s="114" t="str">
        <f>IF(COUNTBLANK(R1797)&gt;0,"",CONCATENATE(R1797," for ",N1778))</f>
        <v/>
      </c>
      <c r="N1797" s="123" t="s">
        <v>131</v>
      </c>
      <c r="O1797" s="66" t="s">
        <v>412</v>
      </c>
      <c r="P1797" s="121" t="s">
        <v>380</v>
      </c>
      <c r="Q1797" s="121" t="s">
        <v>384</v>
      </c>
      <c r="R1797" s="121"/>
      <c r="S1797" s="133">
        <f>M1778</f>
        <v>0</v>
      </c>
      <c r="T1797" s="120"/>
      <c r="U1797" s="121" t="s">
        <v>292</v>
      </c>
      <c r="V1797" s="133">
        <f t="shared" si="817"/>
        <v>0</v>
      </c>
      <c r="W1797" s="133">
        <f>VLOOKUP(U1797,Sheet1!$B$6:$C$45,2,FALSE)*V1797</f>
        <v>0</v>
      </c>
      <c r="X1797" s="141"/>
      <c r="Y1797" s="122" t="s">
        <v>322</v>
      </c>
      <c r="Z1797" s="146">
        <f>VLOOKUP(Takeoffs!Y1797,Sheet1!$B$6:$C$124,2,FALSE)</f>
        <v>48</v>
      </c>
      <c r="AA1797" s="146">
        <f t="shared" si="818"/>
        <v>0</v>
      </c>
      <c r="AB1797" s="143">
        <f t="shared" si="819"/>
        <v>0</v>
      </c>
      <c r="AC1797" s="133">
        <f t="shared" si="820"/>
        <v>0</v>
      </c>
      <c r="AD1797" s="142">
        <v>1</v>
      </c>
      <c r="AE1797" s="141"/>
      <c r="AF1797" s="121" t="s">
        <v>292</v>
      </c>
      <c r="AG1797" s="146">
        <f>VLOOKUP(Takeoffs!AF1797,Sheet1!$B$6:$C$124,2,FALSE)</f>
        <v>0</v>
      </c>
      <c r="AH1797" s="146">
        <f t="shared" si="821"/>
        <v>0</v>
      </c>
      <c r="AI1797" s="143">
        <f t="shared" si="822"/>
        <v>0</v>
      </c>
      <c r="AJ1797" s="133">
        <f t="shared" si="823"/>
        <v>0</v>
      </c>
      <c r="AK1797" s="142">
        <f t="shared" si="825"/>
        <v>0</v>
      </c>
      <c r="AL1797" s="141"/>
      <c r="AO1797" s="286"/>
      <c r="AP1797" s="284">
        <f t="shared" si="803"/>
        <v>0</v>
      </c>
      <c r="AQ1797" s="281">
        <f t="shared" si="804"/>
        <v>0</v>
      </c>
      <c r="AR1797" s="284">
        <f t="shared" si="805"/>
        <v>0</v>
      </c>
      <c r="AS1797" s="281">
        <f t="shared" si="806"/>
        <v>0</v>
      </c>
      <c r="AT1797" s="284">
        <f t="shared" si="807"/>
        <v>0</v>
      </c>
    </row>
    <row r="1798" spans="1:97" s="114" customFormat="1" ht="30.9" x14ac:dyDescent="0.8">
      <c r="A1798" s="262">
        <f>ROW()</f>
        <v>1798</v>
      </c>
      <c r="C1798" s="208"/>
      <c r="D1798" s="208"/>
      <c r="E1798" s="208"/>
      <c r="F1798" s="208"/>
      <c r="G1798" s="208"/>
      <c r="H1798" s="208"/>
      <c r="J1798" s="114" t="str">
        <f t="shared" si="824"/>
        <v/>
      </c>
      <c r="K1798" s="114" t="str">
        <f>IF(COUNTBLANK(R1798)&gt;0,"",CONCATENATE(R1798," for ",N1778))</f>
        <v/>
      </c>
      <c r="N1798" s="123" t="s">
        <v>132</v>
      </c>
      <c r="O1798" s="66" t="s">
        <v>408</v>
      </c>
      <c r="P1798" s="121"/>
      <c r="Q1798" s="121"/>
      <c r="R1798" s="121"/>
      <c r="S1798" s="133">
        <f>M1778</f>
        <v>0</v>
      </c>
      <c r="T1798" s="120"/>
      <c r="U1798" s="121" t="s">
        <v>364</v>
      </c>
      <c r="V1798" s="133">
        <f t="shared" si="817"/>
        <v>0</v>
      </c>
      <c r="W1798" s="133">
        <f>VLOOKUP(U1798,Sheet1!$B$6:$C$45,2,FALSE)*V1798</f>
        <v>0</v>
      </c>
      <c r="X1798" s="141"/>
      <c r="Y1798" s="121" t="s">
        <v>292</v>
      </c>
      <c r="Z1798" s="146">
        <f>VLOOKUP(Takeoffs!Y1798,Sheet1!$B$6:$C$124,2,FALSE)</f>
        <v>0</v>
      </c>
      <c r="AA1798" s="146">
        <f t="shared" si="818"/>
        <v>0</v>
      </c>
      <c r="AB1798" s="143">
        <f t="shared" si="819"/>
        <v>0</v>
      </c>
      <c r="AC1798" s="133">
        <f t="shared" si="820"/>
        <v>0</v>
      </c>
      <c r="AD1798" s="142">
        <v>1</v>
      </c>
      <c r="AE1798" s="141"/>
      <c r="AF1798" s="121" t="s">
        <v>292</v>
      </c>
      <c r="AG1798" s="146">
        <f>VLOOKUP(Takeoffs!AF1798,Sheet1!$B$6:$C$124,2,FALSE)</f>
        <v>0</v>
      </c>
      <c r="AH1798" s="146">
        <f t="shared" si="821"/>
        <v>0</v>
      </c>
      <c r="AI1798" s="143">
        <f t="shared" si="822"/>
        <v>0</v>
      </c>
      <c r="AJ1798" s="133">
        <f t="shared" si="823"/>
        <v>0</v>
      </c>
      <c r="AK1798" s="142">
        <f t="shared" si="825"/>
        <v>0</v>
      </c>
      <c r="AL1798" s="141"/>
      <c r="AO1798" s="286"/>
      <c r="AP1798" s="284">
        <f t="shared" si="803"/>
        <v>0</v>
      </c>
      <c r="AQ1798" s="281">
        <f t="shared" si="804"/>
        <v>0</v>
      </c>
      <c r="AR1798" s="284">
        <f t="shared" si="805"/>
        <v>0</v>
      </c>
      <c r="AS1798" s="281">
        <f t="shared" si="806"/>
        <v>0</v>
      </c>
      <c r="AT1798" s="284">
        <f t="shared" si="807"/>
        <v>0</v>
      </c>
    </row>
    <row r="1799" spans="1:97" s="128" customFormat="1" ht="31.5" customHeight="1" x14ac:dyDescent="0.8">
      <c r="A1799" s="262">
        <f>ROW()</f>
        <v>1799</v>
      </c>
      <c r="C1799" s="212"/>
      <c r="D1799" s="212"/>
      <c r="E1799" s="212"/>
      <c r="F1799" s="212"/>
      <c r="G1799" s="212"/>
      <c r="H1799" s="212"/>
      <c r="J1799" s="128" t="s">
        <v>377</v>
      </c>
      <c r="L1799" s="128" t="s">
        <v>378</v>
      </c>
      <c r="N1799" s="129"/>
      <c r="O1799" s="130" t="s">
        <v>357</v>
      </c>
      <c r="P1799" s="131">
        <f>V1799+AA1799+AH1799</f>
        <v>0</v>
      </c>
      <c r="Q1799" s="131"/>
      <c r="R1799" s="131"/>
      <c r="S1799" s="130"/>
      <c r="T1799" s="127"/>
      <c r="U1799" s="126" t="s">
        <v>351</v>
      </c>
      <c r="V1799" s="127">
        <f>W1799*80</f>
        <v>0</v>
      </c>
      <c r="W1799" s="147">
        <f>SUM(W1778:W1798)</f>
        <v>0</v>
      </c>
      <c r="X1799" s="148"/>
      <c r="Y1799" s="127" t="s">
        <v>352</v>
      </c>
      <c r="Z1799" s="116"/>
      <c r="AA1799" s="116">
        <f>SUM(AA1778:AA1798)</f>
        <v>0</v>
      </c>
      <c r="AB1799" s="149"/>
      <c r="AC1799" s="149"/>
      <c r="AD1799" s="149"/>
      <c r="AE1799" s="149"/>
      <c r="AF1799" s="127" t="s">
        <v>356</v>
      </c>
      <c r="AG1799" s="116"/>
      <c r="AH1799" s="116">
        <f>SUM(AH1778:AH1798)</f>
        <v>0</v>
      </c>
      <c r="AI1799" s="149"/>
      <c r="AJ1799" s="149"/>
      <c r="AK1799" s="149"/>
      <c r="AL1799" s="149"/>
      <c r="AM1799" s="150">
        <f>P1799</f>
        <v>0</v>
      </c>
      <c r="AO1799" s="286"/>
      <c r="AP1799" s="284">
        <f t="shared" si="803"/>
        <v>0</v>
      </c>
      <c r="AQ1799" s="281">
        <f t="shared" si="804"/>
        <v>0</v>
      </c>
      <c r="AR1799" s="284">
        <f t="shared" si="805"/>
        <v>0</v>
      </c>
      <c r="AS1799" s="281">
        <f t="shared" si="806"/>
        <v>0</v>
      </c>
      <c r="AT1799" s="284">
        <f t="shared" si="807"/>
        <v>0</v>
      </c>
    </row>
    <row r="1800" spans="1:97" s="234" customFormat="1" ht="154.30000000000001" x14ac:dyDescent="0.8">
      <c r="A1800" s="262">
        <f>ROW()</f>
        <v>1800</v>
      </c>
      <c r="B1800" s="234" t="s">
        <v>491</v>
      </c>
      <c r="C1800" s="217" t="str">
        <f>N1778</f>
        <v>smoke exhaust systems</v>
      </c>
      <c r="D1800" s="260" t="s">
        <v>677</v>
      </c>
      <c r="E1800" s="238"/>
      <c r="F1800" s="217"/>
      <c r="G1800" s="217"/>
      <c r="H1800" s="245"/>
      <c r="I1800" s="270"/>
      <c r="J1800" s="241" t="str">
        <f>CONCATENATE(O1778," ",L1778, " (",M1778,") ",N1778,".", IF(M1778&gt;1," Each "," This "),"includes supply and install of ",O1779,O1780,O1781,O1782,O1783,O1784,O1785,O1786,O1787,O1788,O1789,O1790,O1791,O1792,O1793,O1794,O1795,O1796,O1797,O1798,J1779,J1780,J1781,J1782,J1783,J1784,J1785,J1786,J1787,J1788,J1789,J1790,J1791,J1792,J1793,J1794,J1795,J1796,J1797,J1798)</f>
        <v>Electrical power supply and controls to Zero (0) smoke exhaust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controls cabling, contactors/relays, air pressure  switch, run light, fault light, Auto/Off/On switch, interface at MSSB for fire trade connection and commissioning/testing. Coordination Note: - Fire trade: Please refer to our exclusions relating to fire cabling from FIP.</v>
      </c>
      <c r="K1800" s="246">
        <f>P1799</f>
        <v>0</v>
      </c>
      <c r="L1800" s="234" t="str">
        <f>CONCATENATE(Q1779,Q1780,Q1781,Q1782,Q1783,Q1784,Q1785,Q1786,Q1787,Q1788,Q1789,Q1790,Q1791,Q1792,Q1793,Q1794,Q1795,Q1796,Q1797,Q1798,)</f>
        <v>fire cabling from FIP.</v>
      </c>
      <c r="M1800" s="166" t="s">
        <v>367</v>
      </c>
      <c r="N1800" s="160" t="str">
        <f>N1778</f>
        <v>smoke exhaust systems</v>
      </c>
      <c r="O1800" s="160" t="s">
        <v>365</v>
      </c>
      <c r="P1800" s="64" t="e">
        <f>P1799/M1778</f>
        <v>#DIV/0!</v>
      </c>
      <c r="Q1800" s="161"/>
      <c r="R1800" s="161"/>
      <c r="S1800" s="160"/>
      <c r="T1800" s="161"/>
      <c r="U1800" s="503" t="s">
        <v>366</v>
      </c>
      <c r="V1800" s="503"/>
      <c r="W1800" s="162" t="e">
        <f>W1799/M1778</f>
        <v>#DIV/0!</v>
      </c>
      <c r="X1800" s="163"/>
      <c r="Y1800" s="501" t="s">
        <v>365</v>
      </c>
      <c r="Z1800" s="501"/>
      <c r="AA1800" s="164" t="e">
        <f>AA1799/M1778</f>
        <v>#DIV/0!</v>
      </c>
      <c r="AB1800" s="161"/>
      <c r="AC1800" s="161"/>
      <c r="AD1800" s="161"/>
      <c r="AE1800" s="161"/>
      <c r="AF1800" s="501" t="s">
        <v>365</v>
      </c>
      <c r="AG1800" s="501"/>
      <c r="AH1800" s="164" t="e">
        <f>AH1799/M1778</f>
        <v>#DIV/0!</v>
      </c>
      <c r="AI1800" s="161"/>
      <c r="AJ1800" s="161"/>
      <c r="AK1800" s="161"/>
      <c r="AL1800" s="247"/>
      <c r="AM1800" s="257"/>
      <c r="AN1800" s="236">
        <f>K1800*1.25</f>
        <v>0</v>
      </c>
      <c r="AO1800" s="286"/>
      <c r="AP1800" s="284">
        <f t="shared" si="803"/>
        <v>0</v>
      </c>
      <c r="AQ1800" s="281">
        <f t="shared" si="804"/>
        <v>0</v>
      </c>
      <c r="AR1800" s="284">
        <f t="shared" si="805"/>
        <v>0</v>
      </c>
      <c r="AS1800" s="281">
        <f t="shared" si="806"/>
        <v>0</v>
      </c>
      <c r="AT1800" s="284">
        <f t="shared" si="807"/>
        <v>0</v>
      </c>
      <c r="AU1800" s="117"/>
      <c r="AV1800" s="117"/>
      <c r="AW1800" s="117"/>
      <c r="AX1800" s="117"/>
      <c r="AY1800" s="117"/>
      <c r="AZ1800" s="117"/>
      <c r="BA1800" s="117"/>
      <c r="BB1800" s="117"/>
      <c r="BC1800" s="117"/>
      <c r="BD1800" s="117"/>
      <c r="BE1800" s="117"/>
      <c r="BF1800" s="117"/>
      <c r="BG1800" s="117"/>
      <c r="BH1800" s="117"/>
      <c r="BI1800" s="117"/>
      <c r="BJ1800" s="117"/>
      <c r="BK1800" s="117"/>
      <c r="BL1800" s="117"/>
      <c r="BM1800" s="117"/>
      <c r="BN1800" s="117"/>
      <c r="BO1800" s="117"/>
      <c r="BP1800" s="117"/>
      <c r="BQ1800" s="117"/>
      <c r="BR1800" s="117"/>
      <c r="BS1800" s="117"/>
      <c r="BT1800" s="117"/>
      <c r="BU1800" s="117"/>
      <c r="BV1800" s="117"/>
      <c r="BW1800" s="117"/>
      <c r="BX1800" s="117"/>
      <c r="BY1800" s="117"/>
      <c r="BZ1800" s="117"/>
      <c r="CA1800" s="117"/>
      <c r="CB1800" s="117"/>
      <c r="CC1800" s="117"/>
      <c r="CD1800" s="117"/>
      <c r="CE1800" s="117"/>
      <c r="CF1800" s="117"/>
      <c r="CG1800" s="117"/>
      <c r="CH1800" s="117"/>
      <c r="CI1800" s="117"/>
      <c r="CJ1800" s="117"/>
      <c r="CK1800" s="117"/>
      <c r="CL1800" s="117"/>
      <c r="CM1800" s="117"/>
      <c r="CN1800" s="117"/>
      <c r="CO1800" s="117"/>
      <c r="CP1800" s="117"/>
      <c r="CQ1800" s="117"/>
      <c r="CR1800" s="117"/>
      <c r="CS1800" s="117"/>
    </row>
    <row r="1801" spans="1:97" s="2" customFormat="1" ht="192.75" customHeight="1" x14ac:dyDescent="0.8">
      <c r="A1801" s="262">
        <f>ROW()</f>
        <v>1801</v>
      </c>
      <c r="B1801" s="116"/>
      <c r="C1801" s="211"/>
      <c r="D1801" s="211"/>
      <c r="E1801" s="211"/>
      <c r="F1801" s="211"/>
      <c r="G1801" s="211"/>
      <c r="H1801" s="211"/>
      <c r="I1801" s="116"/>
      <c r="K1801" s="2" t="s">
        <v>452</v>
      </c>
      <c r="M1801" s="2" t="s">
        <v>107</v>
      </c>
      <c r="N1801" s="2" t="s">
        <v>108</v>
      </c>
      <c r="O1801" s="97" t="s">
        <v>386</v>
      </c>
      <c r="P1801" s="502" t="s">
        <v>375</v>
      </c>
      <c r="Q1801" s="502"/>
      <c r="R1801" s="101" t="s">
        <v>452</v>
      </c>
      <c r="S1801" s="2" t="s">
        <v>0</v>
      </c>
      <c r="T1801" s="9"/>
      <c r="U1801" s="2" t="s">
        <v>287</v>
      </c>
      <c r="V1801" s="2" t="s">
        <v>288</v>
      </c>
      <c r="W1801" s="2" t="s">
        <v>291</v>
      </c>
      <c r="X1801" s="58"/>
      <c r="Y1801" s="2" t="s">
        <v>289</v>
      </c>
      <c r="Z1801" s="2" t="s">
        <v>354</v>
      </c>
      <c r="AA1801" s="2" t="s">
        <v>355</v>
      </c>
      <c r="AB1801" s="2" t="s">
        <v>317</v>
      </c>
      <c r="AC1801" s="2" t="s">
        <v>318</v>
      </c>
      <c r="AD1801" s="2" t="s">
        <v>316</v>
      </c>
      <c r="AE1801" s="58"/>
      <c r="AF1801" s="2" t="s">
        <v>293</v>
      </c>
      <c r="AG1801" s="2" t="s">
        <v>354</v>
      </c>
      <c r="AH1801" s="2" t="s">
        <v>355</v>
      </c>
      <c r="AI1801" s="2" t="s">
        <v>296</v>
      </c>
      <c r="AJ1801" s="2" t="s">
        <v>294</v>
      </c>
      <c r="AK1801" s="2" t="s">
        <v>295</v>
      </c>
      <c r="AL1801" s="58"/>
      <c r="AO1801" s="288"/>
      <c r="AP1801" s="284">
        <f t="shared" si="803"/>
        <v>0</v>
      </c>
      <c r="AQ1801" s="281">
        <f t="shared" si="804"/>
        <v>0</v>
      </c>
      <c r="AR1801" s="284">
        <f t="shared" si="805"/>
        <v>0</v>
      </c>
      <c r="AS1801" s="281">
        <f t="shared" si="806"/>
        <v>0</v>
      </c>
      <c r="AT1801" s="284">
        <f t="shared" si="807"/>
        <v>0</v>
      </c>
    </row>
    <row r="1802" spans="1:97" s="32" customFormat="1" ht="31.5" customHeight="1" x14ac:dyDescent="0.8">
      <c r="A1802" s="262">
        <f>ROW()</f>
        <v>1802</v>
      </c>
      <c r="B1802" s="114"/>
      <c r="C1802" s="208"/>
      <c r="D1802" s="208"/>
      <c r="E1802" s="208"/>
      <c r="F1802" s="208"/>
      <c r="G1802" s="208"/>
      <c r="H1802" s="208"/>
      <c r="I1802" s="114"/>
      <c r="L1802" s="16" t="str">
        <f>VLOOKUP(M1802,Sheet2!$D$2:$E$1024,2,FALSE)</f>
        <v>Zero</v>
      </c>
      <c r="M1802" s="121">
        <f>I1824</f>
        <v>0</v>
      </c>
      <c r="N1802" s="27" t="s">
        <v>303</v>
      </c>
      <c r="O1802" s="12" t="s">
        <v>347</v>
      </c>
      <c r="P1802" s="96" t="s">
        <v>379</v>
      </c>
      <c r="Q1802" s="96" t="s">
        <v>375</v>
      </c>
      <c r="R1802" s="96"/>
      <c r="S1802" s="28">
        <f>M1802</f>
        <v>0</v>
      </c>
      <c r="T1802" s="10"/>
      <c r="U1802" s="74" t="s">
        <v>292</v>
      </c>
      <c r="V1802" s="28">
        <f>S1802</f>
        <v>0</v>
      </c>
      <c r="W1802" s="28">
        <f>VLOOKUP(U1802,Sheet1!$B$6:$C$45,2,FALSE)*V1802</f>
        <v>0</v>
      </c>
      <c r="X1802" s="59"/>
      <c r="Y1802" s="12" t="s">
        <v>292</v>
      </c>
      <c r="Z1802" s="68">
        <f>VLOOKUP(Takeoffs!Y1802,Sheet1!$B$6:$C$124,2,FALSE)</f>
        <v>0</v>
      </c>
      <c r="AA1802" s="68">
        <f>Z1802*AB1802</f>
        <v>0</v>
      </c>
      <c r="AB1802" s="63">
        <f>AD1802*AC1802</f>
        <v>0</v>
      </c>
      <c r="AC1802" s="28">
        <f>S1802</f>
        <v>0</v>
      </c>
      <c r="AD1802" s="61">
        <v>1</v>
      </c>
      <c r="AE1802" s="59"/>
      <c r="AF1802" s="12" t="s">
        <v>292</v>
      </c>
      <c r="AG1802" s="68">
        <f>VLOOKUP(Takeoffs!AF1802,Sheet1!$B$6:$C$124,2,FALSE)</f>
        <v>0</v>
      </c>
      <c r="AH1802" s="68">
        <f>AG1802*AI1802</f>
        <v>0</v>
      </c>
      <c r="AI1802" s="63">
        <f>AK1802*AJ1802</f>
        <v>0</v>
      </c>
      <c r="AJ1802" s="28">
        <f>S1802</f>
        <v>0</v>
      </c>
      <c r="AK1802" s="61">
        <f>T1802</f>
        <v>0</v>
      </c>
      <c r="AL1802" s="59"/>
      <c r="AO1802" s="286"/>
      <c r="AP1802" s="284">
        <f t="shared" si="803"/>
        <v>0</v>
      </c>
      <c r="AQ1802" s="281">
        <f t="shared" si="804"/>
        <v>0</v>
      </c>
      <c r="AR1802" s="284">
        <f t="shared" si="805"/>
        <v>0</v>
      </c>
      <c r="AS1802" s="281">
        <f t="shared" si="806"/>
        <v>0</v>
      </c>
      <c r="AT1802" s="284">
        <f t="shared" si="807"/>
        <v>0</v>
      </c>
    </row>
    <row r="1803" spans="1:97" s="32" customFormat="1" ht="30.9" x14ac:dyDescent="0.8">
      <c r="A1803" s="262">
        <f>ROW()</f>
        <v>1803</v>
      </c>
      <c r="B1803" s="114"/>
      <c r="C1803" s="208"/>
      <c r="D1803" s="208"/>
      <c r="E1803" s="208"/>
      <c r="F1803" s="208"/>
      <c r="G1803" s="208"/>
      <c r="H1803" s="208"/>
      <c r="I1803" s="114"/>
      <c r="J1803" s="32" t="str">
        <f>IF(COUNTBLANK(Q1803)&gt;0,"",CONCATENATE("Coordination Note: - ",P1803,": Please refer to our exclusions relating to ",Q1803))</f>
        <v/>
      </c>
      <c r="K1803" s="32" t="str">
        <f>IF(COUNTBLANK(R1803)&gt;0,"",CONCATENATE(R1803," for ",N1802))</f>
        <v/>
      </c>
      <c r="M1803" s="38"/>
      <c r="N1803" s="15" t="s">
        <v>113</v>
      </c>
      <c r="O1803" s="66" t="s">
        <v>411</v>
      </c>
      <c r="P1803" s="12"/>
      <c r="Q1803" s="12"/>
      <c r="R1803" s="12"/>
      <c r="S1803" s="28">
        <f>M1802</f>
        <v>0</v>
      </c>
      <c r="T1803" s="11"/>
      <c r="U1803" s="12" t="s">
        <v>235</v>
      </c>
      <c r="V1803" s="28">
        <f t="shared" ref="V1803:V1822" si="826">S1803</f>
        <v>0</v>
      </c>
      <c r="W1803" s="28">
        <f>VLOOKUP(U1803,Sheet1!$B$6:$C$45,2,FALSE)*V1803</f>
        <v>0</v>
      </c>
      <c r="X1803" s="59"/>
      <c r="Y1803" s="12" t="s">
        <v>292</v>
      </c>
      <c r="Z1803" s="68">
        <f>VLOOKUP(Takeoffs!Y1803,Sheet1!$B$6:$C$124,2,FALSE)</f>
        <v>0</v>
      </c>
      <c r="AA1803" s="68">
        <f t="shared" ref="AA1803:AA1822" si="827">Z1803*AB1803</f>
        <v>0</v>
      </c>
      <c r="AB1803" s="63">
        <f t="shared" ref="AB1803:AB1822" si="828">AD1803*AC1803</f>
        <v>0</v>
      </c>
      <c r="AC1803" s="28">
        <f>S1803</f>
        <v>0</v>
      </c>
      <c r="AD1803" s="61">
        <v>1</v>
      </c>
      <c r="AE1803" s="59"/>
      <c r="AF1803" s="12" t="s">
        <v>292</v>
      </c>
      <c r="AG1803" s="68">
        <f>VLOOKUP(Takeoffs!AF1803,Sheet1!$B$6:$C$124,2,FALSE)</f>
        <v>0</v>
      </c>
      <c r="AH1803" s="68">
        <f t="shared" ref="AH1803:AH1822" si="829">AG1803*AI1803</f>
        <v>0</v>
      </c>
      <c r="AI1803" s="63">
        <f t="shared" ref="AI1803:AI1822" si="830">AK1803*AJ1803</f>
        <v>0</v>
      </c>
      <c r="AJ1803" s="28">
        <f t="shared" ref="AJ1803:AJ1822" si="831">S1803</f>
        <v>0</v>
      </c>
      <c r="AK1803" s="61"/>
      <c r="AL1803" s="59"/>
      <c r="AO1803" s="286"/>
      <c r="AP1803" s="284">
        <f t="shared" si="803"/>
        <v>0</v>
      </c>
      <c r="AQ1803" s="281">
        <f t="shared" si="804"/>
        <v>0</v>
      </c>
      <c r="AR1803" s="284">
        <f t="shared" si="805"/>
        <v>0</v>
      </c>
      <c r="AS1803" s="281">
        <f t="shared" si="806"/>
        <v>0</v>
      </c>
      <c r="AT1803" s="284">
        <f t="shared" si="807"/>
        <v>0</v>
      </c>
    </row>
    <row r="1804" spans="1:97" s="32" customFormat="1" ht="30.9" x14ac:dyDescent="0.8">
      <c r="A1804" s="262">
        <f>ROW()</f>
        <v>1804</v>
      </c>
      <c r="B1804" s="114"/>
      <c r="C1804" s="208"/>
      <c r="D1804" s="208"/>
      <c r="E1804" s="208"/>
      <c r="F1804" s="208"/>
      <c r="G1804" s="208"/>
      <c r="H1804" s="208"/>
      <c r="I1804" s="114"/>
      <c r="J1804" s="32" t="str">
        <f t="shared" ref="J1804:J1822" si="832">IF(COUNTBLANK(Q1804)&gt;0,"",CONCATENATE("Coordination Note: - ",P1804,": Please refer to our exclusions relating to ",Q1804))</f>
        <v/>
      </c>
      <c r="K1804" s="32" t="str">
        <f>IF(COUNTBLANK(R1804)&gt;0,"",CONCATENATE(R1804," for ",N1802))</f>
        <v/>
      </c>
      <c r="M1804" s="38"/>
      <c r="N1804" s="15" t="s">
        <v>114</v>
      </c>
      <c r="O1804" s="66" t="s">
        <v>308</v>
      </c>
      <c r="P1804" s="12"/>
      <c r="Q1804" s="12"/>
      <c r="R1804" s="12"/>
      <c r="S1804" s="28">
        <f>M1802</f>
        <v>0</v>
      </c>
      <c r="T1804" s="11"/>
      <c r="U1804" s="12" t="s">
        <v>292</v>
      </c>
      <c r="V1804" s="28">
        <f t="shared" si="826"/>
        <v>0</v>
      </c>
      <c r="W1804" s="28">
        <f>VLOOKUP(U1804,Sheet1!$B$6:$C$45,2,FALSE)*V1804</f>
        <v>0</v>
      </c>
      <c r="X1804" s="59"/>
      <c r="Y1804" s="13" t="s">
        <v>252</v>
      </c>
      <c r="Z1804" s="68">
        <f>VLOOKUP(Takeoffs!Y1804,Sheet1!$B$6:$C$124,2,FALSE)</f>
        <v>43.440000000000005</v>
      </c>
      <c r="AA1804" s="68">
        <f t="shared" si="827"/>
        <v>0</v>
      </c>
      <c r="AB1804" s="63">
        <f t="shared" si="828"/>
        <v>0</v>
      </c>
      <c r="AC1804" s="28">
        <f>S1804</f>
        <v>0</v>
      </c>
      <c r="AD1804" s="61">
        <v>1</v>
      </c>
      <c r="AE1804" s="59"/>
      <c r="AF1804" s="12" t="s">
        <v>292</v>
      </c>
      <c r="AG1804" s="68">
        <f>VLOOKUP(Takeoffs!AF1804,Sheet1!$B$6:$C$124,2,FALSE)</f>
        <v>0</v>
      </c>
      <c r="AH1804" s="68">
        <f t="shared" si="829"/>
        <v>0</v>
      </c>
      <c r="AI1804" s="63">
        <f t="shared" si="830"/>
        <v>0</v>
      </c>
      <c r="AJ1804" s="28">
        <f t="shared" si="831"/>
        <v>0</v>
      </c>
      <c r="AK1804" s="61">
        <f>T1804</f>
        <v>0</v>
      </c>
      <c r="AL1804" s="59"/>
      <c r="AO1804" s="286"/>
      <c r="AP1804" s="284">
        <f t="shared" si="803"/>
        <v>0</v>
      </c>
      <c r="AQ1804" s="281">
        <f t="shared" si="804"/>
        <v>0</v>
      </c>
      <c r="AR1804" s="284">
        <f t="shared" si="805"/>
        <v>0</v>
      </c>
      <c r="AS1804" s="281">
        <f t="shared" si="806"/>
        <v>0</v>
      </c>
      <c r="AT1804" s="284">
        <f t="shared" si="807"/>
        <v>0</v>
      </c>
    </row>
    <row r="1805" spans="1:97" s="32" customFormat="1" ht="30.9" x14ac:dyDescent="0.8">
      <c r="A1805" s="262">
        <f>ROW()</f>
        <v>1805</v>
      </c>
      <c r="B1805" s="114"/>
      <c r="C1805" s="208"/>
      <c r="D1805" s="208"/>
      <c r="E1805" s="208"/>
      <c r="F1805" s="208"/>
      <c r="G1805" s="208"/>
      <c r="H1805" s="208"/>
      <c r="I1805" s="114"/>
      <c r="J1805" s="32" t="str">
        <f t="shared" si="832"/>
        <v/>
      </c>
      <c r="K1805" s="32" t="str">
        <f>IF(COUNTBLANK(R1805)&gt;0,"",CONCATENATE(R1805," for ",N1802))</f>
        <v/>
      </c>
      <c r="M1805" s="38"/>
      <c r="N1805" s="15" t="s">
        <v>115</v>
      </c>
      <c r="O1805" s="66" t="s">
        <v>305</v>
      </c>
      <c r="P1805" s="12"/>
      <c r="Q1805" s="12"/>
      <c r="R1805" s="12"/>
      <c r="S1805" s="28">
        <f>M1802</f>
        <v>0</v>
      </c>
      <c r="T1805" s="11"/>
      <c r="U1805" s="12" t="s">
        <v>361</v>
      </c>
      <c r="V1805" s="28">
        <f t="shared" si="826"/>
        <v>0</v>
      </c>
      <c r="W1805" s="28">
        <f>VLOOKUP(U1805,Sheet1!$B$6:$C$45,2,FALSE)*V1805</f>
        <v>0</v>
      </c>
      <c r="X1805" s="59"/>
      <c r="Y1805" s="12" t="s">
        <v>292</v>
      </c>
      <c r="Z1805" s="68">
        <f>VLOOKUP(Takeoffs!Y1805,Sheet1!$B$6:$C$124,2,FALSE)</f>
        <v>0</v>
      </c>
      <c r="AA1805" s="68">
        <f t="shared" si="827"/>
        <v>0</v>
      </c>
      <c r="AB1805" s="63">
        <f t="shared" si="828"/>
        <v>0</v>
      </c>
      <c r="AC1805" s="28">
        <f t="shared" ref="AC1805:AC1822" si="833">S1805</f>
        <v>0</v>
      </c>
      <c r="AD1805" s="61">
        <v>1</v>
      </c>
      <c r="AE1805" s="59"/>
      <c r="AF1805" s="13" t="s">
        <v>267</v>
      </c>
      <c r="AG1805" s="68">
        <f>VLOOKUP(Takeoffs!AF1805,Sheet1!$B$6:$C$124,2,FALSE)</f>
        <v>3.48</v>
      </c>
      <c r="AH1805" s="68">
        <f t="shared" si="829"/>
        <v>0</v>
      </c>
      <c r="AI1805" s="63">
        <f t="shared" si="830"/>
        <v>0</v>
      </c>
      <c r="AJ1805" s="28">
        <f t="shared" si="831"/>
        <v>0</v>
      </c>
      <c r="AK1805" s="61">
        <v>1.5</v>
      </c>
      <c r="AL1805" s="59"/>
      <c r="AO1805" s="286"/>
      <c r="AP1805" s="284">
        <f t="shared" si="803"/>
        <v>0</v>
      </c>
      <c r="AQ1805" s="281">
        <f t="shared" si="804"/>
        <v>0</v>
      </c>
      <c r="AR1805" s="284">
        <f t="shared" si="805"/>
        <v>0</v>
      </c>
      <c r="AS1805" s="281">
        <f t="shared" si="806"/>
        <v>0</v>
      </c>
      <c r="AT1805" s="284">
        <f t="shared" si="807"/>
        <v>0</v>
      </c>
    </row>
    <row r="1806" spans="1:97" s="32" customFormat="1" ht="30.9" x14ac:dyDescent="0.8">
      <c r="A1806" s="262">
        <f>ROW()</f>
        <v>1806</v>
      </c>
      <c r="B1806" s="114"/>
      <c r="C1806" s="208"/>
      <c r="D1806" s="208"/>
      <c r="E1806" s="208"/>
      <c r="F1806" s="208"/>
      <c r="G1806" s="208"/>
      <c r="H1806" s="208"/>
      <c r="I1806" s="114"/>
      <c r="J1806" s="32" t="str">
        <f t="shared" si="832"/>
        <v/>
      </c>
      <c r="K1806" s="32" t="str">
        <f>IF(COUNTBLANK(R1806)&gt;0,"",CONCATENATE(R1806," for ",N1802))</f>
        <v/>
      </c>
      <c r="M1806" s="38"/>
      <c r="N1806" s="15" t="s">
        <v>116</v>
      </c>
      <c r="O1806" s="66" t="s">
        <v>391</v>
      </c>
      <c r="P1806" s="12"/>
      <c r="Q1806" s="12"/>
      <c r="R1806" s="12"/>
      <c r="S1806" s="28">
        <f>M1802</f>
        <v>0</v>
      </c>
      <c r="T1806" s="11"/>
      <c r="U1806" s="12" t="s">
        <v>292</v>
      </c>
      <c r="V1806" s="28">
        <f t="shared" si="826"/>
        <v>0</v>
      </c>
      <c r="W1806" s="28">
        <f>VLOOKUP(U1806,Sheet1!$B$6:$C$45,2,FALSE)*V1806</f>
        <v>0</v>
      </c>
      <c r="X1806" s="59"/>
      <c r="Y1806" s="13" t="s">
        <v>265</v>
      </c>
      <c r="Z1806" s="68">
        <f>VLOOKUP(Takeoffs!Y1806,Sheet1!$B$6:$C$124,2,FALSE)</f>
        <v>971.52</v>
      </c>
      <c r="AA1806" s="68">
        <f t="shared" si="827"/>
        <v>0</v>
      </c>
      <c r="AB1806" s="63">
        <f t="shared" si="828"/>
        <v>0</v>
      </c>
      <c r="AC1806" s="28">
        <f t="shared" si="833"/>
        <v>0</v>
      </c>
      <c r="AD1806" s="61">
        <v>1</v>
      </c>
      <c r="AE1806" s="59"/>
      <c r="AF1806" s="12" t="s">
        <v>292</v>
      </c>
      <c r="AG1806" s="68">
        <f>VLOOKUP(Takeoffs!AF1806,Sheet1!$B$6:$C$124,2,FALSE)</f>
        <v>0</v>
      </c>
      <c r="AH1806" s="68">
        <f t="shared" si="829"/>
        <v>0</v>
      </c>
      <c r="AI1806" s="63">
        <f t="shared" si="830"/>
        <v>0</v>
      </c>
      <c r="AJ1806" s="28">
        <f t="shared" si="831"/>
        <v>0</v>
      </c>
      <c r="AK1806" s="61">
        <f>T1806</f>
        <v>0</v>
      </c>
      <c r="AL1806" s="59"/>
      <c r="AO1806" s="286"/>
      <c r="AP1806" s="284">
        <f t="shared" si="803"/>
        <v>0</v>
      </c>
      <c r="AQ1806" s="281">
        <f t="shared" si="804"/>
        <v>0</v>
      </c>
      <c r="AR1806" s="284">
        <f t="shared" si="805"/>
        <v>0</v>
      </c>
      <c r="AS1806" s="281">
        <f t="shared" si="806"/>
        <v>0</v>
      </c>
      <c r="AT1806" s="284">
        <f t="shared" si="807"/>
        <v>0</v>
      </c>
    </row>
    <row r="1807" spans="1:97" s="32" customFormat="1" ht="30.9" x14ac:dyDescent="0.8">
      <c r="A1807" s="262">
        <f>ROW()</f>
        <v>1807</v>
      </c>
      <c r="B1807" s="114"/>
      <c r="C1807" s="208"/>
      <c r="D1807" s="208"/>
      <c r="E1807" s="208"/>
      <c r="F1807" s="208"/>
      <c r="G1807" s="208"/>
      <c r="H1807" s="208"/>
      <c r="I1807" s="114"/>
      <c r="J1807" s="32" t="str">
        <f t="shared" si="832"/>
        <v/>
      </c>
      <c r="K1807" s="32" t="str">
        <f>IF(COUNTBLANK(R1807)&gt;0,"",CONCATENATE(R1807," for ",N1802))</f>
        <v/>
      </c>
      <c r="M1807" s="38"/>
      <c r="N1807" s="15" t="s">
        <v>117</v>
      </c>
      <c r="O1807" s="66" t="s">
        <v>390</v>
      </c>
      <c r="P1807" s="12"/>
      <c r="Q1807" s="12"/>
      <c r="R1807" s="12"/>
      <c r="S1807" s="28">
        <f>M1802</f>
        <v>0</v>
      </c>
      <c r="T1807" s="11"/>
      <c r="U1807" s="12" t="s">
        <v>292</v>
      </c>
      <c r="V1807" s="28">
        <f t="shared" si="826"/>
        <v>0</v>
      </c>
      <c r="W1807" s="28">
        <f>VLOOKUP(U1807,Sheet1!$B$6:$C$45,2,FALSE)*V1807</f>
        <v>0</v>
      </c>
      <c r="X1807" s="59"/>
      <c r="Y1807" s="12" t="s">
        <v>292</v>
      </c>
      <c r="Z1807" s="68">
        <f>VLOOKUP(Takeoffs!Y1807,Sheet1!$B$6:$C$124,2,FALSE)</f>
        <v>0</v>
      </c>
      <c r="AA1807" s="68">
        <f t="shared" si="827"/>
        <v>0</v>
      </c>
      <c r="AB1807" s="63">
        <f t="shared" si="828"/>
        <v>0</v>
      </c>
      <c r="AC1807" s="28">
        <f t="shared" si="833"/>
        <v>0</v>
      </c>
      <c r="AD1807" s="61">
        <v>1</v>
      </c>
      <c r="AE1807" s="59"/>
      <c r="AF1807" s="13" t="s">
        <v>270</v>
      </c>
      <c r="AG1807" s="68">
        <f>VLOOKUP(Takeoffs!AF1807,Sheet1!$B$6:$C$124,2,FALSE)</f>
        <v>5.7960000000000003</v>
      </c>
      <c r="AH1807" s="68">
        <f t="shared" si="829"/>
        <v>0</v>
      </c>
      <c r="AI1807" s="63">
        <f t="shared" si="830"/>
        <v>0</v>
      </c>
      <c r="AJ1807" s="28">
        <f t="shared" si="831"/>
        <v>0</v>
      </c>
      <c r="AK1807" s="61">
        <v>15</v>
      </c>
      <c r="AL1807" s="59"/>
      <c r="AO1807" s="286"/>
      <c r="AP1807" s="284">
        <f t="shared" si="803"/>
        <v>0</v>
      </c>
      <c r="AQ1807" s="281">
        <f t="shared" si="804"/>
        <v>0</v>
      </c>
      <c r="AR1807" s="284">
        <f t="shared" si="805"/>
        <v>0</v>
      </c>
      <c r="AS1807" s="281">
        <f t="shared" si="806"/>
        <v>0</v>
      </c>
      <c r="AT1807" s="284">
        <f t="shared" si="807"/>
        <v>0</v>
      </c>
    </row>
    <row r="1808" spans="1:97" s="32" customFormat="1" ht="30.9" x14ac:dyDescent="0.8">
      <c r="A1808" s="262">
        <f>ROW()</f>
        <v>1808</v>
      </c>
      <c r="B1808" s="114"/>
      <c r="C1808" s="208"/>
      <c r="D1808" s="208"/>
      <c r="E1808" s="208"/>
      <c r="F1808" s="208"/>
      <c r="G1808" s="208"/>
      <c r="H1808" s="208"/>
      <c r="I1808" s="114"/>
      <c r="J1808" s="32" t="str">
        <f t="shared" si="832"/>
        <v/>
      </c>
      <c r="K1808" s="32" t="str">
        <f>IF(COUNTBLANK(R1808)&gt;0,"",CONCATENATE(R1808," for ",N1802))</f>
        <v/>
      </c>
      <c r="M1808" s="38"/>
      <c r="N1808" s="15" t="s">
        <v>118</v>
      </c>
      <c r="O1808" s="66" t="s">
        <v>309</v>
      </c>
      <c r="P1808" s="12"/>
      <c r="Q1808" s="12"/>
      <c r="R1808" s="12"/>
      <c r="S1808" s="28">
        <f>M1802</f>
        <v>0</v>
      </c>
      <c r="T1808" s="11"/>
      <c r="U1808" s="12" t="s">
        <v>292</v>
      </c>
      <c r="V1808" s="28">
        <f t="shared" si="826"/>
        <v>0</v>
      </c>
      <c r="W1808" s="28">
        <f>VLOOKUP(U1808,Sheet1!$B$6:$C$45,2,FALSE)*V1808</f>
        <v>0</v>
      </c>
      <c r="X1808" s="59"/>
      <c r="Y1808" s="13" t="s">
        <v>245</v>
      </c>
      <c r="Z1808" s="68">
        <f>VLOOKUP(Takeoffs!Y1808,Sheet1!$B$6:$C$124,2,FALSE)</f>
        <v>46.463999999999999</v>
      </c>
      <c r="AA1808" s="68">
        <f t="shared" si="827"/>
        <v>0</v>
      </c>
      <c r="AB1808" s="63">
        <f t="shared" si="828"/>
        <v>0</v>
      </c>
      <c r="AC1808" s="28">
        <f t="shared" si="833"/>
        <v>0</v>
      </c>
      <c r="AD1808" s="61">
        <v>1</v>
      </c>
      <c r="AE1808" s="59"/>
      <c r="AF1808" s="12" t="s">
        <v>292</v>
      </c>
      <c r="AG1808" s="68">
        <f>VLOOKUP(Takeoffs!AF1808,Sheet1!$B$6:$C$124,2,FALSE)</f>
        <v>0</v>
      </c>
      <c r="AH1808" s="68">
        <f t="shared" si="829"/>
        <v>0</v>
      </c>
      <c r="AI1808" s="63">
        <f t="shared" si="830"/>
        <v>0</v>
      </c>
      <c r="AJ1808" s="28">
        <f t="shared" si="831"/>
        <v>0</v>
      </c>
      <c r="AK1808" s="61">
        <f>T1808</f>
        <v>0</v>
      </c>
      <c r="AL1808" s="59"/>
      <c r="AO1808" s="286"/>
      <c r="AP1808" s="284">
        <f t="shared" si="803"/>
        <v>0</v>
      </c>
      <c r="AQ1808" s="281">
        <f t="shared" si="804"/>
        <v>0</v>
      </c>
      <c r="AR1808" s="284">
        <f t="shared" si="805"/>
        <v>0</v>
      </c>
      <c r="AS1808" s="281">
        <f t="shared" si="806"/>
        <v>0</v>
      </c>
      <c r="AT1808" s="284">
        <f t="shared" si="807"/>
        <v>0</v>
      </c>
    </row>
    <row r="1809" spans="1:97" s="32" customFormat="1" ht="30.9" x14ac:dyDescent="0.8">
      <c r="A1809" s="262">
        <f>ROW()</f>
        <v>1809</v>
      </c>
      <c r="B1809" s="114"/>
      <c r="C1809" s="208"/>
      <c r="D1809" s="208"/>
      <c r="E1809" s="208"/>
      <c r="F1809" s="208"/>
      <c r="G1809" s="208"/>
      <c r="H1809" s="208"/>
      <c r="I1809" s="114"/>
      <c r="J1809" s="32" t="str">
        <f t="shared" si="832"/>
        <v/>
      </c>
      <c r="K1809" s="32" t="str">
        <f>IF(COUNTBLANK(R1809)&gt;0,"",CONCATENATE(R1809," for ",N1802))</f>
        <v/>
      </c>
      <c r="N1809" s="15" t="s">
        <v>119</v>
      </c>
      <c r="O1809" s="66" t="s">
        <v>310</v>
      </c>
      <c r="P1809" s="12"/>
      <c r="Q1809" s="12"/>
      <c r="R1809" s="12"/>
      <c r="S1809" s="28">
        <f>M1802</f>
        <v>0</v>
      </c>
      <c r="T1809" s="11"/>
      <c r="U1809" s="12" t="s">
        <v>292</v>
      </c>
      <c r="V1809" s="28">
        <f t="shared" si="826"/>
        <v>0</v>
      </c>
      <c r="W1809" s="28">
        <f>VLOOKUP(U1809,Sheet1!$B$6:$C$45,2,FALSE)*V1809</f>
        <v>0</v>
      </c>
      <c r="X1809" s="59"/>
      <c r="Y1809" s="13" t="s">
        <v>278</v>
      </c>
      <c r="Z1809" s="68">
        <f>VLOOKUP(Takeoffs!Y1809,Sheet1!$B$6:$C$124,2,FALSE)</f>
        <v>36</v>
      </c>
      <c r="AA1809" s="68">
        <f t="shared" si="827"/>
        <v>0</v>
      </c>
      <c r="AB1809" s="63">
        <f t="shared" si="828"/>
        <v>0</v>
      </c>
      <c r="AC1809" s="28">
        <f t="shared" si="833"/>
        <v>0</v>
      </c>
      <c r="AD1809" s="61">
        <v>1</v>
      </c>
      <c r="AE1809" s="59"/>
      <c r="AF1809" s="12" t="s">
        <v>292</v>
      </c>
      <c r="AG1809" s="68">
        <f>VLOOKUP(Takeoffs!AF1809,Sheet1!$B$6:$C$124,2,FALSE)</f>
        <v>0</v>
      </c>
      <c r="AH1809" s="68">
        <f t="shared" si="829"/>
        <v>0</v>
      </c>
      <c r="AI1809" s="63">
        <f t="shared" si="830"/>
        <v>0</v>
      </c>
      <c r="AJ1809" s="28">
        <f t="shared" si="831"/>
        <v>0</v>
      </c>
      <c r="AK1809" s="61">
        <f>T1809</f>
        <v>0</v>
      </c>
      <c r="AL1809" s="59"/>
      <c r="AO1809" s="286"/>
      <c r="AP1809" s="284">
        <f t="shared" si="803"/>
        <v>0</v>
      </c>
      <c r="AQ1809" s="281">
        <f t="shared" si="804"/>
        <v>0</v>
      </c>
      <c r="AR1809" s="284">
        <f t="shared" si="805"/>
        <v>0</v>
      </c>
      <c r="AS1809" s="281">
        <f t="shared" si="806"/>
        <v>0</v>
      </c>
      <c r="AT1809" s="284">
        <f t="shared" si="807"/>
        <v>0</v>
      </c>
    </row>
    <row r="1810" spans="1:97" s="32" customFormat="1" ht="30.9" x14ac:dyDescent="0.8">
      <c r="A1810" s="262">
        <f>ROW()</f>
        <v>1810</v>
      </c>
      <c r="B1810" s="114"/>
      <c r="C1810" s="208"/>
      <c r="D1810" s="208"/>
      <c r="E1810" s="208"/>
      <c r="F1810" s="208"/>
      <c r="G1810" s="208"/>
      <c r="H1810" s="208"/>
      <c r="I1810" s="114"/>
      <c r="J1810" s="32" t="str">
        <f t="shared" si="832"/>
        <v/>
      </c>
      <c r="K1810" s="32" t="str">
        <f>IF(COUNTBLANK(R1810)&gt;0,"",CONCATENATE(R1810," for ",N1802))</f>
        <v/>
      </c>
      <c r="N1810" s="15" t="s">
        <v>120</v>
      </c>
      <c r="O1810" s="66" t="s">
        <v>306</v>
      </c>
      <c r="P1810" s="12"/>
      <c r="Q1810" s="12"/>
      <c r="R1810" s="12"/>
      <c r="S1810" s="28">
        <f>M1802</f>
        <v>0</v>
      </c>
      <c r="T1810" s="11"/>
      <c r="U1810" s="12" t="s">
        <v>292</v>
      </c>
      <c r="V1810" s="28">
        <f t="shared" si="826"/>
        <v>0</v>
      </c>
      <c r="W1810" s="28">
        <f>VLOOKUP(U1810,Sheet1!$B$6:$C$45,2,FALSE)*V1810</f>
        <v>0</v>
      </c>
      <c r="X1810" s="59"/>
      <c r="Y1810" s="13" t="s">
        <v>274</v>
      </c>
      <c r="Z1810" s="68">
        <f>VLOOKUP(Takeoffs!Y1810,Sheet1!$B$6:$C$124,2,FALSE)</f>
        <v>360</v>
      </c>
      <c r="AA1810" s="68">
        <f t="shared" si="827"/>
        <v>0</v>
      </c>
      <c r="AB1810" s="63">
        <f t="shared" si="828"/>
        <v>0</v>
      </c>
      <c r="AC1810" s="28">
        <f t="shared" si="833"/>
        <v>0</v>
      </c>
      <c r="AD1810" s="61">
        <v>1</v>
      </c>
      <c r="AE1810" s="59"/>
      <c r="AF1810" s="12" t="s">
        <v>292</v>
      </c>
      <c r="AG1810" s="68">
        <f>VLOOKUP(Takeoffs!AF1810,Sheet1!$B$6:$C$124,2,FALSE)</f>
        <v>0</v>
      </c>
      <c r="AH1810" s="68">
        <f t="shared" si="829"/>
        <v>0</v>
      </c>
      <c r="AI1810" s="63">
        <f t="shared" si="830"/>
        <v>0</v>
      </c>
      <c r="AJ1810" s="28">
        <f t="shared" si="831"/>
        <v>0</v>
      </c>
      <c r="AK1810" s="61">
        <f>T1810</f>
        <v>0</v>
      </c>
      <c r="AL1810" s="59"/>
      <c r="AO1810" s="286"/>
      <c r="AP1810" s="284">
        <f t="shared" si="803"/>
        <v>0</v>
      </c>
      <c r="AQ1810" s="281">
        <f t="shared" si="804"/>
        <v>0</v>
      </c>
      <c r="AR1810" s="284">
        <f t="shared" si="805"/>
        <v>0</v>
      </c>
      <c r="AS1810" s="281">
        <f t="shared" si="806"/>
        <v>0</v>
      </c>
      <c r="AT1810" s="284">
        <f t="shared" si="807"/>
        <v>0</v>
      </c>
    </row>
    <row r="1811" spans="1:97" s="32" customFormat="1" ht="30.9" x14ac:dyDescent="0.8">
      <c r="A1811" s="262">
        <f>ROW()</f>
        <v>1811</v>
      </c>
      <c r="B1811" s="114"/>
      <c r="C1811" s="208"/>
      <c r="D1811" s="208"/>
      <c r="E1811" s="208"/>
      <c r="F1811" s="208"/>
      <c r="G1811" s="208"/>
      <c r="H1811" s="208"/>
      <c r="I1811" s="114"/>
      <c r="J1811" s="32" t="str">
        <f t="shared" si="832"/>
        <v/>
      </c>
      <c r="K1811" s="32" t="str">
        <f>IF(COUNTBLANK(R1811)&gt;0,"",CONCATENATE(R1811," for ",N1802))</f>
        <v/>
      </c>
      <c r="N1811" s="15" t="s">
        <v>121</v>
      </c>
      <c r="O1811" s="66" t="s">
        <v>307</v>
      </c>
      <c r="P1811" s="12"/>
      <c r="Q1811" s="12"/>
      <c r="R1811" s="12"/>
      <c r="S1811" s="28">
        <f>M1802</f>
        <v>0</v>
      </c>
      <c r="T1811" s="11"/>
      <c r="U1811" s="12" t="s">
        <v>364</v>
      </c>
      <c r="V1811" s="28">
        <f t="shared" si="826"/>
        <v>0</v>
      </c>
      <c r="W1811" s="28">
        <f>VLOOKUP(U1811,Sheet1!$B$6:$C$45,2,FALSE)*V1811</f>
        <v>0</v>
      </c>
      <c r="X1811" s="59"/>
      <c r="Y1811" s="12" t="s">
        <v>292</v>
      </c>
      <c r="Z1811" s="68">
        <f>VLOOKUP(Takeoffs!Y1811,Sheet1!$B$6:$C$124,2,FALSE)</f>
        <v>0</v>
      </c>
      <c r="AA1811" s="68">
        <f t="shared" si="827"/>
        <v>0</v>
      </c>
      <c r="AB1811" s="63">
        <f t="shared" si="828"/>
        <v>0</v>
      </c>
      <c r="AC1811" s="28">
        <f t="shared" si="833"/>
        <v>0</v>
      </c>
      <c r="AD1811" s="61">
        <v>1</v>
      </c>
      <c r="AE1811" s="59"/>
      <c r="AF1811" s="13" t="s">
        <v>270</v>
      </c>
      <c r="AG1811" s="68">
        <f>VLOOKUP(Takeoffs!AF1811,Sheet1!$B$6:$C$124,2,FALSE)</f>
        <v>5.7960000000000003</v>
      </c>
      <c r="AH1811" s="68">
        <f t="shared" si="829"/>
        <v>0</v>
      </c>
      <c r="AI1811" s="63">
        <f t="shared" si="830"/>
        <v>0</v>
      </c>
      <c r="AJ1811" s="28">
        <f t="shared" si="831"/>
        <v>0</v>
      </c>
      <c r="AK1811" s="61">
        <v>40</v>
      </c>
      <c r="AL1811" s="59"/>
      <c r="AO1811" s="286"/>
      <c r="AP1811" s="284">
        <f t="shared" si="803"/>
        <v>0</v>
      </c>
      <c r="AQ1811" s="281">
        <f t="shared" si="804"/>
        <v>0</v>
      </c>
      <c r="AR1811" s="284">
        <f t="shared" si="805"/>
        <v>0</v>
      </c>
      <c r="AS1811" s="281">
        <f t="shared" si="806"/>
        <v>0</v>
      </c>
      <c r="AT1811" s="284">
        <f t="shared" si="807"/>
        <v>0</v>
      </c>
    </row>
    <row r="1812" spans="1:97" s="32" customFormat="1" ht="30.9" x14ac:dyDescent="0.8">
      <c r="A1812" s="262">
        <f>ROW()</f>
        <v>1812</v>
      </c>
      <c r="B1812" s="114"/>
      <c r="C1812" s="208"/>
      <c r="D1812" s="208"/>
      <c r="E1812" s="208"/>
      <c r="F1812" s="208"/>
      <c r="G1812" s="208"/>
      <c r="H1812" s="208"/>
      <c r="I1812" s="114"/>
      <c r="J1812" s="32" t="str">
        <f t="shared" si="832"/>
        <v/>
      </c>
      <c r="K1812" s="32" t="str">
        <f>IF(COUNTBLANK(R1812)&gt;0,"",CONCATENATE(R1812," for ",N1802))</f>
        <v/>
      </c>
      <c r="N1812" s="15" t="s">
        <v>122</v>
      </c>
      <c r="O1812" s="66" t="s">
        <v>929</v>
      </c>
      <c r="P1812" s="12"/>
      <c r="Q1812" s="12"/>
      <c r="R1812" s="12"/>
      <c r="S1812" s="28">
        <f>M1802</f>
        <v>0</v>
      </c>
      <c r="T1812" s="11"/>
      <c r="U1812" s="12" t="s">
        <v>363</v>
      </c>
      <c r="V1812" s="28">
        <f t="shared" si="826"/>
        <v>0</v>
      </c>
      <c r="W1812" s="28">
        <f>VLOOKUP(U1812,Sheet1!$B$6:$C$45,2,FALSE)*V1812</f>
        <v>0</v>
      </c>
      <c r="X1812" s="59"/>
      <c r="Y1812" s="13" t="s">
        <v>319</v>
      </c>
      <c r="Z1812" s="68">
        <v>200</v>
      </c>
      <c r="AA1812" s="68">
        <f t="shared" si="827"/>
        <v>0</v>
      </c>
      <c r="AB1812" s="63">
        <f t="shared" si="828"/>
        <v>0</v>
      </c>
      <c r="AC1812" s="28">
        <f t="shared" si="833"/>
        <v>0</v>
      </c>
      <c r="AD1812" s="61">
        <v>1</v>
      </c>
      <c r="AE1812" s="59"/>
      <c r="AF1812" s="12" t="s">
        <v>292</v>
      </c>
      <c r="AG1812" s="68">
        <f>VLOOKUP(Takeoffs!AF1812,Sheet1!$B$6:$C$124,2,FALSE)</f>
        <v>0</v>
      </c>
      <c r="AH1812" s="68">
        <f t="shared" si="829"/>
        <v>0</v>
      </c>
      <c r="AI1812" s="63">
        <f t="shared" si="830"/>
        <v>0</v>
      </c>
      <c r="AJ1812" s="28">
        <f t="shared" si="831"/>
        <v>0</v>
      </c>
      <c r="AK1812" s="61">
        <f>T1812</f>
        <v>0</v>
      </c>
      <c r="AL1812" s="59"/>
      <c r="AO1812" s="286"/>
      <c r="AP1812" s="284">
        <f t="shared" ref="AP1812:AP1875" si="834">IF(AND(I1812&gt;0, ISNUMBER(I1812)),I1812*P1812,0)</f>
        <v>0</v>
      </c>
      <c r="AQ1812" s="281">
        <f t="shared" ref="AQ1812:AQ1875" si="835">IF(AND(I1812&gt;0, ISNUMBER(I1812)),I1812*W1812*80,0)</f>
        <v>0</v>
      </c>
      <c r="AR1812" s="284">
        <f t="shared" ref="AR1812:AR1875" si="836">IF(AND(I1812&gt;0, ISNUMBER(I1812)),I1812*AA1812,0)</f>
        <v>0</v>
      </c>
      <c r="AS1812" s="281">
        <f t="shared" ref="AS1812:AS1875" si="837">IF(AND(I1812&gt;0, ISNUMBER(I1812)),I1812*AH1812,0)</f>
        <v>0</v>
      </c>
      <c r="AT1812" s="284">
        <f t="shared" ref="AT1812:AT1875" si="838">IF(AND(I1812&gt;0, ISNUMBER(I1812)),I1812*(AP1812-(AQ1812+AR1812+AS1812)),0)</f>
        <v>0</v>
      </c>
    </row>
    <row r="1813" spans="1:97" s="32" customFormat="1" ht="30.9" x14ac:dyDescent="0.8">
      <c r="A1813" s="262">
        <f>ROW()</f>
        <v>1813</v>
      </c>
      <c r="B1813" s="114"/>
      <c r="C1813" s="208"/>
      <c r="D1813" s="208"/>
      <c r="E1813" s="208"/>
      <c r="F1813" s="208"/>
      <c r="G1813" s="208"/>
      <c r="H1813" s="208"/>
      <c r="I1813" s="114"/>
      <c r="J1813" s="32" t="str">
        <f t="shared" si="832"/>
        <v/>
      </c>
      <c r="K1813" s="32" t="str">
        <f>IF(COUNTBLANK(R1813)&gt;0,"",CONCATENATE(R1813," for ",N1802))</f>
        <v/>
      </c>
      <c r="N1813" s="15" t="s">
        <v>123</v>
      </c>
      <c r="O1813" s="66" t="s">
        <v>311</v>
      </c>
      <c r="P1813" s="12"/>
      <c r="Q1813" s="12"/>
      <c r="R1813" s="12"/>
      <c r="S1813" s="28">
        <f>M1802</f>
        <v>0</v>
      </c>
      <c r="T1813" s="11"/>
      <c r="U1813" s="12" t="s">
        <v>363</v>
      </c>
      <c r="V1813" s="28">
        <f t="shared" si="826"/>
        <v>0</v>
      </c>
      <c r="W1813" s="28">
        <f>VLOOKUP(U1813,Sheet1!$B$6:$C$45,2,FALSE)*V1813</f>
        <v>0</v>
      </c>
      <c r="X1813" s="59"/>
      <c r="Y1813" s="12" t="s">
        <v>927</v>
      </c>
      <c r="Z1813" s="414">
        <f>Sheet1!M66</f>
        <v>56.4</v>
      </c>
      <c r="AA1813" s="68">
        <f t="shared" si="827"/>
        <v>0</v>
      </c>
      <c r="AB1813" s="63">
        <f t="shared" si="828"/>
        <v>0</v>
      </c>
      <c r="AC1813" s="28">
        <f t="shared" si="833"/>
        <v>0</v>
      </c>
      <c r="AD1813" s="61">
        <v>1</v>
      </c>
      <c r="AE1813" s="59"/>
      <c r="AF1813" s="13" t="s">
        <v>320</v>
      </c>
      <c r="AG1813" s="68">
        <f>VLOOKUP(Takeoffs!AF1813,Sheet1!$B$6:$C$124,2,FALSE)</f>
        <v>0</v>
      </c>
      <c r="AH1813" s="68">
        <f t="shared" si="829"/>
        <v>0</v>
      </c>
      <c r="AI1813" s="63">
        <f t="shared" si="830"/>
        <v>0</v>
      </c>
      <c r="AJ1813" s="28">
        <f t="shared" si="831"/>
        <v>0</v>
      </c>
      <c r="AK1813" s="61">
        <v>20</v>
      </c>
      <c r="AL1813" s="59"/>
      <c r="AO1813" s="286"/>
      <c r="AP1813" s="284">
        <f t="shared" si="834"/>
        <v>0</v>
      </c>
      <c r="AQ1813" s="281">
        <f t="shared" si="835"/>
        <v>0</v>
      </c>
      <c r="AR1813" s="284">
        <f t="shared" si="836"/>
        <v>0</v>
      </c>
      <c r="AS1813" s="281">
        <f t="shared" si="837"/>
        <v>0</v>
      </c>
      <c r="AT1813" s="284">
        <f t="shared" si="838"/>
        <v>0</v>
      </c>
    </row>
    <row r="1814" spans="1:97" s="32" customFormat="1" ht="30.9" x14ac:dyDescent="0.8">
      <c r="A1814" s="262">
        <f>ROW()</f>
        <v>1814</v>
      </c>
      <c r="B1814" s="114"/>
      <c r="C1814" s="208"/>
      <c r="D1814" s="208"/>
      <c r="E1814" s="208"/>
      <c r="F1814" s="208"/>
      <c r="G1814" s="208"/>
      <c r="H1814" s="208"/>
      <c r="I1814" s="114"/>
      <c r="J1814" s="32" t="str">
        <f t="shared" si="832"/>
        <v/>
      </c>
      <c r="K1814" s="32" t="str">
        <f>IF(COUNTBLANK(R1814)&gt;0,"",CONCATENATE(R1814," for ",N1802))</f>
        <v/>
      </c>
      <c r="N1814" s="15" t="s">
        <v>124</v>
      </c>
      <c r="O1814" s="66" t="s">
        <v>140</v>
      </c>
      <c r="P1814" s="12"/>
      <c r="Q1814" s="12"/>
      <c r="R1814" s="12"/>
      <c r="S1814" s="28">
        <f>M1802</f>
        <v>0</v>
      </c>
      <c r="T1814" s="11"/>
      <c r="U1814" s="12" t="s">
        <v>364</v>
      </c>
      <c r="V1814" s="28">
        <f t="shared" si="826"/>
        <v>0</v>
      </c>
      <c r="W1814" s="28">
        <f>VLOOKUP(U1814,Sheet1!$B$6:$C$45,2,FALSE)*V1814</f>
        <v>0</v>
      </c>
      <c r="X1814" s="59"/>
      <c r="Y1814" s="12" t="s">
        <v>928</v>
      </c>
      <c r="Z1814" s="414">
        <f>Sheet1!M59</f>
        <v>10.139999999999999</v>
      </c>
      <c r="AA1814" s="68">
        <f t="shared" si="827"/>
        <v>0</v>
      </c>
      <c r="AB1814" s="63">
        <f t="shared" si="828"/>
        <v>0</v>
      </c>
      <c r="AC1814" s="28">
        <f t="shared" si="833"/>
        <v>0</v>
      </c>
      <c r="AD1814" s="61">
        <v>1</v>
      </c>
      <c r="AE1814" s="59"/>
      <c r="AF1814" s="12" t="s">
        <v>292</v>
      </c>
      <c r="AG1814" s="68">
        <f>VLOOKUP(Takeoffs!AF1814,Sheet1!$B$6:$C$124,2,FALSE)</f>
        <v>0</v>
      </c>
      <c r="AH1814" s="68">
        <f t="shared" si="829"/>
        <v>0</v>
      </c>
      <c r="AI1814" s="63">
        <f t="shared" si="830"/>
        <v>0</v>
      </c>
      <c r="AJ1814" s="28">
        <f t="shared" si="831"/>
        <v>0</v>
      </c>
      <c r="AK1814" s="61">
        <f t="shared" ref="AK1814:AK1822" si="839">T1814</f>
        <v>0</v>
      </c>
      <c r="AL1814" s="59"/>
      <c r="AO1814" s="286"/>
      <c r="AP1814" s="284">
        <f t="shared" si="834"/>
        <v>0</v>
      </c>
      <c r="AQ1814" s="281">
        <f t="shared" si="835"/>
        <v>0</v>
      </c>
      <c r="AR1814" s="284">
        <f t="shared" si="836"/>
        <v>0</v>
      </c>
      <c r="AS1814" s="281">
        <f t="shared" si="837"/>
        <v>0</v>
      </c>
      <c r="AT1814" s="284">
        <f t="shared" si="838"/>
        <v>0</v>
      </c>
    </row>
    <row r="1815" spans="1:97" s="32" customFormat="1" ht="30.9" x14ac:dyDescent="0.8">
      <c r="A1815" s="262">
        <f>ROW()</f>
        <v>1815</v>
      </c>
      <c r="B1815" s="114"/>
      <c r="C1815" s="208"/>
      <c r="D1815" s="208"/>
      <c r="E1815" s="208"/>
      <c r="F1815" s="208"/>
      <c r="G1815" s="208"/>
      <c r="H1815" s="208"/>
      <c r="I1815" s="114"/>
      <c r="J1815" s="32" t="str">
        <f t="shared" si="832"/>
        <v/>
      </c>
      <c r="K1815" s="32" t="str">
        <f>IF(COUNTBLANK(R1815)&gt;0,"",CONCATENATE(R1815," for ",N1802))</f>
        <v/>
      </c>
      <c r="N1815" s="15" t="s">
        <v>125</v>
      </c>
      <c r="O1815" s="66" t="s">
        <v>312</v>
      </c>
      <c r="P1815" s="12"/>
      <c r="Q1815" s="12"/>
      <c r="R1815" s="12"/>
      <c r="S1815" s="28">
        <f>M1802</f>
        <v>0</v>
      </c>
      <c r="T1815" s="11"/>
      <c r="U1815" s="12" t="s">
        <v>232</v>
      </c>
      <c r="V1815" s="28">
        <f t="shared" si="826"/>
        <v>0</v>
      </c>
      <c r="W1815" s="28">
        <f>VLOOKUP(U1815,Sheet1!$B$6:$C$45,2,FALSE)*V1815</f>
        <v>0</v>
      </c>
      <c r="X1815" s="59"/>
      <c r="Y1815" s="13" t="s">
        <v>1345</v>
      </c>
      <c r="Z1815" s="68">
        <f>VLOOKUP(Takeoffs!Y1815,Sheet1!$B$6:$C$124,2,FALSE)</f>
        <v>109.25999999999999</v>
      </c>
      <c r="AA1815" s="68">
        <f t="shared" si="827"/>
        <v>0</v>
      </c>
      <c r="AB1815" s="63">
        <f t="shared" si="828"/>
        <v>0</v>
      </c>
      <c r="AC1815" s="28">
        <f t="shared" si="833"/>
        <v>0</v>
      </c>
      <c r="AD1815" s="61">
        <v>1</v>
      </c>
      <c r="AE1815" s="59"/>
      <c r="AF1815" s="12" t="s">
        <v>292</v>
      </c>
      <c r="AG1815" s="68">
        <f>VLOOKUP(Takeoffs!AF1815,Sheet1!$B$6:$C$124,2,FALSE)</f>
        <v>0</v>
      </c>
      <c r="AH1815" s="68">
        <f t="shared" si="829"/>
        <v>0</v>
      </c>
      <c r="AI1815" s="63">
        <f t="shared" si="830"/>
        <v>0</v>
      </c>
      <c r="AJ1815" s="28">
        <f t="shared" si="831"/>
        <v>0</v>
      </c>
      <c r="AK1815" s="61">
        <f t="shared" si="839"/>
        <v>0</v>
      </c>
      <c r="AL1815" s="59"/>
      <c r="AO1815" s="286"/>
      <c r="AP1815" s="284">
        <f t="shared" si="834"/>
        <v>0</v>
      </c>
      <c r="AQ1815" s="281">
        <f t="shared" si="835"/>
        <v>0</v>
      </c>
      <c r="AR1815" s="284">
        <f t="shared" si="836"/>
        <v>0</v>
      </c>
      <c r="AS1815" s="281">
        <f t="shared" si="837"/>
        <v>0</v>
      </c>
      <c r="AT1815" s="284">
        <f t="shared" si="838"/>
        <v>0</v>
      </c>
    </row>
    <row r="1816" spans="1:97" s="32" customFormat="1" ht="30.9" x14ac:dyDescent="0.8">
      <c r="A1816" s="262">
        <f>ROW()</f>
        <v>1816</v>
      </c>
      <c r="B1816" s="114"/>
      <c r="C1816" s="208"/>
      <c r="D1816" s="208"/>
      <c r="E1816" s="208"/>
      <c r="F1816" s="208"/>
      <c r="G1816" s="208"/>
      <c r="H1816" s="208"/>
      <c r="I1816" s="114"/>
      <c r="J1816" s="32" t="str">
        <f t="shared" si="832"/>
        <v/>
      </c>
      <c r="K1816" s="32" t="str">
        <f>IF(COUNTBLANK(R1816)&gt;0,"",CONCATENATE(R1816," for ",N1802))</f>
        <v/>
      </c>
      <c r="N1816" s="15" t="s">
        <v>126</v>
      </c>
      <c r="O1816" s="66" t="s">
        <v>313</v>
      </c>
      <c r="P1816" s="12"/>
      <c r="Q1816" s="12"/>
      <c r="R1816" s="12"/>
      <c r="S1816" s="28">
        <f>M1802</f>
        <v>0</v>
      </c>
      <c r="T1816" s="11"/>
      <c r="U1816" s="12" t="s">
        <v>363</v>
      </c>
      <c r="V1816" s="28">
        <f t="shared" si="826"/>
        <v>0</v>
      </c>
      <c r="W1816" s="28">
        <f>VLOOKUP(U1816,Sheet1!$B$6:$C$45,2,FALSE)*V1816</f>
        <v>0</v>
      </c>
      <c r="X1816" s="59"/>
      <c r="Y1816" s="13" t="s">
        <v>321</v>
      </c>
      <c r="Z1816" s="68">
        <f>VLOOKUP(Takeoffs!Y1816,Sheet1!$B$6:$C$124,2,FALSE)</f>
        <v>60</v>
      </c>
      <c r="AA1816" s="68">
        <f t="shared" si="827"/>
        <v>0</v>
      </c>
      <c r="AB1816" s="63">
        <f t="shared" si="828"/>
        <v>0</v>
      </c>
      <c r="AC1816" s="28">
        <f t="shared" si="833"/>
        <v>0</v>
      </c>
      <c r="AD1816" s="61">
        <v>1</v>
      </c>
      <c r="AE1816" s="59"/>
      <c r="AF1816" s="12" t="s">
        <v>292</v>
      </c>
      <c r="AG1816" s="68">
        <f>VLOOKUP(Takeoffs!AF1816,Sheet1!$B$6:$C$124,2,FALSE)</f>
        <v>0</v>
      </c>
      <c r="AH1816" s="68">
        <f t="shared" si="829"/>
        <v>0</v>
      </c>
      <c r="AI1816" s="63">
        <f t="shared" si="830"/>
        <v>0</v>
      </c>
      <c r="AJ1816" s="28">
        <f t="shared" si="831"/>
        <v>0</v>
      </c>
      <c r="AK1816" s="61">
        <f t="shared" si="839"/>
        <v>0</v>
      </c>
      <c r="AL1816" s="59"/>
      <c r="AO1816" s="286"/>
      <c r="AP1816" s="284">
        <f t="shared" si="834"/>
        <v>0</v>
      </c>
      <c r="AQ1816" s="281">
        <f t="shared" si="835"/>
        <v>0</v>
      </c>
      <c r="AR1816" s="284">
        <f t="shared" si="836"/>
        <v>0</v>
      </c>
      <c r="AS1816" s="281">
        <f t="shared" si="837"/>
        <v>0</v>
      </c>
      <c r="AT1816" s="284">
        <f t="shared" si="838"/>
        <v>0</v>
      </c>
    </row>
    <row r="1817" spans="1:97" s="32" customFormat="1" ht="30.9" x14ac:dyDescent="0.8">
      <c r="A1817" s="262">
        <f>ROW()</f>
        <v>1817</v>
      </c>
      <c r="B1817" s="114"/>
      <c r="C1817" s="208"/>
      <c r="D1817" s="208"/>
      <c r="E1817" s="208"/>
      <c r="F1817" s="208"/>
      <c r="G1817" s="208"/>
      <c r="H1817" s="208"/>
      <c r="I1817" s="114"/>
      <c r="J1817" s="32" t="str">
        <f t="shared" si="832"/>
        <v/>
      </c>
      <c r="K1817" s="32" t="str">
        <f>IF(COUNTBLANK(R1817)&gt;0,"",CONCATENATE(R1817," for ",N1802))</f>
        <v>Run and fault lights for stair  pressurisation systems</v>
      </c>
      <c r="N1817" s="15" t="s">
        <v>127</v>
      </c>
      <c r="O1817" s="66" t="s">
        <v>314</v>
      </c>
      <c r="P1817" s="12"/>
      <c r="Q1817" s="12"/>
      <c r="R1817" s="12" t="s">
        <v>455</v>
      </c>
      <c r="S1817" s="28">
        <f>M1802</f>
        <v>0</v>
      </c>
      <c r="T1817" s="11"/>
      <c r="U1817" s="12" t="s">
        <v>292</v>
      </c>
      <c r="V1817" s="28">
        <f t="shared" si="826"/>
        <v>0</v>
      </c>
      <c r="W1817" s="28">
        <f>VLOOKUP(U1817,Sheet1!$B$6:$C$45,2,FALSE)*V1817</f>
        <v>0</v>
      </c>
      <c r="X1817" s="59"/>
      <c r="Y1817" s="13" t="s">
        <v>280</v>
      </c>
      <c r="Z1817" s="68">
        <f>VLOOKUP(Takeoffs!Y1817,Sheet1!$B$6:$C$124,2,FALSE)</f>
        <v>19.2</v>
      </c>
      <c r="AA1817" s="68">
        <f t="shared" si="827"/>
        <v>0</v>
      </c>
      <c r="AB1817" s="63">
        <f t="shared" si="828"/>
        <v>0</v>
      </c>
      <c r="AC1817" s="28">
        <f t="shared" si="833"/>
        <v>0</v>
      </c>
      <c r="AD1817" s="61">
        <v>1</v>
      </c>
      <c r="AE1817" s="59"/>
      <c r="AF1817" s="12" t="s">
        <v>292</v>
      </c>
      <c r="AG1817" s="68">
        <f>VLOOKUP(Takeoffs!AF1817,Sheet1!$B$6:$C$124,2,FALSE)</f>
        <v>0</v>
      </c>
      <c r="AH1817" s="68">
        <f t="shared" si="829"/>
        <v>0</v>
      </c>
      <c r="AI1817" s="63">
        <f t="shared" si="830"/>
        <v>0</v>
      </c>
      <c r="AJ1817" s="28">
        <f t="shared" si="831"/>
        <v>0</v>
      </c>
      <c r="AK1817" s="61">
        <f t="shared" si="839"/>
        <v>0</v>
      </c>
      <c r="AL1817" s="59"/>
      <c r="AO1817" s="286"/>
      <c r="AP1817" s="284">
        <f t="shared" si="834"/>
        <v>0</v>
      </c>
      <c r="AQ1817" s="281">
        <f t="shared" si="835"/>
        <v>0</v>
      </c>
      <c r="AR1817" s="284">
        <f t="shared" si="836"/>
        <v>0</v>
      </c>
      <c r="AS1817" s="281">
        <f t="shared" si="837"/>
        <v>0</v>
      </c>
      <c r="AT1817" s="284">
        <f t="shared" si="838"/>
        <v>0</v>
      </c>
    </row>
    <row r="1818" spans="1:97" s="32" customFormat="1" ht="30.9" x14ac:dyDescent="0.8">
      <c r="A1818" s="262">
        <f>ROW()</f>
        <v>1818</v>
      </c>
      <c r="B1818" s="114"/>
      <c r="C1818" s="208"/>
      <c r="D1818" s="208"/>
      <c r="E1818" s="208"/>
      <c r="F1818" s="208"/>
      <c r="G1818" s="208"/>
      <c r="H1818" s="208"/>
      <c r="I1818" s="114"/>
      <c r="J1818" s="32" t="str">
        <f t="shared" si="832"/>
        <v/>
      </c>
      <c r="K1818" s="32" t="str">
        <f>IF(COUNTBLANK(R1818)&gt;0,"",CONCATENATE(R1818," for ",N1802))</f>
        <v/>
      </c>
      <c r="N1818" s="15" t="s">
        <v>128</v>
      </c>
      <c r="O1818" s="66" t="s">
        <v>315</v>
      </c>
      <c r="P1818" s="12"/>
      <c r="Q1818" s="12"/>
      <c r="R1818" s="12"/>
      <c r="S1818" s="28">
        <f>M1802</f>
        <v>0</v>
      </c>
      <c r="T1818" s="11"/>
      <c r="U1818" s="12" t="s">
        <v>292</v>
      </c>
      <c r="V1818" s="28">
        <f t="shared" si="826"/>
        <v>0</v>
      </c>
      <c r="W1818" s="28">
        <f>VLOOKUP(U1818,Sheet1!$B$6:$C$45,2,FALSE)*V1818</f>
        <v>0</v>
      </c>
      <c r="X1818" s="59"/>
      <c r="Y1818" s="13" t="s">
        <v>280</v>
      </c>
      <c r="Z1818" s="68">
        <f>VLOOKUP(Takeoffs!Y1818,Sheet1!$B$6:$C$124,2,FALSE)</f>
        <v>19.2</v>
      </c>
      <c r="AA1818" s="68">
        <f t="shared" si="827"/>
        <v>0</v>
      </c>
      <c r="AB1818" s="63">
        <f t="shared" si="828"/>
        <v>0</v>
      </c>
      <c r="AC1818" s="28">
        <f t="shared" si="833"/>
        <v>0</v>
      </c>
      <c r="AD1818" s="61">
        <v>1</v>
      </c>
      <c r="AE1818" s="59"/>
      <c r="AF1818" s="12" t="s">
        <v>292</v>
      </c>
      <c r="AG1818" s="68">
        <f>VLOOKUP(Takeoffs!AF1818,Sheet1!$B$6:$C$124,2,FALSE)</f>
        <v>0</v>
      </c>
      <c r="AH1818" s="68">
        <f t="shared" si="829"/>
        <v>0</v>
      </c>
      <c r="AI1818" s="63">
        <f t="shared" si="830"/>
        <v>0</v>
      </c>
      <c r="AJ1818" s="28">
        <f t="shared" si="831"/>
        <v>0</v>
      </c>
      <c r="AK1818" s="61">
        <f t="shared" si="839"/>
        <v>0</v>
      </c>
      <c r="AL1818" s="59"/>
      <c r="AO1818" s="286"/>
      <c r="AP1818" s="284">
        <f t="shared" si="834"/>
        <v>0</v>
      </c>
      <c r="AQ1818" s="281">
        <f t="shared" si="835"/>
        <v>0</v>
      </c>
      <c r="AR1818" s="284">
        <f t="shared" si="836"/>
        <v>0</v>
      </c>
      <c r="AS1818" s="281">
        <f t="shared" si="837"/>
        <v>0</v>
      </c>
      <c r="AT1818" s="284">
        <f t="shared" si="838"/>
        <v>0</v>
      </c>
    </row>
    <row r="1819" spans="1:97" s="32" customFormat="1" ht="30.9" x14ac:dyDescent="0.8">
      <c r="A1819" s="262">
        <f>ROW()</f>
        <v>1819</v>
      </c>
      <c r="B1819" s="114"/>
      <c r="C1819" s="208"/>
      <c r="D1819" s="208"/>
      <c r="E1819" s="208"/>
      <c r="F1819" s="208"/>
      <c r="G1819" s="208"/>
      <c r="H1819" s="208"/>
      <c r="I1819" s="114"/>
      <c r="J1819" s="32" t="str">
        <f t="shared" si="832"/>
        <v/>
      </c>
      <c r="K1819" s="32" t="str">
        <f>IF(COUNTBLANK(R1819)&gt;0,"",CONCATENATE(R1819," for ",N1802))</f>
        <v>Auto/Off/On switch for stair  pressurisation systems</v>
      </c>
      <c r="N1819" s="15" t="s">
        <v>129</v>
      </c>
      <c r="O1819" s="66" t="s">
        <v>329</v>
      </c>
      <c r="P1819" s="12"/>
      <c r="Q1819" s="12"/>
      <c r="R1819" s="12" t="s">
        <v>304</v>
      </c>
      <c r="S1819" s="28">
        <f>M1802</f>
        <v>0</v>
      </c>
      <c r="T1819" s="11"/>
      <c r="U1819" s="12" t="s">
        <v>292</v>
      </c>
      <c r="V1819" s="28">
        <f t="shared" si="826"/>
        <v>0</v>
      </c>
      <c r="W1819" s="28">
        <f>VLOOKUP(U1819,Sheet1!$B$6:$C$45,2,FALSE)*V1819</f>
        <v>0</v>
      </c>
      <c r="X1819" s="59"/>
      <c r="Y1819" s="13" t="s">
        <v>277</v>
      </c>
      <c r="Z1819" s="68">
        <f>VLOOKUP(Takeoffs!Y1819,Sheet1!$B$6:$C$124,2,FALSE)</f>
        <v>69.540000000000006</v>
      </c>
      <c r="AA1819" s="68">
        <f t="shared" si="827"/>
        <v>0</v>
      </c>
      <c r="AB1819" s="63">
        <f t="shared" si="828"/>
        <v>0</v>
      </c>
      <c r="AC1819" s="28">
        <f t="shared" si="833"/>
        <v>0</v>
      </c>
      <c r="AD1819" s="61">
        <v>1</v>
      </c>
      <c r="AE1819" s="59"/>
      <c r="AF1819" s="12" t="s">
        <v>292</v>
      </c>
      <c r="AG1819" s="68">
        <f>VLOOKUP(Takeoffs!AF1819,Sheet1!$B$6:$C$124,2,FALSE)</f>
        <v>0</v>
      </c>
      <c r="AH1819" s="68">
        <f t="shared" si="829"/>
        <v>0</v>
      </c>
      <c r="AI1819" s="63">
        <f t="shared" si="830"/>
        <v>0</v>
      </c>
      <c r="AJ1819" s="28">
        <f t="shared" si="831"/>
        <v>0</v>
      </c>
      <c r="AK1819" s="61">
        <f t="shared" si="839"/>
        <v>0</v>
      </c>
      <c r="AL1819" s="59"/>
      <c r="AO1819" s="286"/>
      <c r="AP1819" s="284">
        <f t="shared" si="834"/>
        <v>0</v>
      </c>
      <c r="AQ1819" s="281">
        <f t="shared" si="835"/>
        <v>0</v>
      </c>
      <c r="AR1819" s="284">
        <f t="shared" si="836"/>
        <v>0</v>
      </c>
      <c r="AS1819" s="281">
        <f t="shared" si="837"/>
        <v>0</v>
      </c>
      <c r="AT1819" s="284">
        <f t="shared" si="838"/>
        <v>0</v>
      </c>
    </row>
    <row r="1820" spans="1:97" s="32" customFormat="1" ht="30.9" x14ac:dyDescent="0.8">
      <c r="A1820" s="262">
        <f>ROW()</f>
        <v>1820</v>
      </c>
      <c r="B1820" s="114"/>
      <c r="C1820" s="208"/>
      <c r="D1820" s="208"/>
      <c r="E1820" s="208"/>
      <c r="F1820" s="208"/>
      <c r="G1820" s="208"/>
      <c r="H1820" s="208"/>
      <c r="I1820" s="114"/>
      <c r="J1820" s="32" t="str">
        <f t="shared" si="832"/>
        <v/>
      </c>
      <c r="K1820" s="32" t="str">
        <f>IF(COUNTBLANK(R1820)&gt;0,"",CONCATENATE(R1820," for ",N1802))</f>
        <v/>
      </c>
      <c r="N1820" s="15" t="s">
        <v>130</v>
      </c>
      <c r="O1820" s="66"/>
      <c r="P1820" s="12"/>
      <c r="Q1820" s="12"/>
      <c r="R1820" s="12"/>
      <c r="S1820" s="28">
        <f>M1802</f>
        <v>0</v>
      </c>
      <c r="T1820" s="11"/>
      <c r="U1820" s="12" t="s">
        <v>292</v>
      </c>
      <c r="V1820" s="28">
        <f t="shared" si="826"/>
        <v>0</v>
      </c>
      <c r="W1820" s="28">
        <f>VLOOKUP(U1820,Sheet1!$B$6:$C$45,2,FALSE)*V1820</f>
        <v>0</v>
      </c>
      <c r="X1820" s="59"/>
      <c r="Y1820" s="12" t="s">
        <v>292</v>
      </c>
      <c r="Z1820" s="68">
        <f>VLOOKUP(Takeoffs!Y1820,Sheet1!$B$6:$C$124,2,FALSE)</f>
        <v>0</v>
      </c>
      <c r="AA1820" s="68">
        <f t="shared" si="827"/>
        <v>0</v>
      </c>
      <c r="AB1820" s="63">
        <f t="shared" si="828"/>
        <v>0</v>
      </c>
      <c r="AC1820" s="28">
        <f t="shared" si="833"/>
        <v>0</v>
      </c>
      <c r="AD1820" s="61">
        <v>1</v>
      </c>
      <c r="AE1820" s="59"/>
      <c r="AF1820" s="12" t="s">
        <v>292</v>
      </c>
      <c r="AG1820" s="68">
        <f>VLOOKUP(Takeoffs!AF1820,Sheet1!$B$6:$C$124,2,FALSE)</f>
        <v>0</v>
      </c>
      <c r="AH1820" s="68">
        <f t="shared" si="829"/>
        <v>0</v>
      </c>
      <c r="AI1820" s="63">
        <f t="shared" si="830"/>
        <v>0</v>
      </c>
      <c r="AJ1820" s="28">
        <f t="shared" si="831"/>
        <v>0</v>
      </c>
      <c r="AK1820" s="61">
        <f t="shared" si="839"/>
        <v>0</v>
      </c>
      <c r="AL1820" s="59"/>
      <c r="AO1820" s="286"/>
      <c r="AP1820" s="284">
        <f t="shared" si="834"/>
        <v>0</v>
      </c>
      <c r="AQ1820" s="281">
        <f t="shared" si="835"/>
        <v>0</v>
      </c>
      <c r="AR1820" s="284">
        <f t="shared" si="836"/>
        <v>0</v>
      </c>
      <c r="AS1820" s="281">
        <f t="shared" si="837"/>
        <v>0</v>
      </c>
      <c r="AT1820" s="284">
        <f t="shared" si="838"/>
        <v>0</v>
      </c>
    </row>
    <row r="1821" spans="1:97" s="32" customFormat="1" ht="30.9" x14ac:dyDescent="0.8">
      <c r="A1821" s="262">
        <f>ROW()</f>
        <v>1821</v>
      </c>
      <c r="B1821" s="114"/>
      <c r="C1821" s="208"/>
      <c r="D1821" s="208"/>
      <c r="E1821" s="208"/>
      <c r="F1821" s="208"/>
      <c r="G1821" s="208"/>
      <c r="H1821" s="208"/>
      <c r="I1821" s="114"/>
      <c r="J1821" s="32" t="str">
        <f t="shared" si="832"/>
        <v>Coordination Note: - Fire trade: Please refer to our exclusions relating to fire cabling from FIP.</v>
      </c>
      <c r="K1821" s="32" t="str">
        <f>IF(COUNTBLANK(R1821)&gt;0,"",CONCATENATE(R1821," for ",N1802))</f>
        <v/>
      </c>
      <c r="N1821" s="15" t="s">
        <v>131</v>
      </c>
      <c r="O1821" s="66" t="s">
        <v>412</v>
      </c>
      <c r="P1821" s="12" t="s">
        <v>380</v>
      </c>
      <c r="Q1821" s="12" t="s">
        <v>384</v>
      </c>
      <c r="R1821" s="12"/>
      <c r="S1821" s="28">
        <f>M1802</f>
        <v>0</v>
      </c>
      <c r="T1821" s="11"/>
      <c r="U1821" s="12" t="s">
        <v>292</v>
      </c>
      <c r="V1821" s="28">
        <f t="shared" si="826"/>
        <v>0</v>
      </c>
      <c r="W1821" s="28">
        <f>VLOOKUP(U1821,Sheet1!$B$6:$C$45,2,FALSE)*V1821</f>
        <v>0</v>
      </c>
      <c r="X1821" s="59"/>
      <c r="Y1821" s="13" t="s">
        <v>322</v>
      </c>
      <c r="Z1821" s="68">
        <f>VLOOKUP(Takeoffs!Y1821,Sheet1!$B$6:$C$124,2,FALSE)</f>
        <v>48</v>
      </c>
      <c r="AA1821" s="68">
        <f t="shared" si="827"/>
        <v>0</v>
      </c>
      <c r="AB1821" s="63">
        <f t="shared" si="828"/>
        <v>0</v>
      </c>
      <c r="AC1821" s="28">
        <f t="shared" si="833"/>
        <v>0</v>
      </c>
      <c r="AD1821" s="61">
        <v>1</v>
      </c>
      <c r="AE1821" s="59"/>
      <c r="AF1821" s="12" t="s">
        <v>292</v>
      </c>
      <c r="AG1821" s="68">
        <f>VLOOKUP(Takeoffs!AF1821,Sheet1!$B$6:$C$124,2,FALSE)</f>
        <v>0</v>
      </c>
      <c r="AH1821" s="68">
        <f t="shared" si="829"/>
        <v>0</v>
      </c>
      <c r="AI1821" s="63">
        <f t="shared" si="830"/>
        <v>0</v>
      </c>
      <c r="AJ1821" s="28">
        <f t="shared" si="831"/>
        <v>0</v>
      </c>
      <c r="AK1821" s="61">
        <f t="shared" si="839"/>
        <v>0</v>
      </c>
      <c r="AL1821" s="59"/>
      <c r="AO1821" s="286"/>
      <c r="AP1821" s="284">
        <f t="shared" si="834"/>
        <v>0</v>
      </c>
      <c r="AQ1821" s="281">
        <f t="shared" si="835"/>
        <v>0</v>
      </c>
      <c r="AR1821" s="284">
        <f t="shared" si="836"/>
        <v>0</v>
      </c>
      <c r="AS1821" s="281">
        <f t="shared" si="837"/>
        <v>0</v>
      </c>
      <c r="AT1821" s="284">
        <f t="shared" si="838"/>
        <v>0</v>
      </c>
    </row>
    <row r="1822" spans="1:97" s="32" customFormat="1" ht="30.9" x14ac:dyDescent="0.8">
      <c r="A1822" s="262">
        <f>ROW()</f>
        <v>1822</v>
      </c>
      <c r="B1822" s="114"/>
      <c r="C1822" s="208"/>
      <c r="D1822" s="208"/>
      <c r="E1822" s="208"/>
      <c r="F1822" s="208"/>
      <c r="G1822" s="208"/>
      <c r="H1822" s="208"/>
      <c r="I1822" s="114"/>
      <c r="J1822" s="32" t="str">
        <f t="shared" si="832"/>
        <v/>
      </c>
      <c r="K1822" s="32" t="str">
        <f>IF(COUNTBLANK(R1822)&gt;0,"",CONCATENATE(R1822," for ",N1802))</f>
        <v/>
      </c>
      <c r="N1822" s="15" t="s">
        <v>132</v>
      </c>
      <c r="O1822" s="66" t="s">
        <v>408</v>
      </c>
      <c r="P1822" s="12"/>
      <c r="Q1822" s="12"/>
      <c r="R1822" s="12"/>
      <c r="S1822" s="28">
        <f>M1802</f>
        <v>0</v>
      </c>
      <c r="T1822" s="11"/>
      <c r="U1822" s="12" t="s">
        <v>364</v>
      </c>
      <c r="V1822" s="28">
        <f t="shared" si="826"/>
        <v>0</v>
      </c>
      <c r="W1822" s="28">
        <f>VLOOKUP(U1822,Sheet1!$B$6:$C$45,2,FALSE)*V1822</f>
        <v>0</v>
      </c>
      <c r="X1822" s="59"/>
      <c r="Y1822" s="12" t="s">
        <v>292</v>
      </c>
      <c r="Z1822" s="68">
        <f>VLOOKUP(Takeoffs!Y1822,Sheet1!$B$6:$C$124,2,FALSE)</f>
        <v>0</v>
      </c>
      <c r="AA1822" s="68">
        <f t="shared" si="827"/>
        <v>0</v>
      </c>
      <c r="AB1822" s="63">
        <f t="shared" si="828"/>
        <v>0</v>
      </c>
      <c r="AC1822" s="28">
        <f t="shared" si="833"/>
        <v>0</v>
      </c>
      <c r="AD1822" s="61">
        <v>1</v>
      </c>
      <c r="AE1822" s="59"/>
      <c r="AF1822" s="12" t="s">
        <v>292</v>
      </c>
      <c r="AG1822" s="68">
        <f>VLOOKUP(Takeoffs!AF1822,Sheet1!$B$6:$C$124,2,FALSE)</f>
        <v>0</v>
      </c>
      <c r="AH1822" s="68">
        <f t="shared" si="829"/>
        <v>0</v>
      </c>
      <c r="AI1822" s="63">
        <f t="shared" si="830"/>
        <v>0</v>
      </c>
      <c r="AJ1822" s="28">
        <f t="shared" si="831"/>
        <v>0</v>
      </c>
      <c r="AK1822" s="61">
        <f t="shared" si="839"/>
        <v>0</v>
      </c>
      <c r="AL1822" s="59"/>
      <c r="AO1822" s="286"/>
      <c r="AP1822" s="284">
        <f t="shared" si="834"/>
        <v>0</v>
      </c>
      <c r="AQ1822" s="281">
        <f t="shared" si="835"/>
        <v>0</v>
      </c>
      <c r="AR1822" s="284">
        <f t="shared" si="836"/>
        <v>0</v>
      </c>
      <c r="AS1822" s="281">
        <f t="shared" si="837"/>
        <v>0</v>
      </c>
      <c r="AT1822" s="284">
        <f t="shared" si="838"/>
        <v>0</v>
      </c>
    </row>
    <row r="1823" spans="1:97" s="21" customFormat="1" ht="31.5" customHeight="1" x14ac:dyDescent="0.8">
      <c r="A1823" s="262">
        <f>ROW()</f>
        <v>1823</v>
      </c>
      <c r="B1823" s="128"/>
      <c r="C1823" s="212"/>
      <c r="D1823" s="212"/>
      <c r="E1823" s="212"/>
      <c r="F1823" s="212"/>
      <c r="G1823" s="212"/>
      <c r="H1823" s="212"/>
      <c r="I1823" s="128"/>
      <c r="J1823" s="21" t="s">
        <v>377</v>
      </c>
      <c r="L1823" s="21" t="s">
        <v>378</v>
      </c>
      <c r="N1823" s="22"/>
      <c r="O1823" s="23" t="s">
        <v>357</v>
      </c>
      <c r="P1823" s="24">
        <f>V1823+AA1823+AH1823</f>
        <v>0</v>
      </c>
      <c r="Q1823" s="24"/>
      <c r="R1823" s="24"/>
      <c r="S1823" s="23"/>
      <c r="T1823" s="20"/>
      <c r="U1823" s="19" t="s">
        <v>351</v>
      </c>
      <c r="V1823" s="20">
        <f>W1823*80</f>
        <v>0</v>
      </c>
      <c r="W1823" s="69">
        <f>SUM(W1802:W1822)</f>
        <v>0</v>
      </c>
      <c r="X1823" s="70"/>
      <c r="Y1823" s="20" t="s">
        <v>352</v>
      </c>
      <c r="Z1823" s="2"/>
      <c r="AA1823" s="2">
        <f>SUM(AA1802:AA1822)</f>
        <v>0</v>
      </c>
      <c r="AB1823" s="71"/>
      <c r="AC1823" s="71"/>
      <c r="AD1823" s="71"/>
      <c r="AE1823" s="71"/>
      <c r="AF1823" s="20" t="s">
        <v>356</v>
      </c>
      <c r="AG1823" s="2"/>
      <c r="AH1823" s="2">
        <f>SUM(AH1802:AH1822)</f>
        <v>0</v>
      </c>
      <c r="AI1823" s="71"/>
      <c r="AJ1823" s="71"/>
      <c r="AK1823" s="71"/>
      <c r="AL1823" s="71"/>
      <c r="AM1823" s="150">
        <f>P1823</f>
        <v>0</v>
      </c>
      <c r="AO1823" s="286"/>
      <c r="AP1823" s="284">
        <f t="shared" si="834"/>
        <v>0</v>
      </c>
      <c r="AQ1823" s="281">
        <f t="shared" si="835"/>
        <v>0</v>
      </c>
      <c r="AR1823" s="284">
        <f t="shared" si="836"/>
        <v>0</v>
      </c>
      <c r="AS1823" s="281">
        <f t="shared" si="837"/>
        <v>0</v>
      </c>
      <c r="AT1823" s="284">
        <f t="shared" si="838"/>
        <v>0</v>
      </c>
    </row>
    <row r="1824" spans="1:97" s="234" customFormat="1" ht="185.15" x14ac:dyDescent="0.8">
      <c r="A1824" s="262">
        <f>ROW()</f>
        <v>1824</v>
      </c>
      <c r="B1824" s="234" t="s">
        <v>491</v>
      </c>
      <c r="C1824" s="217" t="str">
        <f>N1802</f>
        <v>stair  pressurisation systems</v>
      </c>
      <c r="D1824" s="260" t="s">
        <v>677</v>
      </c>
      <c r="E1824" s="238"/>
      <c r="F1824" s="217"/>
      <c r="G1824" s="217"/>
      <c r="H1824" s="245"/>
      <c r="I1824" s="270"/>
      <c r="J1824" s="241" t="str">
        <f>CONCATENATE(O1802," ",L1802, " (",M1802,") ",N1802,".", IF(M1802&gt;1," Each "," This "),"includes supply and install of ",O1803,O1804,O1805,O1806,O1807,O1808,O1809,O1810,O1811,O1812,O1813,O1814,O1815,O1816,O1817,O1818,O1819,O1820,O1821,O1822,J1803,J1804,J1805,J1806,J1807,J1808,J1809,J1810,J1811,J1812,J1813,J1814,J1815,J1816,J1817,J1818,J1819,J1820,J1821,J1822)</f>
        <v>Electrical power supply and controls to Zero (0) stair  pressurisation systems. This includes supply and install of power and controls. Power for systems includes: CB, cabling to VSD, Danfoss VSD ( with internal program for stair press control), shielded cabling, local isolator, 003 padlock, fan isolator and MSSB AS1668.1  trefolyte label. Controls for systems includes: Stairwell pressure transducers ( Note if &gt; 8 levels multiple tranducers and increase cable length required), pressure sensing tubing, controls cabling, contactors/relays, air pressure  switch, run light, fault light, Auto/Off/On switch, interface at MSSB for fire trade connection and commissioning/testing. Coordination Note: - Fire trade: Please refer to our exclusions relating to fire cabling from FIP.</v>
      </c>
      <c r="K1824" s="246">
        <f>P1823</f>
        <v>0</v>
      </c>
      <c r="L1824" s="234" t="str">
        <f>CONCATENATE(Q1803,Q1804,Q1805,Q1806,Q1807,Q1808,Q1809,Q1810,Q1811,Q1812,Q1813,Q1814,Q1815,Q1816,Q1817,Q1818,Q1819,Q1820,Q1821,Q1822,)</f>
        <v>fire cabling from FIP.</v>
      </c>
      <c r="M1824" s="91" t="s">
        <v>367</v>
      </c>
      <c r="N1824" s="83" t="str">
        <f>N1802</f>
        <v>stair  pressurisation systems</v>
      </c>
      <c r="O1824" s="83" t="s">
        <v>365</v>
      </c>
      <c r="P1824" s="64" t="e">
        <f>P1823/M1802</f>
        <v>#DIV/0!</v>
      </c>
      <c r="Q1824" s="84"/>
      <c r="R1824" s="84"/>
      <c r="S1824" s="83"/>
      <c r="T1824" s="84"/>
      <c r="U1824" s="503" t="s">
        <v>366</v>
      </c>
      <c r="V1824" s="503"/>
      <c r="W1824" s="85" t="e">
        <f>W1823/M1802</f>
        <v>#DIV/0!</v>
      </c>
      <c r="X1824" s="86"/>
      <c r="Y1824" s="501" t="s">
        <v>365</v>
      </c>
      <c r="Z1824" s="501"/>
      <c r="AA1824" s="87" t="e">
        <f>AA1823/M1802</f>
        <v>#DIV/0!</v>
      </c>
      <c r="AB1824" s="84"/>
      <c r="AC1824" s="84"/>
      <c r="AD1824" s="84"/>
      <c r="AE1824" s="84"/>
      <c r="AF1824" s="501" t="s">
        <v>365</v>
      </c>
      <c r="AG1824" s="501"/>
      <c r="AH1824" s="87" t="e">
        <f>AH1823/M1802</f>
        <v>#DIV/0!</v>
      </c>
      <c r="AI1824" s="84"/>
      <c r="AJ1824" s="84"/>
      <c r="AK1824" s="84"/>
      <c r="AL1824" s="247"/>
      <c r="AM1824" s="257"/>
      <c r="AN1824" s="236">
        <f>K1824*1.25</f>
        <v>0</v>
      </c>
      <c r="AO1824" s="286"/>
      <c r="AP1824" s="284">
        <f t="shared" si="834"/>
        <v>0</v>
      </c>
      <c r="AQ1824" s="281">
        <f t="shared" si="835"/>
        <v>0</v>
      </c>
      <c r="AR1824" s="284">
        <f t="shared" si="836"/>
        <v>0</v>
      </c>
      <c r="AS1824" s="281">
        <f t="shared" si="837"/>
        <v>0</v>
      </c>
      <c r="AT1824" s="284">
        <f t="shared" si="838"/>
        <v>0</v>
      </c>
      <c r="AU1824" s="117"/>
      <c r="AV1824" s="117"/>
      <c r="AW1824" s="117"/>
      <c r="AX1824" s="117"/>
      <c r="AY1824" s="117"/>
      <c r="AZ1824" s="117"/>
      <c r="BA1824" s="117"/>
      <c r="BB1824" s="117"/>
      <c r="BC1824" s="117"/>
      <c r="BD1824" s="117"/>
      <c r="BE1824" s="117"/>
      <c r="BF1824" s="117"/>
      <c r="BG1824" s="117"/>
      <c r="BH1824" s="117"/>
      <c r="BI1824" s="117"/>
      <c r="BJ1824" s="117"/>
      <c r="BK1824" s="117"/>
      <c r="BL1824" s="117"/>
      <c r="BM1824" s="117"/>
      <c r="BN1824" s="117"/>
      <c r="BO1824" s="117"/>
      <c r="BP1824" s="117"/>
      <c r="BQ1824" s="117"/>
      <c r="BR1824" s="117"/>
      <c r="BS1824" s="117"/>
      <c r="BT1824" s="117"/>
      <c r="BU1824" s="117"/>
      <c r="BV1824" s="117"/>
      <c r="BW1824" s="117"/>
      <c r="BX1824" s="117"/>
      <c r="BY1824" s="117"/>
      <c r="BZ1824" s="117"/>
      <c r="CA1824" s="117"/>
      <c r="CB1824" s="117"/>
      <c r="CC1824" s="117"/>
      <c r="CD1824" s="117"/>
      <c r="CE1824" s="117"/>
      <c r="CF1824" s="117"/>
      <c r="CG1824" s="117"/>
      <c r="CH1824" s="117"/>
      <c r="CI1824" s="117"/>
      <c r="CJ1824" s="117"/>
      <c r="CK1824" s="117"/>
      <c r="CL1824" s="117"/>
      <c r="CM1824" s="117"/>
      <c r="CN1824" s="117"/>
      <c r="CO1824" s="117"/>
      <c r="CP1824" s="117"/>
      <c r="CQ1824" s="117"/>
      <c r="CR1824" s="117"/>
      <c r="CS1824" s="117"/>
    </row>
    <row r="1825" spans="1:46" s="2" customFormat="1" ht="192.75" customHeight="1" x14ac:dyDescent="0.8">
      <c r="A1825" s="262">
        <f>ROW()</f>
        <v>1825</v>
      </c>
      <c r="B1825" s="116"/>
      <c r="C1825" s="211"/>
      <c r="D1825" s="211"/>
      <c r="E1825" s="211"/>
      <c r="F1825" s="211"/>
      <c r="G1825" s="211"/>
      <c r="H1825" s="211"/>
      <c r="I1825" s="116"/>
      <c r="K1825" s="2" t="s">
        <v>452</v>
      </c>
      <c r="M1825" s="2" t="s">
        <v>107</v>
      </c>
      <c r="N1825" s="2" t="s">
        <v>108</v>
      </c>
      <c r="O1825" s="97" t="s">
        <v>386</v>
      </c>
      <c r="P1825" s="502" t="s">
        <v>375</v>
      </c>
      <c r="Q1825" s="502"/>
      <c r="R1825" s="101" t="s">
        <v>452</v>
      </c>
      <c r="S1825" s="2" t="s">
        <v>0</v>
      </c>
      <c r="T1825" s="9"/>
      <c r="U1825" s="2" t="s">
        <v>287</v>
      </c>
      <c r="V1825" s="2" t="s">
        <v>288</v>
      </c>
      <c r="W1825" s="2" t="s">
        <v>291</v>
      </c>
      <c r="X1825" s="58"/>
      <c r="Y1825" s="2" t="s">
        <v>289</v>
      </c>
      <c r="Z1825" s="2" t="s">
        <v>354</v>
      </c>
      <c r="AA1825" s="2" t="s">
        <v>355</v>
      </c>
      <c r="AB1825" s="2" t="s">
        <v>317</v>
      </c>
      <c r="AC1825" s="2" t="s">
        <v>318</v>
      </c>
      <c r="AD1825" s="2" t="s">
        <v>316</v>
      </c>
      <c r="AE1825" s="58"/>
      <c r="AF1825" s="2" t="s">
        <v>293</v>
      </c>
      <c r="AG1825" s="2" t="s">
        <v>354</v>
      </c>
      <c r="AH1825" s="2" t="s">
        <v>355</v>
      </c>
      <c r="AI1825" s="2" t="s">
        <v>296</v>
      </c>
      <c r="AJ1825" s="2" t="s">
        <v>294</v>
      </c>
      <c r="AK1825" s="2" t="s">
        <v>295</v>
      </c>
      <c r="AL1825" s="58"/>
      <c r="AO1825" s="288"/>
      <c r="AP1825" s="284">
        <f t="shared" si="834"/>
        <v>0</v>
      </c>
      <c r="AQ1825" s="281">
        <f t="shared" si="835"/>
        <v>0</v>
      </c>
      <c r="AR1825" s="284">
        <f t="shared" si="836"/>
        <v>0</v>
      </c>
      <c r="AS1825" s="281">
        <f t="shared" si="837"/>
        <v>0</v>
      </c>
      <c r="AT1825" s="284">
        <f t="shared" si="838"/>
        <v>0</v>
      </c>
    </row>
    <row r="1826" spans="1:46" s="32" customFormat="1" ht="51" customHeight="1" x14ac:dyDescent="0.8">
      <c r="A1826" s="262">
        <f>ROW()</f>
        <v>1826</v>
      </c>
      <c r="B1826" s="114"/>
      <c r="C1826" s="208"/>
      <c r="D1826" s="208"/>
      <c r="E1826" s="208"/>
      <c r="F1826" s="208"/>
      <c r="G1826" s="208"/>
      <c r="H1826" s="208"/>
      <c r="I1826" s="114"/>
      <c r="L1826" s="16" t="str">
        <f>VLOOKUP(M1826,Sheet2!$D$2:$E$1024,2,FALSE)</f>
        <v>Zero</v>
      </c>
      <c r="M1826" s="121">
        <f>I1848</f>
        <v>0</v>
      </c>
      <c r="N1826" s="90" t="s">
        <v>327</v>
      </c>
      <c r="O1826" s="12" t="s">
        <v>347</v>
      </c>
      <c r="P1826" s="96" t="s">
        <v>379</v>
      </c>
      <c r="Q1826" s="96" t="s">
        <v>375</v>
      </c>
      <c r="R1826" s="96"/>
      <c r="S1826" s="28">
        <f>M1826</f>
        <v>0</v>
      </c>
      <c r="T1826" s="10"/>
      <c r="U1826" s="74" t="s">
        <v>292</v>
      </c>
      <c r="V1826" s="28">
        <f>S1826</f>
        <v>0</v>
      </c>
      <c r="W1826" s="28">
        <f>VLOOKUP(U1826,Sheet1!$B$6:$C$45,2,FALSE)*V1826</f>
        <v>0</v>
      </c>
      <c r="X1826" s="59"/>
      <c r="Y1826" s="12" t="s">
        <v>292</v>
      </c>
      <c r="Z1826" s="68" t="s">
        <v>354</v>
      </c>
      <c r="AA1826" s="68" t="s">
        <v>355</v>
      </c>
      <c r="AB1826" s="63">
        <f>AD1826*AC1826</f>
        <v>0</v>
      </c>
      <c r="AC1826" s="28">
        <f>S1826</f>
        <v>0</v>
      </c>
      <c r="AD1826" s="61">
        <v>1</v>
      </c>
      <c r="AE1826" s="59"/>
      <c r="AF1826" s="12" t="s">
        <v>292</v>
      </c>
      <c r="AG1826" s="68" t="s">
        <v>354</v>
      </c>
      <c r="AH1826" s="68" t="s">
        <v>355</v>
      </c>
      <c r="AI1826" s="63">
        <f>AK1826*AJ1826</f>
        <v>0</v>
      </c>
      <c r="AJ1826" s="28">
        <f>S1826</f>
        <v>0</v>
      </c>
      <c r="AK1826" s="61">
        <f>T1826</f>
        <v>0</v>
      </c>
      <c r="AL1826" s="59"/>
      <c r="AO1826" s="286"/>
      <c r="AP1826" s="284">
        <f t="shared" si="834"/>
        <v>0</v>
      </c>
      <c r="AQ1826" s="281">
        <f t="shared" si="835"/>
        <v>0</v>
      </c>
      <c r="AR1826" s="284">
        <f t="shared" si="836"/>
        <v>0</v>
      </c>
      <c r="AS1826" s="281">
        <f t="shared" si="837"/>
        <v>0</v>
      </c>
      <c r="AT1826" s="284">
        <f t="shared" si="838"/>
        <v>0</v>
      </c>
    </row>
    <row r="1827" spans="1:46" s="32" customFormat="1" ht="30.9" x14ac:dyDescent="0.8">
      <c r="A1827" s="262">
        <f>ROW()</f>
        <v>1827</v>
      </c>
      <c r="B1827" s="114"/>
      <c r="C1827" s="208"/>
      <c r="D1827" s="208"/>
      <c r="E1827" s="208"/>
      <c r="F1827" s="208"/>
      <c r="G1827" s="208"/>
      <c r="H1827" s="208"/>
      <c r="I1827" s="114"/>
      <c r="J1827" s="32" t="str">
        <f>IF(COUNTBLANK(Q1827)&gt;0,"",CONCATENATE("Coordination Note: - ",P1827,": Please refer to our exclusions relating to ",Q1827))</f>
        <v/>
      </c>
      <c r="K1827" s="32" t="str">
        <f>IF(COUNTBLANK(R1827)&gt;0,"",CONCATENATE(R1827," for ",N1826))</f>
        <v/>
      </c>
      <c r="M1827" s="38"/>
      <c r="N1827" s="15" t="s">
        <v>113</v>
      </c>
      <c r="O1827" s="66" t="s">
        <v>340</v>
      </c>
      <c r="P1827" s="12"/>
      <c r="Q1827" s="12"/>
      <c r="R1827" s="12"/>
      <c r="S1827" s="28">
        <f>M1826</f>
        <v>0</v>
      </c>
      <c r="T1827" s="11"/>
      <c r="U1827" s="12" t="s">
        <v>235</v>
      </c>
      <c r="V1827" s="28">
        <f t="shared" ref="V1827:V1845" si="840">S1827</f>
        <v>0</v>
      </c>
      <c r="W1827" s="28">
        <f>VLOOKUP(U1827,Sheet1!$B$6:$C$45,2,FALSE)*V1827</f>
        <v>0</v>
      </c>
      <c r="X1827" s="59"/>
      <c r="Y1827" s="12" t="s">
        <v>292</v>
      </c>
      <c r="Z1827" s="68">
        <f>VLOOKUP(Takeoffs!Y1827,Sheet1!$B$6:$C$124,2,FALSE)</f>
        <v>0</v>
      </c>
      <c r="AA1827" s="68">
        <f>Z1827*AB1827</f>
        <v>0</v>
      </c>
      <c r="AB1827" s="63">
        <f t="shared" ref="AB1827:AB1846" si="841">AD1827*AC1827</f>
        <v>0</v>
      </c>
      <c r="AC1827" s="28">
        <f>S1827</f>
        <v>0</v>
      </c>
      <c r="AD1827" s="61">
        <v>1</v>
      </c>
      <c r="AE1827" s="59"/>
      <c r="AF1827" s="12" t="s">
        <v>292</v>
      </c>
      <c r="AG1827" s="68">
        <f>VLOOKUP(Takeoffs!AF1827,Sheet1!$B$6:$C$124,2,FALSE)</f>
        <v>0</v>
      </c>
      <c r="AH1827" s="68">
        <f>AG1827*AI1827</f>
        <v>0</v>
      </c>
      <c r="AI1827" s="63">
        <f t="shared" ref="AI1827:AI1846" si="842">AK1827*AJ1827</f>
        <v>0</v>
      </c>
      <c r="AJ1827" s="28">
        <f t="shared" ref="AJ1827:AJ1846" si="843">S1827</f>
        <v>0</v>
      </c>
      <c r="AK1827" s="61"/>
      <c r="AL1827" s="59"/>
      <c r="AO1827" s="286"/>
      <c r="AP1827" s="284">
        <f t="shared" si="834"/>
        <v>0</v>
      </c>
      <c r="AQ1827" s="281">
        <f t="shared" si="835"/>
        <v>0</v>
      </c>
      <c r="AR1827" s="284">
        <f t="shared" si="836"/>
        <v>0</v>
      </c>
      <c r="AS1827" s="281">
        <f t="shared" si="837"/>
        <v>0</v>
      </c>
      <c r="AT1827" s="284">
        <f t="shared" si="838"/>
        <v>0</v>
      </c>
    </row>
    <row r="1828" spans="1:46" s="32" customFormat="1" ht="30.9" x14ac:dyDescent="0.8">
      <c r="A1828" s="262">
        <f>ROW()</f>
        <v>1828</v>
      </c>
      <c r="B1828" s="114"/>
      <c r="C1828" s="208"/>
      <c r="D1828" s="208"/>
      <c r="E1828" s="208"/>
      <c r="F1828" s="208"/>
      <c r="G1828" s="208"/>
      <c r="H1828" s="208"/>
      <c r="I1828" s="114"/>
      <c r="J1828" s="32" t="str">
        <f t="shared" ref="J1828:J1846" si="844">IF(COUNTBLANK(Q1828)&gt;0,"",CONCATENATE("Coordination Note: - ",P1828,": Please refer to our exclusions relating to ",Q1828))</f>
        <v/>
      </c>
      <c r="K1828" s="32" t="str">
        <f>IF(COUNTBLANK(R1828)&gt;0,"",CONCATENATE(R1828," for ",N1826))</f>
        <v/>
      </c>
      <c r="M1828" s="38"/>
      <c r="N1828" s="15" t="s">
        <v>114</v>
      </c>
      <c r="O1828" s="66" t="s">
        <v>308</v>
      </c>
      <c r="P1828" s="12"/>
      <c r="Q1828" s="12"/>
      <c r="R1828" s="12"/>
      <c r="S1828" s="28">
        <f>M1826</f>
        <v>0</v>
      </c>
      <c r="T1828" s="11"/>
      <c r="U1828" s="12" t="s">
        <v>292</v>
      </c>
      <c r="V1828" s="28">
        <f t="shared" si="840"/>
        <v>0</v>
      </c>
      <c r="W1828" s="28">
        <f>VLOOKUP(U1828,Sheet1!$B$6:$C$45,2,FALSE)*V1828</f>
        <v>0</v>
      </c>
      <c r="X1828" s="59"/>
      <c r="Y1828" s="13" t="s">
        <v>252</v>
      </c>
      <c r="Z1828" s="68">
        <f>VLOOKUP(Takeoffs!Y1828,Sheet1!$B$6:$C$124,2,FALSE)</f>
        <v>43.440000000000005</v>
      </c>
      <c r="AA1828" s="68">
        <f t="shared" ref="AA1828:AA1846" si="845">Z1828*AB1828</f>
        <v>0</v>
      </c>
      <c r="AB1828" s="63">
        <f t="shared" si="841"/>
        <v>0</v>
      </c>
      <c r="AC1828" s="28">
        <f>S1828</f>
        <v>0</v>
      </c>
      <c r="AD1828" s="61">
        <v>1</v>
      </c>
      <c r="AE1828" s="59"/>
      <c r="AF1828" s="12" t="s">
        <v>292</v>
      </c>
      <c r="AG1828" s="68">
        <f>VLOOKUP(Takeoffs!AF1828,Sheet1!$B$6:$C$124,2,FALSE)</f>
        <v>0</v>
      </c>
      <c r="AH1828" s="68">
        <f t="shared" ref="AH1828:AH1846" si="846">AG1828*AI1828</f>
        <v>0</v>
      </c>
      <c r="AI1828" s="63">
        <f t="shared" si="842"/>
        <v>0</v>
      </c>
      <c r="AJ1828" s="28">
        <f t="shared" si="843"/>
        <v>0</v>
      </c>
      <c r="AK1828" s="61">
        <f>T1828</f>
        <v>0</v>
      </c>
      <c r="AL1828" s="59"/>
      <c r="AO1828" s="286"/>
      <c r="AP1828" s="284">
        <f t="shared" si="834"/>
        <v>0</v>
      </c>
      <c r="AQ1828" s="281">
        <f t="shared" si="835"/>
        <v>0</v>
      </c>
      <c r="AR1828" s="284">
        <f t="shared" si="836"/>
        <v>0</v>
      </c>
      <c r="AS1828" s="281">
        <f t="shared" si="837"/>
        <v>0</v>
      </c>
      <c r="AT1828" s="284">
        <f t="shared" si="838"/>
        <v>0</v>
      </c>
    </row>
    <row r="1829" spans="1:46" s="32" customFormat="1" ht="30.9" x14ac:dyDescent="0.8">
      <c r="A1829" s="262">
        <f>ROW()</f>
        <v>1829</v>
      </c>
      <c r="B1829" s="114"/>
      <c r="C1829" s="208"/>
      <c r="D1829" s="208"/>
      <c r="E1829" s="208"/>
      <c r="F1829" s="208"/>
      <c r="G1829" s="208"/>
      <c r="H1829" s="208"/>
      <c r="I1829" s="114"/>
      <c r="J1829" s="32" t="str">
        <f t="shared" si="844"/>
        <v/>
      </c>
      <c r="K1829" s="32" t="str">
        <f>IF(COUNTBLANK(R1829)&gt;0,"",CONCATENATE(R1829," for ",N1826))</f>
        <v/>
      </c>
      <c r="M1829" s="38"/>
      <c r="N1829" s="15" t="s">
        <v>115</v>
      </c>
      <c r="O1829" s="66" t="s">
        <v>305</v>
      </c>
      <c r="P1829" s="12"/>
      <c r="Q1829" s="12"/>
      <c r="R1829" s="12"/>
      <c r="S1829" s="28">
        <f>M1826</f>
        <v>0</v>
      </c>
      <c r="T1829" s="11"/>
      <c r="U1829" s="12" t="s">
        <v>361</v>
      </c>
      <c r="V1829" s="28">
        <f t="shared" si="840"/>
        <v>0</v>
      </c>
      <c r="W1829" s="28">
        <f>VLOOKUP(U1829,Sheet1!$B$6:$C$45,2,FALSE)*V1829</f>
        <v>0</v>
      </c>
      <c r="X1829" s="59"/>
      <c r="Y1829" s="12" t="s">
        <v>292</v>
      </c>
      <c r="Z1829" s="68">
        <f>VLOOKUP(Takeoffs!Y1829,Sheet1!$B$6:$C$124,2,FALSE)</f>
        <v>0</v>
      </c>
      <c r="AA1829" s="68">
        <f t="shared" si="845"/>
        <v>0</v>
      </c>
      <c r="AB1829" s="63">
        <f t="shared" si="841"/>
        <v>0</v>
      </c>
      <c r="AC1829" s="28">
        <f t="shared" ref="AC1829:AC1846" si="847">S1829</f>
        <v>0</v>
      </c>
      <c r="AD1829" s="61">
        <v>1</v>
      </c>
      <c r="AE1829" s="59"/>
      <c r="AF1829" s="13" t="s">
        <v>267</v>
      </c>
      <c r="AG1829" s="68">
        <f>VLOOKUP(Takeoffs!AF1829,Sheet1!$B$6:$C$124,2,FALSE)</f>
        <v>3.48</v>
      </c>
      <c r="AH1829" s="68">
        <f t="shared" si="846"/>
        <v>0</v>
      </c>
      <c r="AI1829" s="63">
        <f t="shared" si="842"/>
        <v>0</v>
      </c>
      <c r="AJ1829" s="28">
        <f t="shared" si="843"/>
        <v>0</v>
      </c>
      <c r="AK1829" s="61">
        <v>1.5</v>
      </c>
      <c r="AL1829" s="59"/>
      <c r="AO1829" s="286"/>
      <c r="AP1829" s="284">
        <f t="shared" si="834"/>
        <v>0</v>
      </c>
      <c r="AQ1829" s="281">
        <f t="shared" si="835"/>
        <v>0</v>
      </c>
      <c r="AR1829" s="284">
        <f t="shared" si="836"/>
        <v>0</v>
      </c>
      <c r="AS1829" s="281">
        <f t="shared" si="837"/>
        <v>0</v>
      </c>
      <c r="AT1829" s="284">
        <f t="shared" si="838"/>
        <v>0</v>
      </c>
    </row>
    <row r="1830" spans="1:46" s="32" customFormat="1" ht="30.9" x14ac:dyDescent="0.8">
      <c r="A1830" s="262">
        <f>ROW()</f>
        <v>1830</v>
      </c>
      <c r="B1830" s="114"/>
      <c r="C1830" s="208"/>
      <c r="D1830" s="208"/>
      <c r="E1830" s="208"/>
      <c r="F1830" s="208"/>
      <c r="G1830" s="208"/>
      <c r="H1830" s="208"/>
      <c r="I1830" s="114"/>
      <c r="J1830" s="32" t="str">
        <f t="shared" si="844"/>
        <v/>
      </c>
      <c r="K1830" s="32" t="str">
        <f>IF(COUNTBLANK(R1830)&gt;0,"",CONCATENATE(R1830," for ",N1826))</f>
        <v/>
      </c>
      <c r="M1830" s="38"/>
      <c r="N1830" s="15" t="s">
        <v>116</v>
      </c>
      <c r="O1830" s="66" t="s">
        <v>323</v>
      </c>
      <c r="P1830" s="12"/>
      <c r="Q1830" s="12"/>
      <c r="R1830" s="12"/>
      <c r="S1830" s="28">
        <f>M1826</f>
        <v>0</v>
      </c>
      <c r="T1830" s="11"/>
      <c r="U1830" s="12" t="s">
        <v>292</v>
      </c>
      <c r="V1830" s="28">
        <f t="shared" si="840"/>
        <v>0</v>
      </c>
      <c r="W1830" s="28">
        <f>VLOOKUP(U1830,Sheet1!$B$6:$C$45,2,FALSE)*V1830</f>
        <v>0</v>
      </c>
      <c r="X1830" s="59"/>
      <c r="Y1830" s="13" t="s">
        <v>265</v>
      </c>
      <c r="Z1830" s="68">
        <f>VLOOKUP(Takeoffs!Y1830,Sheet1!$B$6:$C$124,2,FALSE)</f>
        <v>971.52</v>
      </c>
      <c r="AA1830" s="68">
        <f t="shared" si="845"/>
        <v>0</v>
      </c>
      <c r="AB1830" s="63">
        <f t="shared" si="841"/>
        <v>0</v>
      </c>
      <c r="AC1830" s="28">
        <f t="shared" si="847"/>
        <v>0</v>
      </c>
      <c r="AD1830" s="61">
        <v>1</v>
      </c>
      <c r="AE1830" s="59"/>
      <c r="AF1830" s="12" t="s">
        <v>292</v>
      </c>
      <c r="AG1830" s="68">
        <f>VLOOKUP(Takeoffs!AF1830,Sheet1!$B$6:$C$124,2,FALSE)</f>
        <v>0</v>
      </c>
      <c r="AH1830" s="68">
        <f t="shared" si="846"/>
        <v>0</v>
      </c>
      <c r="AI1830" s="63">
        <f t="shared" si="842"/>
        <v>0</v>
      </c>
      <c r="AJ1830" s="28">
        <f t="shared" si="843"/>
        <v>0</v>
      </c>
      <c r="AK1830" s="61">
        <f>T1830</f>
        <v>0</v>
      </c>
      <c r="AL1830" s="59"/>
      <c r="AO1830" s="286"/>
      <c r="AP1830" s="284">
        <f t="shared" si="834"/>
        <v>0</v>
      </c>
      <c r="AQ1830" s="281">
        <f t="shared" si="835"/>
        <v>0</v>
      </c>
      <c r="AR1830" s="284">
        <f t="shared" si="836"/>
        <v>0</v>
      </c>
      <c r="AS1830" s="281">
        <f t="shared" si="837"/>
        <v>0</v>
      </c>
      <c r="AT1830" s="284">
        <f t="shared" si="838"/>
        <v>0</v>
      </c>
    </row>
    <row r="1831" spans="1:46" s="32" customFormat="1" ht="30.9" x14ac:dyDescent="0.8">
      <c r="A1831" s="262">
        <f>ROW()</f>
        <v>1831</v>
      </c>
      <c r="B1831" s="114"/>
      <c r="C1831" s="208"/>
      <c r="D1831" s="208"/>
      <c r="E1831" s="208"/>
      <c r="F1831" s="208"/>
      <c r="G1831" s="208"/>
      <c r="H1831" s="208"/>
      <c r="I1831" s="114"/>
      <c r="J1831" s="32" t="str">
        <f t="shared" si="844"/>
        <v/>
      </c>
      <c r="K1831" s="32" t="str">
        <f>IF(COUNTBLANK(R1831)&gt;0,"",CONCATENATE(R1831," for ",N1826))</f>
        <v/>
      </c>
      <c r="M1831" s="38"/>
      <c r="N1831" s="15" t="s">
        <v>117</v>
      </c>
      <c r="O1831" s="66" t="s">
        <v>390</v>
      </c>
      <c r="P1831" s="12"/>
      <c r="Q1831" s="12"/>
      <c r="R1831" s="12"/>
      <c r="S1831" s="28">
        <f>M1826</f>
        <v>0</v>
      </c>
      <c r="T1831" s="11"/>
      <c r="U1831" s="12" t="s">
        <v>292</v>
      </c>
      <c r="V1831" s="28">
        <f t="shared" si="840"/>
        <v>0</v>
      </c>
      <c r="W1831" s="28">
        <f>VLOOKUP(U1831,Sheet1!$B$6:$C$45,2,FALSE)*V1831</f>
        <v>0</v>
      </c>
      <c r="X1831" s="59"/>
      <c r="Y1831" s="12" t="s">
        <v>292</v>
      </c>
      <c r="Z1831" s="68">
        <f>VLOOKUP(Takeoffs!Y1831,Sheet1!$B$6:$C$124,2,FALSE)</f>
        <v>0</v>
      </c>
      <c r="AA1831" s="68">
        <f t="shared" si="845"/>
        <v>0</v>
      </c>
      <c r="AB1831" s="63">
        <f t="shared" si="841"/>
        <v>0</v>
      </c>
      <c r="AC1831" s="28">
        <f t="shared" si="847"/>
        <v>0</v>
      </c>
      <c r="AD1831" s="61">
        <v>1</v>
      </c>
      <c r="AE1831" s="59"/>
      <c r="AF1831" s="65" t="s">
        <v>270</v>
      </c>
      <c r="AG1831" s="68">
        <f>VLOOKUP(Takeoffs!AF1831,Sheet1!$B$6:$C$124,2,FALSE)</f>
        <v>5.7960000000000003</v>
      </c>
      <c r="AH1831" s="68">
        <f t="shared" si="846"/>
        <v>0</v>
      </c>
      <c r="AI1831" s="63">
        <f t="shared" si="842"/>
        <v>0</v>
      </c>
      <c r="AJ1831" s="28">
        <f t="shared" si="843"/>
        <v>0</v>
      </c>
      <c r="AK1831" s="61">
        <v>15</v>
      </c>
      <c r="AL1831" s="59"/>
      <c r="AO1831" s="286"/>
      <c r="AP1831" s="284">
        <f t="shared" si="834"/>
        <v>0</v>
      </c>
      <c r="AQ1831" s="281">
        <f t="shared" si="835"/>
        <v>0</v>
      </c>
      <c r="AR1831" s="284">
        <f t="shared" si="836"/>
        <v>0</v>
      </c>
      <c r="AS1831" s="281">
        <f t="shared" si="837"/>
        <v>0</v>
      </c>
      <c r="AT1831" s="284">
        <f t="shared" si="838"/>
        <v>0</v>
      </c>
    </row>
    <row r="1832" spans="1:46" s="32" customFormat="1" ht="30.9" x14ac:dyDescent="0.8">
      <c r="A1832" s="262">
        <f>ROW()</f>
        <v>1832</v>
      </c>
      <c r="B1832" s="114"/>
      <c r="C1832" s="208"/>
      <c r="D1832" s="208"/>
      <c r="E1832" s="208"/>
      <c r="F1832" s="208"/>
      <c r="G1832" s="208"/>
      <c r="H1832" s="208"/>
      <c r="I1832" s="114"/>
      <c r="J1832" s="32" t="str">
        <f t="shared" si="844"/>
        <v/>
      </c>
      <c r="K1832" s="32" t="str">
        <f>IF(COUNTBLANK(R1832)&gt;0,"",CONCATENATE(R1832," for ",N1826))</f>
        <v/>
      </c>
      <c r="M1832" s="38"/>
      <c r="N1832" s="15" t="s">
        <v>118</v>
      </c>
      <c r="O1832" s="66" t="s">
        <v>309</v>
      </c>
      <c r="P1832" s="12"/>
      <c r="Q1832" s="12"/>
      <c r="R1832" s="12"/>
      <c r="S1832" s="28">
        <f>M1826</f>
        <v>0</v>
      </c>
      <c r="T1832" s="11"/>
      <c r="U1832" s="12" t="s">
        <v>292</v>
      </c>
      <c r="V1832" s="28">
        <f t="shared" si="840"/>
        <v>0</v>
      </c>
      <c r="W1832" s="28">
        <f>VLOOKUP(U1832,Sheet1!$B$6:$C$45,2,FALSE)*V1832</f>
        <v>0</v>
      </c>
      <c r="X1832" s="59"/>
      <c r="Y1832" s="13" t="s">
        <v>245</v>
      </c>
      <c r="Z1832" s="68">
        <f>VLOOKUP(Takeoffs!Y1832,Sheet1!$B$6:$C$124,2,FALSE)</f>
        <v>46.463999999999999</v>
      </c>
      <c r="AA1832" s="68">
        <f t="shared" si="845"/>
        <v>0</v>
      </c>
      <c r="AB1832" s="63">
        <f t="shared" si="841"/>
        <v>0</v>
      </c>
      <c r="AC1832" s="28">
        <f t="shared" si="847"/>
        <v>0</v>
      </c>
      <c r="AD1832" s="61">
        <v>1</v>
      </c>
      <c r="AE1832" s="59"/>
      <c r="AF1832" s="12" t="s">
        <v>292</v>
      </c>
      <c r="AG1832" s="68">
        <f>VLOOKUP(Takeoffs!AF1832,Sheet1!$B$6:$C$124,2,FALSE)</f>
        <v>0</v>
      </c>
      <c r="AH1832" s="68">
        <f t="shared" si="846"/>
        <v>0</v>
      </c>
      <c r="AI1832" s="63">
        <f t="shared" si="842"/>
        <v>0</v>
      </c>
      <c r="AJ1832" s="28">
        <f t="shared" si="843"/>
        <v>0</v>
      </c>
      <c r="AK1832" s="61">
        <f>T1832</f>
        <v>0</v>
      </c>
      <c r="AL1832" s="59"/>
      <c r="AO1832" s="286"/>
      <c r="AP1832" s="284">
        <f t="shared" si="834"/>
        <v>0</v>
      </c>
      <c r="AQ1832" s="281">
        <f t="shared" si="835"/>
        <v>0</v>
      </c>
      <c r="AR1832" s="284">
        <f t="shared" si="836"/>
        <v>0</v>
      </c>
      <c r="AS1832" s="281">
        <f t="shared" si="837"/>
        <v>0</v>
      </c>
      <c r="AT1832" s="284">
        <f t="shared" si="838"/>
        <v>0</v>
      </c>
    </row>
    <row r="1833" spans="1:46" s="32" customFormat="1" ht="30.9" x14ac:dyDescent="0.8">
      <c r="A1833" s="262">
        <f>ROW()</f>
        <v>1833</v>
      </c>
      <c r="B1833" s="114"/>
      <c r="C1833" s="208"/>
      <c r="D1833" s="208"/>
      <c r="E1833" s="208"/>
      <c r="F1833" s="208"/>
      <c r="G1833" s="208"/>
      <c r="H1833" s="208"/>
      <c r="I1833" s="114"/>
      <c r="J1833" s="32" t="str">
        <f t="shared" si="844"/>
        <v/>
      </c>
      <c r="K1833" s="32" t="str">
        <f>IF(COUNTBLANK(R1833)&gt;0,"",CONCATENATE(R1833," for ",N1826))</f>
        <v/>
      </c>
      <c r="N1833" s="15" t="s">
        <v>119</v>
      </c>
      <c r="O1833" s="66" t="s">
        <v>310</v>
      </c>
      <c r="P1833" s="12"/>
      <c r="Q1833" s="12"/>
      <c r="R1833" s="12"/>
      <c r="S1833" s="28">
        <f>M1826</f>
        <v>0</v>
      </c>
      <c r="T1833" s="11"/>
      <c r="U1833" s="12" t="s">
        <v>292</v>
      </c>
      <c r="V1833" s="28">
        <f t="shared" si="840"/>
        <v>0</v>
      </c>
      <c r="W1833" s="28">
        <f>VLOOKUP(U1833,Sheet1!$B$6:$C$45,2,FALSE)*V1833</f>
        <v>0</v>
      </c>
      <c r="X1833" s="59"/>
      <c r="Y1833" s="13" t="s">
        <v>278</v>
      </c>
      <c r="Z1833" s="68">
        <f>VLOOKUP(Takeoffs!Y1833,Sheet1!$B$6:$C$124,2,FALSE)</f>
        <v>36</v>
      </c>
      <c r="AA1833" s="68">
        <f t="shared" si="845"/>
        <v>0</v>
      </c>
      <c r="AB1833" s="63">
        <f t="shared" si="841"/>
        <v>0</v>
      </c>
      <c r="AC1833" s="28">
        <f t="shared" si="847"/>
        <v>0</v>
      </c>
      <c r="AD1833" s="61">
        <v>1</v>
      </c>
      <c r="AE1833" s="59"/>
      <c r="AF1833" s="12" t="s">
        <v>292</v>
      </c>
      <c r="AG1833" s="68">
        <f>VLOOKUP(Takeoffs!AF1833,Sheet1!$B$6:$C$124,2,FALSE)</f>
        <v>0</v>
      </c>
      <c r="AH1833" s="68">
        <f t="shared" si="846"/>
        <v>0</v>
      </c>
      <c r="AI1833" s="63">
        <f t="shared" si="842"/>
        <v>0</v>
      </c>
      <c r="AJ1833" s="28">
        <f t="shared" si="843"/>
        <v>0</v>
      </c>
      <c r="AK1833" s="61">
        <f>T1833</f>
        <v>0</v>
      </c>
      <c r="AL1833" s="59"/>
      <c r="AO1833" s="286"/>
      <c r="AP1833" s="284">
        <f t="shared" si="834"/>
        <v>0</v>
      </c>
      <c r="AQ1833" s="281">
        <f t="shared" si="835"/>
        <v>0</v>
      </c>
      <c r="AR1833" s="284">
        <f t="shared" si="836"/>
        <v>0</v>
      </c>
      <c r="AS1833" s="281">
        <f t="shared" si="837"/>
        <v>0</v>
      </c>
      <c r="AT1833" s="284">
        <f t="shared" si="838"/>
        <v>0</v>
      </c>
    </row>
    <row r="1834" spans="1:46" s="32" customFormat="1" ht="30.9" x14ac:dyDescent="0.8">
      <c r="A1834" s="262">
        <f>ROW()</f>
        <v>1834</v>
      </c>
      <c r="B1834" s="114"/>
      <c r="C1834" s="208"/>
      <c r="D1834" s="208"/>
      <c r="E1834" s="208"/>
      <c r="F1834" s="208"/>
      <c r="G1834" s="208"/>
      <c r="H1834" s="208"/>
      <c r="I1834" s="114"/>
      <c r="J1834" s="32" t="str">
        <f t="shared" si="844"/>
        <v/>
      </c>
      <c r="K1834" s="32" t="str">
        <f>IF(COUNTBLANK(R1834)&gt;0,"",CONCATENATE(R1834," for ",N1826))</f>
        <v/>
      </c>
      <c r="N1834" s="15" t="s">
        <v>120</v>
      </c>
      <c r="O1834" s="66" t="s">
        <v>324</v>
      </c>
      <c r="P1834" s="12"/>
      <c r="Q1834" s="12"/>
      <c r="R1834" s="12"/>
      <c r="S1834" s="28">
        <f>M1826</f>
        <v>0</v>
      </c>
      <c r="T1834" s="11"/>
      <c r="U1834" s="12" t="s">
        <v>292</v>
      </c>
      <c r="V1834" s="28">
        <f t="shared" si="840"/>
        <v>0</v>
      </c>
      <c r="W1834" s="28">
        <f>VLOOKUP(U1834,Sheet1!$B$6:$C$45,2,FALSE)*V1834</f>
        <v>0</v>
      </c>
      <c r="X1834" s="59"/>
      <c r="Y1834" s="13" t="s">
        <v>274</v>
      </c>
      <c r="Z1834" s="68">
        <f>VLOOKUP(Takeoffs!Y1834,Sheet1!$B$6:$C$124,2,FALSE)</f>
        <v>360</v>
      </c>
      <c r="AA1834" s="68">
        <f t="shared" si="845"/>
        <v>0</v>
      </c>
      <c r="AB1834" s="63">
        <f t="shared" si="841"/>
        <v>0</v>
      </c>
      <c r="AC1834" s="28">
        <f t="shared" si="847"/>
        <v>0</v>
      </c>
      <c r="AD1834" s="61">
        <v>1</v>
      </c>
      <c r="AE1834" s="59"/>
      <c r="AF1834" s="12" t="s">
        <v>292</v>
      </c>
      <c r="AG1834" s="68">
        <f>VLOOKUP(Takeoffs!AF1834,Sheet1!$B$6:$C$124,2,FALSE)</f>
        <v>0</v>
      </c>
      <c r="AH1834" s="68">
        <f t="shared" si="846"/>
        <v>0</v>
      </c>
      <c r="AI1834" s="63">
        <f t="shared" si="842"/>
        <v>0</v>
      </c>
      <c r="AJ1834" s="28">
        <f t="shared" si="843"/>
        <v>0</v>
      </c>
      <c r="AK1834" s="61">
        <f>T1834</f>
        <v>0</v>
      </c>
      <c r="AL1834" s="59"/>
      <c r="AO1834" s="286"/>
      <c r="AP1834" s="284">
        <f t="shared" si="834"/>
        <v>0</v>
      </c>
      <c r="AQ1834" s="281">
        <f t="shared" si="835"/>
        <v>0</v>
      </c>
      <c r="AR1834" s="284">
        <f t="shared" si="836"/>
        <v>0</v>
      </c>
      <c r="AS1834" s="281">
        <f t="shared" si="837"/>
        <v>0</v>
      </c>
      <c r="AT1834" s="284">
        <f t="shared" si="838"/>
        <v>0</v>
      </c>
    </row>
    <row r="1835" spans="1:46" s="32" customFormat="1" ht="30.9" x14ac:dyDescent="0.8">
      <c r="A1835" s="262">
        <f>ROW()</f>
        <v>1835</v>
      </c>
      <c r="B1835" s="114"/>
      <c r="C1835" s="208"/>
      <c r="D1835" s="208"/>
      <c r="E1835" s="208"/>
      <c r="F1835" s="208"/>
      <c r="G1835" s="208"/>
      <c r="H1835" s="208"/>
      <c r="I1835" s="114"/>
      <c r="J1835" s="32" t="str">
        <f t="shared" si="844"/>
        <v/>
      </c>
      <c r="K1835" s="32" t="str">
        <f>IF(COUNTBLANK(R1835)&gt;0,"",CONCATENATE(R1835," for ",N1826))</f>
        <v/>
      </c>
      <c r="N1835" s="15" t="s">
        <v>121</v>
      </c>
      <c r="O1835" s="66" t="s">
        <v>328</v>
      </c>
      <c r="P1835" s="12"/>
      <c r="Q1835" s="12"/>
      <c r="R1835" s="12"/>
      <c r="S1835" s="28">
        <f>M1826</f>
        <v>0</v>
      </c>
      <c r="T1835" s="11"/>
      <c r="U1835" s="12" t="s">
        <v>364</v>
      </c>
      <c r="V1835" s="28">
        <f t="shared" si="840"/>
        <v>0</v>
      </c>
      <c r="W1835" s="28">
        <f>VLOOKUP(U1835,Sheet1!$B$6:$C$45,2,FALSE)*V1835</f>
        <v>0</v>
      </c>
      <c r="X1835" s="59"/>
      <c r="Y1835" s="12" t="s">
        <v>292</v>
      </c>
      <c r="Z1835" s="68">
        <f>VLOOKUP(Takeoffs!Y1835,Sheet1!$B$6:$C$124,2,FALSE)</f>
        <v>0</v>
      </c>
      <c r="AA1835" s="68">
        <f t="shared" si="845"/>
        <v>0</v>
      </c>
      <c r="AB1835" s="63">
        <f t="shared" si="841"/>
        <v>0</v>
      </c>
      <c r="AC1835" s="28">
        <f t="shared" si="847"/>
        <v>0</v>
      </c>
      <c r="AD1835" s="61">
        <v>1</v>
      </c>
      <c r="AE1835" s="59"/>
      <c r="AF1835" s="65" t="s">
        <v>269</v>
      </c>
      <c r="AG1835" s="68">
        <f>VLOOKUP(Takeoffs!AF1835,Sheet1!$B$6:$C$124,2,FALSE)</f>
        <v>1.056</v>
      </c>
      <c r="AH1835" s="68">
        <f t="shared" si="846"/>
        <v>0</v>
      </c>
      <c r="AI1835" s="63">
        <f t="shared" si="842"/>
        <v>0</v>
      </c>
      <c r="AJ1835" s="28">
        <f t="shared" si="843"/>
        <v>0</v>
      </c>
      <c r="AK1835" s="61">
        <v>40</v>
      </c>
      <c r="AL1835" s="59"/>
      <c r="AO1835" s="286"/>
      <c r="AP1835" s="284">
        <f t="shared" si="834"/>
        <v>0</v>
      </c>
      <c r="AQ1835" s="281">
        <f t="shared" si="835"/>
        <v>0</v>
      </c>
      <c r="AR1835" s="284">
        <f t="shared" si="836"/>
        <v>0</v>
      </c>
      <c r="AS1835" s="281">
        <f t="shared" si="837"/>
        <v>0</v>
      </c>
      <c r="AT1835" s="284">
        <f t="shared" si="838"/>
        <v>0</v>
      </c>
    </row>
    <row r="1836" spans="1:46" s="32" customFormat="1" ht="30.9" x14ac:dyDescent="0.8">
      <c r="A1836" s="262">
        <f>ROW()</f>
        <v>1836</v>
      </c>
      <c r="B1836" s="114"/>
      <c r="C1836" s="208"/>
      <c r="D1836" s="208"/>
      <c r="E1836" s="208"/>
      <c r="F1836" s="208"/>
      <c r="G1836" s="208"/>
      <c r="H1836" s="208"/>
      <c r="I1836" s="114"/>
      <c r="J1836" s="32" t="str">
        <f t="shared" si="844"/>
        <v/>
      </c>
      <c r="K1836" s="32" t="str">
        <f>IF(COUNTBLANK(R1836)&gt;0,"",CONCATENATE(R1836," for ",N1826))</f>
        <v/>
      </c>
      <c r="N1836" s="15" t="s">
        <v>122</v>
      </c>
      <c r="O1836" s="66" t="s">
        <v>409</v>
      </c>
      <c r="P1836" s="12"/>
      <c r="Q1836" s="12"/>
      <c r="R1836" s="12"/>
      <c r="S1836" s="28">
        <f>M1826</f>
        <v>0</v>
      </c>
      <c r="T1836" s="11"/>
      <c r="U1836" s="12" t="s">
        <v>363</v>
      </c>
      <c r="V1836" s="28">
        <f>3*M1826</f>
        <v>0</v>
      </c>
      <c r="W1836" s="28">
        <f>VLOOKUP(U1836,Sheet1!$B$6:$C$45,2,FALSE)*V1836</f>
        <v>0</v>
      </c>
      <c r="X1836" s="59"/>
      <c r="Y1836" s="13" t="s">
        <v>326</v>
      </c>
      <c r="Z1836" s="68">
        <f>VLOOKUP(Takeoffs!Y1836,Sheet1!$B$6:$C$124,2,FALSE)</f>
        <v>29.04</v>
      </c>
      <c r="AA1836" s="68">
        <f t="shared" si="845"/>
        <v>0</v>
      </c>
      <c r="AB1836" s="63">
        <f t="shared" si="841"/>
        <v>0</v>
      </c>
      <c r="AC1836" s="28">
        <f t="shared" si="847"/>
        <v>0</v>
      </c>
      <c r="AD1836" s="61">
        <v>9</v>
      </c>
      <c r="AE1836" s="59"/>
      <c r="AF1836" s="12" t="s">
        <v>292</v>
      </c>
      <c r="AG1836" s="68">
        <f>VLOOKUP(Takeoffs!AF1836,Sheet1!$B$6:$C$124,2,FALSE)</f>
        <v>0</v>
      </c>
      <c r="AH1836" s="68">
        <f t="shared" si="846"/>
        <v>0</v>
      </c>
      <c r="AI1836" s="63">
        <f t="shared" si="842"/>
        <v>0</v>
      </c>
      <c r="AJ1836" s="28">
        <f t="shared" si="843"/>
        <v>0</v>
      </c>
      <c r="AK1836" s="61">
        <f>T1836</f>
        <v>0</v>
      </c>
      <c r="AL1836" s="59"/>
      <c r="AO1836" s="286"/>
      <c r="AP1836" s="284">
        <f t="shared" si="834"/>
        <v>0</v>
      </c>
      <c r="AQ1836" s="281">
        <f t="shared" si="835"/>
        <v>0</v>
      </c>
      <c r="AR1836" s="284">
        <f t="shared" si="836"/>
        <v>0</v>
      </c>
      <c r="AS1836" s="281">
        <f t="shared" si="837"/>
        <v>0</v>
      </c>
      <c r="AT1836" s="284">
        <f t="shared" si="838"/>
        <v>0</v>
      </c>
    </row>
    <row r="1837" spans="1:46" s="32" customFormat="1" ht="30.9" x14ac:dyDescent="0.8">
      <c r="A1837" s="262">
        <f>ROW()</f>
        <v>1837</v>
      </c>
      <c r="B1837" s="114"/>
      <c r="C1837" s="208"/>
      <c r="D1837" s="208"/>
      <c r="E1837" s="208"/>
      <c r="F1837" s="208"/>
      <c r="G1837" s="208"/>
      <c r="H1837" s="208"/>
      <c r="I1837" s="114"/>
      <c r="J1837" s="32" t="str">
        <f t="shared" si="844"/>
        <v/>
      </c>
      <c r="K1837" s="32" t="str">
        <f>IF(COUNTBLANK(R1837)&gt;0,"",CONCATENATE(R1837," for ",N1826))</f>
        <v/>
      </c>
      <c r="N1837" s="15" t="s">
        <v>123</v>
      </c>
      <c r="O1837" s="66" t="s">
        <v>410</v>
      </c>
      <c r="P1837" s="12"/>
      <c r="Q1837" s="12"/>
      <c r="R1837" s="12"/>
      <c r="S1837" s="28">
        <f>M1826</f>
        <v>0</v>
      </c>
      <c r="T1837" s="11"/>
      <c r="U1837" s="12" t="s">
        <v>363</v>
      </c>
      <c r="V1837" s="28">
        <f>14*M1826</f>
        <v>0</v>
      </c>
      <c r="W1837" s="28">
        <f>VLOOKUP(U1837,Sheet1!$B$6:$C$45,2,FALSE)*V1837</f>
        <v>0</v>
      </c>
      <c r="X1837" s="59"/>
      <c r="Y1837" s="13" t="s">
        <v>325</v>
      </c>
      <c r="Z1837" s="68">
        <f>VLOOKUP(Takeoffs!Y1837,Sheet1!$B$6:$C$124,2,FALSE)</f>
        <v>240</v>
      </c>
      <c r="AA1837" s="68">
        <f t="shared" si="845"/>
        <v>0</v>
      </c>
      <c r="AB1837" s="63">
        <f t="shared" si="841"/>
        <v>0</v>
      </c>
      <c r="AC1837" s="28">
        <f t="shared" si="847"/>
        <v>0</v>
      </c>
      <c r="AD1837" s="61">
        <v>9</v>
      </c>
      <c r="AE1837" s="59"/>
      <c r="AF1837" s="65" t="s">
        <v>269</v>
      </c>
      <c r="AG1837" s="68">
        <f>VLOOKUP(Takeoffs!AF1837,Sheet1!$B$6:$C$124,2,FALSE)</f>
        <v>1.056</v>
      </c>
      <c r="AH1837" s="68">
        <f t="shared" si="846"/>
        <v>0</v>
      </c>
      <c r="AI1837" s="63">
        <f t="shared" si="842"/>
        <v>0</v>
      </c>
      <c r="AJ1837" s="28">
        <f t="shared" si="843"/>
        <v>0</v>
      </c>
      <c r="AK1837" s="61">
        <v>180</v>
      </c>
      <c r="AL1837" s="59"/>
      <c r="AO1837" s="286"/>
      <c r="AP1837" s="284">
        <f t="shared" si="834"/>
        <v>0</v>
      </c>
      <c r="AQ1837" s="281">
        <f t="shared" si="835"/>
        <v>0</v>
      </c>
      <c r="AR1837" s="284">
        <f t="shared" si="836"/>
        <v>0</v>
      </c>
      <c r="AS1837" s="281">
        <f t="shared" si="837"/>
        <v>0</v>
      </c>
      <c r="AT1837" s="284">
        <f t="shared" si="838"/>
        <v>0</v>
      </c>
    </row>
    <row r="1838" spans="1:46" s="32" customFormat="1" ht="30.9" x14ac:dyDescent="0.8">
      <c r="A1838" s="262">
        <f>ROW()</f>
        <v>1838</v>
      </c>
      <c r="B1838" s="114"/>
      <c r="C1838" s="208"/>
      <c r="D1838" s="208"/>
      <c r="E1838" s="208"/>
      <c r="F1838" s="208"/>
      <c r="G1838" s="208"/>
      <c r="H1838" s="208"/>
      <c r="I1838" s="114"/>
      <c r="J1838" s="32" t="str">
        <f t="shared" si="844"/>
        <v/>
      </c>
      <c r="K1838" s="32" t="str">
        <f>IF(COUNTBLANK(R1838)&gt;0,"",CONCATENATE(R1838," for ",N1826))</f>
        <v/>
      </c>
      <c r="N1838" s="15" t="s">
        <v>124</v>
      </c>
      <c r="O1838" s="66" t="s">
        <v>140</v>
      </c>
      <c r="P1838" s="12"/>
      <c r="Q1838" s="12"/>
      <c r="R1838" s="12"/>
      <c r="S1838" s="28">
        <f>M1826</f>
        <v>0</v>
      </c>
      <c r="T1838" s="11"/>
      <c r="U1838" s="12" t="s">
        <v>364</v>
      </c>
      <c r="V1838" s="28">
        <f t="shared" si="840"/>
        <v>0</v>
      </c>
      <c r="W1838" s="28">
        <f>VLOOKUP(U1838,Sheet1!$B$6:$C$45,2,FALSE)*V1838</f>
        <v>0</v>
      </c>
      <c r="X1838" s="59"/>
      <c r="Y1838" s="12" t="s">
        <v>292</v>
      </c>
      <c r="Z1838" s="68">
        <f>VLOOKUP(Takeoffs!Y1838,Sheet1!$B$6:$C$124,2,FALSE)</f>
        <v>0</v>
      </c>
      <c r="AA1838" s="68">
        <f t="shared" si="845"/>
        <v>0</v>
      </c>
      <c r="AB1838" s="63">
        <f t="shared" si="841"/>
        <v>0</v>
      </c>
      <c r="AC1838" s="28">
        <f t="shared" si="847"/>
        <v>0</v>
      </c>
      <c r="AD1838" s="61">
        <v>1</v>
      </c>
      <c r="AE1838" s="59"/>
      <c r="AF1838" s="12" t="s">
        <v>292</v>
      </c>
      <c r="AG1838" s="68">
        <f>VLOOKUP(Takeoffs!AF1838,Sheet1!$B$6:$C$124,2,FALSE)</f>
        <v>0</v>
      </c>
      <c r="AH1838" s="68">
        <f t="shared" si="846"/>
        <v>0</v>
      </c>
      <c r="AI1838" s="63">
        <f t="shared" si="842"/>
        <v>0</v>
      </c>
      <c r="AJ1838" s="28">
        <f t="shared" si="843"/>
        <v>0</v>
      </c>
      <c r="AK1838" s="61">
        <f t="shared" ref="AK1838:AK1846" si="848">T1838</f>
        <v>0</v>
      </c>
      <c r="AL1838" s="59"/>
      <c r="AO1838" s="286"/>
      <c r="AP1838" s="284">
        <f t="shared" si="834"/>
        <v>0</v>
      </c>
      <c r="AQ1838" s="281">
        <f t="shared" si="835"/>
        <v>0</v>
      </c>
      <c r="AR1838" s="284">
        <f t="shared" si="836"/>
        <v>0</v>
      </c>
      <c r="AS1838" s="281">
        <f t="shared" si="837"/>
        <v>0</v>
      </c>
      <c r="AT1838" s="284">
        <f t="shared" si="838"/>
        <v>0</v>
      </c>
    </row>
    <row r="1839" spans="1:46" s="32" customFormat="1" ht="30.9" x14ac:dyDescent="0.8">
      <c r="A1839" s="262">
        <f>ROW()</f>
        <v>1839</v>
      </c>
      <c r="B1839" s="114"/>
      <c r="C1839" s="208"/>
      <c r="D1839" s="208"/>
      <c r="E1839" s="208"/>
      <c r="F1839" s="208"/>
      <c r="G1839" s="208"/>
      <c r="H1839" s="208"/>
      <c r="I1839" s="114"/>
      <c r="J1839" s="32" t="str">
        <f t="shared" si="844"/>
        <v/>
      </c>
      <c r="K1839" s="32" t="str">
        <f>IF(COUNTBLANK(R1839)&gt;0,"",CONCATENATE(R1839," for ",N1826))</f>
        <v/>
      </c>
      <c r="N1839" s="15" t="s">
        <v>125</v>
      </c>
      <c r="O1839" s="66" t="s">
        <v>312</v>
      </c>
      <c r="P1839" s="12"/>
      <c r="Q1839" s="12"/>
      <c r="R1839" s="12"/>
      <c r="S1839" s="28">
        <f>M1826</f>
        <v>0</v>
      </c>
      <c r="T1839" s="11"/>
      <c r="U1839" s="12" t="s">
        <v>232</v>
      </c>
      <c r="V1839" s="28">
        <f t="shared" si="840"/>
        <v>0</v>
      </c>
      <c r="W1839" s="28">
        <f>VLOOKUP(U1839,Sheet1!$B$6:$C$45,2,FALSE)*V1839</f>
        <v>0</v>
      </c>
      <c r="X1839" s="59"/>
      <c r="Y1839" s="13" t="s">
        <v>1345</v>
      </c>
      <c r="Z1839" s="68">
        <f>VLOOKUP(Takeoffs!Y1839,Sheet1!$B$6:$C$124,2,FALSE)</f>
        <v>109.25999999999999</v>
      </c>
      <c r="AA1839" s="68">
        <f t="shared" si="845"/>
        <v>0</v>
      </c>
      <c r="AB1839" s="63">
        <f t="shared" si="841"/>
        <v>0</v>
      </c>
      <c r="AC1839" s="28">
        <f t="shared" si="847"/>
        <v>0</v>
      </c>
      <c r="AD1839" s="61">
        <v>1</v>
      </c>
      <c r="AE1839" s="59"/>
      <c r="AF1839" s="12" t="s">
        <v>292</v>
      </c>
      <c r="AG1839" s="68">
        <f>VLOOKUP(Takeoffs!AF1839,Sheet1!$B$6:$C$124,2,FALSE)</f>
        <v>0</v>
      </c>
      <c r="AH1839" s="68">
        <f t="shared" si="846"/>
        <v>0</v>
      </c>
      <c r="AI1839" s="63">
        <f t="shared" si="842"/>
        <v>0</v>
      </c>
      <c r="AJ1839" s="28">
        <f t="shared" si="843"/>
        <v>0</v>
      </c>
      <c r="AK1839" s="61">
        <f t="shared" si="848"/>
        <v>0</v>
      </c>
      <c r="AL1839" s="59"/>
      <c r="AO1839" s="286"/>
      <c r="AP1839" s="284">
        <f t="shared" si="834"/>
        <v>0</v>
      </c>
      <c r="AQ1839" s="281">
        <f t="shared" si="835"/>
        <v>0</v>
      </c>
      <c r="AR1839" s="284">
        <f t="shared" si="836"/>
        <v>0</v>
      </c>
      <c r="AS1839" s="281">
        <f t="shared" si="837"/>
        <v>0</v>
      </c>
      <c r="AT1839" s="284">
        <f t="shared" si="838"/>
        <v>0</v>
      </c>
    </row>
    <row r="1840" spans="1:46" s="32" customFormat="1" ht="30.9" x14ac:dyDescent="0.8">
      <c r="A1840" s="262">
        <f>ROW()</f>
        <v>1840</v>
      </c>
      <c r="B1840" s="114"/>
      <c r="C1840" s="208"/>
      <c r="D1840" s="208"/>
      <c r="E1840" s="208"/>
      <c r="F1840" s="208"/>
      <c r="G1840" s="208"/>
      <c r="H1840" s="208"/>
      <c r="I1840" s="114"/>
      <c r="J1840" s="32" t="str">
        <f t="shared" si="844"/>
        <v/>
      </c>
      <c r="K1840" s="32" t="str">
        <f>IF(COUNTBLANK(R1840)&gt;0,"",CONCATENATE(R1840," for ",N1826))</f>
        <v/>
      </c>
      <c r="N1840" s="15" t="s">
        <v>126</v>
      </c>
      <c r="O1840" s="66" t="s">
        <v>313</v>
      </c>
      <c r="P1840" s="12"/>
      <c r="Q1840" s="12"/>
      <c r="R1840" s="12"/>
      <c r="S1840" s="28">
        <f>M1826</f>
        <v>0</v>
      </c>
      <c r="T1840" s="11"/>
      <c r="U1840" s="12" t="s">
        <v>363</v>
      </c>
      <c r="V1840" s="28">
        <f t="shared" si="840"/>
        <v>0</v>
      </c>
      <c r="W1840" s="28">
        <f>VLOOKUP(U1840,Sheet1!$B$6:$C$45,2,FALSE)*V1840</f>
        <v>0</v>
      </c>
      <c r="X1840" s="59"/>
      <c r="Y1840" s="13" t="s">
        <v>321</v>
      </c>
      <c r="Z1840" s="68">
        <f>VLOOKUP(Takeoffs!Y1840,Sheet1!$B$6:$C$124,2,FALSE)</f>
        <v>60</v>
      </c>
      <c r="AA1840" s="68">
        <f t="shared" si="845"/>
        <v>0</v>
      </c>
      <c r="AB1840" s="63">
        <f t="shared" si="841"/>
        <v>0</v>
      </c>
      <c r="AC1840" s="28">
        <f t="shared" si="847"/>
        <v>0</v>
      </c>
      <c r="AD1840" s="61">
        <v>1</v>
      </c>
      <c r="AE1840" s="59"/>
      <c r="AF1840" s="12" t="s">
        <v>292</v>
      </c>
      <c r="AG1840" s="68">
        <f>VLOOKUP(Takeoffs!AF1840,Sheet1!$B$6:$C$124,2,FALSE)</f>
        <v>0</v>
      </c>
      <c r="AH1840" s="68">
        <f t="shared" si="846"/>
        <v>0</v>
      </c>
      <c r="AI1840" s="63">
        <f t="shared" si="842"/>
        <v>0</v>
      </c>
      <c r="AJ1840" s="28">
        <f t="shared" si="843"/>
        <v>0</v>
      </c>
      <c r="AK1840" s="61">
        <f t="shared" si="848"/>
        <v>0</v>
      </c>
      <c r="AL1840" s="59"/>
      <c r="AO1840" s="286"/>
      <c r="AP1840" s="284">
        <f t="shared" si="834"/>
        <v>0</v>
      </c>
      <c r="AQ1840" s="281">
        <f t="shared" si="835"/>
        <v>0</v>
      </c>
      <c r="AR1840" s="284">
        <f t="shared" si="836"/>
        <v>0</v>
      </c>
      <c r="AS1840" s="281">
        <f t="shared" si="837"/>
        <v>0</v>
      </c>
      <c r="AT1840" s="284">
        <f t="shared" si="838"/>
        <v>0</v>
      </c>
    </row>
    <row r="1841" spans="1:97" s="32" customFormat="1" ht="30.9" x14ac:dyDescent="0.8">
      <c r="A1841" s="262">
        <f>ROW()</f>
        <v>1841</v>
      </c>
      <c r="B1841" s="114"/>
      <c r="C1841" s="208"/>
      <c r="D1841" s="208"/>
      <c r="E1841" s="208"/>
      <c r="F1841" s="208"/>
      <c r="G1841" s="208"/>
      <c r="H1841" s="208"/>
      <c r="I1841" s="114"/>
      <c r="J1841" s="32" t="str">
        <f t="shared" si="844"/>
        <v/>
      </c>
      <c r="K1841" s="32" t="str">
        <f>IF(COUNTBLANK(R1841)&gt;0,"",CONCATENATE(R1841," for ",N1826))</f>
        <v/>
      </c>
      <c r="N1841" s="15" t="s">
        <v>127</v>
      </c>
      <c r="O1841" s="66" t="s">
        <v>424</v>
      </c>
      <c r="P1841" s="12"/>
      <c r="Q1841" s="12"/>
      <c r="R1841" s="12"/>
      <c r="S1841" s="28">
        <f>M1826</f>
        <v>0</v>
      </c>
      <c r="T1841" s="11"/>
      <c r="U1841" s="12" t="s">
        <v>292</v>
      </c>
      <c r="V1841" s="28">
        <f t="shared" si="840"/>
        <v>0</v>
      </c>
      <c r="W1841" s="28">
        <f>VLOOKUP(U1841,Sheet1!$B$6:$C$45,2,FALSE)*V1841</f>
        <v>0</v>
      </c>
      <c r="X1841" s="59"/>
      <c r="Y1841" s="13" t="s">
        <v>319</v>
      </c>
      <c r="Z1841" s="68">
        <f>VLOOKUP(Takeoffs!Y1841,Sheet1!$B$6:$C$124,2,FALSE)</f>
        <v>120</v>
      </c>
      <c r="AA1841" s="68">
        <f t="shared" si="845"/>
        <v>0</v>
      </c>
      <c r="AB1841" s="63">
        <f t="shared" si="841"/>
        <v>0</v>
      </c>
      <c r="AC1841" s="28">
        <f t="shared" si="847"/>
        <v>0</v>
      </c>
      <c r="AD1841" s="61">
        <v>1</v>
      </c>
      <c r="AE1841" s="59"/>
      <c r="AF1841" s="12" t="s">
        <v>292</v>
      </c>
      <c r="AG1841" s="68">
        <f>VLOOKUP(Takeoffs!AF1841,Sheet1!$B$6:$C$124,2,FALSE)</f>
        <v>0</v>
      </c>
      <c r="AH1841" s="68">
        <f t="shared" si="846"/>
        <v>0</v>
      </c>
      <c r="AI1841" s="63">
        <f t="shared" si="842"/>
        <v>0</v>
      </c>
      <c r="AJ1841" s="28">
        <f t="shared" si="843"/>
        <v>0</v>
      </c>
      <c r="AK1841" s="61">
        <f t="shared" si="848"/>
        <v>0</v>
      </c>
      <c r="AL1841" s="59"/>
      <c r="AO1841" s="286"/>
      <c r="AP1841" s="284">
        <f t="shared" si="834"/>
        <v>0</v>
      </c>
      <c r="AQ1841" s="281">
        <f t="shared" si="835"/>
        <v>0</v>
      </c>
      <c r="AR1841" s="284">
        <f t="shared" si="836"/>
        <v>0</v>
      </c>
      <c r="AS1841" s="281">
        <f t="shared" si="837"/>
        <v>0</v>
      </c>
      <c r="AT1841" s="284">
        <f t="shared" si="838"/>
        <v>0</v>
      </c>
    </row>
    <row r="1842" spans="1:97" s="32" customFormat="1" ht="30.9" x14ac:dyDescent="0.8">
      <c r="A1842" s="262">
        <f>ROW()</f>
        <v>1842</v>
      </c>
      <c r="B1842" s="114"/>
      <c r="C1842" s="208"/>
      <c r="D1842" s="208"/>
      <c r="E1842" s="208"/>
      <c r="F1842" s="208"/>
      <c r="G1842" s="208"/>
      <c r="H1842" s="208"/>
      <c r="I1842" s="114"/>
      <c r="J1842" s="32" t="str">
        <f t="shared" si="844"/>
        <v/>
      </c>
      <c r="K1842" s="32" t="str">
        <f>IF(COUNTBLANK(R1842)&gt;0,"",CONCATENATE(R1842," for ",N1826))</f>
        <v/>
      </c>
      <c r="N1842" s="15" t="s">
        <v>128</v>
      </c>
      <c r="O1842" s="66" t="s">
        <v>423</v>
      </c>
      <c r="P1842" s="12"/>
      <c r="Q1842" s="12"/>
      <c r="R1842" s="12"/>
      <c r="S1842" s="28">
        <f>M1826</f>
        <v>0</v>
      </c>
      <c r="T1842" s="11"/>
      <c r="U1842" s="12" t="s">
        <v>292</v>
      </c>
      <c r="V1842" s="28">
        <f t="shared" si="840"/>
        <v>0</v>
      </c>
      <c r="W1842" s="28">
        <f>VLOOKUP(U1842,Sheet1!$B$6:$C$45,2,FALSE)*V1842</f>
        <v>0</v>
      </c>
      <c r="X1842" s="59"/>
      <c r="Y1842" s="13" t="s">
        <v>280</v>
      </c>
      <c r="Z1842" s="68">
        <f>VLOOKUP(Takeoffs!Y1842,Sheet1!$B$6:$C$124,2,FALSE)</f>
        <v>19.2</v>
      </c>
      <c r="AA1842" s="68">
        <f t="shared" si="845"/>
        <v>0</v>
      </c>
      <c r="AB1842" s="63">
        <f t="shared" si="841"/>
        <v>0</v>
      </c>
      <c r="AC1842" s="28">
        <f t="shared" si="847"/>
        <v>0</v>
      </c>
      <c r="AD1842" s="61">
        <v>2</v>
      </c>
      <c r="AE1842" s="59"/>
      <c r="AF1842" s="12" t="s">
        <v>292</v>
      </c>
      <c r="AG1842" s="68">
        <f>VLOOKUP(Takeoffs!AF1842,Sheet1!$B$6:$C$124,2,FALSE)</f>
        <v>0</v>
      </c>
      <c r="AH1842" s="68">
        <f t="shared" si="846"/>
        <v>0</v>
      </c>
      <c r="AI1842" s="63">
        <f t="shared" si="842"/>
        <v>0</v>
      </c>
      <c r="AJ1842" s="28">
        <f t="shared" si="843"/>
        <v>0</v>
      </c>
      <c r="AK1842" s="61">
        <f t="shared" si="848"/>
        <v>0</v>
      </c>
      <c r="AL1842" s="59"/>
      <c r="AO1842" s="286"/>
      <c r="AP1842" s="284">
        <f t="shared" si="834"/>
        <v>0</v>
      </c>
      <c r="AQ1842" s="281">
        <f t="shared" si="835"/>
        <v>0</v>
      </c>
      <c r="AR1842" s="284">
        <f t="shared" si="836"/>
        <v>0</v>
      </c>
      <c r="AS1842" s="281">
        <f t="shared" si="837"/>
        <v>0</v>
      </c>
      <c r="AT1842" s="284">
        <f t="shared" si="838"/>
        <v>0</v>
      </c>
    </row>
    <row r="1843" spans="1:97" s="32" customFormat="1" ht="30.9" x14ac:dyDescent="0.8">
      <c r="A1843" s="262">
        <f>ROW()</f>
        <v>1843</v>
      </c>
      <c r="B1843" s="114"/>
      <c r="C1843" s="208"/>
      <c r="D1843" s="208"/>
      <c r="E1843" s="208"/>
      <c r="F1843" s="208"/>
      <c r="G1843" s="208"/>
      <c r="H1843" s="208"/>
      <c r="I1843" s="114"/>
      <c r="J1843" s="32" t="str">
        <f t="shared" si="844"/>
        <v/>
      </c>
      <c r="K1843" s="32" t="str">
        <f>IF(COUNTBLANK(R1843)&gt;0,"",CONCATENATE(R1843," for ",N1826))</f>
        <v/>
      </c>
      <c r="N1843" s="15" t="s">
        <v>129</v>
      </c>
      <c r="O1843" s="66" t="s">
        <v>425</v>
      </c>
      <c r="P1843" s="12"/>
      <c r="Q1843" s="12"/>
      <c r="R1843" s="12"/>
      <c r="S1843" s="28">
        <f>M1826</f>
        <v>0</v>
      </c>
      <c r="T1843" s="11"/>
      <c r="U1843" s="12" t="s">
        <v>292</v>
      </c>
      <c r="V1843" s="28">
        <f t="shared" si="840"/>
        <v>0</v>
      </c>
      <c r="W1843" s="28">
        <f>VLOOKUP(U1843,Sheet1!$B$6:$C$45,2,FALSE)*V1843</f>
        <v>0</v>
      </c>
      <c r="X1843" s="59"/>
      <c r="Y1843" s="13" t="s">
        <v>277</v>
      </c>
      <c r="Z1843" s="68">
        <f>VLOOKUP(Takeoffs!Y1843,Sheet1!$B$6:$C$124,2,FALSE)</f>
        <v>69.540000000000006</v>
      </c>
      <c r="AA1843" s="68">
        <f t="shared" si="845"/>
        <v>0</v>
      </c>
      <c r="AB1843" s="63">
        <f t="shared" si="841"/>
        <v>0</v>
      </c>
      <c r="AC1843" s="28">
        <f t="shared" si="847"/>
        <v>0</v>
      </c>
      <c r="AD1843" s="61">
        <v>1</v>
      </c>
      <c r="AE1843" s="59"/>
      <c r="AF1843" s="12" t="s">
        <v>292</v>
      </c>
      <c r="AG1843" s="68">
        <f>VLOOKUP(Takeoffs!AF1843,Sheet1!$B$6:$C$124,2,FALSE)</f>
        <v>0</v>
      </c>
      <c r="AH1843" s="68">
        <f t="shared" si="846"/>
        <v>0</v>
      </c>
      <c r="AI1843" s="63">
        <f t="shared" si="842"/>
        <v>0</v>
      </c>
      <c r="AJ1843" s="28">
        <f t="shared" si="843"/>
        <v>0</v>
      </c>
      <c r="AK1843" s="61">
        <f t="shared" si="848"/>
        <v>0</v>
      </c>
      <c r="AL1843" s="59"/>
      <c r="AO1843" s="286"/>
      <c r="AP1843" s="284">
        <f t="shared" si="834"/>
        <v>0</v>
      </c>
      <c r="AQ1843" s="281">
        <f t="shared" si="835"/>
        <v>0</v>
      </c>
      <c r="AR1843" s="284">
        <f t="shared" si="836"/>
        <v>0</v>
      </c>
      <c r="AS1843" s="281">
        <f t="shared" si="837"/>
        <v>0</v>
      </c>
      <c r="AT1843" s="284">
        <f t="shared" si="838"/>
        <v>0</v>
      </c>
    </row>
    <row r="1844" spans="1:97" s="32" customFormat="1" ht="30.9" x14ac:dyDescent="0.8">
      <c r="A1844" s="262">
        <f>ROW()</f>
        <v>1844</v>
      </c>
      <c r="B1844" s="114"/>
      <c r="C1844" s="208"/>
      <c r="D1844" s="208"/>
      <c r="E1844" s="208"/>
      <c r="F1844" s="208"/>
      <c r="G1844" s="208"/>
      <c r="H1844" s="208"/>
      <c r="I1844" s="114"/>
      <c r="J1844" s="32" t="str">
        <f t="shared" si="844"/>
        <v/>
      </c>
      <c r="K1844" s="32" t="str">
        <f>IF(COUNTBLANK(R1844)&gt;0,"",CONCATENATE(R1844," for ",N1826))</f>
        <v/>
      </c>
      <c r="N1844" s="15" t="s">
        <v>130</v>
      </c>
      <c r="O1844" s="66"/>
      <c r="P1844" s="12"/>
      <c r="Q1844" s="12"/>
      <c r="R1844" s="12"/>
      <c r="S1844" s="28">
        <f>M1826</f>
        <v>0</v>
      </c>
      <c r="T1844" s="11"/>
      <c r="U1844" s="12" t="s">
        <v>292</v>
      </c>
      <c r="V1844" s="28">
        <f t="shared" si="840"/>
        <v>0</v>
      </c>
      <c r="W1844" s="28">
        <f>VLOOKUP(U1844,Sheet1!$B$6:$C$45,2,FALSE)*V1844</f>
        <v>0</v>
      </c>
      <c r="X1844" s="59"/>
      <c r="Y1844" s="12" t="s">
        <v>292</v>
      </c>
      <c r="Z1844" s="68">
        <f>VLOOKUP(Takeoffs!Y1844,Sheet1!$B$6:$C$124,2,FALSE)</f>
        <v>0</v>
      </c>
      <c r="AA1844" s="68">
        <f t="shared" si="845"/>
        <v>0</v>
      </c>
      <c r="AB1844" s="63">
        <f t="shared" si="841"/>
        <v>0</v>
      </c>
      <c r="AC1844" s="28">
        <f t="shared" si="847"/>
        <v>0</v>
      </c>
      <c r="AD1844" s="61">
        <v>1</v>
      </c>
      <c r="AE1844" s="59"/>
      <c r="AF1844" s="12" t="s">
        <v>292</v>
      </c>
      <c r="AG1844" s="68">
        <f>VLOOKUP(Takeoffs!AF1844,Sheet1!$B$6:$C$124,2,FALSE)</f>
        <v>0</v>
      </c>
      <c r="AH1844" s="68">
        <f t="shared" si="846"/>
        <v>0</v>
      </c>
      <c r="AI1844" s="63">
        <f t="shared" si="842"/>
        <v>0</v>
      </c>
      <c r="AJ1844" s="28">
        <f t="shared" si="843"/>
        <v>0</v>
      </c>
      <c r="AK1844" s="61">
        <f t="shared" si="848"/>
        <v>0</v>
      </c>
      <c r="AL1844" s="59"/>
      <c r="AO1844" s="286"/>
      <c r="AP1844" s="284">
        <f t="shared" si="834"/>
        <v>0</v>
      </c>
      <c r="AQ1844" s="281">
        <f t="shared" si="835"/>
        <v>0</v>
      </c>
      <c r="AR1844" s="284">
        <f t="shared" si="836"/>
        <v>0</v>
      </c>
      <c r="AS1844" s="281">
        <f t="shared" si="837"/>
        <v>0</v>
      </c>
      <c r="AT1844" s="284">
        <f t="shared" si="838"/>
        <v>0</v>
      </c>
    </row>
    <row r="1845" spans="1:97" s="32" customFormat="1" ht="30.9" x14ac:dyDescent="0.8">
      <c r="A1845" s="262">
        <f>ROW()</f>
        <v>1845</v>
      </c>
      <c r="B1845" s="114"/>
      <c r="C1845" s="208"/>
      <c r="D1845" s="208"/>
      <c r="E1845" s="208"/>
      <c r="F1845" s="208"/>
      <c r="G1845" s="208"/>
      <c r="H1845" s="208"/>
      <c r="I1845" s="114"/>
      <c r="J1845" s="32" t="str">
        <f t="shared" si="844"/>
        <v>Coordination Note: - Fire trade: Please refer to our exclusions relating to fire cabling from FIP.</v>
      </c>
      <c r="K1845" s="32" t="str">
        <f>IF(COUNTBLANK(R1845)&gt;0,"",CONCATENATE(R1845," for ",N1826))</f>
        <v/>
      </c>
      <c r="N1845" s="15" t="s">
        <v>131</v>
      </c>
      <c r="O1845" s="66" t="s">
        <v>412</v>
      </c>
      <c r="P1845" s="12" t="s">
        <v>380</v>
      </c>
      <c r="Q1845" s="12" t="s">
        <v>384</v>
      </c>
      <c r="R1845" s="12"/>
      <c r="S1845" s="28">
        <f>M1826</f>
        <v>0</v>
      </c>
      <c r="T1845" s="11"/>
      <c r="U1845" s="12" t="s">
        <v>292</v>
      </c>
      <c r="V1845" s="28">
        <f t="shared" si="840"/>
        <v>0</v>
      </c>
      <c r="W1845" s="28">
        <f>VLOOKUP(U1845,Sheet1!$B$6:$C$45,2,FALSE)*V1845</f>
        <v>0</v>
      </c>
      <c r="X1845" s="59"/>
      <c r="Y1845" s="13" t="s">
        <v>322</v>
      </c>
      <c r="Z1845" s="68">
        <f>VLOOKUP(Takeoffs!Y1845,Sheet1!$B$6:$C$124,2,FALSE)</f>
        <v>48</v>
      </c>
      <c r="AA1845" s="68">
        <f t="shared" si="845"/>
        <v>0</v>
      </c>
      <c r="AB1845" s="63">
        <f t="shared" si="841"/>
        <v>0</v>
      </c>
      <c r="AC1845" s="28">
        <f t="shared" si="847"/>
        <v>0</v>
      </c>
      <c r="AD1845" s="61">
        <v>1</v>
      </c>
      <c r="AE1845" s="59"/>
      <c r="AF1845" s="12" t="s">
        <v>292</v>
      </c>
      <c r="AG1845" s="68">
        <f>VLOOKUP(Takeoffs!AF1845,Sheet1!$B$6:$C$124,2,FALSE)</f>
        <v>0</v>
      </c>
      <c r="AH1845" s="68">
        <f t="shared" si="846"/>
        <v>0</v>
      </c>
      <c r="AI1845" s="63">
        <f t="shared" si="842"/>
        <v>0</v>
      </c>
      <c r="AJ1845" s="28">
        <f t="shared" si="843"/>
        <v>0</v>
      </c>
      <c r="AK1845" s="61">
        <f t="shared" si="848"/>
        <v>0</v>
      </c>
      <c r="AL1845" s="59"/>
      <c r="AO1845" s="286"/>
      <c r="AP1845" s="284">
        <f t="shared" si="834"/>
        <v>0</v>
      </c>
      <c r="AQ1845" s="281">
        <f t="shared" si="835"/>
        <v>0</v>
      </c>
      <c r="AR1845" s="284">
        <f t="shared" si="836"/>
        <v>0</v>
      </c>
      <c r="AS1845" s="281">
        <f t="shared" si="837"/>
        <v>0</v>
      </c>
      <c r="AT1845" s="284">
        <f t="shared" si="838"/>
        <v>0</v>
      </c>
    </row>
    <row r="1846" spans="1:97" s="32" customFormat="1" ht="30.9" x14ac:dyDescent="0.8">
      <c r="A1846" s="262">
        <f>ROW()</f>
        <v>1846</v>
      </c>
      <c r="B1846" s="114"/>
      <c r="C1846" s="208"/>
      <c r="D1846" s="208"/>
      <c r="E1846" s="208"/>
      <c r="F1846" s="208"/>
      <c r="G1846" s="208"/>
      <c r="H1846" s="208"/>
      <c r="I1846" s="114"/>
      <c r="J1846" s="32" t="str">
        <f t="shared" si="844"/>
        <v/>
      </c>
      <c r="K1846" s="32" t="str">
        <f>IF(COUNTBLANK(R1846)&gt;0,"",CONCATENATE(R1846," for ",N1826))</f>
        <v/>
      </c>
      <c r="N1846" s="15" t="s">
        <v>132</v>
      </c>
      <c r="O1846" s="66" t="s">
        <v>408</v>
      </c>
      <c r="P1846" s="12"/>
      <c r="Q1846" s="12"/>
      <c r="R1846" s="12"/>
      <c r="S1846" s="28">
        <f>M1826</f>
        <v>0</v>
      </c>
      <c r="T1846" s="11"/>
      <c r="U1846" s="12" t="s">
        <v>363</v>
      </c>
      <c r="V1846" s="28">
        <f>4*M1826</f>
        <v>0</v>
      </c>
      <c r="W1846" s="28">
        <f>VLOOKUP(U1846,Sheet1!$B$6:$C$45,2,FALSE)*V1846</f>
        <v>0</v>
      </c>
      <c r="X1846" s="59"/>
      <c r="Y1846" s="12" t="s">
        <v>292</v>
      </c>
      <c r="Z1846" s="68">
        <f>VLOOKUP(Takeoffs!Y1846,Sheet1!$B$6:$C$124,2,FALSE)</f>
        <v>0</v>
      </c>
      <c r="AA1846" s="68">
        <f t="shared" si="845"/>
        <v>0</v>
      </c>
      <c r="AB1846" s="63">
        <f t="shared" si="841"/>
        <v>0</v>
      </c>
      <c r="AC1846" s="28">
        <f t="shared" si="847"/>
        <v>0</v>
      </c>
      <c r="AD1846" s="61">
        <v>1</v>
      </c>
      <c r="AE1846" s="59"/>
      <c r="AF1846" s="12" t="s">
        <v>292</v>
      </c>
      <c r="AG1846" s="68">
        <f>VLOOKUP(Takeoffs!AF1846,Sheet1!$B$6:$C$124,2,FALSE)</f>
        <v>0</v>
      </c>
      <c r="AH1846" s="68">
        <f t="shared" si="846"/>
        <v>0</v>
      </c>
      <c r="AI1846" s="63">
        <f t="shared" si="842"/>
        <v>0</v>
      </c>
      <c r="AJ1846" s="28">
        <f t="shared" si="843"/>
        <v>0</v>
      </c>
      <c r="AK1846" s="61">
        <f t="shared" si="848"/>
        <v>0</v>
      </c>
      <c r="AL1846" s="59"/>
      <c r="AO1846" s="286"/>
      <c r="AP1846" s="284">
        <f t="shared" si="834"/>
        <v>0</v>
      </c>
      <c r="AQ1846" s="281">
        <f t="shared" si="835"/>
        <v>0</v>
      </c>
      <c r="AR1846" s="284">
        <f t="shared" si="836"/>
        <v>0</v>
      </c>
      <c r="AS1846" s="281">
        <f t="shared" si="837"/>
        <v>0</v>
      </c>
      <c r="AT1846" s="284">
        <f t="shared" si="838"/>
        <v>0</v>
      </c>
    </row>
    <row r="1847" spans="1:97" s="21" customFormat="1" ht="31.5" customHeight="1" x14ac:dyDescent="0.8">
      <c r="A1847" s="262">
        <f>ROW()</f>
        <v>1847</v>
      </c>
      <c r="B1847" s="128"/>
      <c r="C1847" s="212"/>
      <c r="D1847" s="212"/>
      <c r="E1847" s="212"/>
      <c r="F1847" s="212"/>
      <c r="G1847" s="212"/>
      <c r="H1847" s="212"/>
      <c r="I1847" s="128"/>
      <c r="J1847" s="21" t="s">
        <v>377</v>
      </c>
      <c r="L1847" s="21" t="s">
        <v>378</v>
      </c>
      <c r="N1847" s="22"/>
      <c r="O1847" s="23" t="s">
        <v>357</v>
      </c>
      <c r="P1847" s="24">
        <f>V1847+AA1847+AH1847</f>
        <v>0</v>
      </c>
      <c r="Q1847" s="24"/>
      <c r="R1847" s="24"/>
      <c r="S1847" s="23"/>
      <c r="T1847" s="20"/>
      <c r="U1847" s="19" t="s">
        <v>351</v>
      </c>
      <c r="V1847" s="20">
        <f>W1847*80</f>
        <v>0</v>
      </c>
      <c r="W1847" s="69">
        <f>SUM(W1826:W1846)</f>
        <v>0</v>
      </c>
      <c r="X1847" s="70"/>
      <c r="Y1847" s="20" t="s">
        <v>352</v>
      </c>
      <c r="Z1847" s="2"/>
      <c r="AA1847" s="2">
        <f>SUM(AA1826:AA1846)</f>
        <v>0</v>
      </c>
      <c r="AB1847" s="71"/>
      <c r="AC1847" s="71"/>
      <c r="AD1847" s="71"/>
      <c r="AE1847" s="71"/>
      <c r="AF1847" s="20" t="s">
        <v>356</v>
      </c>
      <c r="AG1847" s="2"/>
      <c r="AH1847" s="2">
        <f>SUM(AH1826:AH1846)</f>
        <v>0</v>
      </c>
      <c r="AI1847" s="71"/>
      <c r="AJ1847" s="71"/>
      <c r="AK1847" s="71"/>
      <c r="AL1847" s="71"/>
      <c r="AM1847" s="150">
        <f>P1847</f>
        <v>0</v>
      </c>
      <c r="AO1847" s="286"/>
      <c r="AP1847" s="284">
        <f t="shared" si="834"/>
        <v>0</v>
      </c>
      <c r="AQ1847" s="281">
        <f t="shared" si="835"/>
        <v>0</v>
      </c>
      <c r="AR1847" s="284">
        <f t="shared" si="836"/>
        <v>0</v>
      </c>
      <c r="AS1847" s="281">
        <f t="shared" si="837"/>
        <v>0</v>
      </c>
      <c r="AT1847" s="284">
        <f t="shared" si="838"/>
        <v>0</v>
      </c>
    </row>
    <row r="1848" spans="1:97" s="234" customFormat="1" ht="185.15" x14ac:dyDescent="0.8">
      <c r="A1848" s="262">
        <f>ROW()</f>
        <v>1848</v>
      </c>
      <c r="B1848" s="234" t="s">
        <v>491</v>
      </c>
      <c r="C1848" s="217" t="str">
        <f>N1826</f>
        <v>lobby relief system ( including on floor relief dampers)</v>
      </c>
      <c r="D1848" s="260" t="s">
        <v>677</v>
      </c>
      <c r="E1848" s="238"/>
      <c r="F1848" s="217"/>
      <c r="G1848" s="217"/>
      <c r="H1848" s="245"/>
      <c r="I1848" s="270"/>
      <c r="J1848" s="241" t="str">
        <f>CONCATENATE(O1826," ",L1826, " (",M1826,") ",N1826,".", IF(M1826&gt;1," Each "," This "),"includes supply and install of ",O1827,O1828,O1829,O1830,O1831,O1832,O1833,O1834,O1835,O1836,O1837,O1838,O1839,O1840,O1841,O1842,O1843,O1844,O1845,O1846,J1827,J1828,J1829,J1830,J1831,J1832,J1833,J1834,J1835,J1836,J1837,J1838,J1839,J1840,J1841,J1842,J1843,J1844,J1845,J1846)</f>
        <v>Electrical power supply and controls to Zero (0) lobby relief system ( including on floor relief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48" s="246">
        <f>P1847</f>
        <v>0</v>
      </c>
      <c r="L1848" s="234" t="str">
        <f>CONCATENATE(Q1827,Q1828,Q1829,Q1830,Q1831,Q1832,Q1833,Q1834,Q1835,Q1836,Q1837,Q1838,Q1839,Q1840,Q1841,Q1842,Q1843,Q1844,Q1845,Q1846,)</f>
        <v>fire cabling from FIP.</v>
      </c>
      <c r="M1848" s="91" t="s">
        <v>367</v>
      </c>
      <c r="N1848" s="83" t="str">
        <f>N1826</f>
        <v>lobby relief system ( including on floor relief dampers)</v>
      </c>
      <c r="O1848" s="83" t="s">
        <v>365</v>
      </c>
      <c r="P1848" s="98" t="e">
        <f>P1847/M1826</f>
        <v>#DIV/0!</v>
      </c>
      <c r="Q1848" s="84"/>
      <c r="R1848" s="84"/>
      <c r="S1848" s="83"/>
      <c r="T1848" s="84"/>
      <c r="U1848" s="503" t="s">
        <v>366</v>
      </c>
      <c r="V1848" s="503"/>
      <c r="W1848" s="85" t="e">
        <f>W1847/M1826</f>
        <v>#DIV/0!</v>
      </c>
      <c r="X1848" s="86"/>
      <c r="Y1848" s="501" t="s">
        <v>365</v>
      </c>
      <c r="Z1848" s="501"/>
      <c r="AA1848" s="87" t="e">
        <f>AA1847/M1826</f>
        <v>#DIV/0!</v>
      </c>
      <c r="AB1848" s="84"/>
      <c r="AC1848" s="84"/>
      <c r="AD1848" s="84"/>
      <c r="AE1848" s="84"/>
      <c r="AF1848" s="501" t="s">
        <v>365</v>
      </c>
      <c r="AG1848" s="501"/>
      <c r="AH1848" s="87" t="e">
        <f>AH1847/M1826</f>
        <v>#DIV/0!</v>
      </c>
      <c r="AI1848" s="84"/>
      <c r="AJ1848" s="84"/>
      <c r="AK1848" s="84"/>
      <c r="AL1848" s="247"/>
      <c r="AM1848" s="257"/>
      <c r="AN1848" s="236">
        <f>K1848*1.25</f>
        <v>0</v>
      </c>
      <c r="AO1848" s="286"/>
      <c r="AP1848" s="284">
        <f t="shared" si="834"/>
        <v>0</v>
      </c>
      <c r="AQ1848" s="281">
        <f t="shared" si="835"/>
        <v>0</v>
      </c>
      <c r="AR1848" s="284">
        <f t="shared" si="836"/>
        <v>0</v>
      </c>
      <c r="AS1848" s="281">
        <f t="shared" si="837"/>
        <v>0</v>
      </c>
      <c r="AT1848" s="284">
        <f t="shared" si="838"/>
        <v>0</v>
      </c>
      <c r="AU1848" s="117"/>
      <c r="AV1848" s="117"/>
      <c r="AW1848" s="117"/>
      <c r="AX1848" s="117"/>
      <c r="AY1848" s="117"/>
      <c r="AZ1848" s="117"/>
      <c r="BA1848" s="117"/>
      <c r="BB1848" s="117"/>
      <c r="BC1848" s="117"/>
      <c r="BD1848" s="117"/>
      <c r="BE1848" s="117"/>
      <c r="BF1848" s="117"/>
      <c r="BG1848" s="117"/>
      <c r="BH1848" s="117"/>
      <c r="BI1848" s="117"/>
      <c r="BJ1848" s="117"/>
      <c r="BK1848" s="117"/>
      <c r="BL1848" s="117"/>
      <c r="BM1848" s="117"/>
      <c r="BN1848" s="117"/>
      <c r="BO1848" s="117"/>
      <c r="BP1848" s="117"/>
      <c r="BQ1848" s="117"/>
      <c r="BR1848" s="117"/>
      <c r="BS1848" s="117"/>
      <c r="BT1848" s="117"/>
      <c r="BU1848" s="117"/>
      <c r="BV1848" s="117"/>
      <c r="BW1848" s="117"/>
      <c r="BX1848" s="117"/>
      <c r="BY1848" s="117"/>
      <c r="BZ1848" s="117"/>
      <c r="CA1848" s="117"/>
      <c r="CB1848" s="117"/>
      <c r="CC1848" s="117"/>
      <c r="CD1848" s="117"/>
      <c r="CE1848" s="117"/>
      <c r="CF1848" s="117"/>
      <c r="CG1848" s="117"/>
      <c r="CH1848" s="117"/>
      <c r="CI1848" s="117"/>
      <c r="CJ1848" s="117"/>
      <c r="CK1848" s="117"/>
      <c r="CL1848" s="117"/>
      <c r="CM1848" s="117"/>
      <c r="CN1848" s="117"/>
      <c r="CO1848" s="117"/>
      <c r="CP1848" s="117"/>
      <c r="CQ1848" s="117"/>
      <c r="CR1848" s="117"/>
      <c r="CS1848" s="117"/>
    </row>
    <row r="1849" spans="1:97" s="116" customFormat="1" ht="192.75" customHeight="1" x14ac:dyDescent="0.8">
      <c r="A1849" s="262">
        <f>ROW()</f>
        <v>1849</v>
      </c>
      <c r="C1849" s="211"/>
      <c r="D1849" s="211"/>
      <c r="E1849" s="211"/>
      <c r="F1849" s="211"/>
      <c r="G1849" s="211"/>
      <c r="H1849" s="211"/>
      <c r="K1849" s="116" t="s">
        <v>452</v>
      </c>
      <c r="M1849" s="116" t="s">
        <v>107</v>
      </c>
      <c r="N1849" s="116" t="s">
        <v>108</v>
      </c>
      <c r="O1849" s="170" t="s">
        <v>386</v>
      </c>
      <c r="P1849" s="502" t="s">
        <v>375</v>
      </c>
      <c r="Q1849" s="502"/>
      <c r="R1849" s="101" t="s">
        <v>452</v>
      </c>
      <c r="S1849" s="116" t="s">
        <v>0</v>
      </c>
      <c r="T1849" s="118"/>
      <c r="U1849" s="116" t="s">
        <v>287</v>
      </c>
      <c r="V1849" s="116" t="s">
        <v>288</v>
      </c>
      <c r="W1849" s="116" t="s">
        <v>291</v>
      </c>
      <c r="X1849" s="140"/>
      <c r="Y1849" s="116" t="s">
        <v>289</v>
      </c>
      <c r="Z1849" s="116" t="s">
        <v>354</v>
      </c>
      <c r="AA1849" s="116" t="s">
        <v>355</v>
      </c>
      <c r="AB1849" s="116" t="s">
        <v>317</v>
      </c>
      <c r="AC1849" s="116" t="s">
        <v>318</v>
      </c>
      <c r="AD1849" s="116" t="s">
        <v>316</v>
      </c>
      <c r="AE1849" s="140"/>
      <c r="AF1849" s="116" t="s">
        <v>293</v>
      </c>
      <c r="AG1849" s="116" t="s">
        <v>354</v>
      </c>
      <c r="AH1849" s="116" t="s">
        <v>355</v>
      </c>
      <c r="AI1849" s="116" t="s">
        <v>296</v>
      </c>
      <c r="AJ1849" s="116" t="s">
        <v>294</v>
      </c>
      <c r="AK1849" s="116" t="s">
        <v>295</v>
      </c>
      <c r="AL1849" s="140"/>
      <c r="AO1849" s="288"/>
      <c r="AP1849" s="284">
        <f t="shared" si="834"/>
        <v>0</v>
      </c>
      <c r="AQ1849" s="281">
        <f t="shared" si="835"/>
        <v>0</v>
      </c>
      <c r="AR1849" s="284">
        <f t="shared" si="836"/>
        <v>0</v>
      </c>
      <c r="AS1849" s="281">
        <f t="shared" si="837"/>
        <v>0</v>
      </c>
      <c r="AT1849" s="284">
        <f t="shared" si="838"/>
        <v>0</v>
      </c>
    </row>
    <row r="1850" spans="1:97" s="114" customFormat="1" ht="40.5" customHeight="1" x14ac:dyDescent="0.8">
      <c r="A1850" s="262">
        <f>ROW()</f>
        <v>1850</v>
      </c>
      <c r="C1850" s="208"/>
      <c r="D1850" s="208"/>
      <c r="E1850" s="208"/>
      <c r="F1850" s="208"/>
      <c r="G1850" s="208"/>
      <c r="H1850" s="208"/>
      <c r="L1850" s="124" t="str">
        <f>VLOOKUP(M1850,Sheet2!$D$2:$E$1024,2,FALSE)</f>
        <v>Zero</v>
      </c>
      <c r="M1850" s="121">
        <f>I1872</f>
        <v>0</v>
      </c>
      <c r="N1850" s="132" t="s">
        <v>485</v>
      </c>
      <c r="O1850" s="121" t="s">
        <v>347</v>
      </c>
      <c r="P1850" s="169" t="s">
        <v>379</v>
      </c>
      <c r="Q1850" s="169" t="s">
        <v>375</v>
      </c>
      <c r="R1850" s="169"/>
      <c r="S1850" s="133">
        <f>M1850</f>
        <v>0</v>
      </c>
      <c r="T1850" s="119"/>
      <c r="U1850" s="153" t="s">
        <v>292</v>
      </c>
      <c r="V1850" s="133">
        <f>S1850</f>
        <v>0</v>
      </c>
      <c r="W1850" s="133">
        <f>VLOOKUP(U1850,Sheet1!$B$6:$C$45,2,FALSE)*V1850</f>
        <v>0</v>
      </c>
      <c r="X1850" s="141"/>
      <c r="Y1850" s="121" t="s">
        <v>292</v>
      </c>
      <c r="Z1850" s="146">
        <f>VLOOKUP(Takeoffs!Y1850,Sheet1!$B$6:$C$124,2,FALSE)</f>
        <v>0</v>
      </c>
      <c r="AA1850" s="146">
        <f>Z1850*AB1850</f>
        <v>0</v>
      </c>
      <c r="AB1850" s="143">
        <f>AD1850*AC1850</f>
        <v>0</v>
      </c>
      <c r="AC1850" s="133">
        <f>S1850</f>
        <v>0</v>
      </c>
      <c r="AD1850" s="142">
        <v>1</v>
      </c>
      <c r="AE1850" s="141"/>
      <c r="AF1850" s="121" t="s">
        <v>292</v>
      </c>
      <c r="AG1850" s="146">
        <f>VLOOKUP(Takeoffs!AF1850,Sheet1!$B$6:$C$124,2,FALSE)</f>
        <v>0</v>
      </c>
      <c r="AH1850" s="146">
        <f>AG1850*AI1850</f>
        <v>0</v>
      </c>
      <c r="AI1850" s="143">
        <f>AK1850*AJ1850</f>
        <v>0</v>
      </c>
      <c r="AJ1850" s="133">
        <f>S1850</f>
        <v>0</v>
      </c>
      <c r="AK1850" s="142">
        <f>T1850</f>
        <v>0</v>
      </c>
      <c r="AL1850" s="141"/>
      <c r="AO1850" s="286"/>
      <c r="AP1850" s="284">
        <f t="shared" si="834"/>
        <v>0</v>
      </c>
      <c r="AQ1850" s="281">
        <f t="shared" si="835"/>
        <v>0</v>
      </c>
      <c r="AR1850" s="284">
        <f t="shared" si="836"/>
        <v>0</v>
      </c>
      <c r="AS1850" s="281">
        <f t="shared" si="837"/>
        <v>0</v>
      </c>
      <c r="AT1850" s="284">
        <f t="shared" si="838"/>
        <v>0</v>
      </c>
    </row>
    <row r="1851" spans="1:97" s="114" customFormat="1" ht="30.9" x14ac:dyDescent="0.8">
      <c r="A1851" s="262">
        <f>ROW()</f>
        <v>1851</v>
      </c>
      <c r="C1851" s="208"/>
      <c r="D1851" s="208"/>
      <c r="E1851" s="208"/>
      <c r="F1851" s="208"/>
      <c r="G1851" s="208"/>
      <c r="H1851" s="208"/>
      <c r="J1851" s="114" t="str">
        <f>IF(COUNTBLANK(Q1851)&gt;0,"",CONCATENATE("Coordination Note: - ",P1851,": Please refer to our exclusions relating to ",Q1851))</f>
        <v/>
      </c>
      <c r="K1851" s="114" t="str">
        <f>IF(COUNTBLANK(R1851)&gt;0,"",CONCATENATE(R1851," for ",N1850))</f>
        <v/>
      </c>
      <c r="M1851" s="117"/>
      <c r="N1851" s="123" t="s">
        <v>113</v>
      </c>
      <c r="O1851" s="66"/>
      <c r="P1851" s="121"/>
      <c r="Q1851" s="121"/>
      <c r="R1851" s="121"/>
      <c r="S1851" s="133">
        <f>M1850</f>
        <v>0</v>
      </c>
      <c r="T1851" s="120"/>
      <c r="U1851" s="121" t="s">
        <v>292</v>
      </c>
      <c r="V1851" s="133">
        <f t="shared" ref="V1851:V1870" si="849">S1851</f>
        <v>0</v>
      </c>
      <c r="W1851" s="133">
        <f>VLOOKUP(U1851,Sheet1!$B$6:$C$45,2,FALSE)*V1851</f>
        <v>0</v>
      </c>
      <c r="X1851" s="141"/>
      <c r="Y1851" s="121" t="s">
        <v>292</v>
      </c>
      <c r="Z1851" s="146">
        <f>VLOOKUP(Takeoffs!Y1851,Sheet1!$B$6:$C$124,2,FALSE)</f>
        <v>0</v>
      </c>
      <c r="AA1851" s="146">
        <f t="shared" ref="AA1851:AA1870" si="850">Z1851*AB1851</f>
        <v>0</v>
      </c>
      <c r="AB1851" s="143">
        <f t="shared" ref="AB1851:AB1870" si="851">AD1851*AC1851</f>
        <v>0</v>
      </c>
      <c r="AC1851" s="133">
        <f>S1851</f>
        <v>0</v>
      </c>
      <c r="AD1851" s="142">
        <v>1</v>
      </c>
      <c r="AE1851" s="141"/>
      <c r="AF1851" s="121" t="s">
        <v>292</v>
      </c>
      <c r="AG1851" s="146">
        <f>VLOOKUP(Takeoffs!AF1851,Sheet1!$B$6:$C$124,2,FALSE)</f>
        <v>0</v>
      </c>
      <c r="AH1851" s="146">
        <f t="shared" ref="AH1851:AH1870" si="852">AG1851*AI1851</f>
        <v>0</v>
      </c>
      <c r="AI1851" s="143">
        <f t="shared" ref="AI1851:AI1870" si="853">AK1851*AJ1851</f>
        <v>0</v>
      </c>
      <c r="AJ1851" s="133">
        <f t="shared" ref="AJ1851:AJ1870" si="854">S1851</f>
        <v>0</v>
      </c>
      <c r="AK1851" s="142">
        <f t="shared" ref="AK1851:AK1861" si="855">T1851</f>
        <v>0</v>
      </c>
      <c r="AL1851" s="141"/>
      <c r="AO1851" s="286"/>
      <c r="AP1851" s="284">
        <f t="shared" si="834"/>
        <v>0</v>
      </c>
      <c r="AQ1851" s="281">
        <f t="shared" si="835"/>
        <v>0</v>
      </c>
      <c r="AR1851" s="284">
        <f t="shared" si="836"/>
        <v>0</v>
      </c>
      <c r="AS1851" s="281">
        <f t="shared" si="837"/>
        <v>0</v>
      </c>
      <c r="AT1851" s="284">
        <f t="shared" si="838"/>
        <v>0</v>
      </c>
    </row>
    <row r="1852" spans="1:97" s="114" customFormat="1" ht="30.9" x14ac:dyDescent="0.8">
      <c r="A1852" s="262">
        <f>ROW()</f>
        <v>1852</v>
      </c>
      <c r="C1852" s="208"/>
      <c r="D1852" s="208"/>
      <c r="E1852" s="208"/>
      <c r="F1852" s="208"/>
      <c r="G1852" s="208"/>
      <c r="H1852" s="208"/>
      <c r="J1852" s="114" t="str">
        <f t="shared" ref="J1852:J1870" si="856">IF(COUNTBLANK(Q1852)&gt;0,"",CONCATENATE("Coordination Note: - ",P1852,": Please refer to our exclusions relating to ",Q1852))</f>
        <v/>
      </c>
      <c r="K1852" s="114" t="str">
        <f>IF(COUNTBLANK(R1852)&gt;0,"",CONCATENATE(R1852," for ",N1850))</f>
        <v/>
      </c>
      <c r="M1852" s="117"/>
      <c r="N1852" s="123" t="s">
        <v>114</v>
      </c>
      <c r="O1852" s="66"/>
      <c r="P1852" s="121"/>
      <c r="Q1852" s="121"/>
      <c r="R1852" s="121"/>
      <c r="S1852" s="133">
        <f>M1850</f>
        <v>0</v>
      </c>
      <c r="T1852" s="120"/>
      <c r="U1852" s="121" t="s">
        <v>292</v>
      </c>
      <c r="V1852" s="133">
        <f t="shared" si="849"/>
        <v>0</v>
      </c>
      <c r="W1852" s="133">
        <f>VLOOKUP(U1852,Sheet1!$B$6:$C$45,2,FALSE)*V1852</f>
        <v>0</v>
      </c>
      <c r="X1852" s="141"/>
      <c r="Y1852" s="121" t="s">
        <v>292</v>
      </c>
      <c r="Z1852" s="146">
        <f>VLOOKUP(Takeoffs!Y1852,Sheet1!$B$6:$C$124,2,FALSE)</f>
        <v>0</v>
      </c>
      <c r="AA1852" s="146">
        <f t="shared" si="850"/>
        <v>0</v>
      </c>
      <c r="AB1852" s="143">
        <f t="shared" si="851"/>
        <v>0</v>
      </c>
      <c r="AC1852" s="133">
        <f>S1852</f>
        <v>0</v>
      </c>
      <c r="AD1852" s="142">
        <v>1</v>
      </c>
      <c r="AE1852" s="141"/>
      <c r="AF1852" s="121" t="s">
        <v>292</v>
      </c>
      <c r="AG1852" s="146">
        <f>VLOOKUP(Takeoffs!AF1852,Sheet1!$B$6:$C$124,2,FALSE)</f>
        <v>0</v>
      </c>
      <c r="AH1852" s="146">
        <f t="shared" si="852"/>
        <v>0</v>
      </c>
      <c r="AI1852" s="143">
        <f t="shared" si="853"/>
        <v>0</v>
      </c>
      <c r="AJ1852" s="133">
        <f t="shared" si="854"/>
        <v>0</v>
      </c>
      <c r="AK1852" s="142">
        <f t="shared" si="855"/>
        <v>0</v>
      </c>
      <c r="AL1852" s="141"/>
      <c r="AO1852" s="286"/>
      <c r="AP1852" s="284">
        <f t="shared" si="834"/>
        <v>0</v>
      </c>
      <c r="AQ1852" s="281">
        <f t="shared" si="835"/>
        <v>0</v>
      </c>
      <c r="AR1852" s="284">
        <f t="shared" si="836"/>
        <v>0</v>
      </c>
      <c r="AS1852" s="281">
        <f t="shared" si="837"/>
        <v>0</v>
      </c>
      <c r="AT1852" s="284">
        <f t="shared" si="838"/>
        <v>0</v>
      </c>
    </row>
    <row r="1853" spans="1:97" s="114" customFormat="1" ht="30.9" x14ac:dyDescent="0.8">
      <c r="A1853" s="262">
        <f>ROW()</f>
        <v>1853</v>
      </c>
      <c r="C1853" s="208"/>
      <c r="D1853" s="208"/>
      <c r="E1853" s="208"/>
      <c r="F1853" s="208"/>
      <c r="G1853" s="208"/>
      <c r="H1853" s="208"/>
      <c r="J1853" s="114" t="str">
        <f t="shared" si="856"/>
        <v/>
      </c>
      <c r="K1853" s="114" t="str">
        <f>IF(COUNTBLANK(R1853)&gt;0,"",CONCATENATE(R1853," for ",N1850))</f>
        <v/>
      </c>
      <c r="M1853" s="117"/>
      <c r="N1853" s="123" t="s">
        <v>115</v>
      </c>
      <c r="O1853" s="66"/>
      <c r="P1853" s="121"/>
      <c r="Q1853" s="121"/>
      <c r="R1853" s="121"/>
      <c r="S1853" s="133">
        <f>M1850</f>
        <v>0</v>
      </c>
      <c r="T1853" s="120"/>
      <c r="U1853" s="121" t="s">
        <v>292</v>
      </c>
      <c r="V1853" s="133">
        <f t="shared" si="849"/>
        <v>0</v>
      </c>
      <c r="W1853" s="133">
        <f>VLOOKUP(U1853,Sheet1!$B$6:$C$45,2,FALSE)*V1853</f>
        <v>0</v>
      </c>
      <c r="X1853" s="141"/>
      <c r="Y1853" s="121" t="s">
        <v>292</v>
      </c>
      <c r="Z1853" s="146">
        <f>VLOOKUP(Takeoffs!Y1853,Sheet1!$B$6:$C$124,2,FALSE)</f>
        <v>0</v>
      </c>
      <c r="AA1853" s="146">
        <f t="shared" si="850"/>
        <v>0</v>
      </c>
      <c r="AB1853" s="143">
        <f t="shared" si="851"/>
        <v>0</v>
      </c>
      <c r="AC1853" s="133">
        <f t="shared" ref="AC1853:AC1870" si="857">S1853</f>
        <v>0</v>
      </c>
      <c r="AD1853" s="142">
        <v>1</v>
      </c>
      <c r="AE1853" s="141"/>
      <c r="AF1853" s="121" t="s">
        <v>292</v>
      </c>
      <c r="AG1853" s="146">
        <f>VLOOKUP(Takeoffs!AF1853,Sheet1!$B$6:$C$124,2,FALSE)</f>
        <v>0</v>
      </c>
      <c r="AH1853" s="146">
        <f t="shared" si="852"/>
        <v>0</v>
      </c>
      <c r="AI1853" s="143">
        <f t="shared" si="853"/>
        <v>0</v>
      </c>
      <c r="AJ1853" s="133">
        <f t="shared" si="854"/>
        <v>0</v>
      </c>
      <c r="AK1853" s="142">
        <f t="shared" si="855"/>
        <v>0</v>
      </c>
      <c r="AL1853" s="141"/>
      <c r="AO1853" s="286"/>
      <c r="AP1853" s="284">
        <f t="shared" si="834"/>
        <v>0</v>
      </c>
      <c r="AQ1853" s="281">
        <f t="shared" si="835"/>
        <v>0</v>
      </c>
      <c r="AR1853" s="284">
        <f t="shared" si="836"/>
        <v>0</v>
      </c>
      <c r="AS1853" s="281">
        <f t="shared" si="837"/>
        <v>0</v>
      </c>
      <c r="AT1853" s="284">
        <f t="shared" si="838"/>
        <v>0</v>
      </c>
    </row>
    <row r="1854" spans="1:97" s="114" customFormat="1" ht="30.9" x14ac:dyDescent="0.8">
      <c r="A1854" s="262">
        <f>ROW()</f>
        <v>1854</v>
      </c>
      <c r="C1854" s="208"/>
      <c r="D1854" s="208"/>
      <c r="E1854" s="208"/>
      <c r="F1854" s="208"/>
      <c r="G1854" s="208"/>
      <c r="H1854" s="208"/>
      <c r="J1854" s="114" t="str">
        <f t="shared" si="856"/>
        <v/>
      </c>
      <c r="K1854" s="114" t="str">
        <f>IF(COUNTBLANK(R1854)&gt;0,"",CONCATENATE(R1854," for ",N1850))</f>
        <v/>
      </c>
      <c r="M1854" s="117"/>
      <c r="N1854" s="123" t="s">
        <v>116</v>
      </c>
      <c r="O1854" s="66"/>
      <c r="P1854" s="121"/>
      <c r="Q1854" s="121"/>
      <c r="R1854" s="121"/>
      <c r="S1854" s="133">
        <f>M1850</f>
        <v>0</v>
      </c>
      <c r="T1854" s="120"/>
      <c r="U1854" s="121" t="s">
        <v>292</v>
      </c>
      <c r="V1854" s="133">
        <f t="shared" si="849"/>
        <v>0</v>
      </c>
      <c r="W1854" s="133">
        <f>VLOOKUP(U1854,Sheet1!$B$6:$C$45,2,FALSE)*V1854</f>
        <v>0</v>
      </c>
      <c r="X1854" s="141"/>
      <c r="Y1854" s="121" t="s">
        <v>292</v>
      </c>
      <c r="Z1854" s="146">
        <f>VLOOKUP(Takeoffs!Y1854,Sheet1!$B$6:$C$124,2,FALSE)</f>
        <v>0</v>
      </c>
      <c r="AA1854" s="146">
        <f t="shared" si="850"/>
        <v>0</v>
      </c>
      <c r="AB1854" s="143">
        <f t="shared" si="851"/>
        <v>0</v>
      </c>
      <c r="AC1854" s="133">
        <f t="shared" si="857"/>
        <v>0</v>
      </c>
      <c r="AD1854" s="142">
        <v>1</v>
      </c>
      <c r="AE1854" s="141"/>
      <c r="AF1854" s="121" t="s">
        <v>292</v>
      </c>
      <c r="AG1854" s="146">
        <f>VLOOKUP(Takeoffs!AF1854,Sheet1!$B$6:$C$124,2,FALSE)</f>
        <v>0</v>
      </c>
      <c r="AH1854" s="146">
        <f t="shared" si="852"/>
        <v>0</v>
      </c>
      <c r="AI1854" s="143">
        <f t="shared" si="853"/>
        <v>0</v>
      </c>
      <c r="AJ1854" s="133">
        <f t="shared" si="854"/>
        <v>0</v>
      </c>
      <c r="AK1854" s="142">
        <f t="shared" si="855"/>
        <v>0</v>
      </c>
      <c r="AL1854" s="141"/>
      <c r="AO1854" s="286"/>
      <c r="AP1854" s="284">
        <f t="shared" si="834"/>
        <v>0</v>
      </c>
      <c r="AQ1854" s="281">
        <f t="shared" si="835"/>
        <v>0</v>
      </c>
      <c r="AR1854" s="284">
        <f t="shared" si="836"/>
        <v>0</v>
      </c>
      <c r="AS1854" s="281">
        <f t="shared" si="837"/>
        <v>0</v>
      </c>
      <c r="AT1854" s="284">
        <f t="shared" si="838"/>
        <v>0</v>
      </c>
    </row>
    <row r="1855" spans="1:97" s="114" customFormat="1" ht="30.9" x14ac:dyDescent="0.8">
      <c r="A1855" s="262">
        <f>ROW()</f>
        <v>1855</v>
      </c>
      <c r="C1855" s="208"/>
      <c r="D1855" s="208"/>
      <c r="E1855" s="208"/>
      <c r="F1855" s="208"/>
      <c r="G1855" s="208"/>
      <c r="H1855" s="208"/>
      <c r="J1855" s="114" t="str">
        <f t="shared" si="856"/>
        <v/>
      </c>
      <c r="K1855" s="114" t="str">
        <f>IF(COUNTBLANK(R1855)&gt;0,"",CONCATENATE(R1855," for ",N1850))</f>
        <v/>
      </c>
      <c r="M1855" s="117"/>
      <c r="N1855" s="123" t="s">
        <v>117</v>
      </c>
      <c r="O1855" s="66"/>
      <c r="P1855" s="121"/>
      <c r="Q1855" s="121"/>
      <c r="R1855" s="121"/>
      <c r="S1855" s="133">
        <f>M1850</f>
        <v>0</v>
      </c>
      <c r="T1855" s="120"/>
      <c r="U1855" s="121" t="s">
        <v>292</v>
      </c>
      <c r="V1855" s="133">
        <f t="shared" si="849"/>
        <v>0</v>
      </c>
      <c r="W1855" s="133">
        <f>VLOOKUP(U1855,Sheet1!$B$6:$C$45,2,FALSE)*V1855</f>
        <v>0</v>
      </c>
      <c r="X1855" s="141"/>
      <c r="Y1855" s="121" t="s">
        <v>292</v>
      </c>
      <c r="Z1855" s="146">
        <f>VLOOKUP(Takeoffs!Y1855,Sheet1!$B$6:$C$124,2,FALSE)</f>
        <v>0</v>
      </c>
      <c r="AA1855" s="146">
        <f t="shared" si="850"/>
        <v>0</v>
      </c>
      <c r="AB1855" s="143">
        <f t="shared" si="851"/>
        <v>0</v>
      </c>
      <c r="AC1855" s="133">
        <f t="shared" si="857"/>
        <v>0</v>
      </c>
      <c r="AD1855" s="142">
        <v>1</v>
      </c>
      <c r="AE1855" s="141"/>
      <c r="AF1855" s="121" t="s">
        <v>292</v>
      </c>
      <c r="AG1855" s="146">
        <f>VLOOKUP(Takeoffs!AF1855,Sheet1!$B$6:$C$124,2,FALSE)</f>
        <v>0</v>
      </c>
      <c r="AH1855" s="146">
        <f t="shared" si="852"/>
        <v>0</v>
      </c>
      <c r="AI1855" s="143">
        <f t="shared" si="853"/>
        <v>0</v>
      </c>
      <c r="AJ1855" s="133">
        <f t="shared" si="854"/>
        <v>0</v>
      </c>
      <c r="AK1855" s="142">
        <f t="shared" si="855"/>
        <v>0</v>
      </c>
      <c r="AL1855" s="141"/>
      <c r="AO1855" s="286"/>
      <c r="AP1855" s="284">
        <f t="shared" si="834"/>
        <v>0</v>
      </c>
      <c r="AQ1855" s="281">
        <f t="shared" si="835"/>
        <v>0</v>
      </c>
      <c r="AR1855" s="284">
        <f t="shared" si="836"/>
        <v>0</v>
      </c>
      <c r="AS1855" s="281">
        <f t="shared" si="837"/>
        <v>0</v>
      </c>
      <c r="AT1855" s="284">
        <f t="shared" si="838"/>
        <v>0</v>
      </c>
    </row>
    <row r="1856" spans="1:97" s="114" customFormat="1" ht="30.9" x14ac:dyDescent="0.8">
      <c r="A1856" s="262">
        <f>ROW()</f>
        <v>1856</v>
      </c>
      <c r="C1856" s="208"/>
      <c r="D1856" s="208"/>
      <c r="E1856" s="208"/>
      <c r="F1856" s="208"/>
      <c r="G1856" s="208"/>
      <c r="H1856" s="208"/>
      <c r="J1856" s="114" t="str">
        <f t="shared" si="856"/>
        <v/>
      </c>
      <c r="K1856" s="114" t="str">
        <f>IF(COUNTBLANK(R1856)&gt;0,"",CONCATENATE(R1856," for ",N1850))</f>
        <v/>
      </c>
      <c r="M1856" s="117"/>
      <c r="N1856" s="123" t="s">
        <v>118</v>
      </c>
      <c r="O1856" s="66"/>
      <c r="P1856" s="121"/>
      <c r="Q1856" s="121"/>
      <c r="R1856" s="121"/>
      <c r="S1856" s="133">
        <f>M1850</f>
        <v>0</v>
      </c>
      <c r="T1856" s="120"/>
      <c r="U1856" s="121" t="s">
        <v>292</v>
      </c>
      <c r="V1856" s="133">
        <f t="shared" si="849"/>
        <v>0</v>
      </c>
      <c r="W1856" s="133">
        <f>VLOOKUP(U1856,Sheet1!$B$6:$C$45,2,FALSE)*V1856</f>
        <v>0</v>
      </c>
      <c r="X1856" s="141"/>
      <c r="Y1856" s="121" t="s">
        <v>292</v>
      </c>
      <c r="Z1856" s="146">
        <f>VLOOKUP(Takeoffs!Y1856,Sheet1!$B$6:$C$124,2,FALSE)</f>
        <v>0</v>
      </c>
      <c r="AA1856" s="146">
        <f t="shared" si="850"/>
        <v>0</v>
      </c>
      <c r="AB1856" s="143">
        <f t="shared" si="851"/>
        <v>0</v>
      </c>
      <c r="AC1856" s="133">
        <f t="shared" si="857"/>
        <v>0</v>
      </c>
      <c r="AD1856" s="142">
        <v>1</v>
      </c>
      <c r="AE1856" s="141"/>
      <c r="AF1856" s="121" t="s">
        <v>292</v>
      </c>
      <c r="AG1856" s="146">
        <f>VLOOKUP(Takeoffs!AF1856,Sheet1!$B$6:$C$124,2,FALSE)</f>
        <v>0</v>
      </c>
      <c r="AH1856" s="146">
        <f t="shared" si="852"/>
        <v>0</v>
      </c>
      <c r="AI1856" s="143">
        <f t="shared" si="853"/>
        <v>0</v>
      </c>
      <c r="AJ1856" s="133">
        <f t="shared" si="854"/>
        <v>0</v>
      </c>
      <c r="AK1856" s="142">
        <f t="shared" si="855"/>
        <v>0</v>
      </c>
      <c r="AL1856" s="141"/>
      <c r="AO1856" s="286"/>
      <c r="AP1856" s="284">
        <f t="shared" si="834"/>
        <v>0</v>
      </c>
      <c r="AQ1856" s="281">
        <f t="shared" si="835"/>
        <v>0</v>
      </c>
      <c r="AR1856" s="284">
        <f t="shared" si="836"/>
        <v>0</v>
      </c>
      <c r="AS1856" s="281">
        <f t="shared" si="837"/>
        <v>0</v>
      </c>
      <c r="AT1856" s="284">
        <f t="shared" si="838"/>
        <v>0</v>
      </c>
    </row>
    <row r="1857" spans="1:97" s="114" customFormat="1" ht="30.9" x14ac:dyDescent="0.8">
      <c r="A1857" s="262">
        <f>ROW()</f>
        <v>1857</v>
      </c>
      <c r="C1857" s="208"/>
      <c r="D1857" s="208"/>
      <c r="E1857" s="208"/>
      <c r="F1857" s="208"/>
      <c r="G1857" s="208"/>
      <c r="H1857" s="208"/>
      <c r="J1857" s="114" t="str">
        <f t="shared" si="856"/>
        <v/>
      </c>
      <c r="K1857" s="114" t="str">
        <f>IF(COUNTBLANK(R1857)&gt;0,"",CONCATENATE(R1857," for ",N1850))</f>
        <v/>
      </c>
      <c r="N1857" s="123" t="s">
        <v>119</v>
      </c>
      <c r="O1857" s="66"/>
      <c r="P1857" s="121"/>
      <c r="Q1857" s="121"/>
      <c r="R1857" s="121"/>
      <c r="S1857" s="133">
        <f>M1850</f>
        <v>0</v>
      </c>
      <c r="T1857" s="120"/>
      <c r="U1857" s="121" t="s">
        <v>292</v>
      </c>
      <c r="V1857" s="133">
        <f t="shared" si="849"/>
        <v>0</v>
      </c>
      <c r="W1857" s="133">
        <f>VLOOKUP(U1857,Sheet1!$B$6:$C$45,2,FALSE)*V1857</f>
        <v>0</v>
      </c>
      <c r="X1857" s="141"/>
      <c r="Y1857" s="121" t="s">
        <v>292</v>
      </c>
      <c r="Z1857" s="146">
        <f>VLOOKUP(Takeoffs!Y1857,Sheet1!$B$6:$C$124,2,FALSE)</f>
        <v>0</v>
      </c>
      <c r="AA1857" s="146">
        <f t="shared" si="850"/>
        <v>0</v>
      </c>
      <c r="AB1857" s="143">
        <f t="shared" si="851"/>
        <v>0</v>
      </c>
      <c r="AC1857" s="133">
        <f t="shared" si="857"/>
        <v>0</v>
      </c>
      <c r="AD1857" s="142">
        <v>1</v>
      </c>
      <c r="AE1857" s="141"/>
      <c r="AF1857" s="121" t="s">
        <v>292</v>
      </c>
      <c r="AG1857" s="146">
        <f>VLOOKUP(Takeoffs!AF1857,Sheet1!$B$6:$C$124,2,FALSE)</f>
        <v>0</v>
      </c>
      <c r="AH1857" s="146">
        <f t="shared" si="852"/>
        <v>0</v>
      </c>
      <c r="AI1857" s="143">
        <f t="shared" si="853"/>
        <v>0</v>
      </c>
      <c r="AJ1857" s="133">
        <f t="shared" si="854"/>
        <v>0</v>
      </c>
      <c r="AK1857" s="142">
        <f t="shared" si="855"/>
        <v>0</v>
      </c>
      <c r="AL1857" s="141"/>
      <c r="AO1857" s="286"/>
      <c r="AP1857" s="284">
        <f t="shared" si="834"/>
        <v>0</v>
      </c>
      <c r="AQ1857" s="281">
        <f t="shared" si="835"/>
        <v>0</v>
      </c>
      <c r="AR1857" s="284">
        <f t="shared" si="836"/>
        <v>0</v>
      </c>
      <c r="AS1857" s="281">
        <f t="shared" si="837"/>
        <v>0</v>
      </c>
      <c r="AT1857" s="284">
        <f t="shared" si="838"/>
        <v>0</v>
      </c>
    </row>
    <row r="1858" spans="1:97" s="114" customFormat="1" ht="30.9" x14ac:dyDescent="0.8">
      <c r="A1858" s="262">
        <f>ROW()</f>
        <v>1858</v>
      </c>
      <c r="C1858" s="208"/>
      <c r="D1858" s="208"/>
      <c r="E1858" s="208"/>
      <c r="F1858" s="208"/>
      <c r="G1858" s="208"/>
      <c r="H1858" s="208"/>
      <c r="J1858" s="114" t="str">
        <f t="shared" si="856"/>
        <v/>
      </c>
      <c r="K1858" s="114" t="str">
        <f>IF(COUNTBLANK(R1858)&gt;0,"",CONCATENATE(R1858," for ",N1850))</f>
        <v/>
      </c>
      <c r="N1858" s="123" t="s">
        <v>120</v>
      </c>
      <c r="O1858" s="66"/>
      <c r="P1858" s="121"/>
      <c r="Q1858" s="121"/>
      <c r="R1858" s="121"/>
      <c r="S1858" s="133">
        <f>M1850</f>
        <v>0</v>
      </c>
      <c r="T1858" s="120"/>
      <c r="U1858" s="121" t="s">
        <v>292</v>
      </c>
      <c r="V1858" s="133">
        <f t="shared" si="849"/>
        <v>0</v>
      </c>
      <c r="W1858" s="133">
        <f>VLOOKUP(U1858,Sheet1!$B$6:$C$45,2,FALSE)*V1858</f>
        <v>0</v>
      </c>
      <c r="X1858" s="141"/>
      <c r="Y1858" s="121" t="s">
        <v>292</v>
      </c>
      <c r="Z1858" s="146">
        <f>VLOOKUP(Takeoffs!Y1858,Sheet1!$B$6:$C$124,2,FALSE)</f>
        <v>0</v>
      </c>
      <c r="AA1858" s="146">
        <f t="shared" si="850"/>
        <v>0</v>
      </c>
      <c r="AB1858" s="143">
        <f t="shared" si="851"/>
        <v>0</v>
      </c>
      <c r="AC1858" s="133">
        <f t="shared" si="857"/>
        <v>0</v>
      </c>
      <c r="AD1858" s="142">
        <v>1</v>
      </c>
      <c r="AE1858" s="141"/>
      <c r="AF1858" s="121" t="s">
        <v>292</v>
      </c>
      <c r="AG1858" s="146">
        <f>VLOOKUP(Takeoffs!AF1858,Sheet1!$B$6:$C$124,2,FALSE)</f>
        <v>0</v>
      </c>
      <c r="AH1858" s="146">
        <f t="shared" si="852"/>
        <v>0</v>
      </c>
      <c r="AI1858" s="143">
        <f t="shared" si="853"/>
        <v>0</v>
      </c>
      <c r="AJ1858" s="133">
        <f t="shared" si="854"/>
        <v>0</v>
      </c>
      <c r="AK1858" s="142">
        <f t="shared" si="855"/>
        <v>0</v>
      </c>
      <c r="AL1858" s="141"/>
      <c r="AO1858" s="286"/>
      <c r="AP1858" s="284">
        <f t="shared" si="834"/>
        <v>0</v>
      </c>
      <c r="AQ1858" s="281">
        <f t="shared" si="835"/>
        <v>0</v>
      </c>
      <c r="AR1858" s="284">
        <f t="shared" si="836"/>
        <v>0</v>
      </c>
      <c r="AS1858" s="281">
        <f t="shared" si="837"/>
        <v>0</v>
      </c>
      <c r="AT1858" s="284">
        <f t="shared" si="838"/>
        <v>0</v>
      </c>
    </row>
    <row r="1859" spans="1:97" s="114" customFormat="1" ht="30.9" x14ac:dyDescent="0.8">
      <c r="A1859" s="262">
        <f>ROW()</f>
        <v>1859</v>
      </c>
      <c r="C1859" s="208"/>
      <c r="D1859" s="208"/>
      <c r="E1859" s="208"/>
      <c r="F1859" s="208"/>
      <c r="G1859" s="208"/>
      <c r="H1859" s="208"/>
      <c r="J1859" s="114" t="str">
        <f t="shared" si="856"/>
        <v/>
      </c>
      <c r="K1859" s="114" t="str">
        <f>IF(COUNTBLANK(R1859)&gt;0,"",CONCATENATE(R1859," for ",N1850))</f>
        <v/>
      </c>
      <c r="N1859" s="123" t="s">
        <v>121</v>
      </c>
      <c r="O1859" s="66"/>
      <c r="P1859" s="121"/>
      <c r="Q1859" s="121"/>
      <c r="R1859" s="121"/>
      <c r="S1859" s="133">
        <f>M1850</f>
        <v>0</v>
      </c>
      <c r="T1859" s="120"/>
      <c r="U1859" s="121" t="s">
        <v>292</v>
      </c>
      <c r="V1859" s="133">
        <f t="shared" si="849"/>
        <v>0</v>
      </c>
      <c r="W1859" s="133">
        <f>VLOOKUP(U1859,Sheet1!$B$6:$C$45,2,FALSE)*V1859</f>
        <v>0</v>
      </c>
      <c r="X1859" s="141"/>
      <c r="Y1859" s="121" t="s">
        <v>292</v>
      </c>
      <c r="Z1859" s="146">
        <f>VLOOKUP(Takeoffs!Y1859,Sheet1!$B$6:$C$124,2,FALSE)</f>
        <v>0</v>
      </c>
      <c r="AA1859" s="146">
        <f t="shared" si="850"/>
        <v>0</v>
      </c>
      <c r="AB1859" s="143">
        <f t="shared" si="851"/>
        <v>0</v>
      </c>
      <c r="AC1859" s="133">
        <f t="shared" si="857"/>
        <v>0</v>
      </c>
      <c r="AD1859" s="142">
        <v>1</v>
      </c>
      <c r="AE1859" s="141"/>
      <c r="AF1859" s="121" t="s">
        <v>292</v>
      </c>
      <c r="AG1859" s="146">
        <f>VLOOKUP(Takeoffs!AF1859,Sheet1!$B$6:$C$124,2,FALSE)</f>
        <v>0</v>
      </c>
      <c r="AH1859" s="146">
        <f t="shared" si="852"/>
        <v>0</v>
      </c>
      <c r="AI1859" s="143">
        <f t="shared" si="853"/>
        <v>0</v>
      </c>
      <c r="AJ1859" s="133">
        <f t="shared" si="854"/>
        <v>0</v>
      </c>
      <c r="AK1859" s="142">
        <f t="shared" si="855"/>
        <v>0</v>
      </c>
      <c r="AL1859" s="141"/>
      <c r="AO1859" s="286"/>
      <c r="AP1859" s="284">
        <f t="shared" si="834"/>
        <v>0</v>
      </c>
      <c r="AQ1859" s="281">
        <f t="shared" si="835"/>
        <v>0</v>
      </c>
      <c r="AR1859" s="284">
        <f t="shared" si="836"/>
        <v>0</v>
      </c>
      <c r="AS1859" s="281">
        <f t="shared" si="837"/>
        <v>0</v>
      </c>
      <c r="AT1859" s="284">
        <f t="shared" si="838"/>
        <v>0</v>
      </c>
    </row>
    <row r="1860" spans="1:97" s="114" customFormat="1" ht="30.9" x14ac:dyDescent="0.8">
      <c r="A1860" s="262">
        <f>ROW()</f>
        <v>1860</v>
      </c>
      <c r="C1860" s="208"/>
      <c r="D1860" s="208"/>
      <c r="E1860" s="208"/>
      <c r="F1860" s="208"/>
      <c r="G1860" s="208"/>
      <c r="H1860" s="208"/>
      <c r="J1860" s="114" t="str">
        <f t="shared" si="856"/>
        <v/>
      </c>
      <c r="K1860" s="114" t="str">
        <f>IF(COUNTBLANK(R1860)&gt;0,"",CONCATENATE(R1860," for ",N1850))</f>
        <v/>
      </c>
      <c r="N1860" s="123" t="s">
        <v>122</v>
      </c>
      <c r="O1860" s="66" t="s">
        <v>504</v>
      </c>
      <c r="P1860" s="121"/>
      <c r="Q1860" s="121"/>
      <c r="R1860" s="121"/>
      <c r="S1860" s="133">
        <f>M1850</f>
        <v>0</v>
      </c>
      <c r="T1860" s="120"/>
      <c r="U1860" s="121" t="s">
        <v>292</v>
      </c>
      <c r="V1860" s="133">
        <f t="shared" si="849"/>
        <v>0</v>
      </c>
      <c r="W1860" s="133">
        <f>VLOOKUP(U1860,Sheet1!$B$6:$C$45,2,FALSE)*V1860</f>
        <v>0</v>
      </c>
      <c r="X1860" s="141"/>
      <c r="Y1860" s="122" t="s">
        <v>325</v>
      </c>
      <c r="Z1860" s="146">
        <f>VLOOKUP(Takeoffs!Y1860,Sheet1!$B$6:$C$124,2,FALSE)</f>
        <v>240</v>
      </c>
      <c r="AA1860" s="146">
        <f t="shared" si="850"/>
        <v>0</v>
      </c>
      <c r="AB1860" s="143">
        <f t="shared" si="851"/>
        <v>0</v>
      </c>
      <c r="AC1860" s="133">
        <f t="shared" si="857"/>
        <v>0</v>
      </c>
      <c r="AD1860" s="142">
        <v>1</v>
      </c>
      <c r="AE1860" s="141"/>
      <c r="AF1860" s="121" t="s">
        <v>292</v>
      </c>
      <c r="AG1860" s="146">
        <f>VLOOKUP(Takeoffs!AF1860,Sheet1!$B$6:$C$124,2,FALSE)</f>
        <v>0</v>
      </c>
      <c r="AH1860" s="146">
        <f t="shared" si="852"/>
        <v>0</v>
      </c>
      <c r="AI1860" s="143">
        <f t="shared" si="853"/>
        <v>0</v>
      </c>
      <c r="AJ1860" s="133">
        <f t="shared" si="854"/>
        <v>0</v>
      </c>
      <c r="AK1860" s="142">
        <f t="shared" si="855"/>
        <v>0</v>
      </c>
      <c r="AL1860" s="141"/>
      <c r="AO1860" s="286"/>
      <c r="AP1860" s="284">
        <f t="shared" si="834"/>
        <v>0</v>
      </c>
      <c r="AQ1860" s="281">
        <f t="shared" si="835"/>
        <v>0</v>
      </c>
      <c r="AR1860" s="284">
        <f t="shared" si="836"/>
        <v>0</v>
      </c>
      <c r="AS1860" s="281">
        <f t="shared" si="837"/>
        <v>0</v>
      </c>
      <c r="AT1860" s="284">
        <f t="shared" si="838"/>
        <v>0</v>
      </c>
    </row>
    <row r="1861" spans="1:97" s="114" customFormat="1" ht="30.9" x14ac:dyDescent="0.8">
      <c r="A1861" s="262">
        <f>ROW()</f>
        <v>1861</v>
      </c>
      <c r="C1861" s="208"/>
      <c r="D1861" s="208"/>
      <c r="E1861" s="208"/>
      <c r="F1861" s="208"/>
      <c r="G1861" s="208"/>
      <c r="H1861" s="208"/>
      <c r="J1861" s="114" t="str">
        <f t="shared" si="856"/>
        <v/>
      </c>
      <c r="K1861" s="114" t="str">
        <f>IF(COUNTBLANK(R1861)&gt;0,"",CONCATENATE(R1861," for ",N1850))</f>
        <v/>
      </c>
      <c r="N1861" s="123" t="s">
        <v>123</v>
      </c>
      <c r="O1861" s="66"/>
      <c r="P1861" s="121"/>
      <c r="Q1861" s="121"/>
      <c r="R1861" s="121"/>
      <c r="S1861" s="133">
        <f>M1850</f>
        <v>0</v>
      </c>
      <c r="T1861" s="120"/>
      <c r="U1861" s="121" t="s">
        <v>292</v>
      </c>
      <c r="V1861" s="133">
        <f t="shared" si="849"/>
        <v>0</v>
      </c>
      <c r="W1861" s="133">
        <f>VLOOKUP(U1861,Sheet1!$B$6:$C$45,2,FALSE)*V1861</f>
        <v>0</v>
      </c>
      <c r="X1861" s="141"/>
      <c r="Y1861" s="121" t="s">
        <v>292</v>
      </c>
      <c r="Z1861" s="146">
        <f>VLOOKUP(Takeoffs!Y1861,Sheet1!$B$6:$C$124,2,FALSE)</f>
        <v>0</v>
      </c>
      <c r="AA1861" s="146">
        <f t="shared" si="850"/>
        <v>0</v>
      </c>
      <c r="AB1861" s="143">
        <f t="shared" si="851"/>
        <v>0</v>
      </c>
      <c r="AC1861" s="133">
        <f t="shared" si="857"/>
        <v>0</v>
      </c>
      <c r="AD1861" s="142">
        <v>1</v>
      </c>
      <c r="AE1861" s="141"/>
      <c r="AF1861" s="121" t="s">
        <v>292</v>
      </c>
      <c r="AG1861" s="146">
        <f>VLOOKUP(Takeoffs!AF1861,Sheet1!$B$6:$C$124,2,FALSE)</f>
        <v>0</v>
      </c>
      <c r="AH1861" s="146">
        <f t="shared" si="852"/>
        <v>0</v>
      </c>
      <c r="AI1861" s="143">
        <f t="shared" si="853"/>
        <v>0</v>
      </c>
      <c r="AJ1861" s="133">
        <f t="shared" si="854"/>
        <v>0</v>
      </c>
      <c r="AK1861" s="142">
        <f t="shared" si="855"/>
        <v>0</v>
      </c>
      <c r="AL1861" s="141"/>
      <c r="AO1861" s="286"/>
      <c r="AP1861" s="284">
        <f t="shared" si="834"/>
        <v>0</v>
      </c>
      <c r="AQ1861" s="281">
        <f t="shared" si="835"/>
        <v>0</v>
      </c>
      <c r="AR1861" s="284">
        <f t="shared" si="836"/>
        <v>0</v>
      </c>
      <c r="AS1861" s="281">
        <f t="shared" si="837"/>
        <v>0</v>
      </c>
      <c r="AT1861" s="284">
        <f t="shared" si="838"/>
        <v>0</v>
      </c>
    </row>
    <row r="1862" spans="1:97" s="114" customFormat="1" ht="30.9" x14ac:dyDescent="0.8">
      <c r="A1862" s="262">
        <f>ROW()</f>
        <v>1862</v>
      </c>
      <c r="C1862" s="208"/>
      <c r="D1862" s="208"/>
      <c r="E1862" s="208"/>
      <c r="F1862" s="208"/>
      <c r="G1862" s="208"/>
      <c r="H1862" s="208"/>
      <c r="J1862" s="114" t="str">
        <f t="shared" si="856"/>
        <v/>
      </c>
      <c r="K1862" s="114" t="str">
        <f>IF(COUNTBLANK(R1862)&gt;0,"",CONCATENATE(R1862," for ",N1850))</f>
        <v/>
      </c>
      <c r="N1862" s="123" t="s">
        <v>124</v>
      </c>
      <c r="O1862" s="66" t="s">
        <v>140</v>
      </c>
      <c r="P1862" s="121"/>
      <c r="Q1862" s="121"/>
      <c r="R1862" s="121"/>
      <c r="S1862" s="133">
        <f>M1850</f>
        <v>0</v>
      </c>
      <c r="T1862" s="120"/>
      <c r="U1862" s="117" t="s">
        <v>478</v>
      </c>
      <c r="V1862" s="133">
        <f t="shared" si="849"/>
        <v>0</v>
      </c>
      <c r="W1862" s="133">
        <f>VLOOKUP(U1862,Sheet1!$B$6:$C$45,2,FALSE)*V1862</f>
        <v>0</v>
      </c>
      <c r="X1862" s="141"/>
      <c r="Y1862" s="121" t="s">
        <v>292</v>
      </c>
      <c r="Z1862" s="146">
        <f>VLOOKUP(Takeoffs!Y1862,Sheet1!$B$6:$C$124,2,FALSE)</f>
        <v>0</v>
      </c>
      <c r="AA1862" s="146">
        <f t="shared" si="850"/>
        <v>0</v>
      </c>
      <c r="AB1862" s="143">
        <f t="shared" si="851"/>
        <v>0</v>
      </c>
      <c r="AC1862" s="133">
        <f t="shared" si="857"/>
        <v>0</v>
      </c>
      <c r="AD1862" s="142">
        <v>1</v>
      </c>
      <c r="AE1862" s="141"/>
      <c r="AF1862" s="144" t="s">
        <v>270</v>
      </c>
      <c r="AG1862" s="146">
        <f>VLOOKUP(Takeoffs!AF1862,Sheet1!$B$6:$C$124,2,FALSE)</f>
        <v>5.7960000000000003</v>
      </c>
      <c r="AH1862" s="146">
        <f t="shared" si="852"/>
        <v>0</v>
      </c>
      <c r="AI1862" s="143">
        <f t="shared" si="853"/>
        <v>0</v>
      </c>
      <c r="AJ1862" s="133">
        <f t="shared" si="854"/>
        <v>0</v>
      </c>
      <c r="AK1862" s="142">
        <v>20</v>
      </c>
      <c r="AL1862" s="141"/>
      <c r="AO1862" s="286"/>
      <c r="AP1862" s="284">
        <f t="shared" si="834"/>
        <v>0</v>
      </c>
      <c r="AQ1862" s="281">
        <f t="shared" si="835"/>
        <v>0</v>
      </c>
      <c r="AR1862" s="284">
        <f t="shared" si="836"/>
        <v>0</v>
      </c>
      <c r="AS1862" s="281">
        <f t="shared" si="837"/>
        <v>0</v>
      </c>
      <c r="AT1862" s="284">
        <f t="shared" si="838"/>
        <v>0</v>
      </c>
    </row>
    <row r="1863" spans="1:97" s="114" customFormat="1" ht="30.9" x14ac:dyDescent="0.8">
      <c r="A1863" s="262">
        <f>ROW()</f>
        <v>1863</v>
      </c>
      <c r="C1863" s="208"/>
      <c r="D1863" s="208"/>
      <c r="E1863" s="208"/>
      <c r="F1863" s="208"/>
      <c r="G1863" s="208"/>
      <c r="H1863" s="208"/>
      <c r="J1863" s="114" t="str">
        <f t="shared" si="856"/>
        <v/>
      </c>
      <c r="K1863" s="114" t="str">
        <f>IF(COUNTBLANK(R1863)&gt;0,"",CONCATENATE(R1863," for ",N1850))</f>
        <v/>
      </c>
      <c r="N1863" s="123" t="s">
        <v>125</v>
      </c>
      <c r="O1863" s="66"/>
      <c r="P1863" s="121"/>
      <c r="Q1863" s="121"/>
      <c r="R1863" s="121"/>
      <c r="S1863" s="133">
        <f>M1850</f>
        <v>0</v>
      </c>
      <c r="T1863" s="120"/>
      <c r="U1863" s="121" t="s">
        <v>292</v>
      </c>
      <c r="V1863" s="133">
        <f t="shared" si="849"/>
        <v>0</v>
      </c>
      <c r="W1863" s="133">
        <f>VLOOKUP(U1863,Sheet1!$B$6:$C$45,2,FALSE)*V1863</f>
        <v>0</v>
      </c>
      <c r="X1863" s="141"/>
      <c r="Y1863" s="121" t="s">
        <v>292</v>
      </c>
      <c r="Z1863" s="146">
        <f>VLOOKUP(Takeoffs!Y1863,Sheet1!$B$6:$C$124,2,FALSE)</f>
        <v>0</v>
      </c>
      <c r="AA1863" s="146">
        <f t="shared" si="850"/>
        <v>0</v>
      </c>
      <c r="AB1863" s="143">
        <f t="shared" si="851"/>
        <v>0</v>
      </c>
      <c r="AC1863" s="133">
        <f t="shared" si="857"/>
        <v>0</v>
      </c>
      <c r="AD1863" s="142">
        <v>1</v>
      </c>
      <c r="AE1863" s="141"/>
      <c r="AF1863" s="121" t="s">
        <v>292</v>
      </c>
      <c r="AG1863" s="146">
        <f>VLOOKUP(Takeoffs!AF1863,Sheet1!$B$6:$C$124,2,FALSE)</f>
        <v>0</v>
      </c>
      <c r="AH1863" s="146">
        <f t="shared" si="852"/>
        <v>0</v>
      </c>
      <c r="AI1863" s="143">
        <f t="shared" si="853"/>
        <v>0</v>
      </c>
      <c r="AJ1863" s="133">
        <f t="shared" si="854"/>
        <v>0</v>
      </c>
      <c r="AK1863" s="142">
        <f t="shared" ref="AK1863:AK1868" si="858">T1863</f>
        <v>0</v>
      </c>
      <c r="AL1863" s="141"/>
      <c r="AO1863" s="286"/>
      <c r="AP1863" s="284">
        <f t="shared" si="834"/>
        <v>0</v>
      </c>
      <c r="AQ1863" s="281">
        <f t="shared" si="835"/>
        <v>0</v>
      </c>
      <c r="AR1863" s="284">
        <f t="shared" si="836"/>
        <v>0</v>
      </c>
      <c r="AS1863" s="281">
        <f t="shared" si="837"/>
        <v>0</v>
      </c>
      <c r="AT1863" s="284">
        <f t="shared" si="838"/>
        <v>0</v>
      </c>
    </row>
    <row r="1864" spans="1:97" s="114" customFormat="1" ht="30.9" x14ac:dyDescent="0.8">
      <c r="A1864" s="262">
        <f>ROW()</f>
        <v>1864</v>
      </c>
      <c r="C1864" s="208"/>
      <c r="D1864" s="208"/>
      <c r="E1864" s="208"/>
      <c r="F1864" s="208"/>
      <c r="G1864" s="208"/>
      <c r="H1864" s="208"/>
      <c r="J1864" s="114" t="str">
        <f t="shared" si="856"/>
        <v/>
      </c>
      <c r="K1864" s="114" t="str">
        <f>IF(COUNTBLANK(R1864)&gt;0,"",CONCATENATE(R1864," for ",N1850))</f>
        <v/>
      </c>
      <c r="N1864" s="123" t="s">
        <v>126</v>
      </c>
      <c r="O1864" s="66"/>
      <c r="P1864" s="121"/>
      <c r="Q1864" s="121"/>
      <c r="R1864" s="121"/>
      <c r="S1864" s="133">
        <f>M1850</f>
        <v>0</v>
      </c>
      <c r="T1864" s="120"/>
      <c r="U1864" s="121" t="s">
        <v>292</v>
      </c>
      <c r="V1864" s="133">
        <f t="shared" si="849"/>
        <v>0</v>
      </c>
      <c r="W1864" s="133">
        <f>VLOOKUP(U1864,Sheet1!$B$6:$C$45,2,FALSE)*V1864</f>
        <v>0</v>
      </c>
      <c r="X1864" s="141"/>
      <c r="Y1864" s="121" t="s">
        <v>292</v>
      </c>
      <c r="Z1864" s="146">
        <f>VLOOKUP(Takeoffs!Y1864,Sheet1!$B$6:$C$124,2,FALSE)</f>
        <v>0</v>
      </c>
      <c r="AA1864" s="146">
        <f t="shared" si="850"/>
        <v>0</v>
      </c>
      <c r="AB1864" s="143">
        <f t="shared" si="851"/>
        <v>0</v>
      </c>
      <c r="AC1864" s="133">
        <f t="shared" si="857"/>
        <v>0</v>
      </c>
      <c r="AD1864" s="142">
        <v>1</v>
      </c>
      <c r="AE1864" s="141"/>
      <c r="AF1864" s="121" t="s">
        <v>292</v>
      </c>
      <c r="AG1864" s="146">
        <f>VLOOKUP(Takeoffs!AF1864,Sheet1!$B$6:$C$124,2,FALSE)</f>
        <v>0</v>
      </c>
      <c r="AH1864" s="146">
        <f t="shared" si="852"/>
        <v>0</v>
      </c>
      <c r="AI1864" s="143">
        <f t="shared" si="853"/>
        <v>0</v>
      </c>
      <c r="AJ1864" s="133">
        <f t="shared" si="854"/>
        <v>0</v>
      </c>
      <c r="AK1864" s="142">
        <f t="shared" si="858"/>
        <v>0</v>
      </c>
      <c r="AL1864" s="141"/>
      <c r="AO1864" s="286"/>
      <c r="AP1864" s="284">
        <f t="shared" si="834"/>
        <v>0</v>
      </c>
      <c r="AQ1864" s="281">
        <f t="shared" si="835"/>
        <v>0</v>
      </c>
      <c r="AR1864" s="284">
        <f t="shared" si="836"/>
        <v>0</v>
      </c>
      <c r="AS1864" s="281">
        <f t="shared" si="837"/>
        <v>0</v>
      </c>
      <c r="AT1864" s="284">
        <f t="shared" si="838"/>
        <v>0</v>
      </c>
    </row>
    <row r="1865" spans="1:97" s="114" customFormat="1" ht="30.9" x14ac:dyDescent="0.8">
      <c r="A1865" s="262">
        <f>ROW()</f>
        <v>1865</v>
      </c>
      <c r="C1865" s="208"/>
      <c r="D1865" s="208"/>
      <c r="E1865" s="208"/>
      <c r="F1865" s="208"/>
      <c r="G1865" s="208"/>
      <c r="H1865" s="208"/>
      <c r="J1865" s="114" t="str">
        <f t="shared" si="856"/>
        <v/>
      </c>
      <c r="K1865" s="114" t="str">
        <f>IF(COUNTBLANK(R1865)&gt;0,"",CONCATENATE(R1865," for ",N1850))</f>
        <v/>
      </c>
      <c r="N1865" s="123" t="s">
        <v>127</v>
      </c>
      <c r="O1865" s="66"/>
      <c r="P1865" s="121"/>
      <c r="Q1865" s="121"/>
      <c r="R1865" s="121"/>
      <c r="S1865" s="133">
        <f>M1850</f>
        <v>0</v>
      </c>
      <c r="T1865" s="120"/>
      <c r="U1865" s="121" t="s">
        <v>292</v>
      </c>
      <c r="V1865" s="133">
        <f t="shared" si="849"/>
        <v>0</v>
      </c>
      <c r="W1865" s="133">
        <f>VLOOKUP(U1865,Sheet1!$B$6:$C$45,2,FALSE)*V1865</f>
        <v>0</v>
      </c>
      <c r="X1865" s="141"/>
      <c r="Y1865" s="121" t="s">
        <v>292</v>
      </c>
      <c r="Z1865" s="146">
        <f>VLOOKUP(Takeoffs!Y1865,Sheet1!$B$6:$C$124,2,FALSE)</f>
        <v>0</v>
      </c>
      <c r="AA1865" s="146">
        <f t="shared" si="850"/>
        <v>0</v>
      </c>
      <c r="AB1865" s="143">
        <f t="shared" si="851"/>
        <v>0</v>
      </c>
      <c r="AC1865" s="133">
        <f t="shared" si="857"/>
        <v>0</v>
      </c>
      <c r="AD1865" s="142">
        <v>1</v>
      </c>
      <c r="AE1865" s="141"/>
      <c r="AF1865" s="121" t="s">
        <v>292</v>
      </c>
      <c r="AG1865" s="146">
        <f>VLOOKUP(Takeoffs!AF1865,Sheet1!$B$6:$C$124,2,FALSE)</f>
        <v>0</v>
      </c>
      <c r="AH1865" s="146">
        <f t="shared" si="852"/>
        <v>0</v>
      </c>
      <c r="AI1865" s="143">
        <f t="shared" si="853"/>
        <v>0</v>
      </c>
      <c r="AJ1865" s="133">
        <f t="shared" si="854"/>
        <v>0</v>
      </c>
      <c r="AK1865" s="142">
        <f t="shared" si="858"/>
        <v>0</v>
      </c>
      <c r="AL1865" s="141"/>
      <c r="AO1865" s="286"/>
      <c r="AP1865" s="284">
        <f t="shared" si="834"/>
        <v>0</v>
      </c>
      <c r="AQ1865" s="281">
        <f t="shared" si="835"/>
        <v>0</v>
      </c>
      <c r="AR1865" s="284">
        <f t="shared" si="836"/>
        <v>0</v>
      </c>
      <c r="AS1865" s="281">
        <f t="shared" si="837"/>
        <v>0</v>
      </c>
      <c r="AT1865" s="284">
        <f t="shared" si="838"/>
        <v>0</v>
      </c>
    </row>
    <row r="1866" spans="1:97" s="114" customFormat="1" ht="30.9" x14ac:dyDescent="0.8">
      <c r="A1866" s="262">
        <f>ROW()</f>
        <v>1866</v>
      </c>
      <c r="C1866" s="208"/>
      <c r="D1866" s="208"/>
      <c r="E1866" s="208"/>
      <c r="F1866" s="208"/>
      <c r="G1866" s="208"/>
      <c r="H1866" s="208"/>
      <c r="J1866" s="114" t="str">
        <f t="shared" si="856"/>
        <v/>
      </c>
      <c r="K1866" s="114" t="str">
        <f>IF(COUNTBLANK(R1866)&gt;0,"",CONCATENATE(R1866," for ",N1850))</f>
        <v/>
      </c>
      <c r="N1866" s="123" t="s">
        <v>128</v>
      </c>
      <c r="O1866" s="66"/>
      <c r="P1866" s="121"/>
      <c r="Q1866" s="121"/>
      <c r="R1866" s="121"/>
      <c r="S1866" s="133">
        <f>M1850</f>
        <v>0</v>
      </c>
      <c r="T1866" s="120"/>
      <c r="U1866" s="121" t="s">
        <v>292</v>
      </c>
      <c r="V1866" s="133">
        <f t="shared" si="849"/>
        <v>0</v>
      </c>
      <c r="W1866" s="133">
        <f>VLOOKUP(U1866,Sheet1!$B$6:$C$45,2,FALSE)*V1866</f>
        <v>0</v>
      </c>
      <c r="X1866" s="141"/>
      <c r="Y1866" s="121" t="s">
        <v>292</v>
      </c>
      <c r="Z1866" s="146">
        <f>VLOOKUP(Takeoffs!Y1866,Sheet1!$B$6:$C$124,2,FALSE)</f>
        <v>0</v>
      </c>
      <c r="AA1866" s="146">
        <f t="shared" si="850"/>
        <v>0</v>
      </c>
      <c r="AB1866" s="143">
        <f t="shared" si="851"/>
        <v>0</v>
      </c>
      <c r="AC1866" s="133">
        <f t="shared" si="857"/>
        <v>0</v>
      </c>
      <c r="AD1866" s="142">
        <v>1</v>
      </c>
      <c r="AE1866" s="141"/>
      <c r="AF1866" s="121" t="s">
        <v>292</v>
      </c>
      <c r="AG1866" s="146">
        <f>VLOOKUP(Takeoffs!AF1866,Sheet1!$B$6:$C$124,2,FALSE)</f>
        <v>0</v>
      </c>
      <c r="AH1866" s="146">
        <f t="shared" si="852"/>
        <v>0</v>
      </c>
      <c r="AI1866" s="143">
        <f t="shared" si="853"/>
        <v>0</v>
      </c>
      <c r="AJ1866" s="133">
        <f t="shared" si="854"/>
        <v>0</v>
      </c>
      <c r="AK1866" s="142">
        <f t="shared" si="858"/>
        <v>0</v>
      </c>
      <c r="AL1866" s="141"/>
      <c r="AO1866" s="286"/>
      <c r="AP1866" s="284">
        <f t="shared" si="834"/>
        <v>0</v>
      </c>
      <c r="AQ1866" s="281">
        <f t="shared" si="835"/>
        <v>0</v>
      </c>
      <c r="AR1866" s="284">
        <f t="shared" si="836"/>
        <v>0</v>
      </c>
      <c r="AS1866" s="281">
        <f t="shared" si="837"/>
        <v>0</v>
      </c>
      <c r="AT1866" s="284">
        <f t="shared" si="838"/>
        <v>0</v>
      </c>
    </row>
    <row r="1867" spans="1:97" s="114" customFormat="1" ht="30.9" x14ac:dyDescent="0.8">
      <c r="A1867" s="262">
        <f>ROW()</f>
        <v>1867</v>
      </c>
      <c r="C1867" s="208"/>
      <c r="D1867" s="208"/>
      <c r="E1867" s="208"/>
      <c r="F1867" s="208"/>
      <c r="G1867" s="208"/>
      <c r="H1867" s="208"/>
      <c r="J1867" s="114" t="str">
        <f t="shared" si="856"/>
        <v/>
      </c>
      <c r="K1867" s="114" t="str">
        <f>IF(COUNTBLANK(R1867)&gt;0,"",CONCATENATE(R1867," for ",N1850))</f>
        <v/>
      </c>
      <c r="N1867" s="123" t="s">
        <v>129</v>
      </c>
      <c r="O1867" s="66"/>
      <c r="P1867" s="121"/>
      <c r="Q1867" s="121"/>
      <c r="R1867" s="121"/>
      <c r="S1867" s="133">
        <f>M1850</f>
        <v>0</v>
      </c>
      <c r="T1867" s="120"/>
      <c r="U1867" s="121" t="s">
        <v>292</v>
      </c>
      <c r="V1867" s="133">
        <f t="shared" si="849"/>
        <v>0</v>
      </c>
      <c r="W1867" s="133">
        <f>VLOOKUP(U1867,Sheet1!$B$6:$C$45,2,FALSE)*V1867</f>
        <v>0</v>
      </c>
      <c r="X1867" s="141"/>
      <c r="Y1867" s="121" t="s">
        <v>292</v>
      </c>
      <c r="Z1867" s="146">
        <f>VLOOKUP(Takeoffs!Y1867,Sheet1!$B$6:$C$124,2,FALSE)</f>
        <v>0</v>
      </c>
      <c r="AA1867" s="146">
        <f t="shared" si="850"/>
        <v>0</v>
      </c>
      <c r="AB1867" s="143">
        <f t="shared" si="851"/>
        <v>0</v>
      </c>
      <c r="AC1867" s="133">
        <f t="shared" si="857"/>
        <v>0</v>
      </c>
      <c r="AD1867" s="142">
        <v>1</v>
      </c>
      <c r="AE1867" s="141"/>
      <c r="AF1867" s="121" t="s">
        <v>292</v>
      </c>
      <c r="AG1867" s="146">
        <f>VLOOKUP(Takeoffs!AF1867,Sheet1!$B$6:$C$124,2,FALSE)</f>
        <v>0</v>
      </c>
      <c r="AH1867" s="146">
        <f t="shared" si="852"/>
        <v>0</v>
      </c>
      <c r="AI1867" s="143">
        <f t="shared" si="853"/>
        <v>0</v>
      </c>
      <c r="AJ1867" s="133">
        <f t="shared" si="854"/>
        <v>0</v>
      </c>
      <c r="AK1867" s="142">
        <f t="shared" si="858"/>
        <v>0</v>
      </c>
      <c r="AL1867" s="141"/>
      <c r="AO1867" s="286"/>
      <c r="AP1867" s="284">
        <f t="shared" si="834"/>
        <v>0</v>
      </c>
      <c r="AQ1867" s="281">
        <f t="shared" si="835"/>
        <v>0</v>
      </c>
      <c r="AR1867" s="284">
        <f t="shared" si="836"/>
        <v>0</v>
      </c>
      <c r="AS1867" s="281">
        <f t="shared" si="837"/>
        <v>0</v>
      </c>
      <c r="AT1867" s="284">
        <f t="shared" si="838"/>
        <v>0</v>
      </c>
    </row>
    <row r="1868" spans="1:97" s="114" customFormat="1" ht="30.9" x14ac:dyDescent="0.8">
      <c r="A1868" s="262">
        <f>ROW()</f>
        <v>1868</v>
      </c>
      <c r="C1868" s="208"/>
      <c r="D1868" s="208"/>
      <c r="E1868" s="208"/>
      <c r="F1868" s="208"/>
      <c r="G1868" s="208"/>
      <c r="H1868" s="208"/>
      <c r="J1868" s="114" t="str">
        <f t="shared" si="856"/>
        <v/>
      </c>
      <c r="K1868" s="114" t="str">
        <f>IF(COUNTBLANK(R1868)&gt;0,"",CONCATENATE(R1868," for ",N1850))</f>
        <v/>
      </c>
      <c r="N1868" s="123" t="s">
        <v>130</v>
      </c>
      <c r="O1868" s="66"/>
      <c r="P1868" s="121"/>
      <c r="Q1868" s="121"/>
      <c r="R1868" s="121"/>
      <c r="S1868" s="133">
        <f>M1850</f>
        <v>0</v>
      </c>
      <c r="T1868" s="120"/>
      <c r="U1868" s="121" t="s">
        <v>292</v>
      </c>
      <c r="V1868" s="133">
        <f t="shared" si="849"/>
        <v>0</v>
      </c>
      <c r="W1868" s="133">
        <f>VLOOKUP(U1868,Sheet1!$B$6:$C$45,2,FALSE)*V1868</f>
        <v>0</v>
      </c>
      <c r="X1868" s="141"/>
      <c r="Y1868" s="121" t="s">
        <v>292</v>
      </c>
      <c r="Z1868" s="146">
        <f>VLOOKUP(Takeoffs!Y1868,Sheet1!$B$6:$C$124,2,FALSE)</f>
        <v>0</v>
      </c>
      <c r="AA1868" s="146">
        <f t="shared" si="850"/>
        <v>0</v>
      </c>
      <c r="AB1868" s="143">
        <f t="shared" si="851"/>
        <v>0</v>
      </c>
      <c r="AC1868" s="133">
        <f t="shared" si="857"/>
        <v>0</v>
      </c>
      <c r="AD1868" s="142">
        <v>1</v>
      </c>
      <c r="AE1868" s="141"/>
      <c r="AF1868" s="121" t="s">
        <v>292</v>
      </c>
      <c r="AG1868" s="146">
        <f>VLOOKUP(Takeoffs!AF1868,Sheet1!$B$6:$C$124,2,FALSE)</f>
        <v>0</v>
      </c>
      <c r="AH1868" s="146">
        <f t="shared" si="852"/>
        <v>0</v>
      </c>
      <c r="AI1868" s="143">
        <f t="shared" si="853"/>
        <v>0</v>
      </c>
      <c r="AJ1868" s="133">
        <f t="shared" si="854"/>
        <v>0</v>
      </c>
      <c r="AK1868" s="142">
        <f t="shared" si="858"/>
        <v>0</v>
      </c>
      <c r="AL1868" s="141"/>
      <c r="AO1868" s="286"/>
      <c r="AP1868" s="284">
        <f t="shared" si="834"/>
        <v>0</v>
      </c>
      <c r="AQ1868" s="281">
        <f t="shared" si="835"/>
        <v>0</v>
      </c>
      <c r="AR1868" s="284">
        <f t="shared" si="836"/>
        <v>0</v>
      </c>
      <c r="AS1868" s="281">
        <f t="shared" si="837"/>
        <v>0</v>
      </c>
      <c r="AT1868" s="284">
        <f t="shared" si="838"/>
        <v>0</v>
      </c>
    </row>
    <row r="1869" spans="1:97" s="114" customFormat="1" ht="30.9" x14ac:dyDescent="0.8">
      <c r="A1869" s="262">
        <f>ROW()</f>
        <v>1869</v>
      </c>
      <c r="C1869" s="208"/>
      <c r="D1869" s="208"/>
      <c r="E1869" s="208"/>
      <c r="F1869" s="208"/>
      <c r="G1869" s="208"/>
      <c r="H1869" s="208"/>
      <c r="J1869" s="114" t="str">
        <f t="shared" si="856"/>
        <v>Coordination Note: - Fire trade: Please refer to our exclusions relating to fire cabling from FIP.</v>
      </c>
      <c r="K1869" s="114" t="str">
        <f>IF(COUNTBLANK(R1869)&gt;0,"",CONCATENATE(R1869," for ",N1850))</f>
        <v/>
      </c>
      <c r="N1869" s="123" t="s">
        <v>131</v>
      </c>
      <c r="O1869" s="66" t="s">
        <v>412</v>
      </c>
      <c r="P1869" s="121" t="s">
        <v>380</v>
      </c>
      <c r="Q1869" s="121" t="s">
        <v>384</v>
      </c>
      <c r="R1869" s="121"/>
      <c r="S1869" s="133">
        <f>M1850</f>
        <v>0</v>
      </c>
      <c r="T1869" s="120"/>
      <c r="U1869" s="121" t="s">
        <v>292</v>
      </c>
      <c r="V1869" s="133">
        <f t="shared" si="849"/>
        <v>0</v>
      </c>
      <c r="W1869" s="133">
        <f>VLOOKUP(U1869,Sheet1!$B$6:$C$45,2,FALSE)*V1869</f>
        <v>0</v>
      </c>
      <c r="X1869" s="141"/>
      <c r="Y1869" s="122" t="s">
        <v>322</v>
      </c>
      <c r="Z1869" s="146">
        <f>VLOOKUP(Takeoffs!Y1869,Sheet1!$B$6:$C$124,2,FALSE)</f>
        <v>48</v>
      </c>
      <c r="AA1869" s="146">
        <f t="shared" si="850"/>
        <v>0</v>
      </c>
      <c r="AB1869" s="143">
        <f t="shared" si="851"/>
        <v>0</v>
      </c>
      <c r="AC1869" s="133">
        <f t="shared" si="857"/>
        <v>0</v>
      </c>
      <c r="AD1869" s="142">
        <v>1</v>
      </c>
      <c r="AE1869" s="141"/>
      <c r="AF1869" s="121" t="s">
        <v>292</v>
      </c>
      <c r="AG1869" s="146">
        <f>VLOOKUP(Takeoffs!AF1869,Sheet1!$B$6:$C$124,2,FALSE)</f>
        <v>0</v>
      </c>
      <c r="AH1869" s="146">
        <f t="shared" si="852"/>
        <v>0</v>
      </c>
      <c r="AI1869" s="143">
        <f t="shared" si="853"/>
        <v>0</v>
      </c>
      <c r="AJ1869" s="133">
        <f t="shared" si="854"/>
        <v>0</v>
      </c>
      <c r="AK1869" s="142">
        <f>T1869</f>
        <v>0</v>
      </c>
      <c r="AL1869" s="141"/>
      <c r="AO1869" s="286"/>
      <c r="AP1869" s="284">
        <f t="shared" si="834"/>
        <v>0</v>
      </c>
      <c r="AQ1869" s="281">
        <f t="shared" si="835"/>
        <v>0</v>
      </c>
      <c r="AR1869" s="284">
        <f t="shared" si="836"/>
        <v>0</v>
      </c>
      <c r="AS1869" s="281">
        <f t="shared" si="837"/>
        <v>0</v>
      </c>
      <c r="AT1869" s="284">
        <f t="shared" si="838"/>
        <v>0</v>
      </c>
    </row>
    <row r="1870" spans="1:97" s="114" customFormat="1" ht="30.9" x14ac:dyDescent="0.8">
      <c r="A1870" s="262">
        <f>ROW()</f>
        <v>1870</v>
      </c>
      <c r="C1870" s="208"/>
      <c r="D1870" s="208"/>
      <c r="E1870" s="208"/>
      <c r="F1870" s="208"/>
      <c r="G1870" s="208"/>
      <c r="H1870" s="208"/>
      <c r="J1870" s="114" t="str">
        <f t="shared" si="856"/>
        <v/>
      </c>
      <c r="K1870" s="114" t="str">
        <f>IF(COUNTBLANK(R1870)&gt;0,"",CONCATENATE(R1870," for ",N1850))</f>
        <v/>
      </c>
      <c r="N1870" s="123" t="s">
        <v>132</v>
      </c>
      <c r="O1870" s="66" t="s">
        <v>408</v>
      </c>
      <c r="P1870" s="121"/>
      <c r="Q1870" s="121"/>
      <c r="R1870" s="121"/>
      <c r="S1870" s="133">
        <f>M1850</f>
        <v>0</v>
      </c>
      <c r="T1870" s="120"/>
      <c r="U1870" s="121" t="s">
        <v>363</v>
      </c>
      <c r="V1870" s="133">
        <f t="shared" si="849"/>
        <v>0</v>
      </c>
      <c r="W1870" s="133">
        <f>VLOOKUP(U1870,Sheet1!$B$6:$C$45,2,FALSE)*V1870</f>
        <v>0</v>
      </c>
      <c r="X1870" s="141"/>
      <c r="Y1870" s="121" t="s">
        <v>292</v>
      </c>
      <c r="Z1870" s="146">
        <f>VLOOKUP(Takeoffs!Y1870,Sheet1!$B$6:$C$124,2,FALSE)</f>
        <v>0</v>
      </c>
      <c r="AA1870" s="146">
        <f t="shared" si="850"/>
        <v>0</v>
      </c>
      <c r="AB1870" s="143">
        <f t="shared" si="851"/>
        <v>0</v>
      </c>
      <c r="AC1870" s="133">
        <f t="shared" si="857"/>
        <v>0</v>
      </c>
      <c r="AD1870" s="142">
        <v>1</v>
      </c>
      <c r="AE1870" s="141"/>
      <c r="AF1870" s="121" t="s">
        <v>292</v>
      </c>
      <c r="AG1870" s="146">
        <f>VLOOKUP(Takeoffs!AF1870,Sheet1!$B$6:$C$124,2,FALSE)</f>
        <v>0</v>
      </c>
      <c r="AH1870" s="146">
        <f t="shared" si="852"/>
        <v>0</v>
      </c>
      <c r="AI1870" s="143">
        <f t="shared" si="853"/>
        <v>0</v>
      </c>
      <c r="AJ1870" s="133">
        <f t="shared" si="854"/>
        <v>0</v>
      </c>
      <c r="AK1870" s="142">
        <f>T1870</f>
        <v>0</v>
      </c>
      <c r="AL1870" s="141"/>
      <c r="AO1870" s="286"/>
      <c r="AP1870" s="284">
        <f t="shared" si="834"/>
        <v>0</v>
      </c>
      <c r="AQ1870" s="281">
        <f t="shared" si="835"/>
        <v>0</v>
      </c>
      <c r="AR1870" s="284">
        <f t="shared" si="836"/>
        <v>0</v>
      </c>
      <c r="AS1870" s="281">
        <f t="shared" si="837"/>
        <v>0</v>
      </c>
      <c r="AT1870" s="284">
        <f t="shared" si="838"/>
        <v>0</v>
      </c>
    </row>
    <row r="1871" spans="1:97" s="128" customFormat="1" ht="31.5" customHeight="1" x14ac:dyDescent="0.8">
      <c r="A1871" s="262">
        <f>ROW()</f>
        <v>1871</v>
      </c>
      <c r="C1871" s="212"/>
      <c r="D1871" s="212"/>
      <c r="E1871" s="212"/>
      <c r="F1871" s="212"/>
      <c r="G1871" s="212"/>
      <c r="H1871" s="212"/>
      <c r="J1871" s="128" t="s">
        <v>377</v>
      </c>
      <c r="L1871" s="128" t="s">
        <v>378</v>
      </c>
      <c r="N1871" s="129"/>
      <c r="O1871" s="130" t="s">
        <v>357</v>
      </c>
      <c r="P1871" s="131">
        <f>V1871+AA1871+AH1871</f>
        <v>0</v>
      </c>
      <c r="Q1871" s="131"/>
      <c r="R1871" s="131"/>
      <c r="S1871" s="130"/>
      <c r="T1871" s="127"/>
      <c r="U1871" s="126" t="s">
        <v>351</v>
      </c>
      <c r="V1871" s="127">
        <f>W1871*80</f>
        <v>0</v>
      </c>
      <c r="W1871" s="147">
        <f>SUM(W1850:W1870)</f>
        <v>0</v>
      </c>
      <c r="X1871" s="148"/>
      <c r="Y1871" s="127" t="s">
        <v>352</v>
      </c>
      <c r="Z1871" s="116"/>
      <c r="AA1871" s="116">
        <f>SUM(AA1850:AA1870)</f>
        <v>0</v>
      </c>
      <c r="AB1871" s="149"/>
      <c r="AC1871" s="149"/>
      <c r="AD1871" s="149"/>
      <c r="AE1871" s="149"/>
      <c r="AF1871" s="127" t="s">
        <v>356</v>
      </c>
      <c r="AG1871" s="116"/>
      <c r="AH1871" s="116">
        <f>SUM(AH1850:AH1870)</f>
        <v>0</v>
      </c>
      <c r="AI1871" s="149"/>
      <c r="AJ1871" s="149"/>
      <c r="AK1871" s="149"/>
      <c r="AL1871" s="149"/>
      <c r="AM1871" s="150">
        <f>P1871</f>
        <v>0</v>
      </c>
      <c r="AO1871" s="286"/>
      <c r="AP1871" s="284">
        <f t="shared" si="834"/>
        <v>0</v>
      </c>
      <c r="AQ1871" s="281">
        <f t="shared" si="835"/>
        <v>0</v>
      </c>
      <c r="AR1871" s="284">
        <f t="shared" si="836"/>
        <v>0</v>
      </c>
      <c r="AS1871" s="281">
        <f t="shared" si="837"/>
        <v>0</v>
      </c>
      <c r="AT1871" s="284">
        <f t="shared" si="838"/>
        <v>0</v>
      </c>
    </row>
    <row r="1872" spans="1:97" s="234" customFormat="1" ht="123.45" x14ac:dyDescent="0.8">
      <c r="A1872" s="262">
        <f>ROW()</f>
        <v>1872</v>
      </c>
      <c r="B1872" s="234" t="s">
        <v>491</v>
      </c>
      <c r="C1872" s="217" t="str">
        <f>N1850</f>
        <v>Fire essential spring return damper actuator</v>
      </c>
      <c r="D1872" s="260" t="s">
        <v>677</v>
      </c>
      <c r="E1872" s="238"/>
      <c r="F1872" s="217"/>
      <c r="G1872" s="217"/>
      <c r="H1872" s="245"/>
      <c r="I1872" s="270"/>
      <c r="J1872" s="241" t="str">
        <f>CONCATENATE(O1850," ",L1850, " (",M1850,") ",N1850,".", IF(M1850&gt;1," Each "," This "),"includes supply and install of ",O1851,O1852,O1853,O1854,O1855,O1856,O1857,O1858,O1859,O1860,O1861,O1862,O1863,O1864,O1865,O1866,O1867,O1868,O1869,O1870,J1851,J1852,J1853,J1854,J1855,J1856,J1857,J1858,J1859,J1860,J1861,J1862,J1863,J1864,J1865,J1866,J1867,J1868,J1869,J1870)</f>
        <v>Electrical power supply and controls to Zero (0) Fire essential spring return damper actuator. This includes supply and install of Spring return damper actuator ( Nominal allowance of 2 per system for smoke control - TBC in detailed design), controls cabling, interface at MSSB for fire trade connection and commissioning/testing. Coordination Note: - Fire trade: Please refer to our exclusions relating to fire cabling from FIP.</v>
      </c>
      <c r="K1872" s="246">
        <f>P1871</f>
        <v>0</v>
      </c>
      <c r="L1872" s="235" t="str">
        <f>CONCATENATE(Q1851,Q1852,Q1853,Q1854,Q1855,Q1856,Q1857,Q1858,Q1859,Q1860,Q1861,Q1862,Q1863,Q1864,Q1865,Q1866,Q1867,Q1868,Q1869,Q1870,)</f>
        <v>fire cabling from FIP.</v>
      </c>
      <c r="M1872" s="166" t="s">
        <v>367</v>
      </c>
      <c r="N1872" s="160" t="str">
        <f>N1850</f>
        <v>Fire essential spring return damper actuator</v>
      </c>
      <c r="O1872" s="160" t="s">
        <v>365</v>
      </c>
      <c r="P1872" s="64" t="e">
        <f>P1871/M1850</f>
        <v>#DIV/0!</v>
      </c>
      <c r="Q1872" s="161"/>
      <c r="R1872" s="161"/>
      <c r="S1872" s="160"/>
      <c r="T1872" s="161"/>
      <c r="U1872" s="503" t="s">
        <v>366</v>
      </c>
      <c r="V1872" s="503"/>
      <c r="W1872" s="162" t="e">
        <f>W1871/M1850</f>
        <v>#DIV/0!</v>
      </c>
      <c r="X1872" s="163"/>
      <c r="Y1872" s="501" t="s">
        <v>365</v>
      </c>
      <c r="Z1872" s="501"/>
      <c r="AA1872" s="164" t="e">
        <f>AA1871/M1850</f>
        <v>#DIV/0!</v>
      </c>
      <c r="AB1872" s="161"/>
      <c r="AC1872" s="161"/>
      <c r="AD1872" s="161"/>
      <c r="AE1872" s="161"/>
      <c r="AF1872" s="501" t="s">
        <v>365</v>
      </c>
      <c r="AG1872" s="501"/>
      <c r="AH1872" s="164" t="e">
        <f>AH1871/M1850</f>
        <v>#DIV/0!</v>
      </c>
      <c r="AI1872" s="161"/>
      <c r="AJ1872" s="161"/>
      <c r="AK1872" s="161"/>
      <c r="AL1872" s="247"/>
      <c r="AM1872" s="257"/>
      <c r="AN1872" s="230">
        <f>K1872*1.25</f>
        <v>0</v>
      </c>
      <c r="AO1872" s="286"/>
      <c r="AP1872" s="284">
        <f t="shared" si="834"/>
        <v>0</v>
      </c>
      <c r="AQ1872" s="281">
        <f t="shared" si="835"/>
        <v>0</v>
      </c>
      <c r="AR1872" s="284">
        <f t="shared" si="836"/>
        <v>0</v>
      </c>
      <c r="AS1872" s="281">
        <f t="shared" si="837"/>
        <v>0</v>
      </c>
      <c r="AT1872" s="284">
        <f t="shared" si="838"/>
        <v>0</v>
      </c>
      <c r="AU1872" s="117"/>
      <c r="AV1872" s="117"/>
      <c r="AW1872" s="117"/>
      <c r="AX1872" s="117"/>
      <c r="AY1872" s="117"/>
      <c r="AZ1872" s="117"/>
      <c r="BA1872" s="117"/>
      <c r="BB1872" s="117"/>
      <c r="BC1872" s="117"/>
      <c r="BD1872" s="117"/>
      <c r="BE1872" s="117"/>
      <c r="BF1872" s="117"/>
      <c r="BG1872" s="117"/>
      <c r="BH1872" s="117"/>
      <c r="BI1872" s="117"/>
      <c r="BJ1872" s="117"/>
      <c r="BK1872" s="117"/>
      <c r="BL1872" s="117"/>
      <c r="BM1872" s="117"/>
      <c r="BN1872" s="117"/>
      <c r="BO1872" s="117"/>
      <c r="BP1872" s="117"/>
      <c r="BQ1872" s="117"/>
      <c r="BR1872" s="117"/>
      <c r="BS1872" s="117"/>
      <c r="BT1872" s="117"/>
      <c r="BU1872" s="117"/>
      <c r="BV1872" s="117"/>
      <c r="BW1872" s="117"/>
      <c r="BX1872" s="117"/>
      <c r="BY1872" s="117"/>
      <c r="BZ1872" s="117"/>
      <c r="CA1872" s="117"/>
      <c r="CB1872" s="117"/>
      <c r="CC1872" s="117"/>
      <c r="CD1872" s="117"/>
      <c r="CE1872" s="117"/>
      <c r="CF1872" s="117"/>
      <c r="CG1872" s="117"/>
      <c r="CH1872" s="117"/>
      <c r="CI1872" s="117"/>
      <c r="CJ1872" s="117"/>
      <c r="CK1872" s="117"/>
      <c r="CL1872" s="117"/>
      <c r="CM1872" s="117"/>
      <c r="CN1872" s="117"/>
      <c r="CO1872" s="117"/>
      <c r="CP1872" s="117"/>
      <c r="CQ1872" s="117"/>
      <c r="CR1872" s="117"/>
      <c r="CS1872" s="117"/>
    </row>
    <row r="1873" spans="1:46" s="116" customFormat="1" ht="192.75" customHeight="1" x14ac:dyDescent="0.8">
      <c r="A1873" s="262">
        <f>ROW()</f>
        <v>1873</v>
      </c>
      <c r="C1873" s="211"/>
      <c r="D1873" s="211"/>
      <c r="E1873" s="211"/>
      <c r="F1873" s="211"/>
      <c r="G1873" s="211"/>
      <c r="H1873" s="211"/>
      <c r="K1873" s="116" t="s">
        <v>452</v>
      </c>
      <c r="M1873" s="116" t="s">
        <v>107</v>
      </c>
      <c r="N1873" s="116" t="s">
        <v>108</v>
      </c>
      <c r="O1873" s="170" t="s">
        <v>386</v>
      </c>
      <c r="P1873" s="502" t="s">
        <v>375</v>
      </c>
      <c r="Q1873" s="502"/>
      <c r="R1873" s="101" t="s">
        <v>452</v>
      </c>
      <c r="S1873" s="116" t="s">
        <v>0</v>
      </c>
      <c r="T1873" s="118"/>
      <c r="U1873" s="116" t="s">
        <v>287</v>
      </c>
      <c r="V1873" s="116" t="s">
        <v>288</v>
      </c>
      <c r="W1873" s="116" t="s">
        <v>291</v>
      </c>
      <c r="X1873" s="140"/>
      <c r="Y1873" s="116" t="s">
        <v>289</v>
      </c>
      <c r="Z1873" s="116" t="s">
        <v>354</v>
      </c>
      <c r="AA1873" s="116" t="s">
        <v>355</v>
      </c>
      <c r="AB1873" s="116" t="s">
        <v>317</v>
      </c>
      <c r="AC1873" s="116" t="s">
        <v>318</v>
      </c>
      <c r="AD1873" s="116" t="s">
        <v>316</v>
      </c>
      <c r="AE1873" s="140"/>
      <c r="AF1873" s="116" t="s">
        <v>293</v>
      </c>
      <c r="AG1873" s="116" t="s">
        <v>354</v>
      </c>
      <c r="AH1873" s="116" t="s">
        <v>355</v>
      </c>
      <c r="AI1873" s="116" t="s">
        <v>296</v>
      </c>
      <c r="AJ1873" s="116" t="s">
        <v>294</v>
      </c>
      <c r="AK1873" s="116" t="s">
        <v>295</v>
      </c>
      <c r="AL1873" s="140"/>
      <c r="AO1873" s="288"/>
      <c r="AP1873" s="284">
        <f t="shared" si="834"/>
        <v>0</v>
      </c>
      <c r="AQ1873" s="281">
        <f t="shared" si="835"/>
        <v>0</v>
      </c>
      <c r="AR1873" s="284">
        <f t="shared" si="836"/>
        <v>0</v>
      </c>
      <c r="AS1873" s="281">
        <f t="shared" si="837"/>
        <v>0</v>
      </c>
      <c r="AT1873" s="284">
        <f t="shared" si="838"/>
        <v>0</v>
      </c>
    </row>
    <row r="1874" spans="1:46" s="114" customFormat="1" ht="51" customHeight="1" x14ac:dyDescent="0.8">
      <c r="A1874" s="262">
        <f>ROW()</f>
        <v>1874</v>
      </c>
      <c r="C1874" s="208"/>
      <c r="D1874" s="208"/>
      <c r="E1874" s="208"/>
      <c r="F1874" s="208"/>
      <c r="G1874" s="208"/>
      <c r="H1874" s="208"/>
      <c r="L1874" s="124" t="str">
        <f>VLOOKUP(M1874,Sheet2!$D$2:$E$1024,2,FALSE)</f>
        <v>Zero</v>
      </c>
      <c r="M1874" s="121">
        <f>I1896</f>
        <v>0</v>
      </c>
      <c r="N1874" s="165" t="s">
        <v>486</v>
      </c>
      <c r="O1874" s="121" t="s">
        <v>347</v>
      </c>
      <c r="P1874" s="169" t="s">
        <v>379</v>
      </c>
      <c r="Q1874" s="169" t="s">
        <v>375</v>
      </c>
      <c r="R1874" s="169"/>
      <c r="S1874" s="133">
        <f>M1874</f>
        <v>0</v>
      </c>
      <c r="T1874" s="119"/>
      <c r="U1874" s="153" t="s">
        <v>292</v>
      </c>
      <c r="V1874" s="133">
        <f>S1874</f>
        <v>0</v>
      </c>
      <c r="W1874" s="133">
        <f>VLOOKUP(U1874,Sheet1!$B$6:$C$45,2,FALSE)*V1874</f>
        <v>0</v>
      </c>
      <c r="X1874" s="141"/>
      <c r="Y1874" s="121" t="s">
        <v>292</v>
      </c>
      <c r="Z1874" s="146" t="s">
        <v>354</v>
      </c>
      <c r="AA1874" s="146" t="s">
        <v>355</v>
      </c>
      <c r="AB1874" s="143">
        <f>AD1874*AC1874</f>
        <v>0</v>
      </c>
      <c r="AC1874" s="133">
        <f>S1874</f>
        <v>0</v>
      </c>
      <c r="AD1874" s="142">
        <v>1</v>
      </c>
      <c r="AE1874" s="141"/>
      <c r="AF1874" s="121" t="s">
        <v>292</v>
      </c>
      <c r="AG1874" s="146" t="s">
        <v>354</v>
      </c>
      <c r="AH1874" s="146" t="s">
        <v>355</v>
      </c>
      <c r="AI1874" s="143">
        <f>AK1874*AJ1874</f>
        <v>0</v>
      </c>
      <c r="AJ1874" s="133">
        <f>S1874</f>
        <v>0</v>
      </c>
      <c r="AK1874" s="142">
        <f>T1874</f>
        <v>0</v>
      </c>
      <c r="AL1874" s="141"/>
      <c r="AO1874" s="286"/>
      <c r="AP1874" s="284">
        <f t="shared" si="834"/>
        <v>0</v>
      </c>
      <c r="AQ1874" s="281">
        <f t="shared" si="835"/>
        <v>0</v>
      </c>
      <c r="AR1874" s="284">
        <f t="shared" si="836"/>
        <v>0</v>
      </c>
      <c r="AS1874" s="281">
        <f t="shared" si="837"/>
        <v>0</v>
      </c>
      <c r="AT1874" s="284">
        <f t="shared" si="838"/>
        <v>0</v>
      </c>
    </row>
    <row r="1875" spans="1:46" s="114" customFormat="1" ht="30.9" x14ac:dyDescent="0.8">
      <c r="A1875" s="262">
        <f>ROW()</f>
        <v>1875</v>
      </c>
      <c r="C1875" s="208"/>
      <c r="D1875" s="208"/>
      <c r="E1875" s="208"/>
      <c r="F1875" s="208"/>
      <c r="G1875" s="208"/>
      <c r="H1875" s="208"/>
      <c r="J1875" s="114" t="str">
        <f>IF(COUNTBLANK(Q1875)&gt;0,"",CONCATENATE("Coordination Note: - ",P1875,": Please refer to our exclusions relating to ",Q1875))</f>
        <v/>
      </c>
      <c r="K1875" s="114" t="str">
        <f>IF(COUNTBLANK(R1875)&gt;0,"",CONCATENATE(R1875," for ",N1874))</f>
        <v/>
      </c>
      <c r="M1875" s="117"/>
      <c r="N1875" s="123" t="s">
        <v>113</v>
      </c>
      <c r="O1875" s="66" t="s">
        <v>340</v>
      </c>
      <c r="P1875" s="121"/>
      <c r="Q1875" s="121"/>
      <c r="R1875" s="121"/>
      <c r="S1875" s="133">
        <f>M1874</f>
        <v>0</v>
      </c>
      <c r="T1875" s="120"/>
      <c r="U1875" s="121" t="s">
        <v>235</v>
      </c>
      <c r="V1875" s="133">
        <f t="shared" ref="V1875:V1883" si="859">S1875</f>
        <v>0</v>
      </c>
      <c r="W1875" s="133">
        <f>VLOOKUP(U1875,Sheet1!$B$6:$C$45,2,FALSE)*V1875</f>
        <v>0</v>
      </c>
      <c r="X1875" s="141"/>
      <c r="Y1875" s="121" t="s">
        <v>292</v>
      </c>
      <c r="Z1875" s="146">
        <f>VLOOKUP(Takeoffs!Y1875,Sheet1!$B$6:$C$124,2,FALSE)</f>
        <v>0</v>
      </c>
      <c r="AA1875" s="146">
        <f>Z1875*AB1875</f>
        <v>0</v>
      </c>
      <c r="AB1875" s="143">
        <f t="shared" ref="AB1875:AB1894" si="860">AD1875*AC1875</f>
        <v>0</v>
      </c>
      <c r="AC1875" s="133">
        <f>S1875</f>
        <v>0</v>
      </c>
      <c r="AD1875" s="142">
        <v>1</v>
      </c>
      <c r="AE1875" s="141"/>
      <c r="AF1875" s="121" t="s">
        <v>292</v>
      </c>
      <c r="AG1875" s="146">
        <f>VLOOKUP(Takeoffs!AF1875,Sheet1!$B$6:$C$124,2,FALSE)</f>
        <v>0</v>
      </c>
      <c r="AH1875" s="146">
        <f>AG1875*AI1875</f>
        <v>0</v>
      </c>
      <c r="AI1875" s="143">
        <f t="shared" ref="AI1875:AI1894" si="861">AK1875*AJ1875</f>
        <v>0</v>
      </c>
      <c r="AJ1875" s="133">
        <f t="shared" ref="AJ1875:AJ1894" si="862">S1875</f>
        <v>0</v>
      </c>
      <c r="AK1875" s="142"/>
      <c r="AL1875" s="141"/>
      <c r="AO1875" s="286"/>
      <c r="AP1875" s="284">
        <f t="shared" si="834"/>
        <v>0</v>
      </c>
      <c r="AQ1875" s="281">
        <f t="shared" si="835"/>
        <v>0</v>
      </c>
      <c r="AR1875" s="284">
        <f t="shared" si="836"/>
        <v>0</v>
      </c>
      <c r="AS1875" s="281">
        <f t="shared" si="837"/>
        <v>0</v>
      </c>
      <c r="AT1875" s="284">
        <f t="shared" si="838"/>
        <v>0</v>
      </c>
    </row>
    <row r="1876" spans="1:46" s="114" customFormat="1" ht="30.9" x14ac:dyDescent="0.8">
      <c r="A1876" s="262">
        <f>ROW()</f>
        <v>1876</v>
      </c>
      <c r="C1876" s="208"/>
      <c r="D1876" s="208"/>
      <c r="E1876" s="208"/>
      <c r="F1876" s="208"/>
      <c r="G1876" s="208"/>
      <c r="H1876" s="208"/>
      <c r="J1876" s="114" t="str">
        <f t="shared" ref="J1876:J1894" si="863">IF(COUNTBLANK(Q1876)&gt;0,"",CONCATENATE("Coordination Note: - ",P1876,": Please refer to our exclusions relating to ",Q1876))</f>
        <v/>
      </c>
      <c r="K1876" s="114" t="str">
        <f>IF(COUNTBLANK(R1876)&gt;0,"",CONCATENATE(R1876," for ",N1874))</f>
        <v/>
      </c>
      <c r="M1876" s="117"/>
      <c r="N1876" s="123" t="s">
        <v>114</v>
      </c>
      <c r="O1876" s="66" t="s">
        <v>308</v>
      </c>
      <c r="P1876" s="121"/>
      <c r="Q1876" s="121"/>
      <c r="R1876" s="121"/>
      <c r="S1876" s="133">
        <f>M1874</f>
        <v>0</v>
      </c>
      <c r="T1876" s="120"/>
      <c r="U1876" s="121" t="s">
        <v>292</v>
      </c>
      <c r="V1876" s="133">
        <f t="shared" si="859"/>
        <v>0</v>
      </c>
      <c r="W1876" s="133">
        <f>VLOOKUP(U1876,Sheet1!$B$6:$C$45,2,FALSE)*V1876</f>
        <v>0</v>
      </c>
      <c r="X1876" s="141"/>
      <c r="Y1876" s="122" t="s">
        <v>252</v>
      </c>
      <c r="Z1876" s="146">
        <f>VLOOKUP(Takeoffs!Y1876,Sheet1!$B$6:$C$124,2,FALSE)</f>
        <v>43.440000000000005</v>
      </c>
      <c r="AA1876" s="146">
        <f t="shared" ref="AA1876:AA1894" si="864">Z1876*AB1876</f>
        <v>0</v>
      </c>
      <c r="AB1876" s="143">
        <f t="shared" si="860"/>
        <v>0</v>
      </c>
      <c r="AC1876" s="133">
        <f>S1876</f>
        <v>0</v>
      </c>
      <c r="AD1876" s="142">
        <v>1</v>
      </c>
      <c r="AE1876" s="141"/>
      <c r="AF1876" s="121" t="s">
        <v>292</v>
      </c>
      <c r="AG1876" s="146">
        <f>VLOOKUP(Takeoffs!AF1876,Sheet1!$B$6:$C$124,2,FALSE)</f>
        <v>0</v>
      </c>
      <c r="AH1876" s="146">
        <f t="shared" ref="AH1876:AH1894" si="865">AG1876*AI1876</f>
        <v>0</v>
      </c>
      <c r="AI1876" s="143">
        <f t="shared" si="861"/>
        <v>0</v>
      </c>
      <c r="AJ1876" s="133">
        <f t="shared" si="862"/>
        <v>0</v>
      </c>
      <c r="AK1876" s="142">
        <f>T1876</f>
        <v>0</v>
      </c>
      <c r="AL1876" s="141"/>
      <c r="AO1876" s="286"/>
      <c r="AP1876" s="284">
        <f t="shared" ref="AP1876:AP1939" si="866">IF(AND(I1876&gt;0, ISNUMBER(I1876)),I1876*P1876,0)</f>
        <v>0</v>
      </c>
      <c r="AQ1876" s="281">
        <f t="shared" ref="AQ1876:AQ1939" si="867">IF(AND(I1876&gt;0, ISNUMBER(I1876)),I1876*W1876*80,0)</f>
        <v>0</v>
      </c>
      <c r="AR1876" s="284">
        <f t="shared" ref="AR1876:AR1939" si="868">IF(AND(I1876&gt;0, ISNUMBER(I1876)),I1876*AA1876,0)</f>
        <v>0</v>
      </c>
      <c r="AS1876" s="281">
        <f t="shared" ref="AS1876:AS1939" si="869">IF(AND(I1876&gt;0, ISNUMBER(I1876)),I1876*AH1876,0)</f>
        <v>0</v>
      </c>
      <c r="AT1876" s="284">
        <f t="shared" ref="AT1876:AT1939" si="870">IF(AND(I1876&gt;0, ISNUMBER(I1876)),I1876*(AP1876-(AQ1876+AR1876+AS1876)),0)</f>
        <v>0</v>
      </c>
    </row>
    <row r="1877" spans="1:46" s="114" customFormat="1" ht="30.9" x14ac:dyDescent="0.8">
      <c r="A1877" s="262">
        <f>ROW()</f>
        <v>1877</v>
      </c>
      <c r="C1877" s="208"/>
      <c r="D1877" s="208"/>
      <c r="E1877" s="208"/>
      <c r="F1877" s="208"/>
      <c r="G1877" s="208"/>
      <c r="H1877" s="208"/>
      <c r="J1877" s="114" t="str">
        <f t="shared" si="863"/>
        <v/>
      </c>
      <c r="K1877" s="114" t="str">
        <f>IF(COUNTBLANK(R1877)&gt;0,"",CONCATENATE(R1877," for ",N1874))</f>
        <v/>
      </c>
      <c r="M1877" s="117"/>
      <c r="N1877" s="123" t="s">
        <v>115</v>
      </c>
      <c r="O1877" s="66" t="s">
        <v>305</v>
      </c>
      <c r="P1877" s="121"/>
      <c r="Q1877" s="121"/>
      <c r="R1877" s="121"/>
      <c r="S1877" s="133">
        <f>M1874</f>
        <v>0</v>
      </c>
      <c r="T1877" s="120"/>
      <c r="U1877" s="121" t="s">
        <v>361</v>
      </c>
      <c r="V1877" s="133">
        <f t="shared" si="859"/>
        <v>0</v>
      </c>
      <c r="W1877" s="133">
        <f>VLOOKUP(U1877,Sheet1!$B$6:$C$45,2,FALSE)*V1877</f>
        <v>0</v>
      </c>
      <c r="X1877" s="141"/>
      <c r="Y1877" s="121" t="s">
        <v>292</v>
      </c>
      <c r="Z1877" s="146">
        <f>VLOOKUP(Takeoffs!Y1877,Sheet1!$B$6:$C$124,2,FALSE)</f>
        <v>0</v>
      </c>
      <c r="AA1877" s="146">
        <f t="shared" si="864"/>
        <v>0</v>
      </c>
      <c r="AB1877" s="143">
        <f t="shared" si="860"/>
        <v>0</v>
      </c>
      <c r="AC1877" s="133">
        <f t="shared" ref="AC1877:AC1894" si="871">S1877</f>
        <v>0</v>
      </c>
      <c r="AD1877" s="142">
        <v>1</v>
      </c>
      <c r="AE1877" s="141"/>
      <c r="AF1877" s="122" t="s">
        <v>267</v>
      </c>
      <c r="AG1877" s="146">
        <f>VLOOKUP(Takeoffs!AF1877,Sheet1!$B$6:$C$124,2,FALSE)</f>
        <v>3.48</v>
      </c>
      <c r="AH1877" s="146">
        <f t="shared" si="865"/>
        <v>0</v>
      </c>
      <c r="AI1877" s="143">
        <f t="shared" si="861"/>
        <v>0</v>
      </c>
      <c r="AJ1877" s="133">
        <f t="shared" si="862"/>
        <v>0</v>
      </c>
      <c r="AK1877" s="142">
        <v>1.5</v>
      </c>
      <c r="AL1877" s="141"/>
      <c r="AO1877" s="286"/>
      <c r="AP1877" s="284">
        <f t="shared" si="866"/>
        <v>0</v>
      </c>
      <c r="AQ1877" s="281">
        <f t="shared" si="867"/>
        <v>0</v>
      </c>
      <c r="AR1877" s="284">
        <f t="shared" si="868"/>
        <v>0</v>
      </c>
      <c r="AS1877" s="281">
        <f t="shared" si="869"/>
        <v>0</v>
      </c>
      <c r="AT1877" s="284">
        <f t="shared" si="870"/>
        <v>0</v>
      </c>
    </row>
    <row r="1878" spans="1:46" s="114" customFormat="1" ht="30.9" x14ac:dyDescent="0.8">
      <c r="A1878" s="262">
        <f>ROW()</f>
        <v>1878</v>
      </c>
      <c r="C1878" s="208"/>
      <c r="D1878" s="208"/>
      <c r="E1878" s="208"/>
      <c r="F1878" s="208"/>
      <c r="G1878" s="208"/>
      <c r="H1878" s="208"/>
      <c r="J1878" s="114" t="str">
        <f t="shared" si="863"/>
        <v/>
      </c>
      <c r="K1878" s="114" t="str">
        <f>IF(COUNTBLANK(R1878)&gt;0,"",CONCATENATE(R1878," for ",N1874))</f>
        <v/>
      </c>
      <c r="M1878" s="117"/>
      <c r="N1878" s="123" t="s">
        <v>116</v>
      </c>
      <c r="O1878" s="66" t="s">
        <v>323</v>
      </c>
      <c r="P1878" s="121"/>
      <c r="Q1878" s="121"/>
      <c r="R1878" s="121"/>
      <c r="S1878" s="133">
        <f>M1874</f>
        <v>0</v>
      </c>
      <c r="T1878" s="120"/>
      <c r="U1878" s="121" t="s">
        <v>292</v>
      </c>
      <c r="V1878" s="133">
        <f t="shared" si="859"/>
        <v>0</v>
      </c>
      <c r="W1878" s="133">
        <f>VLOOKUP(U1878,Sheet1!$B$6:$C$45,2,FALSE)*V1878</f>
        <v>0</v>
      </c>
      <c r="X1878" s="141"/>
      <c r="Y1878" s="122" t="s">
        <v>265</v>
      </c>
      <c r="Z1878" s="146">
        <f>VLOOKUP(Takeoffs!Y1878,Sheet1!$B$6:$C$124,2,FALSE)</f>
        <v>971.52</v>
      </c>
      <c r="AA1878" s="146">
        <f t="shared" si="864"/>
        <v>0</v>
      </c>
      <c r="AB1878" s="143">
        <f t="shared" si="860"/>
        <v>0</v>
      </c>
      <c r="AC1878" s="133">
        <f t="shared" si="871"/>
        <v>0</v>
      </c>
      <c r="AD1878" s="142">
        <v>1</v>
      </c>
      <c r="AE1878" s="141"/>
      <c r="AF1878" s="121" t="s">
        <v>292</v>
      </c>
      <c r="AG1878" s="146">
        <f>VLOOKUP(Takeoffs!AF1878,Sheet1!$B$6:$C$124,2,FALSE)</f>
        <v>0</v>
      </c>
      <c r="AH1878" s="146">
        <f t="shared" si="865"/>
        <v>0</v>
      </c>
      <c r="AI1878" s="143">
        <f t="shared" si="861"/>
        <v>0</v>
      </c>
      <c r="AJ1878" s="133">
        <f t="shared" si="862"/>
        <v>0</v>
      </c>
      <c r="AK1878" s="142">
        <f>T1878</f>
        <v>0</v>
      </c>
      <c r="AL1878" s="141"/>
      <c r="AO1878" s="286"/>
      <c r="AP1878" s="284">
        <f t="shared" si="866"/>
        <v>0</v>
      </c>
      <c r="AQ1878" s="281">
        <f t="shared" si="867"/>
        <v>0</v>
      </c>
      <c r="AR1878" s="284">
        <f t="shared" si="868"/>
        <v>0</v>
      </c>
      <c r="AS1878" s="281">
        <f t="shared" si="869"/>
        <v>0</v>
      </c>
      <c r="AT1878" s="284">
        <f t="shared" si="870"/>
        <v>0</v>
      </c>
    </row>
    <row r="1879" spans="1:46" s="114" customFormat="1" ht="30.9" x14ac:dyDescent="0.8">
      <c r="A1879" s="262">
        <f>ROW()</f>
        <v>1879</v>
      </c>
      <c r="C1879" s="208"/>
      <c r="D1879" s="208"/>
      <c r="E1879" s="208"/>
      <c r="F1879" s="208"/>
      <c r="G1879" s="208"/>
      <c r="H1879" s="208"/>
      <c r="J1879" s="114" t="str">
        <f t="shared" si="863"/>
        <v/>
      </c>
      <c r="K1879" s="114" t="str">
        <f>IF(COUNTBLANK(R1879)&gt;0,"",CONCATENATE(R1879," for ",N1874))</f>
        <v/>
      </c>
      <c r="M1879" s="117"/>
      <c r="N1879" s="123" t="s">
        <v>117</v>
      </c>
      <c r="O1879" s="66" t="s">
        <v>390</v>
      </c>
      <c r="P1879" s="121"/>
      <c r="Q1879" s="121"/>
      <c r="R1879" s="121"/>
      <c r="S1879" s="133">
        <f>M1874</f>
        <v>0</v>
      </c>
      <c r="T1879" s="120"/>
      <c r="U1879" s="121" t="s">
        <v>292</v>
      </c>
      <c r="V1879" s="133">
        <f t="shared" si="859"/>
        <v>0</v>
      </c>
      <c r="W1879" s="133">
        <f>VLOOKUP(U1879,Sheet1!$B$6:$C$45,2,FALSE)*V1879</f>
        <v>0</v>
      </c>
      <c r="X1879" s="141"/>
      <c r="Y1879" s="121" t="s">
        <v>292</v>
      </c>
      <c r="Z1879" s="146">
        <f>VLOOKUP(Takeoffs!Y1879,Sheet1!$B$6:$C$124,2,FALSE)</f>
        <v>0</v>
      </c>
      <c r="AA1879" s="146">
        <f t="shared" si="864"/>
        <v>0</v>
      </c>
      <c r="AB1879" s="143">
        <f t="shared" si="860"/>
        <v>0</v>
      </c>
      <c r="AC1879" s="133">
        <f t="shared" si="871"/>
        <v>0</v>
      </c>
      <c r="AD1879" s="142">
        <v>1</v>
      </c>
      <c r="AE1879" s="141"/>
      <c r="AF1879" s="144" t="s">
        <v>270</v>
      </c>
      <c r="AG1879" s="146">
        <f>VLOOKUP(Takeoffs!AF1879,Sheet1!$B$6:$C$124,2,FALSE)</f>
        <v>5.7960000000000003</v>
      </c>
      <c r="AH1879" s="146">
        <f t="shared" si="865"/>
        <v>0</v>
      </c>
      <c r="AI1879" s="143">
        <f t="shared" si="861"/>
        <v>0</v>
      </c>
      <c r="AJ1879" s="133">
        <f t="shared" si="862"/>
        <v>0</v>
      </c>
      <c r="AK1879" s="142">
        <v>15</v>
      </c>
      <c r="AL1879" s="141"/>
      <c r="AO1879" s="286"/>
      <c r="AP1879" s="284">
        <f t="shared" si="866"/>
        <v>0</v>
      </c>
      <c r="AQ1879" s="281">
        <f t="shared" si="867"/>
        <v>0</v>
      </c>
      <c r="AR1879" s="284">
        <f t="shared" si="868"/>
        <v>0</v>
      </c>
      <c r="AS1879" s="281">
        <f t="shared" si="869"/>
        <v>0</v>
      </c>
      <c r="AT1879" s="284">
        <f t="shared" si="870"/>
        <v>0</v>
      </c>
    </row>
    <row r="1880" spans="1:46" s="114" customFormat="1" ht="30.9" x14ac:dyDescent="0.8">
      <c r="A1880" s="262">
        <f>ROW()</f>
        <v>1880</v>
      </c>
      <c r="C1880" s="208"/>
      <c r="D1880" s="208"/>
      <c r="E1880" s="208"/>
      <c r="F1880" s="208"/>
      <c r="G1880" s="208"/>
      <c r="H1880" s="208"/>
      <c r="J1880" s="114" t="str">
        <f t="shared" si="863"/>
        <v/>
      </c>
      <c r="K1880" s="114" t="str">
        <f>IF(COUNTBLANK(R1880)&gt;0,"",CONCATENATE(R1880," for ",N1874))</f>
        <v/>
      </c>
      <c r="M1880" s="117"/>
      <c r="N1880" s="123" t="s">
        <v>118</v>
      </c>
      <c r="O1880" s="66" t="s">
        <v>309</v>
      </c>
      <c r="P1880" s="121"/>
      <c r="Q1880" s="121"/>
      <c r="R1880" s="121"/>
      <c r="S1880" s="133">
        <f>M1874</f>
        <v>0</v>
      </c>
      <c r="T1880" s="120"/>
      <c r="U1880" s="121" t="s">
        <v>292</v>
      </c>
      <c r="V1880" s="133">
        <f t="shared" si="859"/>
        <v>0</v>
      </c>
      <c r="W1880" s="133">
        <f>VLOOKUP(U1880,Sheet1!$B$6:$C$45,2,FALSE)*V1880</f>
        <v>0</v>
      </c>
      <c r="X1880" s="141"/>
      <c r="Y1880" s="122" t="s">
        <v>245</v>
      </c>
      <c r="Z1880" s="146">
        <f>VLOOKUP(Takeoffs!Y1880,Sheet1!$B$6:$C$124,2,FALSE)</f>
        <v>46.463999999999999</v>
      </c>
      <c r="AA1880" s="146">
        <f t="shared" si="864"/>
        <v>0</v>
      </c>
      <c r="AB1880" s="143">
        <f t="shared" si="860"/>
        <v>0</v>
      </c>
      <c r="AC1880" s="133">
        <f t="shared" si="871"/>
        <v>0</v>
      </c>
      <c r="AD1880" s="142">
        <v>1</v>
      </c>
      <c r="AE1880" s="141"/>
      <c r="AF1880" s="121" t="s">
        <v>292</v>
      </c>
      <c r="AG1880" s="146">
        <f>VLOOKUP(Takeoffs!AF1880,Sheet1!$B$6:$C$124,2,FALSE)</f>
        <v>0</v>
      </c>
      <c r="AH1880" s="146">
        <f t="shared" si="865"/>
        <v>0</v>
      </c>
      <c r="AI1880" s="143">
        <f t="shared" si="861"/>
        <v>0</v>
      </c>
      <c r="AJ1880" s="133">
        <f t="shared" si="862"/>
        <v>0</v>
      </c>
      <c r="AK1880" s="142">
        <f>T1880</f>
        <v>0</v>
      </c>
      <c r="AL1880" s="141"/>
      <c r="AO1880" s="286"/>
      <c r="AP1880" s="284">
        <f t="shared" si="866"/>
        <v>0</v>
      </c>
      <c r="AQ1880" s="281">
        <f t="shared" si="867"/>
        <v>0</v>
      </c>
      <c r="AR1880" s="284">
        <f t="shared" si="868"/>
        <v>0</v>
      </c>
      <c r="AS1880" s="281">
        <f t="shared" si="869"/>
        <v>0</v>
      </c>
      <c r="AT1880" s="284">
        <f t="shared" si="870"/>
        <v>0</v>
      </c>
    </row>
    <row r="1881" spans="1:46" s="114" customFormat="1" ht="30.9" x14ac:dyDescent="0.8">
      <c r="A1881" s="262">
        <f>ROW()</f>
        <v>1881</v>
      </c>
      <c r="C1881" s="208"/>
      <c r="D1881" s="208"/>
      <c r="E1881" s="208"/>
      <c r="F1881" s="208"/>
      <c r="G1881" s="208"/>
      <c r="H1881" s="208"/>
      <c r="J1881" s="114" t="str">
        <f t="shared" si="863"/>
        <v/>
      </c>
      <c r="K1881" s="114" t="str">
        <f>IF(COUNTBLANK(R1881)&gt;0,"",CONCATENATE(R1881," for ",N1874))</f>
        <v/>
      </c>
      <c r="N1881" s="123" t="s">
        <v>119</v>
      </c>
      <c r="O1881" s="66" t="s">
        <v>310</v>
      </c>
      <c r="P1881" s="121"/>
      <c r="Q1881" s="121"/>
      <c r="R1881" s="121"/>
      <c r="S1881" s="133">
        <f>M1874</f>
        <v>0</v>
      </c>
      <c r="T1881" s="120"/>
      <c r="U1881" s="121" t="s">
        <v>292</v>
      </c>
      <c r="V1881" s="133">
        <f t="shared" si="859"/>
        <v>0</v>
      </c>
      <c r="W1881" s="133">
        <f>VLOOKUP(U1881,Sheet1!$B$6:$C$45,2,FALSE)*V1881</f>
        <v>0</v>
      </c>
      <c r="X1881" s="141"/>
      <c r="Y1881" s="122" t="s">
        <v>278</v>
      </c>
      <c r="Z1881" s="146">
        <f>VLOOKUP(Takeoffs!Y1881,Sheet1!$B$6:$C$124,2,FALSE)</f>
        <v>36</v>
      </c>
      <c r="AA1881" s="146">
        <f t="shared" si="864"/>
        <v>0</v>
      </c>
      <c r="AB1881" s="143">
        <f t="shared" si="860"/>
        <v>0</v>
      </c>
      <c r="AC1881" s="133">
        <f t="shared" si="871"/>
        <v>0</v>
      </c>
      <c r="AD1881" s="142">
        <v>1</v>
      </c>
      <c r="AE1881" s="141"/>
      <c r="AF1881" s="121" t="s">
        <v>292</v>
      </c>
      <c r="AG1881" s="146">
        <f>VLOOKUP(Takeoffs!AF1881,Sheet1!$B$6:$C$124,2,FALSE)</f>
        <v>0</v>
      </c>
      <c r="AH1881" s="146">
        <f t="shared" si="865"/>
        <v>0</v>
      </c>
      <c r="AI1881" s="143">
        <f t="shared" si="861"/>
        <v>0</v>
      </c>
      <c r="AJ1881" s="133">
        <f t="shared" si="862"/>
        <v>0</v>
      </c>
      <c r="AK1881" s="142">
        <f>T1881</f>
        <v>0</v>
      </c>
      <c r="AL1881" s="141"/>
      <c r="AO1881" s="286"/>
      <c r="AP1881" s="284">
        <f t="shared" si="866"/>
        <v>0</v>
      </c>
      <c r="AQ1881" s="281">
        <f t="shared" si="867"/>
        <v>0</v>
      </c>
      <c r="AR1881" s="284">
        <f t="shared" si="868"/>
        <v>0</v>
      </c>
      <c r="AS1881" s="281">
        <f t="shared" si="869"/>
        <v>0</v>
      </c>
      <c r="AT1881" s="284">
        <f t="shared" si="870"/>
        <v>0</v>
      </c>
    </row>
    <row r="1882" spans="1:46" s="114" customFormat="1" ht="30.9" x14ac:dyDescent="0.8">
      <c r="A1882" s="262">
        <f>ROW()</f>
        <v>1882</v>
      </c>
      <c r="C1882" s="208"/>
      <c r="D1882" s="208"/>
      <c r="E1882" s="208"/>
      <c r="F1882" s="208"/>
      <c r="G1882" s="208"/>
      <c r="H1882" s="208"/>
      <c r="J1882" s="114" t="str">
        <f t="shared" si="863"/>
        <v/>
      </c>
      <c r="K1882" s="114" t="str">
        <f>IF(COUNTBLANK(R1882)&gt;0,"",CONCATENATE(R1882," for ",N1874))</f>
        <v/>
      </c>
      <c r="N1882" s="123" t="s">
        <v>120</v>
      </c>
      <c r="O1882" s="66" t="s">
        <v>324</v>
      </c>
      <c r="P1882" s="121"/>
      <c r="Q1882" s="121"/>
      <c r="R1882" s="121"/>
      <c r="S1882" s="133">
        <f>M1874</f>
        <v>0</v>
      </c>
      <c r="T1882" s="120"/>
      <c r="U1882" s="121" t="s">
        <v>292</v>
      </c>
      <c r="V1882" s="133">
        <f t="shared" si="859"/>
        <v>0</v>
      </c>
      <c r="W1882" s="133">
        <f>VLOOKUP(U1882,Sheet1!$B$6:$C$45,2,FALSE)*V1882</f>
        <v>0</v>
      </c>
      <c r="X1882" s="141"/>
      <c r="Y1882" s="122" t="s">
        <v>274</v>
      </c>
      <c r="Z1882" s="146">
        <f>VLOOKUP(Takeoffs!Y1882,Sheet1!$B$6:$C$124,2,FALSE)</f>
        <v>360</v>
      </c>
      <c r="AA1882" s="146">
        <f t="shared" si="864"/>
        <v>0</v>
      </c>
      <c r="AB1882" s="143">
        <f t="shared" si="860"/>
        <v>0</v>
      </c>
      <c r="AC1882" s="133">
        <f t="shared" si="871"/>
        <v>0</v>
      </c>
      <c r="AD1882" s="142">
        <v>1</v>
      </c>
      <c r="AE1882" s="141"/>
      <c r="AF1882" s="121" t="s">
        <v>292</v>
      </c>
      <c r="AG1882" s="146">
        <f>VLOOKUP(Takeoffs!AF1882,Sheet1!$B$6:$C$124,2,FALSE)</f>
        <v>0</v>
      </c>
      <c r="AH1882" s="146">
        <f t="shared" si="865"/>
        <v>0</v>
      </c>
      <c r="AI1882" s="143">
        <f t="shared" si="861"/>
        <v>0</v>
      </c>
      <c r="AJ1882" s="133">
        <f t="shared" si="862"/>
        <v>0</v>
      </c>
      <c r="AK1882" s="142">
        <f>T1882</f>
        <v>0</v>
      </c>
      <c r="AL1882" s="141"/>
      <c r="AO1882" s="286"/>
      <c r="AP1882" s="284">
        <f t="shared" si="866"/>
        <v>0</v>
      </c>
      <c r="AQ1882" s="281">
        <f t="shared" si="867"/>
        <v>0</v>
      </c>
      <c r="AR1882" s="284">
        <f t="shared" si="868"/>
        <v>0</v>
      </c>
      <c r="AS1882" s="281">
        <f t="shared" si="869"/>
        <v>0</v>
      </c>
      <c r="AT1882" s="284">
        <f t="shared" si="870"/>
        <v>0</v>
      </c>
    </row>
    <row r="1883" spans="1:46" s="114" customFormat="1" ht="30.9" x14ac:dyDescent="0.8">
      <c r="A1883" s="262">
        <f>ROW()</f>
        <v>1883</v>
      </c>
      <c r="C1883" s="208"/>
      <c r="D1883" s="208"/>
      <c r="E1883" s="208"/>
      <c r="F1883" s="208"/>
      <c r="G1883" s="208"/>
      <c r="H1883" s="208"/>
      <c r="J1883" s="114" t="str">
        <f t="shared" si="863"/>
        <v/>
      </c>
      <c r="K1883" s="114" t="str">
        <f>IF(COUNTBLANK(R1883)&gt;0,"",CONCATENATE(R1883," for ",N1874))</f>
        <v/>
      </c>
      <c r="N1883" s="123" t="s">
        <v>121</v>
      </c>
      <c r="O1883" s="66" t="s">
        <v>328</v>
      </c>
      <c r="P1883" s="121"/>
      <c r="Q1883" s="121"/>
      <c r="R1883" s="121"/>
      <c r="S1883" s="133">
        <f>M1874</f>
        <v>0</v>
      </c>
      <c r="T1883" s="120"/>
      <c r="U1883" s="121" t="s">
        <v>364</v>
      </c>
      <c r="V1883" s="133">
        <f t="shared" si="859"/>
        <v>0</v>
      </c>
      <c r="W1883" s="133">
        <f>VLOOKUP(U1883,Sheet1!$B$6:$C$45,2,FALSE)*V1883</f>
        <v>0</v>
      </c>
      <c r="X1883" s="141"/>
      <c r="Y1883" s="121" t="s">
        <v>292</v>
      </c>
      <c r="Z1883" s="146">
        <f>VLOOKUP(Takeoffs!Y1883,Sheet1!$B$6:$C$124,2,FALSE)</f>
        <v>0</v>
      </c>
      <c r="AA1883" s="146">
        <f t="shared" si="864"/>
        <v>0</v>
      </c>
      <c r="AB1883" s="143">
        <f t="shared" si="860"/>
        <v>0</v>
      </c>
      <c r="AC1883" s="133">
        <f t="shared" si="871"/>
        <v>0</v>
      </c>
      <c r="AD1883" s="142">
        <v>1</v>
      </c>
      <c r="AE1883" s="141"/>
      <c r="AF1883" s="144" t="s">
        <v>269</v>
      </c>
      <c r="AG1883" s="146">
        <f>VLOOKUP(Takeoffs!AF1883,Sheet1!$B$6:$C$124,2,FALSE)</f>
        <v>1.056</v>
      </c>
      <c r="AH1883" s="146">
        <f t="shared" si="865"/>
        <v>0</v>
      </c>
      <c r="AI1883" s="143">
        <f t="shared" si="861"/>
        <v>0</v>
      </c>
      <c r="AJ1883" s="133">
        <f t="shared" si="862"/>
        <v>0</v>
      </c>
      <c r="AK1883" s="142">
        <v>40</v>
      </c>
      <c r="AL1883" s="141"/>
      <c r="AO1883" s="286"/>
      <c r="AP1883" s="284">
        <f t="shared" si="866"/>
        <v>0</v>
      </c>
      <c r="AQ1883" s="281">
        <f t="shared" si="867"/>
        <v>0</v>
      </c>
      <c r="AR1883" s="284">
        <f t="shared" si="868"/>
        <v>0</v>
      </c>
      <c r="AS1883" s="281">
        <f t="shared" si="869"/>
        <v>0</v>
      </c>
      <c r="AT1883" s="284">
        <f t="shared" si="870"/>
        <v>0</v>
      </c>
    </row>
    <row r="1884" spans="1:46" s="114" customFormat="1" ht="30.9" x14ac:dyDescent="0.8">
      <c r="A1884" s="262">
        <f>ROW()</f>
        <v>1884</v>
      </c>
      <c r="C1884" s="208"/>
      <c r="D1884" s="208"/>
      <c r="E1884" s="208"/>
      <c r="F1884" s="208"/>
      <c r="G1884" s="208"/>
      <c r="H1884" s="208"/>
      <c r="J1884" s="114" t="str">
        <f t="shared" si="863"/>
        <v/>
      </c>
      <c r="K1884" s="114" t="str">
        <f>IF(COUNTBLANK(R1884)&gt;0,"",CONCATENATE(R1884," for ",N1874))</f>
        <v/>
      </c>
      <c r="N1884" s="123" t="s">
        <v>122</v>
      </c>
      <c r="O1884" s="66" t="s">
        <v>409</v>
      </c>
      <c r="P1884" s="121"/>
      <c r="Q1884" s="121"/>
      <c r="R1884" s="121"/>
      <c r="S1884" s="133">
        <f>M1874</f>
        <v>0</v>
      </c>
      <c r="T1884" s="120"/>
      <c r="U1884" s="121" t="s">
        <v>363</v>
      </c>
      <c r="V1884" s="133">
        <f>3*M1874</f>
        <v>0</v>
      </c>
      <c r="W1884" s="133">
        <f>VLOOKUP(U1884,Sheet1!$B$6:$C$45,2,FALSE)*V1884</f>
        <v>0</v>
      </c>
      <c r="X1884" s="141"/>
      <c r="Y1884" s="122" t="s">
        <v>326</v>
      </c>
      <c r="Z1884" s="146">
        <f>VLOOKUP(Takeoffs!Y1884,Sheet1!$B$6:$C$124,2,FALSE)</f>
        <v>29.04</v>
      </c>
      <c r="AA1884" s="146">
        <f t="shared" si="864"/>
        <v>0</v>
      </c>
      <c r="AB1884" s="143">
        <f t="shared" si="860"/>
        <v>0</v>
      </c>
      <c r="AC1884" s="133">
        <f t="shared" si="871"/>
        <v>0</v>
      </c>
      <c r="AD1884" s="142">
        <v>4</v>
      </c>
      <c r="AE1884" s="141"/>
      <c r="AF1884" s="121" t="s">
        <v>292</v>
      </c>
      <c r="AG1884" s="146">
        <f>VLOOKUP(Takeoffs!AF1884,Sheet1!$B$6:$C$124,2,FALSE)</f>
        <v>0</v>
      </c>
      <c r="AH1884" s="146">
        <f t="shared" si="865"/>
        <v>0</v>
      </c>
      <c r="AI1884" s="143">
        <f t="shared" si="861"/>
        <v>0</v>
      </c>
      <c r="AJ1884" s="133">
        <f t="shared" si="862"/>
        <v>0</v>
      </c>
      <c r="AK1884" s="142">
        <f>T1884</f>
        <v>0</v>
      </c>
      <c r="AL1884" s="141"/>
      <c r="AO1884" s="286"/>
      <c r="AP1884" s="284">
        <f t="shared" si="866"/>
        <v>0</v>
      </c>
      <c r="AQ1884" s="281">
        <f t="shared" si="867"/>
        <v>0</v>
      </c>
      <c r="AR1884" s="284">
        <f t="shared" si="868"/>
        <v>0</v>
      </c>
      <c r="AS1884" s="281">
        <f t="shared" si="869"/>
        <v>0</v>
      </c>
      <c r="AT1884" s="284">
        <f t="shared" si="870"/>
        <v>0</v>
      </c>
    </row>
    <row r="1885" spans="1:46" s="114" customFormat="1" ht="30.9" x14ac:dyDescent="0.8">
      <c r="A1885" s="262">
        <f>ROW()</f>
        <v>1885</v>
      </c>
      <c r="C1885" s="208"/>
      <c r="D1885" s="208"/>
      <c r="E1885" s="208"/>
      <c r="F1885" s="208"/>
      <c r="G1885" s="208"/>
      <c r="H1885" s="208"/>
      <c r="J1885" s="114" t="str">
        <f t="shared" si="863"/>
        <v/>
      </c>
      <c r="K1885" s="114" t="str">
        <f>IF(COUNTBLANK(R1885)&gt;0,"",CONCATENATE(R1885," for ",N1874))</f>
        <v/>
      </c>
      <c r="N1885" s="123" t="s">
        <v>123</v>
      </c>
      <c r="O1885" s="66" t="s">
        <v>410</v>
      </c>
      <c r="P1885" s="121"/>
      <c r="Q1885" s="121"/>
      <c r="R1885" s="121"/>
      <c r="S1885" s="133">
        <f>M1874</f>
        <v>0</v>
      </c>
      <c r="T1885" s="120"/>
      <c r="U1885" s="121" t="s">
        <v>363</v>
      </c>
      <c r="V1885" s="133">
        <f>14*M1874</f>
        <v>0</v>
      </c>
      <c r="W1885" s="133">
        <f>VLOOKUP(U1885,Sheet1!$B$6:$C$45,2,FALSE)*V1885</f>
        <v>0</v>
      </c>
      <c r="X1885" s="141"/>
      <c r="Y1885" s="122" t="s">
        <v>325</v>
      </c>
      <c r="Z1885" s="146">
        <f>VLOOKUP(Takeoffs!Y1885,Sheet1!$B$6:$C$124,2,FALSE)</f>
        <v>240</v>
      </c>
      <c r="AA1885" s="146">
        <f t="shared" si="864"/>
        <v>0</v>
      </c>
      <c r="AB1885" s="143">
        <f t="shared" si="860"/>
        <v>0</v>
      </c>
      <c r="AC1885" s="133">
        <f t="shared" si="871"/>
        <v>0</v>
      </c>
      <c r="AD1885" s="142">
        <v>4</v>
      </c>
      <c r="AE1885" s="141"/>
      <c r="AF1885" s="144" t="s">
        <v>269</v>
      </c>
      <c r="AG1885" s="146">
        <f>VLOOKUP(Takeoffs!AF1885,Sheet1!$B$6:$C$124,2,FALSE)</f>
        <v>1.056</v>
      </c>
      <c r="AH1885" s="146">
        <f t="shared" si="865"/>
        <v>0</v>
      </c>
      <c r="AI1885" s="143">
        <f t="shared" si="861"/>
        <v>0</v>
      </c>
      <c r="AJ1885" s="133">
        <f t="shared" si="862"/>
        <v>0</v>
      </c>
      <c r="AK1885" s="142">
        <v>180</v>
      </c>
      <c r="AL1885" s="141"/>
      <c r="AO1885" s="286"/>
      <c r="AP1885" s="284">
        <f t="shared" si="866"/>
        <v>0</v>
      </c>
      <c r="AQ1885" s="281">
        <f t="shared" si="867"/>
        <v>0</v>
      </c>
      <c r="AR1885" s="284">
        <f t="shared" si="868"/>
        <v>0</v>
      </c>
      <c r="AS1885" s="281">
        <f t="shared" si="869"/>
        <v>0</v>
      </c>
      <c r="AT1885" s="284">
        <f t="shared" si="870"/>
        <v>0</v>
      </c>
    </row>
    <row r="1886" spans="1:46" s="114" customFormat="1" ht="30.9" x14ac:dyDescent="0.8">
      <c r="A1886" s="262">
        <f>ROW()</f>
        <v>1886</v>
      </c>
      <c r="C1886" s="208"/>
      <c r="D1886" s="208"/>
      <c r="E1886" s="208"/>
      <c r="F1886" s="208"/>
      <c r="G1886" s="208"/>
      <c r="H1886" s="208"/>
      <c r="J1886" s="114" t="str">
        <f t="shared" si="863"/>
        <v/>
      </c>
      <c r="K1886" s="114" t="str">
        <f>IF(COUNTBLANK(R1886)&gt;0,"",CONCATENATE(R1886," for ",N1874))</f>
        <v/>
      </c>
      <c r="N1886" s="123" t="s">
        <v>124</v>
      </c>
      <c r="O1886" s="66" t="s">
        <v>140</v>
      </c>
      <c r="P1886" s="121"/>
      <c r="Q1886" s="121"/>
      <c r="R1886" s="121"/>
      <c r="S1886" s="133">
        <f>M1874</f>
        <v>0</v>
      </c>
      <c r="T1886" s="120"/>
      <c r="U1886" s="121" t="s">
        <v>364</v>
      </c>
      <c r="V1886" s="133">
        <f t="shared" ref="V1886:V1893" si="872">S1886</f>
        <v>0</v>
      </c>
      <c r="W1886" s="133">
        <f>VLOOKUP(U1886,Sheet1!$B$6:$C$45,2,FALSE)*V1886</f>
        <v>0</v>
      </c>
      <c r="X1886" s="141"/>
      <c r="Y1886" s="121" t="s">
        <v>292</v>
      </c>
      <c r="Z1886" s="146">
        <f>VLOOKUP(Takeoffs!Y1886,Sheet1!$B$6:$C$124,2,FALSE)</f>
        <v>0</v>
      </c>
      <c r="AA1886" s="146">
        <f t="shared" si="864"/>
        <v>0</v>
      </c>
      <c r="AB1886" s="143">
        <f t="shared" si="860"/>
        <v>0</v>
      </c>
      <c r="AC1886" s="133">
        <f t="shared" si="871"/>
        <v>0</v>
      </c>
      <c r="AD1886" s="142">
        <v>1</v>
      </c>
      <c r="AE1886" s="141"/>
      <c r="AF1886" s="121" t="s">
        <v>292</v>
      </c>
      <c r="AG1886" s="146">
        <f>VLOOKUP(Takeoffs!AF1886,Sheet1!$B$6:$C$124,2,FALSE)</f>
        <v>0</v>
      </c>
      <c r="AH1886" s="146">
        <f t="shared" si="865"/>
        <v>0</v>
      </c>
      <c r="AI1886" s="143">
        <f t="shared" si="861"/>
        <v>0</v>
      </c>
      <c r="AJ1886" s="133">
        <f t="shared" si="862"/>
        <v>0</v>
      </c>
      <c r="AK1886" s="142">
        <f t="shared" ref="AK1886:AK1894" si="873">T1886</f>
        <v>0</v>
      </c>
      <c r="AL1886" s="141"/>
      <c r="AO1886" s="286"/>
      <c r="AP1886" s="284">
        <f t="shared" si="866"/>
        <v>0</v>
      </c>
      <c r="AQ1886" s="281">
        <f t="shared" si="867"/>
        <v>0</v>
      </c>
      <c r="AR1886" s="284">
        <f t="shared" si="868"/>
        <v>0</v>
      </c>
      <c r="AS1886" s="281">
        <f t="shared" si="869"/>
        <v>0</v>
      </c>
      <c r="AT1886" s="284">
        <f t="shared" si="870"/>
        <v>0</v>
      </c>
    </row>
    <row r="1887" spans="1:46" s="114" customFormat="1" ht="30.9" x14ac:dyDescent="0.8">
      <c r="A1887" s="262">
        <f>ROW()</f>
        <v>1887</v>
      </c>
      <c r="C1887" s="208"/>
      <c r="D1887" s="208"/>
      <c r="E1887" s="208"/>
      <c r="F1887" s="208"/>
      <c r="G1887" s="208"/>
      <c r="H1887" s="208"/>
      <c r="J1887" s="114" t="str">
        <f t="shared" si="863"/>
        <v/>
      </c>
      <c r="K1887" s="114" t="str">
        <f>IF(COUNTBLANK(R1887)&gt;0,"",CONCATENATE(R1887," for ",N1874))</f>
        <v/>
      </c>
      <c r="N1887" s="123" t="s">
        <v>125</v>
      </c>
      <c r="O1887" s="66" t="s">
        <v>312</v>
      </c>
      <c r="P1887" s="121"/>
      <c r="Q1887" s="121"/>
      <c r="R1887" s="121"/>
      <c r="S1887" s="133">
        <f>M1874</f>
        <v>0</v>
      </c>
      <c r="T1887" s="120"/>
      <c r="U1887" s="121" t="s">
        <v>232</v>
      </c>
      <c r="V1887" s="133">
        <f t="shared" si="872"/>
        <v>0</v>
      </c>
      <c r="W1887" s="133">
        <f>VLOOKUP(U1887,Sheet1!$B$6:$C$45,2,FALSE)*V1887</f>
        <v>0</v>
      </c>
      <c r="X1887" s="141"/>
      <c r="Y1887" s="122" t="s">
        <v>1345</v>
      </c>
      <c r="Z1887" s="146">
        <f>VLOOKUP(Takeoffs!Y1887,Sheet1!$B$6:$C$124,2,FALSE)</f>
        <v>109.25999999999999</v>
      </c>
      <c r="AA1887" s="146">
        <f t="shared" si="864"/>
        <v>0</v>
      </c>
      <c r="AB1887" s="143">
        <f t="shared" si="860"/>
        <v>0</v>
      </c>
      <c r="AC1887" s="133">
        <f t="shared" si="871"/>
        <v>0</v>
      </c>
      <c r="AD1887" s="142">
        <v>1</v>
      </c>
      <c r="AE1887" s="141"/>
      <c r="AF1887" s="121" t="s">
        <v>292</v>
      </c>
      <c r="AG1887" s="146">
        <f>VLOOKUP(Takeoffs!AF1887,Sheet1!$B$6:$C$124,2,FALSE)</f>
        <v>0</v>
      </c>
      <c r="AH1887" s="146">
        <f t="shared" si="865"/>
        <v>0</v>
      </c>
      <c r="AI1887" s="143">
        <f t="shared" si="861"/>
        <v>0</v>
      </c>
      <c r="AJ1887" s="133">
        <f t="shared" si="862"/>
        <v>0</v>
      </c>
      <c r="AK1887" s="142">
        <f t="shared" si="873"/>
        <v>0</v>
      </c>
      <c r="AL1887" s="141"/>
      <c r="AO1887" s="286"/>
      <c r="AP1887" s="284">
        <f t="shared" si="866"/>
        <v>0</v>
      </c>
      <c r="AQ1887" s="281">
        <f t="shared" si="867"/>
        <v>0</v>
      </c>
      <c r="AR1887" s="284">
        <f t="shared" si="868"/>
        <v>0</v>
      </c>
      <c r="AS1887" s="281">
        <f t="shared" si="869"/>
        <v>0</v>
      </c>
      <c r="AT1887" s="284">
        <f t="shared" si="870"/>
        <v>0</v>
      </c>
    </row>
    <row r="1888" spans="1:46" s="114" customFormat="1" ht="30.9" x14ac:dyDescent="0.8">
      <c r="A1888" s="262">
        <f>ROW()</f>
        <v>1888</v>
      </c>
      <c r="C1888" s="208"/>
      <c r="D1888" s="208"/>
      <c r="E1888" s="208"/>
      <c r="F1888" s="208"/>
      <c r="G1888" s="208"/>
      <c r="H1888" s="208"/>
      <c r="J1888" s="114" t="str">
        <f t="shared" si="863"/>
        <v/>
      </c>
      <c r="K1888" s="114" t="str">
        <f>IF(COUNTBLANK(R1888)&gt;0,"",CONCATENATE(R1888," for ",N1874))</f>
        <v/>
      </c>
      <c r="N1888" s="123" t="s">
        <v>126</v>
      </c>
      <c r="O1888" s="66" t="s">
        <v>313</v>
      </c>
      <c r="P1888" s="121"/>
      <c r="Q1888" s="121"/>
      <c r="R1888" s="121"/>
      <c r="S1888" s="133">
        <f>M1874</f>
        <v>0</v>
      </c>
      <c r="T1888" s="120"/>
      <c r="U1888" s="121" t="s">
        <v>363</v>
      </c>
      <c r="V1888" s="133">
        <f t="shared" si="872"/>
        <v>0</v>
      </c>
      <c r="W1888" s="133">
        <f>VLOOKUP(U1888,Sheet1!$B$6:$C$45,2,FALSE)*V1888</f>
        <v>0</v>
      </c>
      <c r="X1888" s="141"/>
      <c r="Y1888" s="122" t="s">
        <v>321</v>
      </c>
      <c r="Z1888" s="146">
        <f>VLOOKUP(Takeoffs!Y1888,Sheet1!$B$6:$C$124,2,FALSE)</f>
        <v>60</v>
      </c>
      <c r="AA1888" s="146">
        <f t="shared" si="864"/>
        <v>0</v>
      </c>
      <c r="AB1888" s="143">
        <f t="shared" si="860"/>
        <v>0</v>
      </c>
      <c r="AC1888" s="133">
        <f t="shared" si="871"/>
        <v>0</v>
      </c>
      <c r="AD1888" s="142">
        <v>1</v>
      </c>
      <c r="AE1888" s="141"/>
      <c r="AF1888" s="121" t="s">
        <v>292</v>
      </c>
      <c r="AG1888" s="146">
        <f>VLOOKUP(Takeoffs!AF1888,Sheet1!$B$6:$C$124,2,FALSE)</f>
        <v>0</v>
      </c>
      <c r="AH1888" s="146">
        <f t="shared" si="865"/>
        <v>0</v>
      </c>
      <c r="AI1888" s="143">
        <f t="shared" si="861"/>
        <v>0</v>
      </c>
      <c r="AJ1888" s="133">
        <f t="shared" si="862"/>
        <v>0</v>
      </c>
      <c r="AK1888" s="142">
        <f t="shared" si="873"/>
        <v>0</v>
      </c>
      <c r="AL1888" s="141"/>
      <c r="AO1888" s="286"/>
      <c r="AP1888" s="284">
        <f t="shared" si="866"/>
        <v>0</v>
      </c>
      <c r="AQ1888" s="281">
        <f t="shared" si="867"/>
        <v>0</v>
      </c>
      <c r="AR1888" s="284">
        <f t="shared" si="868"/>
        <v>0</v>
      </c>
      <c r="AS1888" s="281">
        <f t="shared" si="869"/>
        <v>0</v>
      </c>
      <c r="AT1888" s="284">
        <f t="shared" si="870"/>
        <v>0</v>
      </c>
    </row>
    <row r="1889" spans="1:97" s="114" customFormat="1" ht="30.9" x14ac:dyDescent="0.8">
      <c r="A1889" s="262">
        <f>ROW()</f>
        <v>1889</v>
      </c>
      <c r="C1889" s="208"/>
      <c r="D1889" s="208"/>
      <c r="E1889" s="208"/>
      <c r="F1889" s="208"/>
      <c r="G1889" s="208"/>
      <c r="H1889" s="208"/>
      <c r="J1889" s="114" t="str">
        <f t="shared" si="863"/>
        <v/>
      </c>
      <c r="K1889" s="114" t="str">
        <f>IF(COUNTBLANK(R1889)&gt;0,"",CONCATENATE(R1889," for ",N1874))</f>
        <v/>
      </c>
      <c r="N1889" s="123" t="s">
        <v>127</v>
      </c>
      <c r="O1889" s="66" t="s">
        <v>424</v>
      </c>
      <c r="P1889" s="121"/>
      <c r="Q1889" s="121"/>
      <c r="R1889" s="121"/>
      <c r="S1889" s="133">
        <f>M1874</f>
        <v>0</v>
      </c>
      <c r="T1889" s="120"/>
      <c r="U1889" s="121" t="s">
        <v>292</v>
      </c>
      <c r="V1889" s="133">
        <f t="shared" si="872"/>
        <v>0</v>
      </c>
      <c r="W1889" s="133">
        <f>VLOOKUP(U1889,Sheet1!$B$6:$C$45,2,FALSE)*V1889</f>
        <v>0</v>
      </c>
      <c r="X1889" s="141"/>
      <c r="Y1889" s="122" t="s">
        <v>319</v>
      </c>
      <c r="Z1889" s="146">
        <f>VLOOKUP(Takeoffs!Y1889,Sheet1!$B$6:$C$124,2,FALSE)</f>
        <v>120</v>
      </c>
      <c r="AA1889" s="146">
        <f t="shared" si="864"/>
        <v>0</v>
      </c>
      <c r="AB1889" s="143">
        <f t="shared" si="860"/>
        <v>0</v>
      </c>
      <c r="AC1889" s="133">
        <f t="shared" si="871"/>
        <v>0</v>
      </c>
      <c r="AD1889" s="142">
        <v>1</v>
      </c>
      <c r="AE1889" s="141"/>
      <c r="AF1889" s="121" t="s">
        <v>292</v>
      </c>
      <c r="AG1889" s="146">
        <f>VLOOKUP(Takeoffs!AF1889,Sheet1!$B$6:$C$124,2,FALSE)</f>
        <v>0</v>
      </c>
      <c r="AH1889" s="146">
        <f t="shared" si="865"/>
        <v>0</v>
      </c>
      <c r="AI1889" s="143">
        <f t="shared" si="861"/>
        <v>0</v>
      </c>
      <c r="AJ1889" s="133">
        <f t="shared" si="862"/>
        <v>0</v>
      </c>
      <c r="AK1889" s="142">
        <f t="shared" si="873"/>
        <v>0</v>
      </c>
      <c r="AL1889" s="141"/>
      <c r="AO1889" s="286"/>
      <c r="AP1889" s="284">
        <f t="shared" si="866"/>
        <v>0</v>
      </c>
      <c r="AQ1889" s="281">
        <f t="shared" si="867"/>
        <v>0</v>
      </c>
      <c r="AR1889" s="284">
        <f t="shared" si="868"/>
        <v>0</v>
      </c>
      <c r="AS1889" s="281">
        <f t="shared" si="869"/>
        <v>0</v>
      </c>
      <c r="AT1889" s="284">
        <f t="shared" si="870"/>
        <v>0</v>
      </c>
    </row>
    <row r="1890" spans="1:97" s="114" customFormat="1" ht="30.9" x14ac:dyDescent="0.8">
      <c r="A1890" s="262">
        <f>ROW()</f>
        <v>1890</v>
      </c>
      <c r="C1890" s="208"/>
      <c r="D1890" s="208"/>
      <c r="E1890" s="208"/>
      <c r="F1890" s="208"/>
      <c r="G1890" s="208"/>
      <c r="H1890" s="208"/>
      <c r="J1890" s="114" t="str">
        <f t="shared" si="863"/>
        <v/>
      </c>
      <c r="K1890" s="114" t="str">
        <f>IF(COUNTBLANK(R1890)&gt;0,"",CONCATENATE(R1890," for ",N1874))</f>
        <v/>
      </c>
      <c r="N1890" s="123" t="s">
        <v>128</v>
      </c>
      <c r="O1890" s="66" t="s">
        <v>423</v>
      </c>
      <c r="P1890" s="121"/>
      <c r="Q1890" s="121"/>
      <c r="R1890" s="121"/>
      <c r="S1890" s="133">
        <f>M1874</f>
        <v>0</v>
      </c>
      <c r="T1890" s="120"/>
      <c r="U1890" s="121" t="s">
        <v>292</v>
      </c>
      <c r="V1890" s="133">
        <f t="shared" si="872"/>
        <v>0</v>
      </c>
      <c r="W1890" s="133">
        <f>VLOOKUP(U1890,Sheet1!$B$6:$C$45,2,FALSE)*V1890</f>
        <v>0</v>
      </c>
      <c r="X1890" s="141"/>
      <c r="Y1890" s="122" t="s">
        <v>280</v>
      </c>
      <c r="Z1890" s="146">
        <f>VLOOKUP(Takeoffs!Y1890,Sheet1!$B$6:$C$124,2,FALSE)</f>
        <v>19.2</v>
      </c>
      <c r="AA1890" s="146">
        <f t="shared" si="864"/>
        <v>0</v>
      </c>
      <c r="AB1890" s="143">
        <f t="shared" si="860"/>
        <v>0</v>
      </c>
      <c r="AC1890" s="133">
        <f t="shared" si="871"/>
        <v>0</v>
      </c>
      <c r="AD1890" s="142">
        <v>2</v>
      </c>
      <c r="AE1890" s="141"/>
      <c r="AF1890" s="121" t="s">
        <v>292</v>
      </c>
      <c r="AG1890" s="146">
        <f>VLOOKUP(Takeoffs!AF1890,Sheet1!$B$6:$C$124,2,FALSE)</f>
        <v>0</v>
      </c>
      <c r="AH1890" s="146">
        <f t="shared" si="865"/>
        <v>0</v>
      </c>
      <c r="AI1890" s="143">
        <f t="shared" si="861"/>
        <v>0</v>
      </c>
      <c r="AJ1890" s="133">
        <f t="shared" si="862"/>
        <v>0</v>
      </c>
      <c r="AK1890" s="142">
        <f t="shared" si="873"/>
        <v>0</v>
      </c>
      <c r="AL1890" s="141"/>
      <c r="AO1890" s="286"/>
      <c r="AP1890" s="284">
        <f t="shared" si="866"/>
        <v>0</v>
      </c>
      <c r="AQ1890" s="281">
        <f t="shared" si="867"/>
        <v>0</v>
      </c>
      <c r="AR1890" s="284">
        <f t="shared" si="868"/>
        <v>0</v>
      </c>
      <c r="AS1890" s="281">
        <f t="shared" si="869"/>
        <v>0</v>
      </c>
      <c r="AT1890" s="284">
        <f t="shared" si="870"/>
        <v>0</v>
      </c>
    </row>
    <row r="1891" spans="1:97" s="114" customFormat="1" ht="30.9" x14ac:dyDescent="0.8">
      <c r="A1891" s="262">
        <f>ROW()</f>
        <v>1891</v>
      </c>
      <c r="C1891" s="208"/>
      <c r="D1891" s="208"/>
      <c r="E1891" s="208"/>
      <c r="F1891" s="208"/>
      <c r="G1891" s="208"/>
      <c r="H1891" s="208"/>
      <c r="J1891" s="114" t="str">
        <f t="shared" si="863"/>
        <v/>
      </c>
      <c r="K1891" s="114" t="str">
        <f>IF(COUNTBLANK(R1891)&gt;0,"",CONCATENATE(R1891," for ",N1874))</f>
        <v/>
      </c>
      <c r="N1891" s="123" t="s">
        <v>129</v>
      </c>
      <c r="O1891" s="66" t="s">
        <v>425</v>
      </c>
      <c r="P1891" s="121"/>
      <c r="Q1891" s="121"/>
      <c r="R1891" s="121"/>
      <c r="S1891" s="133">
        <f>M1874</f>
        <v>0</v>
      </c>
      <c r="T1891" s="120"/>
      <c r="U1891" s="121" t="s">
        <v>292</v>
      </c>
      <c r="V1891" s="133">
        <f t="shared" si="872"/>
        <v>0</v>
      </c>
      <c r="W1891" s="133">
        <f>VLOOKUP(U1891,Sheet1!$B$6:$C$45,2,FALSE)*V1891</f>
        <v>0</v>
      </c>
      <c r="X1891" s="141"/>
      <c r="Y1891" s="122" t="s">
        <v>277</v>
      </c>
      <c r="Z1891" s="146">
        <f>VLOOKUP(Takeoffs!Y1891,Sheet1!$B$6:$C$124,2,FALSE)</f>
        <v>69.540000000000006</v>
      </c>
      <c r="AA1891" s="146">
        <f t="shared" si="864"/>
        <v>0</v>
      </c>
      <c r="AB1891" s="143">
        <f t="shared" si="860"/>
        <v>0</v>
      </c>
      <c r="AC1891" s="133">
        <f t="shared" si="871"/>
        <v>0</v>
      </c>
      <c r="AD1891" s="142">
        <v>1</v>
      </c>
      <c r="AE1891" s="141"/>
      <c r="AF1891" s="121" t="s">
        <v>292</v>
      </c>
      <c r="AG1891" s="146">
        <f>VLOOKUP(Takeoffs!AF1891,Sheet1!$B$6:$C$124,2,FALSE)</f>
        <v>0</v>
      </c>
      <c r="AH1891" s="146">
        <f t="shared" si="865"/>
        <v>0</v>
      </c>
      <c r="AI1891" s="143">
        <f t="shared" si="861"/>
        <v>0</v>
      </c>
      <c r="AJ1891" s="133">
        <f t="shared" si="862"/>
        <v>0</v>
      </c>
      <c r="AK1891" s="142">
        <f t="shared" si="873"/>
        <v>0</v>
      </c>
      <c r="AL1891" s="141"/>
      <c r="AO1891" s="286"/>
      <c r="AP1891" s="284">
        <f t="shared" si="866"/>
        <v>0</v>
      </c>
      <c r="AQ1891" s="281">
        <f t="shared" si="867"/>
        <v>0</v>
      </c>
      <c r="AR1891" s="284">
        <f t="shared" si="868"/>
        <v>0</v>
      </c>
      <c r="AS1891" s="281">
        <f t="shared" si="869"/>
        <v>0</v>
      </c>
      <c r="AT1891" s="284">
        <f t="shared" si="870"/>
        <v>0</v>
      </c>
    </row>
    <row r="1892" spans="1:97" s="114" customFormat="1" ht="30.9" x14ac:dyDescent="0.8">
      <c r="A1892" s="262">
        <f>ROW()</f>
        <v>1892</v>
      </c>
      <c r="C1892" s="208"/>
      <c r="D1892" s="208"/>
      <c r="E1892" s="208"/>
      <c r="F1892" s="208"/>
      <c r="G1892" s="208"/>
      <c r="H1892" s="208"/>
      <c r="J1892" s="114" t="str">
        <f t="shared" si="863"/>
        <v/>
      </c>
      <c r="K1892" s="114" t="str">
        <f>IF(COUNTBLANK(R1892)&gt;0,"",CONCATENATE(R1892," for ",N1874))</f>
        <v/>
      </c>
      <c r="N1892" s="123" t="s">
        <v>130</v>
      </c>
      <c r="O1892" s="66"/>
      <c r="P1892" s="121"/>
      <c r="Q1892" s="121"/>
      <c r="R1892" s="121"/>
      <c r="S1892" s="133">
        <f>M1874</f>
        <v>0</v>
      </c>
      <c r="T1892" s="120"/>
      <c r="U1892" s="121" t="s">
        <v>292</v>
      </c>
      <c r="V1892" s="133">
        <f t="shared" si="872"/>
        <v>0</v>
      </c>
      <c r="W1892" s="133">
        <f>VLOOKUP(U1892,Sheet1!$B$6:$C$45,2,FALSE)*V1892</f>
        <v>0</v>
      </c>
      <c r="X1892" s="141"/>
      <c r="Y1892" s="121" t="s">
        <v>292</v>
      </c>
      <c r="Z1892" s="146">
        <f>VLOOKUP(Takeoffs!Y1892,Sheet1!$B$6:$C$124,2,FALSE)</f>
        <v>0</v>
      </c>
      <c r="AA1892" s="146">
        <f t="shared" si="864"/>
        <v>0</v>
      </c>
      <c r="AB1892" s="143">
        <f t="shared" si="860"/>
        <v>0</v>
      </c>
      <c r="AC1892" s="133">
        <f t="shared" si="871"/>
        <v>0</v>
      </c>
      <c r="AD1892" s="142">
        <v>1</v>
      </c>
      <c r="AE1892" s="141"/>
      <c r="AF1892" s="121" t="s">
        <v>292</v>
      </c>
      <c r="AG1892" s="146">
        <f>VLOOKUP(Takeoffs!AF1892,Sheet1!$B$6:$C$124,2,FALSE)</f>
        <v>0</v>
      </c>
      <c r="AH1892" s="146">
        <f t="shared" si="865"/>
        <v>0</v>
      </c>
      <c r="AI1892" s="143">
        <f t="shared" si="861"/>
        <v>0</v>
      </c>
      <c r="AJ1892" s="133">
        <f t="shared" si="862"/>
        <v>0</v>
      </c>
      <c r="AK1892" s="142">
        <f t="shared" si="873"/>
        <v>0</v>
      </c>
      <c r="AL1892" s="141"/>
      <c r="AO1892" s="286"/>
      <c r="AP1892" s="284">
        <f t="shared" si="866"/>
        <v>0</v>
      </c>
      <c r="AQ1892" s="281">
        <f t="shared" si="867"/>
        <v>0</v>
      </c>
      <c r="AR1892" s="284">
        <f t="shared" si="868"/>
        <v>0</v>
      </c>
      <c r="AS1892" s="281">
        <f t="shared" si="869"/>
        <v>0</v>
      </c>
      <c r="AT1892" s="284">
        <f t="shared" si="870"/>
        <v>0</v>
      </c>
    </row>
    <row r="1893" spans="1:97" s="114" customFormat="1" ht="30.9" x14ac:dyDescent="0.8">
      <c r="A1893" s="262">
        <f>ROW()</f>
        <v>1893</v>
      </c>
      <c r="C1893" s="208"/>
      <c r="D1893" s="208"/>
      <c r="E1893" s="208"/>
      <c r="F1893" s="208"/>
      <c r="G1893" s="208"/>
      <c r="H1893" s="208"/>
      <c r="J1893" s="114" t="str">
        <f t="shared" si="863"/>
        <v>Coordination Note: - Fire trade: Please refer to our exclusions relating to fire cabling from FIP.</v>
      </c>
      <c r="K1893" s="114" t="str">
        <f>IF(COUNTBLANK(R1893)&gt;0,"",CONCATENATE(R1893," for ",N1874))</f>
        <v/>
      </c>
      <c r="N1893" s="123" t="s">
        <v>131</v>
      </c>
      <c r="O1893" s="66" t="s">
        <v>412</v>
      </c>
      <c r="P1893" s="121" t="s">
        <v>380</v>
      </c>
      <c r="Q1893" s="121" t="s">
        <v>384</v>
      </c>
      <c r="R1893" s="121"/>
      <c r="S1893" s="133">
        <f>M1874</f>
        <v>0</v>
      </c>
      <c r="T1893" s="120"/>
      <c r="U1893" s="121" t="s">
        <v>292</v>
      </c>
      <c r="V1893" s="133">
        <f t="shared" si="872"/>
        <v>0</v>
      </c>
      <c r="W1893" s="133">
        <f>VLOOKUP(U1893,Sheet1!$B$6:$C$45,2,FALSE)*V1893</f>
        <v>0</v>
      </c>
      <c r="X1893" s="141"/>
      <c r="Y1893" s="122" t="s">
        <v>322</v>
      </c>
      <c r="Z1893" s="146">
        <f>VLOOKUP(Takeoffs!Y1893,Sheet1!$B$6:$C$124,2,FALSE)</f>
        <v>48</v>
      </c>
      <c r="AA1893" s="146">
        <f t="shared" si="864"/>
        <v>0</v>
      </c>
      <c r="AB1893" s="143">
        <f t="shared" si="860"/>
        <v>0</v>
      </c>
      <c r="AC1893" s="133">
        <f t="shared" si="871"/>
        <v>0</v>
      </c>
      <c r="AD1893" s="142">
        <v>1</v>
      </c>
      <c r="AE1893" s="141"/>
      <c r="AF1893" s="121" t="s">
        <v>292</v>
      </c>
      <c r="AG1893" s="146">
        <f>VLOOKUP(Takeoffs!AF1893,Sheet1!$B$6:$C$124,2,FALSE)</f>
        <v>0</v>
      </c>
      <c r="AH1893" s="146">
        <f t="shared" si="865"/>
        <v>0</v>
      </c>
      <c r="AI1893" s="143">
        <f t="shared" si="861"/>
        <v>0</v>
      </c>
      <c r="AJ1893" s="133">
        <f t="shared" si="862"/>
        <v>0</v>
      </c>
      <c r="AK1893" s="142">
        <f t="shared" si="873"/>
        <v>0</v>
      </c>
      <c r="AL1893" s="141"/>
      <c r="AO1893" s="286"/>
      <c r="AP1893" s="284">
        <f t="shared" si="866"/>
        <v>0</v>
      </c>
      <c r="AQ1893" s="281">
        <f t="shared" si="867"/>
        <v>0</v>
      </c>
      <c r="AR1893" s="284">
        <f t="shared" si="868"/>
        <v>0</v>
      </c>
      <c r="AS1893" s="281">
        <f t="shared" si="869"/>
        <v>0</v>
      </c>
      <c r="AT1893" s="284">
        <f t="shared" si="870"/>
        <v>0</v>
      </c>
    </row>
    <row r="1894" spans="1:97" s="114" customFormat="1" ht="30.9" x14ac:dyDescent="0.8">
      <c r="A1894" s="262">
        <f>ROW()</f>
        <v>1894</v>
      </c>
      <c r="C1894" s="208"/>
      <c r="D1894" s="208"/>
      <c r="E1894" s="208"/>
      <c r="F1894" s="208"/>
      <c r="G1894" s="208"/>
      <c r="H1894" s="208"/>
      <c r="J1894" s="114" t="str">
        <f t="shared" si="863"/>
        <v/>
      </c>
      <c r="K1894" s="114" t="str">
        <f>IF(COUNTBLANK(R1894)&gt;0,"",CONCATENATE(R1894," for ",N1874))</f>
        <v/>
      </c>
      <c r="N1894" s="123" t="s">
        <v>132</v>
      </c>
      <c r="O1894" s="66" t="s">
        <v>408</v>
      </c>
      <c r="P1894" s="121"/>
      <c r="Q1894" s="121"/>
      <c r="R1894" s="121"/>
      <c r="S1894" s="133">
        <f>M1874</f>
        <v>0</v>
      </c>
      <c r="T1894" s="120"/>
      <c r="U1894" s="121" t="s">
        <v>363</v>
      </c>
      <c r="V1894" s="133">
        <f>4*M1874</f>
        <v>0</v>
      </c>
      <c r="W1894" s="133">
        <f>VLOOKUP(U1894,Sheet1!$B$6:$C$45,2,FALSE)*V1894</f>
        <v>0</v>
      </c>
      <c r="X1894" s="141"/>
      <c r="Y1894" s="121" t="s">
        <v>292</v>
      </c>
      <c r="Z1894" s="146">
        <f>VLOOKUP(Takeoffs!Y1894,Sheet1!$B$6:$C$124,2,FALSE)</f>
        <v>0</v>
      </c>
      <c r="AA1894" s="146">
        <f t="shared" si="864"/>
        <v>0</v>
      </c>
      <c r="AB1894" s="143">
        <f t="shared" si="860"/>
        <v>0</v>
      </c>
      <c r="AC1894" s="133">
        <f t="shared" si="871"/>
        <v>0</v>
      </c>
      <c r="AD1894" s="142">
        <v>1</v>
      </c>
      <c r="AE1894" s="141"/>
      <c r="AF1894" s="121" t="s">
        <v>292</v>
      </c>
      <c r="AG1894" s="146">
        <f>VLOOKUP(Takeoffs!AF1894,Sheet1!$B$6:$C$124,2,FALSE)</f>
        <v>0</v>
      </c>
      <c r="AH1894" s="146">
        <f t="shared" si="865"/>
        <v>0</v>
      </c>
      <c r="AI1894" s="143">
        <f t="shared" si="861"/>
        <v>0</v>
      </c>
      <c r="AJ1894" s="133">
        <f t="shared" si="862"/>
        <v>0</v>
      </c>
      <c r="AK1894" s="142">
        <f t="shared" si="873"/>
        <v>0</v>
      </c>
      <c r="AL1894" s="141"/>
      <c r="AO1894" s="286"/>
      <c r="AP1894" s="284">
        <f t="shared" si="866"/>
        <v>0</v>
      </c>
      <c r="AQ1894" s="281">
        <f t="shared" si="867"/>
        <v>0</v>
      </c>
      <c r="AR1894" s="284">
        <f t="shared" si="868"/>
        <v>0</v>
      </c>
      <c r="AS1894" s="281">
        <f t="shared" si="869"/>
        <v>0</v>
      </c>
      <c r="AT1894" s="284">
        <f t="shared" si="870"/>
        <v>0</v>
      </c>
    </row>
    <row r="1895" spans="1:97" s="128" customFormat="1" ht="31.5" customHeight="1" x14ac:dyDescent="0.8">
      <c r="A1895" s="262">
        <f>ROW()</f>
        <v>1895</v>
      </c>
      <c r="C1895" s="212"/>
      <c r="D1895" s="212"/>
      <c r="E1895" s="212"/>
      <c r="F1895" s="212"/>
      <c r="G1895" s="212"/>
      <c r="H1895" s="212"/>
      <c r="J1895" s="128" t="s">
        <v>377</v>
      </c>
      <c r="L1895" s="128" t="s">
        <v>378</v>
      </c>
      <c r="N1895" s="129"/>
      <c r="O1895" s="130" t="s">
        <v>357</v>
      </c>
      <c r="P1895" s="131">
        <f>V1895+AA1895+AH1895</f>
        <v>0</v>
      </c>
      <c r="Q1895" s="131"/>
      <c r="R1895" s="131"/>
      <c r="S1895" s="130"/>
      <c r="T1895" s="127"/>
      <c r="U1895" s="126" t="s">
        <v>351</v>
      </c>
      <c r="V1895" s="127">
        <f>W1895*80</f>
        <v>0</v>
      </c>
      <c r="W1895" s="147">
        <f>SUM(W1874:W1894)</f>
        <v>0</v>
      </c>
      <c r="X1895" s="148"/>
      <c r="Y1895" s="127" t="s">
        <v>352</v>
      </c>
      <c r="Z1895" s="116"/>
      <c r="AA1895" s="116">
        <f>SUM(AA1874:AA1894)</f>
        <v>0</v>
      </c>
      <c r="AB1895" s="149"/>
      <c r="AC1895" s="149"/>
      <c r="AD1895" s="149"/>
      <c r="AE1895" s="149"/>
      <c r="AF1895" s="127" t="s">
        <v>356</v>
      </c>
      <c r="AG1895" s="116"/>
      <c r="AH1895" s="116">
        <f>SUM(AH1874:AH1894)</f>
        <v>0</v>
      </c>
      <c r="AI1895" s="149"/>
      <c r="AJ1895" s="149"/>
      <c r="AK1895" s="149"/>
      <c r="AL1895" s="149"/>
      <c r="AM1895" s="150">
        <f>P1895</f>
        <v>0</v>
      </c>
      <c r="AO1895" s="286"/>
      <c r="AP1895" s="284">
        <f t="shared" si="866"/>
        <v>0</v>
      </c>
      <c r="AQ1895" s="281">
        <f t="shared" si="867"/>
        <v>0</v>
      </c>
      <c r="AR1895" s="284">
        <f t="shared" si="868"/>
        <v>0</v>
      </c>
      <c r="AS1895" s="281">
        <f t="shared" si="869"/>
        <v>0</v>
      </c>
      <c r="AT1895" s="284">
        <f t="shared" si="870"/>
        <v>0</v>
      </c>
    </row>
    <row r="1896" spans="1:97" s="234" customFormat="1" ht="185.15" x14ac:dyDescent="0.8">
      <c r="A1896" s="262">
        <f>ROW()</f>
        <v>1896</v>
      </c>
      <c r="B1896" s="234" t="s">
        <v>491</v>
      </c>
      <c r="C1896" s="217" t="str">
        <f>N1874</f>
        <v>Smoke Exhaust system ( including on floor dampers)</v>
      </c>
      <c r="D1896" s="260" t="s">
        <v>677</v>
      </c>
      <c r="E1896" s="238"/>
      <c r="F1896" s="217"/>
      <c r="G1896" s="217"/>
      <c r="H1896" s="245"/>
      <c r="I1896" s="270">
        <v>0</v>
      </c>
      <c r="J1896" s="241" t="str">
        <f>CONCATENATE(O1874," ",L1874, " (",M1874,") ",N1874,".", IF(M1874&gt;1," Each "," This "),"includes supply and install of ",O1875,O1876,O1877,O1878,O1879,O1880,O1881,O1882,O1883,O1884,O1885,O1886,O1887,O1888,O1889,O1890,O1891,O1892,O1893,O1894,J1875,J1876,J1877,J1878,J1879,J1880,J1881,J1882,J1883,J1884,J1885,J1886,J1887,J1888,J1889,J1890,J1891,J1892,J1893,J1894)</f>
        <v>Electrical power supply and controls to Zero (0) Smoke Exhaust system ( including on floor dampers). This includes supply and install of power and controls. Power for system includes: CB, cabling to VSD, Danfoss VSD, shielded cabling, local isolator, 003 padlock, fan isolator and MSSB AS1668.1  trefolyte labels. Controls for system includes: fire relay per floor for fire interface, relief damper actuators ( 1 per floor) including cabling, controls cabling, contactors/relays, air pressure  switch, pressure transducers ( 1 per fan ), run and fault light,  Auto/Off/On switch, interface at MSSB for fire trade connection and commissioning/testing. Coordination Note: - Fire trade: Please refer to our exclusions relating to fire cabling from FIP.</v>
      </c>
      <c r="K1896" s="249">
        <f>P1895</f>
        <v>0</v>
      </c>
      <c r="L1896" s="234" t="str">
        <f>CONCATENATE(Q1875,Q1876,Q1877,Q1878,Q1879,Q1880,Q1881,Q1882,Q1883,Q1884,Q1885,Q1886,Q1887,Q1888,Q1889,Q1890,Q1891,Q1892,Q1893,Q1894,)</f>
        <v>fire cabling from FIP.</v>
      </c>
      <c r="M1896" s="166" t="s">
        <v>367</v>
      </c>
      <c r="N1896" s="160" t="str">
        <f>N1874</f>
        <v>Smoke Exhaust system ( including on floor dampers)</v>
      </c>
      <c r="O1896" s="160" t="s">
        <v>365</v>
      </c>
      <c r="P1896" s="183" t="e">
        <f>P1895/M1874</f>
        <v>#DIV/0!</v>
      </c>
      <c r="Q1896" s="191"/>
      <c r="R1896" s="161"/>
      <c r="S1896" s="160"/>
      <c r="T1896" s="161"/>
      <c r="U1896" s="503" t="s">
        <v>366</v>
      </c>
      <c r="V1896" s="503"/>
      <c r="W1896" s="162" t="e">
        <f>W1895/M1874</f>
        <v>#DIV/0!</v>
      </c>
      <c r="X1896" s="163"/>
      <c r="Y1896" s="501" t="s">
        <v>365</v>
      </c>
      <c r="Z1896" s="501"/>
      <c r="AA1896" s="164" t="e">
        <f>AA1895/M1874</f>
        <v>#DIV/0!</v>
      </c>
      <c r="AB1896" s="161"/>
      <c r="AC1896" s="161"/>
      <c r="AD1896" s="161"/>
      <c r="AE1896" s="161"/>
      <c r="AF1896" s="501" t="s">
        <v>365</v>
      </c>
      <c r="AG1896" s="501"/>
      <c r="AH1896" s="164" t="e">
        <f>AH1895/M1874</f>
        <v>#DIV/0!</v>
      </c>
      <c r="AI1896" s="161"/>
      <c r="AJ1896" s="161"/>
      <c r="AK1896" s="161"/>
      <c r="AL1896" s="247"/>
      <c r="AM1896" s="257"/>
      <c r="AN1896" s="236">
        <f>K1896*1.25</f>
        <v>0</v>
      </c>
      <c r="AO1896" s="286"/>
      <c r="AP1896" s="284">
        <f t="shared" si="866"/>
        <v>0</v>
      </c>
      <c r="AQ1896" s="281">
        <f t="shared" si="867"/>
        <v>0</v>
      </c>
      <c r="AR1896" s="284">
        <f t="shared" si="868"/>
        <v>0</v>
      </c>
      <c r="AS1896" s="281">
        <f t="shared" si="869"/>
        <v>0</v>
      </c>
      <c r="AT1896" s="284">
        <f t="shared" si="870"/>
        <v>0</v>
      </c>
      <c r="AU1896" s="117"/>
      <c r="AV1896" s="117"/>
      <c r="AW1896" s="117"/>
      <c r="AX1896" s="117"/>
      <c r="AY1896" s="117"/>
      <c r="AZ1896" s="117"/>
      <c r="BA1896" s="117"/>
      <c r="BB1896" s="117"/>
      <c r="BC1896" s="117"/>
      <c r="BD1896" s="117"/>
      <c r="BE1896" s="117"/>
      <c r="BF1896" s="117"/>
      <c r="BG1896" s="117"/>
      <c r="BH1896" s="117"/>
      <c r="BI1896" s="117"/>
      <c r="BJ1896" s="117"/>
      <c r="BK1896" s="117"/>
      <c r="BL1896" s="117"/>
      <c r="BM1896" s="117"/>
      <c r="BN1896" s="117"/>
      <c r="BO1896" s="117"/>
      <c r="BP1896" s="117"/>
      <c r="BQ1896" s="117"/>
      <c r="BR1896" s="117"/>
      <c r="BS1896" s="117"/>
      <c r="BT1896" s="117"/>
      <c r="BU1896" s="117"/>
      <c r="BV1896" s="117"/>
      <c r="BW1896" s="117"/>
      <c r="BX1896" s="117"/>
      <c r="BY1896" s="117"/>
      <c r="BZ1896" s="117"/>
      <c r="CA1896" s="117"/>
      <c r="CB1896" s="117"/>
      <c r="CC1896" s="117"/>
      <c r="CD1896" s="117"/>
      <c r="CE1896" s="117"/>
      <c r="CF1896" s="117"/>
      <c r="CG1896" s="117"/>
      <c r="CH1896" s="117"/>
      <c r="CI1896" s="117"/>
      <c r="CJ1896" s="117"/>
      <c r="CK1896" s="117"/>
      <c r="CL1896" s="117"/>
      <c r="CM1896" s="117"/>
      <c r="CN1896" s="117"/>
      <c r="CO1896" s="117"/>
      <c r="CP1896" s="117"/>
      <c r="CQ1896" s="117"/>
      <c r="CR1896" s="117"/>
      <c r="CS1896" s="117"/>
    </row>
    <row r="1897" spans="1:97" s="261" customFormat="1" ht="92.6" x14ac:dyDescent="1.2">
      <c r="A1897" s="262">
        <f>ROW()</f>
        <v>1897</v>
      </c>
      <c r="B1897" s="261" t="s">
        <v>491</v>
      </c>
      <c r="D1897" s="261" t="str">
        <f>IF(B1897="Shopping List",IF(ISNUMBER(SEARCH("MSSB",C1897)),"MSSB",IF(ISNUMBER(SEARCH("local",C1897)),"LOCAL","")))</f>
        <v/>
      </c>
      <c r="I1897" s="269">
        <f>SUM(I1946:I1994)</f>
        <v>0</v>
      </c>
      <c r="J1897" s="261" t="s">
        <v>497</v>
      </c>
      <c r="L1897" s="261" t="str">
        <f>J1897</f>
        <v>Kitchen</v>
      </c>
      <c r="AN1897" s="261">
        <f>K1897*1.25</f>
        <v>0</v>
      </c>
      <c r="AO1897" s="289"/>
      <c r="AP1897" s="284">
        <f t="shared" si="866"/>
        <v>0</v>
      </c>
      <c r="AQ1897" s="281">
        <f t="shared" si="867"/>
        <v>0</v>
      </c>
      <c r="AR1897" s="284">
        <f t="shared" si="868"/>
        <v>0</v>
      </c>
      <c r="AS1897" s="281">
        <f t="shared" si="869"/>
        <v>0</v>
      </c>
      <c r="AT1897" s="284">
        <f t="shared" si="870"/>
        <v>0</v>
      </c>
    </row>
    <row r="1898" spans="1:97" s="139" customFormat="1" ht="31.5" customHeight="1" x14ac:dyDescent="0.8">
      <c r="A1898" s="262">
        <f>ROW()</f>
        <v>1898</v>
      </c>
      <c r="C1898" s="213"/>
      <c r="D1898" s="213"/>
      <c r="E1898" s="213"/>
      <c r="F1898" s="213"/>
      <c r="G1898" s="213"/>
      <c r="H1898" s="213"/>
      <c r="J1898" s="125"/>
      <c r="K1898" s="57"/>
      <c r="L1898" s="56"/>
      <c r="M1898" s="89"/>
      <c r="N1898" s="88"/>
      <c r="O1898" s="160"/>
      <c r="P1898" s="171"/>
      <c r="Q1898" s="161"/>
      <c r="R1898" s="102"/>
      <c r="S1898" s="88"/>
      <c r="T1898" s="102"/>
      <c r="U1898" s="103"/>
      <c r="V1898" s="103"/>
      <c r="W1898" s="104"/>
      <c r="X1898" s="105"/>
      <c r="Y1898" s="106"/>
      <c r="Z1898" s="106"/>
      <c r="AA1898" s="107"/>
      <c r="AB1898" s="102"/>
      <c r="AC1898" s="102"/>
      <c r="AD1898" s="102"/>
      <c r="AE1898" s="102"/>
      <c r="AF1898" s="106"/>
      <c r="AG1898" s="106"/>
      <c r="AH1898" s="107"/>
      <c r="AI1898" s="102"/>
      <c r="AJ1898" s="102"/>
      <c r="AK1898" s="102"/>
      <c r="AL1898" s="102"/>
      <c r="AO1898" s="286"/>
      <c r="AP1898" s="284">
        <f t="shared" si="866"/>
        <v>0</v>
      </c>
      <c r="AQ1898" s="281">
        <f t="shared" si="867"/>
        <v>0</v>
      </c>
      <c r="AR1898" s="284">
        <f t="shared" si="868"/>
        <v>0</v>
      </c>
      <c r="AS1898" s="281">
        <f t="shared" si="869"/>
        <v>0</v>
      </c>
      <c r="AT1898" s="284">
        <f t="shared" si="870"/>
        <v>0</v>
      </c>
    </row>
    <row r="1899" spans="1:97" s="116" customFormat="1" ht="192.75" customHeight="1" x14ac:dyDescent="0.8">
      <c r="A1899" s="262">
        <f>ROW()</f>
        <v>1899</v>
      </c>
      <c r="C1899" s="211"/>
      <c r="D1899" s="211"/>
      <c r="E1899" s="211"/>
      <c r="F1899" s="211"/>
      <c r="G1899" s="211"/>
      <c r="H1899" s="211"/>
      <c r="K1899" s="116" t="s">
        <v>452</v>
      </c>
      <c r="M1899" s="116" t="s">
        <v>107</v>
      </c>
      <c r="N1899" s="116" t="s">
        <v>108</v>
      </c>
      <c r="O1899" s="170" t="s">
        <v>386</v>
      </c>
      <c r="P1899" s="502" t="s">
        <v>375</v>
      </c>
      <c r="Q1899" s="502"/>
      <c r="R1899" s="101" t="s">
        <v>452</v>
      </c>
      <c r="S1899" s="116" t="s">
        <v>0</v>
      </c>
      <c r="T1899" s="118"/>
      <c r="U1899" s="116" t="s">
        <v>287</v>
      </c>
      <c r="V1899" s="116" t="s">
        <v>288</v>
      </c>
      <c r="W1899" s="116" t="s">
        <v>291</v>
      </c>
      <c r="X1899" s="140"/>
      <c r="Y1899" s="116" t="s">
        <v>289</v>
      </c>
      <c r="Z1899" s="116" t="s">
        <v>354</v>
      </c>
      <c r="AA1899" s="116" t="s">
        <v>355</v>
      </c>
      <c r="AB1899" s="116" t="s">
        <v>317</v>
      </c>
      <c r="AC1899" s="116" t="s">
        <v>318</v>
      </c>
      <c r="AD1899" s="116" t="s">
        <v>316</v>
      </c>
      <c r="AE1899" s="140"/>
      <c r="AF1899" s="116" t="s">
        <v>293</v>
      </c>
      <c r="AG1899" s="116" t="s">
        <v>354</v>
      </c>
      <c r="AH1899" s="116" t="s">
        <v>355</v>
      </c>
      <c r="AI1899" s="116" t="s">
        <v>296</v>
      </c>
      <c r="AJ1899" s="116" t="s">
        <v>294</v>
      </c>
      <c r="AK1899" s="116" t="s">
        <v>295</v>
      </c>
      <c r="AL1899" s="140"/>
      <c r="AO1899" s="288"/>
      <c r="AP1899" s="284">
        <f t="shared" si="866"/>
        <v>0</v>
      </c>
      <c r="AQ1899" s="281">
        <f t="shared" si="867"/>
        <v>0</v>
      </c>
      <c r="AR1899" s="284">
        <f t="shared" si="868"/>
        <v>0</v>
      </c>
      <c r="AS1899" s="281">
        <f t="shared" si="869"/>
        <v>0</v>
      </c>
      <c r="AT1899" s="284">
        <f t="shared" si="870"/>
        <v>0</v>
      </c>
    </row>
    <row r="1900" spans="1:97" s="114" customFormat="1" ht="40.5" customHeight="1" x14ac:dyDescent="0.8">
      <c r="A1900" s="262">
        <f>ROW()</f>
        <v>1900</v>
      </c>
      <c r="C1900" s="208"/>
      <c r="D1900" s="208"/>
      <c r="E1900" s="208"/>
      <c r="F1900" s="208"/>
      <c r="G1900" s="208"/>
      <c r="H1900" s="208"/>
      <c r="L1900" s="124" t="str">
        <f>VLOOKUP(M1900,Sheet2!$D$2:$E$1024,2,FALSE)</f>
        <v>Zero</v>
      </c>
      <c r="M1900" s="121">
        <f>I1922</f>
        <v>0</v>
      </c>
      <c r="N1900" s="132" t="s">
        <v>465</v>
      </c>
      <c r="O1900" s="121" t="s">
        <v>347</v>
      </c>
      <c r="P1900" s="169" t="s">
        <v>379</v>
      </c>
      <c r="Q1900" s="169" t="s">
        <v>375</v>
      </c>
      <c r="R1900" s="169"/>
      <c r="S1900" s="133">
        <f>M1900</f>
        <v>0</v>
      </c>
      <c r="T1900" s="119"/>
      <c r="U1900" s="121" t="s">
        <v>292</v>
      </c>
      <c r="V1900" s="133">
        <f>S1900</f>
        <v>0</v>
      </c>
      <c r="W1900" s="133">
        <f>VLOOKUP(U1900,Sheet1!$B$6:$C$45,2,FALSE)*V1900</f>
        <v>0</v>
      </c>
      <c r="X1900" s="141"/>
      <c r="Y1900" s="121" t="s">
        <v>292</v>
      </c>
      <c r="Z1900" s="146">
        <f>VLOOKUP(Takeoffs!Y1900,Sheet1!$B$6:$C$124,2,FALSE)</f>
        <v>0</v>
      </c>
      <c r="AA1900" s="146">
        <f>Z1900*AB1900</f>
        <v>0</v>
      </c>
      <c r="AB1900" s="143">
        <f>AD1900*AC1900</f>
        <v>0</v>
      </c>
      <c r="AC1900" s="133">
        <f>S1900</f>
        <v>0</v>
      </c>
      <c r="AD1900" s="142">
        <v>1</v>
      </c>
      <c r="AE1900" s="141"/>
      <c r="AF1900" s="121" t="s">
        <v>292</v>
      </c>
      <c r="AG1900" s="146">
        <f>VLOOKUP(Takeoffs!AF1900,Sheet1!$B$6:$C$124,2,FALSE)</f>
        <v>0</v>
      </c>
      <c r="AH1900" s="146">
        <f>AG1900*AI1900</f>
        <v>0</v>
      </c>
      <c r="AI1900" s="143">
        <f>AK1900*AJ1900</f>
        <v>0</v>
      </c>
      <c r="AJ1900" s="133">
        <f>S1900</f>
        <v>0</v>
      </c>
      <c r="AK1900" s="142">
        <v>0</v>
      </c>
      <c r="AL1900" s="141"/>
      <c r="AO1900" s="286"/>
      <c r="AP1900" s="284">
        <f t="shared" si="866"/>
        <v>0</v>
      </c>
      <c r="AQ1900" s="281">
        <f t="shared" si="867"/>
        <v>0</v>
      </c>
      <c r="AR1900" s="284">
        <f t="shared" si="868"/>
        <v>0</v>
      </c>
      <c r="AS1900" s="281">
        <f t="shared" si="869"/>
        <v>0</v>
      </c>
      <c r="AT1900" s="284">
        <f t="shared" si="870"/>
        <v>0</v>
      </c>
    </row>
    <row r="1901" spans="1:97" s="114" customFormat="1" ht="30.9" x14ac:dyDescent="0.8">
      <c r="A1901" s="262">
        <f>ROW()</f>
        <v>1901</v>
      </c>
      <c r="C1901" s="208"/>
      <c r="D1901" s="208"/>
      <c r="E1901" s="208"/>
      <c r="F1901" s="208"/>
      <c r="G1901" s="208"/>
      <c r="H1901" s="208"/>
      <c r="J1901" s="114" t="str">
        <f>IF(COUNTBLANK(Q1901)&gt;0,"",CONCATENATE("Coordination Note: - ",P1901,": Please refer to our exclusions relating to ",Q1901))</f>
        <v/>
      </c>
      <c r="K1901" s="114" t="str">
        <f>IF(COUNTBLANK(R1901)&gt;0,"",CONCATENATE(R1901," for ",N1900))</f>
        <v/>
      </c>
      <c r="M1901" s="117"/>
      <c r="N1901" s="123" t="s">
        <v>113</v>
      </c>
      <c r="O1901" s="66" t="s">
        <v>411</v>
      </c>
      <c r="P1901" s="121"/>
      <c r="Q1901" s="121"/>
      <c r="R1901" s="121"/>
      <c r="S1901" s="133">
        <f>M1900</f>
        <v>0</v>
      </c>
      <c r="T1901" s="120"/>
      <c r="U1901" s="121" t="s">
        <v>235</v>
      </c>
      <c r="V1901" s="133">
        <f t="shared" ref="V1901:V1920" si="874">S1901</f>
        <v>0</v>
      </c>
      <c r="W1901" s="133">
        <f>VLOOKUP(U1901,Sheet1!$B$6:$C$45,2,FALSE)*V1901</f>
        <v>0</v>
      </c>
      <c r="X1901" s="141"/>
      <c r="Y1901" s="121" t="s">
        <v>292</v>
      </c>
      <c r="Z1901" s="146">
        <f>VLOOKUP(Takeoffs!Y1901,Sheet1!$B$6:$C$124,2,FALSE)</f>
        <v>0</v>
      </c>
      <c r="AA1901" s="146">
        <f t="shared" ref="AA1901:AA1920" si="875">Z1901*AB1901</f>
        <v>0</v>
      </c>
      <c r="AB1901" s="143">
        <f t="shared" ref="AB1901:AB1920" si="876">AD1901*AC1901</f>
        <v>0</v>
      </c>
      <c r="AC1901" s="133">
        <f>S1901</f>
        <v>0</v>
      </c>
      <c r="AD1901" s="142">
        <v>1</v>
      </c>
      <c r="AE1901" s="141"/>
      <c r="AF1901" s="121" t="s">
        <v>292</v>
      </c>
      <c r="AG1901" s="146">
        <f>VLOOKUP(Takeoffs!AF1901,Sheet1!$B$6:$C$124,2,FALSE)</f>
        <v>0</v>
      </c>
      <c r="AH1901" s="146">
        <f t="shared" ref="AH1901:AH1920" si="877">AG1901*AI1901</f>
        <v>0</v>
      </c>
      <c r="AI1901" s="143">
        <f t="shared" ref="AI1901:AI1920" si="878">AK1901*AJ1901</f>
        <v>0</v>
      </c>
      <c r="AJ1901" s="133">
        <f t="shared" ref="AJ1901:AJ1920" si="879">S1901</f>
        <v>0</v>
      </c>
      <c r="AK1901" s="142"/>
      <c r="AL1901" s="141"/>
      <c r="AO1901" s="286"/>
      <c r="AP1901" s="284">
        <f t="shared" si="866"/>
        <v>0</v>
      </c>
      <c r="AQ1901" s="281">
        <f t="shared" si="867"/>
        <v>0</v>
      </c>
      <c r="AR1901" s="284">
        <f t="shared" si="868"/>
        <v>0</v>
      </c>
      <c r="AS1901" s="281">
        <f t="shared" si="869"/>
        <v>0</v>
      </c>
      <c r="AT1901" s="284">
        <f t="shared" si="870"/>
        <v>0</v>
      </c>
    </row>
    <row r="1902" spans="1:97" s="114" customFormat="1" ht="30.9" x14ac:dyDescent="0.8">
      <c r="A1902" s="262">
        <f>ROW()</f>
        <v>1902</v>
      </c>
      <c r="C1902" s="208"/>
      <c r="D1902" s="208"/>
      <c r="E1902" s="208"/>
      <c r="F1902" s="208"/>
      <c r="G1902" s="208"/>
      <c r="H1902" s="208"/>
      <c r="J1902" s="114" t="str">
        <f t="shared" ref="J1902:J1920" si="880">IF(COUNTBLANK(Q1902)&gt;0,"",CONCATENATE("Coordination Note: - ",P1902,": Please refer to our exclusions relating to ",Q1902))</f>
        <v/>
      </c>
      <c r="K1902" s="114" t="str">
        <f>IF(COUNTBLANK(R1902)&gt;0,"",CONCATENATE(R1902," for ",N1900))</f>
        <v/>
      </c>
      <c r="M1902" s="117"/>
      <c r="N1902" s="123" t="s">
        <v>114</v>
      </c>
      <c r="O1902" s="66"/>
      <c r="P1902" s="121"/>
      <c r="Q1902" s="121"/>
      <c r="R1902" s="121"/>
      <c r="S1902" s="133">
        <f>M1900</f>
        <v>0</v>
      </c>
      <c r="T1902" s="120"/>
      <c r="U1902" s="121" t="s">
        <v>292</v>
      </c>
      <c r="V1902" s="133">
        <f t="shared" si="874"/>
        <v>0</v>
      </c>
      <c r="W1902" s="133">
        <f>VLOOKUP(U1902,Sheet1!$B$6:$C$45,2,FALSE)*V1902</f>
        <v>0</v>
      </c>
      <c r="X1902" s="141"/>
      <c r="Y1902" s="121" t="s">
        <v>292</v>
      </c>
      <c r="Z1902" s="146">
        <f>VLOOKUP(Takeoffs!Y1902,Sheet1!$B$6:$C$124,2,FALSE)</f>
        <v>0</v>
      </c>
      <c r="AA1902" s="146">
        <f t="shared" si="875"/>
        <v>0</v>
      </c>
      <c r="AB1902" s="143">
        <f t="shared" si="876"/>
        <v>0</v>
      </c>
      <c r="AC1902" s="133">
        <f>S1902</f>
        <v>0</v>
      </c>
      <c r="AD1902" s="142">
        <v>1</v>
      </c>
      <c r="AE1902" s="141"/>
      <c r="AF1902" s="121" t="s">
        <v>292</v>
      </c>
      <c r="AG1902" s="146">
        <f>VLOOKUP(Takeoffs!AF1902,Sheet1!$B$6:$C$124,2,FALSE)</f>
        <v>0</v>
      </c>
      <c r="AH1902" s="146">
        <f t="shared" si="877"/>
        <v>0</v>
      </c>
      <c r="AI1902" s="143">
        <f t="shared" si="878"/>
        <v>0</v>
      </c>
      <c r="AJ1902" s="133">
        <f t="shared" si="879"/>
        <v>0</v>
      </c>
      <c r="AK1902" s="142">
        <v>0</v>
      </c>
      <c r="AL1902" s="141"/>
      <c r="AO1902" s="286"/>
      <c r="AP1902" s="284">
        <f t="shared" si="866"/>
        <v>0</v>
      </c>
      <c r="AQ1902" s="281">
        <f t="shared" si="867"/>
        <v>0</v>
      </c>
      <c r="AR1902" s="284">
        <f t="shared" si="868"/>
        <v>0</v>
      </c>
      <c r="AS1902" s="281">
        <f t="shared" si="869"/>
        <v>0</v>
      </c>
      <c r="AT1902" s="284">
        <f t="shared" si="870"/>
        <v>0</v>
      </c>
    </row>
    <row r="1903" spans="1:97" s="114" customFormat="1" ht="30.9" x14ac:dyDescent="0.8">
      <c r="A1903" s="262">
        <f>ROW()</f>
        <v>1903</v>
      </c>
      <c r="C1903" s="208"/>
      <c r="D1903" s="208"/>
      <c r="E1903" s="208"/>
      <c r="F1903" s="208"/>
      <c r="G1903" s="208"/>
      <c r="H1903" s="208"/>
      <c r="J1903" s="114" t="str">
        <f t="shared" si="880"/>
        <v>Coordination Note: - Electrical trade: Please refer to our exclusions relating to Power suply adjacent fan</v>
      </c>
      <c r="K1903" s="114" t="str">
        <f>IF(COUNTBLANK(R1903)&gt;0,"",CONCATENATE(R1903," for ",N1900))</f>
        <v/>
      </c>
      <c r="M1903" s="117"/>
      <c r="N1903" s="123" t="s">
        <v>115</v>
      </c>
      <c r="O1903" s="66" t="s">
        <v>510</v>
      </c>
      <c r="P1903" s="121" t="s">
        <v>463</v>
      </c>
      <c r="Q1903" s="121" t="s">
        <v>464</v>
      </c>
      <c r="R1903" s="121"/>
      <c r="S1903" s="133">
        <f>M1900</f>
        <v>0</v>
      </c>
      <c r="T1903" s="120"/>
      <c r="U1903" s="121" t="s">
        <v>361</v>
      </c>
      <c r="V1903" s="133">
        <f t="shared" si="874"/>
        <v>0</v>
      </c>
      <c r="W1903" s="133">
        <f>VLOOKUP(U1903,Sheet1!$B$6:$C$45,2,FALSE)*V1903</f>
        <v>0</v>
      </c>
      <c r="X1903" s="141"/>
      <c r="Y1903" s="121" t="s">
        <v>292</v>
      </c>
      <c r="Z1903" s="146">
        <f>VLOOKUP(Takeoffs!Y1903,Sheet1!$B$6:$C$124,2,FALSE)</f>
        <v>0</v>
      </c>
      <c r="AA1903" s="146">
        <f t="shared" si="875"/>
        <v>0</v>
      </c>
      <c r="AB1903" s="143">
        <f t="shared" si="876"/>
        <v>0</v>
      </c>
      <c r="AC1903" s="133">
        <f t="shared" ref="AC1903:AC1920" si="881">S1903</f>
        <v>0</v>
      </c>
      <c r="AD1903" s="142">
        <v>1</v>
      </c>
      <c r="AE1903" s="141"/>
      <c r="AF1903" s="122" t="s">
        <v>267</v>
      </c>
      <c r="AG1903" s="146">
        <f>VLOOKUP(Takeoffs!AF1903,Sheet1!$B$6:$C$124,2,FALSE)</f>
        <v>3.48</v>
      </c>
      <c r="AH1903" s="146">
        <f t="shared" si="877"/>
        <v>0</v>
      </c>
      <c r="AI1903" s="143">
        <f t="shared" si="878"/>
        <v>0</v>
      </c>
      <c r="AJ1903" s="133">
        <f t="shared" si="879"/>
        <v>0</v>
      </c>
      <c r="AK1903" s="142">
        <v>1.5</v>
      </c>
      <c r="AL1903" s="141"/>
      <c r="AO1903" s="286"/>
      <c r="AP1903" s="284">
        <f t="shared" si="866"/>
        <v>0</v>
      </c>
      <c r="AQ1903" s="281">
        <f t="shared" si="867"/>
        <v>0</v>
      </c>
      <c r="AR1903" s="284">
        <f t="shared" si="868"/>
        <v>0</v>
      </c>
      <c r="AS1903" s="281">
        <f t="shared" si="869"/>
        <v>0</v>
      </c>
      <c r="AT1903" s="284">
        <f t="shared" si="870"/>
        <v>0</v>
      </c>
    </row>
    <row r="1904" spans="1:97" s="114" customFormat="1" ht="30.9" x14ac:dyDescent="0.8">
      <c r="A1904" s="262">
        <f>ROW()</f>
        <v>1904</v>
      </c>
      <c r="C1904" s="208"/>
      <c r="D1904" s="208"/>
      <c r="E1904" s="208"/>
      <c r="F1904" s="208"/>
      <c r="G1904" s="208"/>
      <c r="H1904" s="208"/>
      <c r="J1904" s="114" t="str">
        <f t="shared" si="880"/>
        <v/>
      </c>
      <c r="K1904" s="114" t="str">
        <f>IF(COUNTBLANK(R1904)&gt;0,"",CONCATENATE(R1904," for ",N1900))</f>
        <v/>
      </c>
      <c r="M1904" s="117"/>
      <c r="N1904" s="123" t="s">
        <v>116</v>
      </c>
      <c r="O1904" s="66" t="s">
        <v>511</v>
      </c>
      <c r="P1904" s="121"/>
      <c r="Q1904" s="121"/>
      <c r="R1904" s="121"/>
      <c r="S1904" s="133">
        <f>M1900</f>
        <v>0</v>
      </c>
      <c r="T1904" s="120"/>
      <c r="U1904" s="121" t="s">
        <v>292</v>
      </c>
      <c r="V1904" s="133">
        <f t="shared" si="874"/>
        <v>0</v>
      </c>
      <c r="W1904" s="133">
        <f>VLOOKUP(U1904,Sheet1!$B$6:$C$45,2,FALSE)*V1904</f>
        <v>0</v>
      </c>
      <c r="X1904" s="141"/>
      <c r="Y1904" s="152" t="s">
        <v>264</v>
      </c>
      <c r="Z1904" s="146">
        <f>VLOOKUP(Takeoffs!Y1904,Sheet1!$B$6:$C$124,2,FALSE)</f>
        <v>751.07999999999993</v>
      </c>
      <c r="AA1904" s="146">
        <f t="shared" si="875"/>
        <v>0</v>
      </c>
      <c r="AB1904" s="143">
        <f t="shared" si="876"/>
        <v>0</v>
      </c>
      <c r="AC1904" s="133">
        <f t="shared" si="881"/>
        <v>0</v>
      </c>
      <c r="AD1904" s="142">
        <v>1</v>
      </c>
      <c r="AE1904" s="141"/>
      <c r="AF1904" s="121" t="s">
        <v>292</v>
      </c>
      <c r="AG1904" s="146">
        <f>VLOOKUP(Takeoffs!AF1904,Sheet1!$B$6:$C$124,2,FALSE)</f>
        <v>0</v>
      </c>
      <c r="AH1904" s="146">
        <f t="shared" si="877"/>
        <v>0</v>
      </c>
      <c r="AI1904" s="143">
        <f t="shared" si="878"/>
        <v>0</v>
      </c>
      <c r="AJ1904" s="133">
        <f t="shared" si="879"/>
        <v>0</v>
      </c>
      <c r="AK1904" s="142">
        <v>0</v>
      </c>
      <c r="AL1904" s="141"/>
      <c r="AO1904" s="286"/>
      <c r="AP1904" s="284">
        <f t="shared" si="866"/>
        <v>0</v>
      </c>
      <c r="AQ1904" s="281">
        <f t="shared" si="867"/>
        <v>0</v>
      </c>
      <c r="AR1904" s="284">
        <f t="shared" si="868"/>
        <v>0</v>
      </c>
      <c r="AS1904" s="281">
        <f t="shared" si="869"/>
        <v>0</v>
      </c>
      <c r="AT1904" s="284">
        <f t="shared" si="870"/>
        <v>0</v>
      </c>
    </row>
    <row r="1905" spans="1:46" s="114" customFormat="1" ht="30.9" x14ac:dyDescent="0.8">
      <c r="A1905" s="262">
        <f>ROW()</f>
        <v>1905</v>
      </c>
      <c r="C1905" s="208"/>
      <c r="D1905" s="208"/>
      <c r="E1905" s="208"/>
      <c r="F1905" s="208"/>
      <c r="G1905" s="208"/>
      <c r="H1905" s="208"/>
      <c r="J1905" s="114" t="str">
        <f t="shared" si="880"/>
        <v/>
      </c>
      <c r="K1905" s="114" t="str">
        <f>IF(COUNTBLANK(R1905)&gt;0,"",CONCATENATE(R1905," for ",N1900))</f>
        <v/>
      </c>
      <c r="M1905" s="117"/>
      <c r="N1905" s="123" t="s">
        <v>117</v>
      </c>
      <c r="O1905" s="66" t="s">
        <v>390</v>
      </c>
      <c r="P1905" s="121"/>
      <c r="Q1905" s="121"/>
      <c r="R1905" s="121"/>
      <c r="S1905" s="133">
        <f>M1900</f>
        <v>0</v>
      </c>
      <c r="T1905" s="120"/>
      <c r="U1905" s="121" t="s">
        <v>292</v>
      </c>
      <c r="V1905" s="133">
        <f t="shared" si="874"/>
        <v>0</v>
      </c>
      <c r="W1905" s="133">
        <f>VLOOKUP(U1905,Sheet1!$B$6:$C$45,2,FALSE)*V1905</f>
        <v>0</v>
      </c>
      <c r="X1905" s="141"/>
      <c r="Y1905" s="121" t="s">
        <v>292</v>
      </c>
      <c r="Z1905" s="146">
        <f>VLOOKUP(Takeoffs!Y1905,Sheet1!$B$6:$C$124,2,FALSE)</f>
        <v>0</v>
      </c>
      <c r="AA1905" s="146">
        <f t="shared" si="875"/>
        <v>0</v>
      </c>
      <c r="AB1905" s="143">
        <f t="shared" si="876"/>
        <v>0</v>
      </c>
      <c r="AC1905" s="133">
        <f t="shared" si="881"/>
        <v>0</v>
      </c>
      <c r="AD1905" s="142">
        <v>1</v>
      </c>
      <c r="AE1905" s="141"/>
      <c r="AF1905" s="122" t="s">
        <v>267</v>
      </c>
      <c r="AG1905" s="146">
        <f>VLOOKUP(Takeoffs!AF1905,Sheet1!$B$6:$C$124,2,FALSE)</f>
        <v>3.48</v>
      </c>
      <c r="AH1905" s="146">
        <f t="shared" si="877"/>
        <v>0</v>
      </c>
      <c r="AI1905" s="143">
        <f t="shared" si="878"/>
        <v>0</v>
      </c>
      <c r="AJ1905" s="133">
        <f t="shared" si="879"/>
        <v>0</v>
      </c>
      <c r="AK1905" s="142">
        <v>15</v>
      </c>
      <c r="AL1905" s="141"/>
      <c r="AO1905" s="286"/>
      <c r="AP1905" s="284">
        <f t="shared" si="866"/>
        <v>0</v>
      </c>
      <c r="AQ1905" s="281">
        <f t="shared" si="867"/>
        <v>0</v>
      </c>
      <c r="AR1905" s="284">
        <f t="shared" si="868"/>
        <v>0</v>
      </c>
      <c r="AS1905" s="281">
        <f t="shared" si="869"/>
        <v>0</v>
      </c>
      <c r="AT1905" s="284">
        <f t="shared" si="870"/>
        <v>0</v>
      </c>
    </row>
    <row r="1906" spans="1:46" s="114" customFormat="1" ht="30.9" x14ac:dyDescent="0.8">
      <c r="A1906" s="262">
        <f>ROW()</f>
        <v>1906</v>
      </c>
      <c r="C1906" s="208"/>
      <c r="D1906" s="208"/>
      <c r="E1906" s="208"/>
      <c r="F1906" s="208"/>
      <c r="G1906" s="208"/>
      <c r="H1906" s="208"/>
      <c r="J1906" s="114" t="str">
        <f t="shared" si="880"/>
        <v/>
      </c>
      <c r="K1906" s="114" t="str">
        <f>IF(COUNTBLANK(R1906)&gt;0,"",CONCATENATE(R1906," for ",N1900))</f>
        <v/>
      </c>
      <c r="M1906" s="117"/>
      <c r="N1906" s="123" t="s">
        <v>118</v>
      </c>
      <c r="O1906" s="66" t="s">
        <v>309</v>
      </c>
      <c r="P1906" s="121"/>
      <c r="Q1906" s="121"/>
      <c r="R1906" s="121"/>
      <c r="S1906" s="133">
        <f>M1900</f>
        <v>0</v>
      </c>
      <c r="T1906" s="120"/>
      <c r="U1906" s="121" t="s">
        <v>292</v>
      </c>
      <c r="V1906" s="133">
        <f t="shared" si="874"/>
        <v>0</v>
      </c>
      <c r="W1906" s="133">
        <f>VLOOKUP(U1906,Sheet1!$B$6:$C$45,2,FALSE)*V1906</f>
        <v>0</v>
      </c>
      <c r="X1906" s="141"/>
      <c r="Y1906" s="122" t="s">
        <v>245</v>
      </c>
      <c r="Z1906" s="146">
        <f>VLOOKUP(Takeoffs!Y1906,Sheet1!$B$6:$C$124,2,FALSE)</f>
        <v>46.463999999999999</v>
      </c>
      <c r="AA1906" s="146">
        <f t="shared" si="875"/>
        <v>0</v>
      </c>
      <c r="AB1906" s="143">
        <f t="shared" si="876"/>
        <v>0</v>
      </c>
      <c r="AC1906" s="133">
        <f t="shared" si="881"/>
        <v>0</v>
      </c>
      <c r="AD1906" s="142">
        <v>1</v>
      </c>
      <c r="AE1906" s="141"/>
      <c r="AF1906" s="121" t="s">
        <v>292</v>
      </c>
      <c r="AG1906" s="146">
        <f>VLOOKUP(Takeoffs!AF1906,Sheet1!$B$6:$C$124,2,FALSE)</f>
        <v>0</v>
      </c>
      <c r="AH1906" s="146">
        <f t="shared" si="877"/>
        <v>0</v>
      </c>
      <c r="AI1906" s="143">
        <f t="shared" si="878"/>
        <v>0</v>
      </c>
      <c r="AJ1906" s="133">
        <f t="shared" si="879"/>
        <v>0</v>
      </c>
      <c r="AK1906" s="142">
        <v>0</v>
      </c>
      <c r="AL1906" s="141"/>
      <c r="AO1906" s="286"/>
      <c r="AP1906" s="284">
        <f t="shared" si="866"/>
        <v>0</v>
      </c>
      <c r="AQ1906" s="281">
        <f t="shared" si="867"/>
        <v>0</v>
      </c>
      <c r="AR1906" s="284">
        <f t="shared" si="868"/>
        <v>0</v>
      </c>
      <c r="AS1906" s="281">
        <f t="shared" si="869"/>
        <v>0</v>
      </c>
      <c r="AT1906" s="284">
        <f t="shared" si="870"/>
        <v>0</v>
      </c>
    </row>
    <row r="1907" spans="1:46" s="114" customFormat="1" ht="30.9" x14ac:dyDescent="0.8">
      <c r="A1907" s="262">
        <f>ROW()</f>
        <v>1907</v>
      </c>
      <c r="C1907" s="208"/>
      <c r="D1907" s="208"/>
      <c r="E1907" s="208"/>
      <c r="F1907" s="208"/>
      <c r="G1907" s="208"/>
      <c r="H1907" s="208"/>
      <c r="J1907" s="114" t="str">
        <f t="shared" si="880"/>
        <v/>
      </c>
      <c r="K1907" s="114" t="str">
        <f>IF(COUNTBLANK(R1907)&gt;0,"",CONCATENATE(R1907," for ",N1900))</f>
        <v/>
      </c>
      <c r="N1907" s="123" t="s">
        <v>119</v>
      </c>
      <c r="O1907" s="66" t="s">
        <v>307</v>
      </c>
      <c r="P1907" s="121"/>
      <c r="Q1907" s="121"/>
      <c r="R1907" s="121"/>
      <c r="S1907" s="133">
        <f>M1900</f>
        <v>0</v>
      </c>
      <c r="T1907" s="120"/>
      <c r="U1907" s="121" t="s">
        <v>292</v>
      </c>
      <c r="V1907" s="133">
        <f t="shared" si="874"/>
        <v>0</v>
      </c>
      <c r="W1907" s="133">
        <f>VLOOKUP(U1907,Sheet1!$B$6:$C$45,2,FALSE)*V1907</f>
        <v>0</v>
      </c>
      <c r="X1907" s="141"/>
      <c r="Y1907" s="121" t="s">
        <v>292</v>
      </c>
      <c r="Z1907" s="146">
        <f>VLOOKUP(Takeoffs!Y1907,Sheet1!$B$6:$C$124,2,FALSE)</f>
        <v>0</v>
      </c>
      <c r="AA1907" s="146">
        <f t="shared" si="875"/>
        <v>0</v>
      </c>
      <c r="AB1907" s="143">
        <f t="shared" si="876"/>
        <v>0</v>
      </c>
      <c r="AC1907" s="133">
        <f t="shared" si="881"/>
        <v>0</v>
      </c>
      <c r="AD1907" s="142">
        <v>1</v>
      </c>
      <c r="AE1907" s="141"/>
      <c r="AF1907" s="121" t="s">
        <v>292</v>
      </c>
      <c r="AG1907" s="146">
        <f>VLOOKUP(Takeoffs!AF1907,Sheet1!$B$6:$C$124,2,FALSE)</f>
        <v>0</v>
      </c>
      <c r="AH1907" s="146">
        <f t="shared" si="877"/>
        <v>0</v>
      </c>
      <c r="AI1907" s="143">
        <f t="shared" si="878"/>
        <v>0</v>
      </c>
      <c r="AJ1907" s="133">
        <f t="shared" si="879"/>
        <v>0</v>
      </c>
      <c r="AK1907" s="142">
        <v>0</v>
      </c>
      <c r="AL1907" s="141"/>
      <c r="AO1907" s="286"/>
      <c r="AP1907" s="284">
        <f t="shared" si="866"/>
        <v>0</v>
      </c>
      <c r="AQ1907" s="281">
        <f t="shared" si="867"/>
        <v>0</v>
      </c>
      <c r="AR1907" s="284">
        <f t="shared" si="868"/>
        <v>0</v>
      </c>
      <c r="AS1907" s="281">
        <f t="shared" si="869"/>
        <v>0</v>
      </c>
      <c r="AT1907" s="284">
        <f t="shared" si="870"/>
        <v>0</v>
      </c>
    </row>
    <row r="1908" spans="1:46" s="114" customFormat="1" ht="30.9" x14ac:dyDescent="0.8">
      <c r="A1908" s="262">
        <f>ROW()</f>
        <v>1908</v>
      </c>
      <c r="C1908" s="208"/>
      <c r="D1908" s="208"/>
      <c r="E1908" s="208"/>
      <c r="F1908" s="208"/>
      <c r="G1908" s="208"/>
      <c r="H1908" s="208"/>
      <c r="J1908" s="114" t="str">
        <f t="shared" si="880"/>
        <v/>
      </c>
      <c r="K1908" s="114" t="str">
        <f>IF(COUNTBLANK(R1908)&gt;0,"",CONCATENATE(R1908," for ",N1900))</f>
        <v/>
      </c>
      <c r="N1908" s="123" t="s">
        <v>120</v>
      </c>
      <c r="O1908" s="66"/>
      <c r="P1908" s="121"/>
      <c r="Q1908" s="121"/>
      <c r="R1908" s="121"/>
      <c r="S1908" s="133">
        <f>M1900</f>
        <v>0</v>
      </c>
      <c r="T1908" s="120"/>
      <c r="U1908" s="121" t="s">
        <v>292</v>
      </c>
      <c r="V1908" s="133">
        <f t="shared" si="874"/>
        <v>0</v>
      </c>
      <c r="W1908" s="133">
        <f>VLOOKUP(U1908,Sheet1!$B$6:$C$45,2,FALSE)*V1908</f>
        <v>0</v>
      </c>
      <c r="X1908" s="141"/>
      <c r="Y1908" s="121" t="s">
        <v>292</v>
      </c>
      <c r="Z1908" s="146">
        <f>VLOOKUP(Takeoffs!Y1908,Sheet1!$B$6:$C$124,2,FALSE)</f>
        <v>0</v>
      </c>
      <c r="AA1908" s="146">
        <f t="shared" si="875"/>
        <v>0</v>
      </c>
      <c r="AB1908" s="143">
        <f t="shared" si="876"/>
        <v>0</v>
      </c>
      <c r="AC1908" s="133">
        <f t="shared" si="881"/>
        <v>0</v>
      </c>
      <c r="AD1908" s="142">
        <v>1</v>
      </c>
      <c r="AE1908" s="141"/>
      <c r="AF1908" s="121" t="s">
        <v>292</v>
      </c>
      <c r="AG1908" s="146">
        <f>VLOOKUP(Takeoffs!AF1908,Sheet1!$B$6:$C$124,2,FALSE)</f>
        <v>0</v>
      </c>
      <c r="AH1908" s="146">
        <f t="shared" si="877"/>
        <v>0</v>
      </c>
      <c r="AI1908" s="143">
        <f t="shared" si="878"/>
        <v>0</v>
      </c>
      <c r="AJ1908" s="133">
        <f t="shared" si="879"/>
        <v>0</v>
      </c>
      <c r="AK1908" s="142">
        <v>0</v>
      </c>
      <c r="AL1908" s="141"/>
      <c r="AO1908" s="286"/>
      <c r="AP1908" s="284">
        <f t="shared" si="866"/>
        <v>0</v>
      </c>
      <c r="AQ1908" s="281">
        <f t="shared" si="867"/>
        <v>0</v>
      </c>
      <c r="AR1908" s="284">
        <f t="shared" si="868"/>
        <v>0</v>
      </c>
      <c r="AS1908" s="281">
        <f t="shared" si="869"/>
        <v>0</v>
      </c>
      <c r="AT1908" s="284">
        <f t="shared" si="870"/>
        <v>0</v>
      </c>
    </row>
    <row r="1909" spans="1:46" s="114" customFormat="1" ht="30.9" x14ac:dyDescent="0.8">
      <c r="A1909" s="262">
        <f>ROW()</f>
        <v>1909</v>
      </c>
      <c r="C1909" s="208"/>
      <c r="D1909" s="208"/>
      <c r="E1909" s="208"/>
      <c r="F1909" s="208"/>
      <c r="G1909" s="208"/>
      <c r="H1909" s="208"/>
      <c r="J1909" s="114" t="str">
        <f t="shared" si="880"/>
        <v/>
      </c>
      <c r="K1909" s="114" t="str">
        <f>IF(COUNTBLANK(R1909)&gt;0,"",CONCATENATE(R1909," for ",N1900))</f>
        <v/>
      </c>
      <c r="N1909" s="123" t="s">
        <v>121</v>
      </c>
      <c r="O1909" s="66"/>
      <c r="P1909" s="121"/>
      <c r="Q1909" s="121"/>
      <c r="R1909" s="121"/>
      <c r="S1909" s="133">
        <f>M1900</f>
        <v>0</v>
      </c>
      <c r="T1909" s="120"/>
      <c r="U1909" s="121" t="s">
        <v>292</v>
      </c>
      <c r="V1909" s="133">
        <f t="shared" si="874"/>
        <v>0</v>
      </c>
      <c r="W1909" s="133">
        <f>VLOOKUP(U1909,Sheet1!$B$6:$C$45,2,FALSE)*V1909</f>
        <v>0</v>
      </c>
      <c r="X1909" s="141"/>
      <c r="Y1909" s="121" t="s">
        <v>292</v>
      </c>
      <c r="Z1909" s="146">
        <f>VLOOKUP(Takeoffs!Y1909,Sheet1!$B$6:$C$124,2,FALSE)</f>
        <v>0</v>
      </c>
      <c r="AA1909" s="146">
        <f t="shared" si="875"/>
        <v>0</v>
      </c>
      <c r="AB1909" s="143">
        <f t="shared" si="876"/>
        <v>0</v>
      </c>
      <c r="AC1909" s="133">
        <f t="shared" si="881"/>
        <v>0</v>
      </c>
      <c r="AD1909" s="142">
        <v>1</v>
      </c>
      <c r="AE1909" s="141"/>
      <c r="AF1909" s="121" t="s">
        <v>292</v>
      </c>
      <c r="AG1909" s="146">
        <f>VLOOKUP(Takeoffs!AF1909,Sheet1!$B$6:$C$124,2,FALSE)</f>
        <v>0</v>
      </c>
      <c r="AH1909" s="146">
        <f t="shared" si="877"/>
        <v>0</v>
      </c>
      <c r="AI1909" s="143">
        <f t="shared" si="878"/>
        <v>0</v>
      </c>
      <c r="AJ1909" s="133">
        <f t="shared" si="879"/>
        <v>0</v>
      </c>
      <c r="AK1909" s="142">
        <v>0</v>
      </c>
      <c r="AL1909" s="141"/>
      <c r="AO1909" s="286"/>
      <c r="AP1909" s="284">
        <f t="shared" si="866"/>
        <v>0</v>
      </c>
      <c r="AQ1909" s="281">
        <f t="shared" si="867"/>
        <v>0</v>
      </c>
      <c r="AR1909" s="284">
        <f t="shared" si="868"/>
        <v>0</v>
      </c>
      <c r="AS1909" s="281">
        <f t="shared" si="869"/>
        <v>0</v>
      </c>
      <c r="AT1909" s="284">
        <f t="shared" si="870"/>
        <v>0</v>
      </c>
    </row>
    <row r="1910" spans="1:46" s="114" customFormat="1" ht="30.9" x14ac:dyDescent="0.8">
      <c r="A1910" s="262">
        <f>ROW()</f>
        <v>1910</v>
      </c>
      <c r="C1910" s="208"/>
      <c r="D1910" s="208"/>
      <c r="E1910" s="208"/>
      <c r="F1910" s="208"/>
      <c r="G1910" s="208"/>
      <c r="H1910" s="208"/>
      <c r="J1910" s="114" t="str">
        <f t="shared" si="880"/>
        <v/>
      </c>
      <c r="K1910" s="114" t="str">
        <f>IF(COUNTBLANK(R1910)&gt;0,"",CONCATENATE(R1910," for ",N1900))</f>
        <v/>
      </c>
      <c r="N1910" s="123" t="s">
        <v>122</v>
      </c>
      <c r="O1910" s="66" t="s">
        <v>512</v>
      </c>
      <c r="P1910" s="121"/>
      <c r="Q1910" s="121"/>
      <c r="R1910" s="121"/>
      <c r="S1910" s="133">
        <f>M1900</f>
        <v>0</v>
      </c>
      <c r="T1910" s="120"/>
      <c r="U1910" s="121" t="s">
        <v>363</v>
      </c>
      <c r="V1910" s="133">
        <f t="shared" si="874"/>
        <v>0</v>
      </c>
      <c r="W1910" s="133">
        <f>VLOOKUP(U1910,Sheet1!$B$6:$C$45,2,FALSE)*V1910</f>
        <v>0</v>
      </c>
      <c r="X1910" s="141"/>
      <c r="Y1910" s="122" t="s">
        <v>321</v>
      </c>
      <c r="Z1910" s="146">
        <f>VLOOKUP(Takeoffs!Y1910,Sheet1!$B$6:$C$124,2,FALSE)</f>
        <v>60</v>
      </c>
      <c r="AA1910" s="146">
        <f t="shared" si="875"/>
        <v>0</v>
      </c>
      <c r="AB1910" s="143">
        <f t="shared" si="876"/>
        <v>0</v>
      </c>
      <c r="AC1910" s="133">
        <f t="shared" si="881"/>
        <v>0</v>
      </c>
      <c r="AD1910" s="142">
        <v>1</v>
      </c>
      <c r="AE1910" s="141"/>
      <c r="AF1910" s="121" t="s">
        <v>292</v>
      </c>
      <c r="AG1910" s="146">
        <f>VLOOKUP(Takeoffs!AF1910,Sheet1!$B$6:$C$124,2,FALSE)</f>
        <v>0</v>
      </c>
      <c r="AH1910" s="146">
        <f t="shared" si="877"/>
        <v>0</v>
      </c>
      <c r="AI1910" s="143">
        <f t="shared" si="878"/>
        <v>0</v>
      </c>
      <c r="AJ1910" s="133">
        <f t="shared" si="879"/>
        <v>0</v>
      </c>
      <c r="AK1910" s="142">
        <v>0</v>
      </c>
      <c r="AL1910" s="141"/>
      <c r="AO1910" s="286"/>
      <c r="AP1910" s="284">
        <f t="shared" si="866"/>
        <v>0</v>
      </c>
      <c r="AQ1910" s="281">
        <f t="shared" si="867"/>
        <v>0</v>
      </c>
      <c r="AR1910" s="284">
        <f t="shared" si="868"/>
        <v>0</v>
      </c>
      <c r="AS1910" s="281">
        <f t="shared" si="869"/>
        <v>0</v>
      </c>
      <c r="AT1910" s="284">
        <f t="shared" si="870"/>
        <v>0</v>
      </c>
    </row>
    <row r="1911" spans="1:46" s="114" customFormat="1" ht="30.9" x14ac:dyDescent="0.8">
      <c r="A1911" s="262">
        <f>ROW()</f>
        <v>1911</v>
      </c>
      <c r="C1911" s="208"/>
      <c r="D1911" s="208"/>
      <c r="E1911" s="208"/>
      <c r="F1911" s="208"/>
      <c r="G1911" s="208"/>
      <c r="H1911" s="208"/>
      <c r="J1911" s="114" t="str">
        <f t="shared" si="880"/>
        <v/>
      </c>
      <c r="K1911" s="114" t="str">
        <f>IF(COUNTBLANK(R1911)&gt;0,"",CONCATENATE(R1911," for ",N1900))</f>
        <v/>
      </c>
      <c r="N1911" s="123" t="s">
        <v>123</v>
      </c>
      <c r="O1911" s="66" t="s">
        <v>467</v>
      </c>
      <c r="P1911" s="121"/>
      <c r="Q1911" s="121"/>
      <c r="R1911" s="121"/>
      <c r="S1911" s="133">
        <f>M1900</f>
        <v>0</v>
      </c>
      <c r="T1911" s="120"/>
      <c r="U1911" s="121" t="s">
        <v>292</v>
      </c>
      <c r="V1911" s="133">
        <f t="shared" si="874"/>
        <v>0</v>
      </c>
      <c r="W1911" s="133">
        <f>VLOOKUP(U1911,Sheet1!$B$6:$C$45,2,FALSE)*V1911</f>
        <v>0</v>
      </c>
      <c r="X1911" s="141"/>
      <c r="Y1911" s="122" t="s">
        <v>274</v>
      </c>
      <c r="Z1911" s="146">
        <f>VLOOKUP(Takeoffs!Y1911,Sheet1!$B$6:$C$124,2,FALSE)</f>
        <v>360</v>
      </c>
      <c r="AA1911" s="146">
        <f t="shared" si="875"/>
        <v>0</v>
      </c>
      <c r="AB1911" s="143">
        <f t="shared" si="876"/>
        <v>0</v>
      </c>
      <c r="AC1911" s="133">
        <f t="shared" si="881"/>
        <v>0</v>
      </c>
      <c r="AD1911" s="142">
        <v>1</v>
      </c>
      <c r="AE1911" s="141"/>
      <c r="AF1911" s="121" t="s">
        <v>292</v>
      </c>
      <c r="AG1911" s="146">
        <f>VLOOKUP(Takeoffs!AF1911,Sheet1!$B$6:$C$124,2,FALSE)</f>
        <v>0</v>
      </c>
      <c r="AH1911" s="146">
        <f t="shared" si="877"/>
        <v>0</v>
      </c>
      <c r="AI1911" s="143">
        <f t="shared" si="878"/>
        <v>0</v>
      </c>
      <c r="AJ1911" s="133">
        <f t="shared" si="879"/>
        <v>0</v>
      </c>
      <c r="AK1911" s="142">
        <v>0</v>
      </c>
      <c r="AL1911" s="141"/>
      <c r="AO1911" s="286"/>
      <c r="AP1911" s="284">
        <f t="shared" si="866"/>
        <v>0</v>
      </c>
      <c r="AQ1911" s="281">
        <f t="shared" si="867"/>
        <v>0</v>
      </c>
      <c r="AR1911" s="284">
        <f t="shared" si="868"/>
        <v>0</v>
      </c>
      <c r="AS1911" s="281">
        <f t="shared" si="869"/>
        <v>0</v>
      </c>
      <c r="AT1911" s="284">
        <f t="shared" si="870"/>
        <v>0</v>
      </c>
    </row>
    <row r="1912" spans="1:46" s="114" customFormat="1" ht="30.9" x14ac:dyDescent="0.8">
      <c r="A1912" s="262">
        <f>ROW()</f>
        <v>1912</v>
      </c>
      <c r="C1912" s="208"/>
      <c r="D1912" s="208"/>
      <c r="E1912" s="208"/>
      <c r="F1912" s="208"/>
      <c r="G1912" s="208"/>
      <c r="H1912" s="208"/>
      <c r="J1912" s="114" t="str">
        <f t="shared" si="880"/>
        <v/>
      </c>
      <c r="K1912" s="114" t="str">
        <f>IF(COUNTBLANK(R1912)&gt;0,"",CONCATENATE(R1912," for ",N1900))</f>
        <v/>
      </c>
      <c r="N1912" s="123" t="s">
        <v>124</v>
      </c>
      <c r="O1912" s="66" t="s">
        <v>140</v>
      </c>
      <c r="P1912" s="121"/>
      <c r="Q1912" s="121"/>
      <c r="R1912" s="121"/>
      <c r="S1912" s="133">
        <f>M1900</f>
        <v>0</v>
      </c>
      <c r="T1912" s="120"/>
      <c r="U1912" s="121" t="s">
        <v>363</v>
      </c>
      <c r="V1912" s="133">
        <f t="shared" si="874"/>
        <v>0</v>
      </c>
      <c r="W1912" s="133">
        <f>VLOOKUP(U1912,Sheet1!$B$6:$C$45,2,FALSE)*V1912</f>
        <v>0</v>
      </c>
      <c r="X1912" s="141"/>
      <c r="Y1912" s="121" t="s">
        <v>292</v>
      </c>
      <c r="Z1912" s="146">
        <f>VLOOKUP(Takeoffs!Y1912,Sheet1!$B$6:$C$124,2,FALSE)</f>
        <v>0</v>
      </c>
      <c r="AA1912" s="146">
        <f t="shared" si="875"/>
        <v>0</v>
      </c>
      <c r="AB1912" s="143">
        <f t="shared" si="876"/>
        <v>0</v>
      </c>
      <c r="AC1912" s="133">
        <f t="shared" si="881"/>
        <v>0</v>
      </c>
      <c r="AD1912" s="142">
        <v>1</v>
      </c>
      <c r="AE1912" s="141"/>
      <c r="AF1912" s="144" t="s">
        <v>269</v>
      </c>
      <c r="AG1912" s="146">
        <f>VLOOKUP(Takeoffs!AF1912,Sheet1!$B$6:$C$124,2,FALSE)</f>
        <v>1.056</v>
      </c>
      <c r="AH1912" s="146">
        <f t="shared" si="877"/>
        <v>0</v>
      </c>
      <c r="AI1912" s="143">
        <f t="shared" si="878"/>
        <v>0</v>
      </c>
      <c r="AJ1912" s="133">
        <f t="shared" si="879"/>
        <v>0</v>
      </c>
      <c r="AK1912" s="142">
        <v>40</v>
      </c>
      <c r="AL1912" s="141"/>
      <c r="AO1912" s="286"/>
      <c r="AP1912" s="284">
        <f t="shared" si="866"/>
        <v>0</v>
      </c>
      <c r="AQ1912" s="281">
        <f t="shared" si="867"/>
        <v>0</v>
      </c>
      <c r="AR1912" s="284">
        <f t="shared" si="868"/>
        <v>0</v>
      </c>
      <c r="AS1912" s="281">
        <f t="shared" si="869"/>
        <v>0</v>
      </c>
      <c r="AT1912" s="284">
        <f t="shared" si="870"/>
        <v>0</v>
      </c>
    </row>
    <row r="1913" spans="1:46" s="114" customFormat="1" ht="30.9" x14ac:dyDescent="0.8">
      <c r="A1913" s="262">
        <f>ROW()</f>
        <v>1913</v>
      </c>
      <c r="C1913" s="208"/>
      <c r="D1913" s="208"/>
      <c r="E1913" s="208"/>
      <c r="F1913" s="208"/>
      <c r="G1913" s="208"/>
      <c r="H1913" s="208"/>
      <c r="J1913" s="114" t="str">
        <f t="shared" si="880"/>
        <v/>
      </c>
      <c r="K1913" s="114" t="str">
        <f>IF(COUNTBLANK(R1913)&gt;0,"",CONCATENATE(R1913," for ",N1900))</f>
        <v/>
      </c>
      <c r="N1913" s="123" t="s">
        <v>125</v>
      </c>
      <c r="O1913" s="66"/>
      <c r="P1913" s="121"/>
      <c r="Q1913" s="121"/>
      <c r="R1913" s="121"/>
      <c r="S1913" s="133">
        <f>M1900</f>
        <v>0</v>
      </c>
      <c r="T1913" s="120"/>
      <c r="U1913" s="121" t="s">
        <v>232</v>
      </c>
      <c r="V1913" s="133">
        <f t="shared" si="874"/>
        <v>0</v>
      </c>
      <c r="W1913" s="133">
        <f>VLOOKUP(U1913,Sheet1!$B$6:$C$45,2,FALSE)*V1913</f>
        <v>0</v>
      </c>
      <c r="X1913" s="141"/>
      <c r="Y1913" s="122" t="s">
        <v>1345</v>
      </c>
      <c r="Z1913" s="146">
        <f>VLOOKUP(Takeoffs!Y1913,Sheet1!$B$6:$C$124,2,FALSE)</f>
        <v>109.25999999999999</v>
      </c>
      <c r="AA1913" s="146">
        <f t="shared" si="875"/>
        <v>0</v>
      </c>
      <c r="AB1913" s="143">
        <f t="shared" si="876"/>
        <v>0</v>
      </c>
      <c r="AC1913" s="133">
        <f t="shared" si="881"/>
        <v>0</v>
      </c>
      <c r="AD1913" s="142">
        <v>1</v>
      </c>
      <c r="AE1913" s="141"/>
      <c r="AF1913" s="121" t="s">
        <v>292</v>
      </c>
      <c r="AG1913" s="146">
        <f>VLOOKUP(Takeoffs!AF1913,Sheet1!$B$6:$C$124,2,FALSE)</f>
        <v>0</v>
      </c>
      <c r="AH1913" s="146">
        <f t="shared" si="877"/>
        <v>0</v>
      </c>
      <c r="AI1913" s="143">
        <f t="shared" si="878"/>
        <v>0</v>
      </c>
      <c r="AJ1913" s="133">
        <f t="shared" si="879"/>
        <v>0</v>
      </c>
      <c r="AK1913" s="142">
        <v>0</v>
      </c>
      <c r="AL1913" s="141"/>
      <c r="AO1913" s="286"/>
      <c r="AP1913" s="284">
        <f t="shared" si="866"/>
        <v>0</v>
      </c>
      <c r="AQ1913" s="281">
        <f t="shared" si="867"/>
        <v>0</v>
      </c>
      <c r="AR1913" s="284">
        <f t="shared" si="868"/>
        <v>0</v>
      </c>
      <c r="AS1913" s="281">
        <f t="shared" si="869"/>
        <v>0</v>
      </c>
      <c r="AT1913" s="284">
        <f t="shared" si="870"/>
        <v>0</v>
      </c>
    </row>
    <row r="1914" spans="1:46" s="114" customFormat="1" ht="30.9" x14ac:dyDescent="0.8">
      <c r="A1914" s="262">
        <f>ROW()</f>
        <v>1914</v>
      </c>
      <c r="C1914" s="208"/>
      <c r="D1914" s="208"/>
      <c r="E1914" s="208"/>
      <c r="F1914" s="208"/>
      <c r="G1914" s="208"/>
      <c r="H1914" s="208"/>
      <c r="J1914" s="114" t="str">
        <f t="shared" si="880"/>
        <v/>
      </c>
      <c r="K1914" s="114" t="str">
        <f>IF(COUNTBLANK(R1914)&gt;0,"",CONCATENATE(R1914," for ",N1900))</f>
        <v/>
      </c>
      <c r="N1914" s="123" t="s">
        <v>126</v>
      </c>
      <c r="O1914" s="66"/>
      <c r="P1914" s="121"/>
      <c r="Q1914" s="121"/>
      <c r="R1914" s="121"/>
      <c r="S1914" s="133">
        <f>M1900</f>
        <v>0</v>
      </c>
      <c r="T1914" s="120"/>
      <c r="U1914" s="121" t="s">
        <v>292</v>
      </c>
      <c r="V1914" s="133">
        <f t="shared" si="874"/>
        <v>0</v>
      </c>
      <c r="W1914" s="133">
        <f>VLOOKUP(U1914,Sheet1!$B$6:$C$45,2,FALSE)*V1914</f>
        <v>0</v>
      </c>
      <c r="X1914" s="141"/>
      <c r="Y1914" s="121" t="s">
        <v>292</v>
      </c>
      <c r="Z1914" s="146">
        <f>VLOOKUP(Takeoffs!Y1914,Sheet1!$B$6:$C$124,2,FALSE)</f>
        <v>0</v>
      </c>
      <c r="AA1914" s="146">
        <f t="shared" si="875"/>
        <v>0</v>
      </c>
      <c r="AB1914" s="143">
        <f t="shared" si="876"/>
        <v>0</v>
      </c>
      <c r="AC1914" s="133">
        <f t="shared" si="881"/>
        <v>0</v>
      </c>
      <c r="AD1914" s="142">
        <v>2</v>
      </c>
      <c r="AE1914" s="141"/>
      <c r="AF1914" s="121" t="s">
        <v>292</v>
      </c>
      <c r="AG1914" s="146">
        <f>VLOOKUP(Takeoffs!AF1914,Sheet1!$B$6:$C$124,2,FALSE)</f>
        <v>0</v>
      </c>
      <c r="AH1914" s="146">
        <f t="shared" si="877"/>
        <v>0</v>
      </c>
      <c r="AI1914" s="143">
        <f t="shared" si="878"/>
        <v>0</v>
      </c>
      <c r="AJ1914" s="133">
        <f t="shared" si="879"/>
        <v>0</v>
      </c>
      <c r="AK1914" s="142">
        <v>0</v>
      </c>
      <c r="AL1914" s="141"/>
      <c r="AO1914" s="286"/>
      <c r="AP1914" s="284">
        <f t="shared" si="866"/>
        <v>0</v>
      </c>
      <c r="AQ1914" s="281">
        <f t="shared" si="867"/>
        <v>0</v>
      </c>
      <c r="AR1914" s="284">
        <f t="shared" si="868"/>
        <v>0</v>
      </c>
      <c r="AS1914" s="281">
        <f t="shared" si="869"/>
        <v>0</v>
      </c>
      <c r="AT1914" s="284">
        <f t="shared" si="870"/>
        <v>0</v>
      </c>
    </row>
    <row r="1915" spans="1:46" s="114" customFormat="1" ht="30.9" x14ac:dyDescent="0.8">
      <c r="A1915" s="262">
        <f>ROW()</f>
        <v>1915</v>
      </c>
      <c r="C1915" s="208"/>
      <c r="D1915" s="208"/>
      <c r="E1915" s="208"/>
      <c r="F1915" s="208"/>
      <c r="G1915" s="208"/>
      <c r="H1915" s="208"/>
      <c r="J1915" s="114" t="str">
        <f t="shared" si="880"/>
        <v/>
      </c>
      <c r="K1915" s="114" t="str">
        <f>IF(COUNTBLANK(R1915)&gt;0,"",CONCATENATE(R1915," for ",N1900))</f>
        <v/>
      </c>
      <c r="N1915" s="123" t="s">
        <v>127</v>
      </c>
      <c r="O1915" s="66"/>
      <c r="P1915" s="121"/>
      <c r="Q1915" s="121"/>
      <c r="R1915" s="121"/>
      <c r="S1915" s="133">
        <f>M1900</f>
        <v>0</v>
      </c>
      <c r="T1915" s="120"/>
      <c r="U1915" s="121" t="s">
        <v>292</v>
      </c>
      <c r="V1915" s="133">
        <f t="shared" si="874"/>
        <v>0</v>
      </c>
      <c r="W1915" s="133">
        <f>VLOOKUP(U1915,Sheet1!$B$6:$C$45,2,FALSE)*V1915</f>
        <v>0</v>
      </c>
      <c r="X1915" s="141"/>
      <c r="Y1915" s="121" t="s">
        <v>292</v>
      </c>
      <c r="Z1915" s="146">
        <f>VLOOKUP(Takeoffs!Y1915,Sheet1!$B$6:$C$124,2,FALSE)</f>
        <v>0</v>
      </c>
      <c r="AA1915" s="146">
        <f t="shared" si="875"/>
        <v>0</v>
      </c>
      <c r="AB1915" s="143">
        <f t="shared" si="876"/>
        <v>0</v>
      </c>
      <c r="AC1915" s="133">
        <f t="shared" si="881"/>
        <v>0</v>
      </c>
      <c r="AD1915" s="142">
        <v>4</v>
      </c>
      <c r="AE1915" s="141"/>
      <c r="AF1915" s="121" t="s">
        <v>292</v>
      </c>
      <c r="AG1915" s="146">
        <f>VLOOKUP(Takeoffs!AF1915,Sheet1!$B$6:$C$124,2,FALSE)</f>
        <v>0</v>
      </c>
      <c r="AH1915" s="146">
        <f t="shared" si="877"/>
        <v>0</v>
      </c>
      <c r="AI1915" s="143">
        <f t="shared" si="878"/>
        <v>0</v>
      </c>
      <c r="AJ1915" s="133">
        <f t="shared" si="879"/>
        <v>0</v>
      </c>
      <c r="AK1915" s="142">
        <v>0</v>
      </c>
      <c r="AL1915" s="141"/>
      <c r="AO1915" s="286"/>
      <c r="AP1915" s="284">
        <f t="shared" si="866"/>
        <v>0</v>
      </c>
      <c r="AQ1915" s="281">
        <f t="shared" si="867"/>
        <v>0</v>
      </c>
      <c r="AR1915" s="284">
        <f t="shared" si="868"/>
        <v>0</v>
      </c>
      <c r="AS1915" s="281">
        <f t="shared" si="869"/>
        <v>0</v>
      </c>
      <c r="AT1915" s="284">
        <f t="shared" si="870"/>
        <v>0</v>
      </c>
    </row>
    <row r="1916" spans="1:46" s="114" customFormat="1" ht="30.9" x14ac:dyDescent="0.8">
      <c r="A1916" s="262">
        <f>ROW()</f>
        <v>1916</v>
      </c>
      <c r="C1916" s="208"/>
      <c r="D1916" s="208"/>
      <c r="E1916" s="208"/>
      <c r="F1916" s="208"/>
      <c r="G1916" s="208"/>
      <c r="H1916" s="208"/>
      <c r="J1916" s="114" t="str">
        <f t="shared" si="880"/>
        <v/>
      </c>
      <c r="K1916" s="114" t="str">
        <f>IF(COUNTBLANK(R1916)&gt;0,"",CONCATENATE(R1916," for ",N1900))</f>
        <v/>
      </c>
      <c r="N1916" s="123" t="s">
        <v>128</v>
      </c>
      <c r="O1916" s="66"/>
      <c r="P1916" s="121"/>
      <c r="Q1916" s="121"/>
      <c r="R1916" s="121"/>
      <c r="S1916" s="133">
        <f>M1900</f>
        <v>0</v>
      </c>
      <c r="T1916" s="120"/>
      <c r="U1916" s="121" t="s">
        <v>292</v>
      </c>
      <c r="V1916" s="133">
        <f t="shared" si="874"/>
        <v>0</v>
      </c>
      <c r="W1916" s="133">
        <f>VLOOKUP(U1916,Sheet1!$B$6:$C$45,2,FALSE)*V1916</f>
        <v>0</v>
      </c>
      <c r="X1916" s="141"/>
      <c r="Y1916" s="121" t="s">
        <v>292</v>
      </c>
      <c r="Z1916" s="146">
        <f>VLOOKUP(Takeoffs!Y1916,Sheet1!$B$6:$C$124,2,FALSE)</f>
        <v>0</v>
      </c>
      <c r="AA1916" s="146">
        <f t="shared" si="875"/>
        <v>0</v>
      </c>
      <c r="AB1916" s="143">
        <f t="shared" si="876"/>
        <v>0</v>
      </c>
      <c r="AC1916" s="133">
        <f t="shared" si="881"/>
        <v>0</v>
      </c>
      <c r="AD1916" s="142">
        <v>2</v>
      </c>
      <c r="AE1916" s="141"/>
      <c r="AF1916" s="121" t="s">
        <v>292</v>
      </c>
      <c r="AG1916" s="146">
        <f>VLOOKUP(Takeoffs!AF1916,Sheet1!$B$6:$C$124,2,FALSE)</f>
        <v>0</v>
      </c>
      <c r="AH1916" s="146">
        <f t="shared" si="877"/>
        <v>0</v>
      </c>
      <c r="AI1916" s="143">
        <f t="shared" si="878"/>
        <v>0</v>
      </c>
      <c r="AJ1916" s="133">
        <f t="shared" si="879"/>
        <v>0</v>
      </c>
      <c r="AK1916" s="142">
        <v>0</v>
      </c>
      <c r="AL1916" s="141"/>
      <c r="AO1916" s="286"/>
      <c r="AP1916" s="284">
        <f t="shared" si="866"/>
        <v>0</v>
      </c>
      <c r="AQ1916" s="281">
        <f t="shared" si="867"/>
        <v>0</v>
      </c>
      <c r="AR1916" s="284">
        <f t="shared" si="868"/>
        <v>0</v>
      </c>
      <c r="AS1916" s="281">
        <f t="shared" si="869"/>
        <v>0</v>
      </c>
      <c r="AT1916" s="284">
        <f t="shared" si="870"/>
        <v>0</v>
      </c>
    </row>
    <row r="1917" spans="1:46" s="114" customFormat="1" ht="30.9" x14ac:dyDescent="0.8">
      <c r="A1917" s="262">
        <f>ROW()</f>
        <v>1917</v>
      </c>
      <c r="C1917" s="208"/>
      <c r="D1917" s="208"/>
      <c r="E1917" s="208"/>
      <c r="F1917" s="208"/>
      <c r="G1917" s="208"/>
      <c r="H1917" s="208"/>
      <c r="J1917" s="114" t="str">
        <f t="shared" si="880"/>
        <v/>
      </c>
      <c r="K1917" s="114" t="str">
        <f>IF(COUNTBLANK(R1917)&gt;0,"",CONCATENATE(R1917," for ",N1900))</f>
        <v/>
      </c>
      <c r="N1917" s="123" t="s">
        <v>129</v>
      </c>
      <c r="O1917" s="66"/>
      <c r="P1917" s="121"/>
      <c r="Q1917" s="121"/>
      <c r="R1917" s="121"/>
      <c r="S1917" s="133">
        <f>M1900</f>
        <v>0</v>
      </c>
      <c r="T1917" s="120"/>
      <c r="U1917" s="121" t="s">
        <v>292</v>
      </c>
      <c r="V1917" s="133">
        <f t="shared" si="874"/>
        <v>0</v>
      </c>
      <c r="W1917" s="133">
        <f>VLOOKUP(U1917,Sheet1!$B$6:$C$45,2,FALSE)*V1917</f>
        <v>0</v>
      </c>
      <c r="X1917" s="141"/>
      <c r="Y1917" s="121" t="s">
        <v>292</v>
      </c>
      <c r="Z1917" s="146">
        <f>VLOOKUP(Takeoffs!Y1917,Sheet1!$B$6:$C$124,2,FALSE)</f>
        <v>0</v>
      </c>
      <c r="AA1917" s="146">
        <f t="shared" si="875"/>
        <v>0</v>
      </c>
      <c r="AB1917" s="143">
        <f t="shared" si="876"/>
        <v>0</v>
      </c>
      <c r="AC1917" s="133">
        <f t="shared" si="881"/>
        <v>0</v>
      </c>
      <c r="AD1917" s="142">
        <v>1</v>
      </c>
      <c r="AE1917" s="141"/>
      <c r="AF1917" s="121" t="s">
        <v>292</v>
      </c>
      <c r="AG1917" s="146">
        <f>VLOOKUP(Takeoffs!AF1917,Sheet1!$B$6:$C$124,2,FALSE)</f>
        <v>0</v>
      </c>
      <c r="AH1917" s="146">
        <f t="shared" si="877"/>
        <v>0</v>
      </c>
      <c r="AI1917" s="143">
        <f t="shared" si="878"/>
        <v>0</v>
      </c>
      <c r="AJ1917" s="133">
        <f t="shared" si="879"/>
        <v>0</v>
      </c>
      <c r="AK1917" s="142">
        <v>0</v>
      </c>
      <c r="AL1917" s="141"/>
      <c r="AO1917" s="286"/>
      <c r="AP1917" s="284">
        <f t="shared" si="866"/>
        <v>0</v>
      </c>
      <c r="AQ1917" s="281">
        <f t="shared" si="867"/>
        <v>0</v>
      </c>
      <c r="AR1917" s="284">
        <f t="shared" si="868"/>
        <v>0</v>
      </c>
      <c r="AS1917" s="281">
        <f t="shared" si="869"/>
        <v>0</v>
      </c>
      <c r="AT1917" s="284">
        <f t="shared" si="870"/>
        <v>0</v>
      </c>
    </row>
    <row r="1918" spans="1:46" s="114" customFormat="1" ht="30.9" x14ac:dyDescent="0.8">
      <c r="A1918" s="262">
        <f>ROW()</f>
        <v>1918</v>
      </c>
      <c r="C1918" s="208"/>
      <c r="D1918" s="208"/>
      <c r="E1918" s="208"/>
      <c r="F1918" s="208"/>
      <c r="G1918" s="208"/>
      <c r="H1918" s="208"/>
      <c r="J1918" s="114" t="str">
        <f t="shared" si="880"/>
        <v/>
      </c>
      <c r="K1918" s="114" t="str">
        <f>IF(COUNTBLANK(R1918)&gt;0,"",CONCATENATE(R1918," for ",N1900))</f>
        <v/>
      </c>
      <c r="N1918" s="123" t="s">
        <v>130</v>
      </c>
      <c r="O1918" s="66"/>
      <c r="P1918" s="121"/>
      <c r="Q1918" s="121"/>
      <c r="R1918" s="121"/>
      <c r="S1918" s="133">
        <f>M1900</f>
        <v>0</v>
      </c>
      <c r="T1918" s="120"/>
      <c r="U1918" s="121" t="s">
        <v>292</v>
      </c>
      <c r="V1918" s="133">
        <f t="shared" si="874"/>
        <v>0</v>
      </c>
      <c r="W1918" s="133">
        <f>VLOOKUP(U1918,Sheet1!$B$6:$C$45,2,FALSE)*V1918</f>
        <v>0</v>
      </c>
      <c r="X1918" s="141"/>
      <c r="Y1918" s="121" t="s">
        <v>292</v>
      </c>
      <c r="Z1918" s="146">
        <f>VLOOKUP(Takeoffs!Y1918,Sheet1!$B$6:$C$124,2,FALSE)</f>
        <v>0</v>
      </c>
      <c r="AA1918" s="146">
        <f t="shared" si="875"/>
        <v>0</v>
      </c>
      <c r="AB1918" s="143">
        <f t="shared" si="876"/>
        <v>0</v>
      </c>
      <c r="AC1918" s="133">
        <f t="shared" si="881"/>
        <v>0</v>
      </c>
      <c r="AD1918" s="142">
        <v>1</v>
      </c>
      <c r="AE1918" s="141"/>
      <c r="AF1918" s="121" t="s">
        <v>292</v>
      </c>
      <c r="AG1918" s="146">
        <f>VLOOKUP(Takeoffs!AF1918,Sheet1!$B$6:$C$124,2,FALSE)</f>
        <v>0</v>
      </c>
      <c r="AH1918" s="146">
        <f t="shared" si="877"/>
        <v>0</v>
      </c>
      <c r="AI1918" s="143">
        <f t="shared" si="878"/>
        <v>0</v>
      </c>
      <c r="AJ1918" s="133">
        <f t="shared" si="879"/>
        <v>0</v>
      </c>
      <c r="AK1918" s="142">
        <v>0</v>
      </c>
      <c r="AL1918" s="141"/>
      <c r="AO1918" s="286"/>
      <c r="AP1918" s="284">
        <f t="shared" si="866"/>
        <v>0</v>
      </c>
      <c r="AQ1918" s="281">
        <f t="shared" si="867"/>
        <v>0</v>
      </c>
      <c r="AR1918" s="284">
        <f t="shared" si="868"/>
        <v>0</v>
      </c>
      <c r="AS1918" s="281">
        <f t="shared" si="869"/>
        <v>0</v>
      </c>
      <c r="AT1918" s="284">
        <f t="shared" si="870"/>
        <v>0</v>
      </c>
    </row>
    <row r="1919" spans="1:46" s="114" customFormat="1" ht="30.9" x14ac:dyDescent="0.8">
      <c r="A1919" s="262">
        <f>ROW()</f>
        <v>1919</v>
      </c>
      <c r="C1919" s="208"/>
      <c r="D1919" s="208"/>
      <c r="E1919" s="208"/>
      <c r="F1919" s="208"/>
      <c r="G1919" s="208"/>
      <c r="H1919" s="208"/>
      <c r="J1919" s="114" t="str">
        <f t="shared" si="880"/>
        <v>Coordination Note: - Fire trade: Please refer to our exclusions relating to fire cabling from FIP to VSD</v>
      </c>
      <c r="K1919" s="114" t="str">
        <f>IF(COUNTBLANK(R1919)&gt;0,"",CONCATENATE(R1919," for ",N1900))</f>
        <v/>
      </c>
      <c r="N1919" s="123" t="s">
        <v>131</v>
      </c>
      <c r="O1919" s="66" t="s">
        <v>513</v>
      </c>
      <c r="P1919" s="121" t="s">
        <v>380</v>
      </c>
      <c r="Q1919" s="121" t="s">
        <v>466</v>
      </c>
      <c r="R1919" s="121"/>
      <c r="S1919" s="133">
        <f>M1900</f>
        <v>0</v>
      </c>
      <c r="T1919" s="120"/>
      <c r="U1919" s="121" t="s">
        <v>292</v>
      </c>
      <c r="V1919" s="133">
        <f t="shared" si="874"/>
        <v>0</v>
      </c>
      <c r="W1919" s="133">
        <f>VLOOKUP(U1919,Sheet1!$B$6:$C$45,2,FALSE)*V1919</f>
        <v>0</v>
      </c>
      <c r="X1919" s="141"/>
      <c r="Y1919" s="121" t="s">
        <v>292</v>
      </c>
      <c r="Z1919" s="146">
        <f>VLOOKUP(Takeoffs!Y1919,Sheet1!$B$6:$C$124,2,FALSE)</f>
        <v>0</v>
      </c>
      <c r="AA1919" s="146">
        <f t="shared" si="875"/>
        <v>0</v>
      </c>
      <c r="AB1919" s="143">
        <f t="shared" si="876"/>
        <v>0</v>
      </c>
      <c r="AC1919" s="133">
        <f t="shared" si="881"/>
        <v>0</v>
      </c>
      <c r="AD1919" s="142">
        <v>1</v>
      </c>
      <c r="AE1919" s="141"/>
      <c r="AF1919" s="121" t="s">
        <v>292</v>
      </c>
      <c r="AG1919" s="146">
        <f>VLOOKUP(Takeoffs!AF1919,Sheet1!$B$6:$C$124,2,FALSE)</f>
        <v>0</v>
      </c>
      <c r="AH1919" s="146">
        <f t="shared" si="877"/>
        <v>0</v>
      </c>
      <c r="AI1919" s="143">
        <f t="shared" si="878"/>
        <v>0</v>
      </c>
      <c r="AJ1919" s="133">
        <f t="shared" si="879"/>
        <v>0</v>
      </c>
      <c r="AK1919" s="142">
        <v>0</v>
      </c>
      <c r="AL1919" s="141"/>
      <c r="AO1919" s="286"/>
      <c r="AP1919" s="284">
        <f t="shared" si="866"/>
        <v>0</v>
      </c>
      <c r="AQ1919" s="281">
        <f t="shared" si="867"/>
        <v>0</v>
      </c>
      <c r="AR1919" s="284">
        <f t="shared" si="868"/>
        <v>0</v>
      </c>
      <c r="AS1919" s="281">
        <f t="shared" si="869"/>
        <v>0</v>
      </c>
      <c r="AT1919" s="284">
        <f t="shared" si="870"/>
        <v>0</v>
      </c>
    </row>
    <row r="1920" spans="1:46" s="114" customFormat="1" ht="30.9" x14ac:dyDescent="0.8">
      <c r="A1920" s="262">
        <f>ROW()</f>
        <v>1920</v>
      </c>
      <c r="C1920" s="208"/>
      <c r="D1920" s="208"/>
      <c r="E1920" s="208"/>
      <c r="F1920" s="208"/>
      <c r="G1920" s="208"/>
      <c r="H1920" s="208"/>
      <c r="J1920" s="114" t="str">
        <f t="shared" si="880"/>
        <v/>
      </c>
      <c r="K1920" s="114" t="str">
        <f>IF(COUNTBLANK(R1920)&gt;0,"",CONCATENATE(R1920," for ",N1900))</f>
        <v/>
      </c>
      <c r="N1920" s="123" t="s">
        <v>132</v>
      </c>
      <c r="O1920" s="66" t="s">
        <v>408</v>
      </c>
      <c r="P1920" s="121"/>
      <c r="Q1920" s="121"/>
      <c r="R1920" s="121"/>
      <c r="S1920" s="133">
        <f>M1900</f>
        <v>0</v>
      </c>
      <c r="T1920" s="120"/>
      <c r="U1920" s="121" t="s">
        <v>363</v>
      </c>
      <c r="V1920" s="133">
        <f t="shared" si="874"/>
        <v>0</v>
      </c>
      <c r="W1920" s="133">
        <f>VLOOKUP(U1920,Sheet1!$B$6:$C$45,2,FALSE)*V1920</f>
        <v>0</v>
      </c>
      <c r="X1920" s="141"/>
      <c r="Y1920" s="121" t="s">
        <v>292</v>
      </c>
      <c r="Z1920" s="146">
        <f>VLOOKUP(Takeoffs!Y1920,Sheet1!$B$6:$C$124,2,FALSE)</f>
        <v>0</v>
      </c>
      <c r="AA1920" s="146">
        <f t="shared" si="875"/>
        <v>0</v>
      </c>
      <c r="AB1920" s="143">
        <f t="shared" si="876"/>
        <v>0</v>
      </c>
      <c r="AC1920" s="133">
        <f t="shared" si="881"/>
        <v>0</v>
      </c>
      <c r="AD1920" s="142">
        <v>1</v>
      </c>
      <c r="AE1920" s="141"/>
      <c r="AF1920" s="121" t="s">
        <v>292</v>
      </c>
      <c r="AG1920" s="146">
        <f>VLOOKUP(Takeoffs!AF1920,Sheet1!$B$6:$C$124,2,FALSE)</f>
        <v>0</v>
      </c>
      <c r="AH1920" s="146">
        <f t="shared" si="877"/>
        <v>0</v>
      </c>
      <c r="AI1920" s="143">
        <f t="shared" si="878"/>
        <v>0</v>
      </c>
      <c r="AJ1920" s="133">
        <f t="shared" si="879"/>
        <v>0</v>
      </c>
      <c r="AK1920" s="142">
        <v>0</v>
      </c>
      <c r="AL1920" s="141"/>
      <c r="AO1920" s="286"/>
      <c r="AP1920" s="284">
        <f t="shared" si="866"/>
        <v>0</v>
      </c>
      <c r="AQ1920" s="281">
        <f t="shared" si="867"/>
        <v>0</v>
      </c>
      <c r="AR1920" s="284">
        <f t="shared" si="868"/>
        <v>0</v>
      </c>
      <c r="AS1920" s="281">
        <f t="shared" si="869"/>
        <v>0</v>
      </c>
      <c r="AT1920" s="284">
        <f t="shared" si="870"/>
        <v>0</v>
      </c>
    </row>
    <row r="1921" spans="1:97" s="128" customFormat="1" ht="31.5" customHeight="1" x14ac:dyDescent="0.8">
      <c r="A1921" s="262">
        <f>ROW()</f>
        <v>1921</v>
      </c>
      <c r="C1921" s="212"/>
      <c r="D1921" s="212"/>
      <c r="E1921" s="212"/>
      <c r="F1921" s="212"/>
      <c r="G1921" s="212"/>
      <c r="H1921" s="212"/>
      <c r="J1921" s="128" t="s">
        <v>377</v>
      </c>
      <c r="L1921" s="128" t="s">
        <v>378</v>
      </c>
      <c r="N1921" s="129"/>
      <c r="O1921" s="130" t="s">
        <v>357</v>
      </c>
      <c r="P1921" s="171">
        <f>V1921+AA1921+AH1921</f>
        <v>0</v>
      </c>
      <c r="Q1921" s="144"/>
      <c r="R1921" s="144"/>
      <c r="S1921" s="130"/>
      <c r="T1921" s="127"/>
      <c r="U1921" s="126" t="s">
        <v>351</v>
      </c>
      <c r="V1921" s="127">
        <f>W1921*80</f>
        <v>0</v>
      </c>
      <c r="W1921" s="147">
        <f>SUM(W1900:W1920)</f>
        <v>0</v>
      </c>
      <c r="X1921" s="148"/>
      <c r="Y1921" s="127" t="s">
        <v>352</v>
      </c>
      <c r="Z1921" s="116"/>
      <c r="AA1921" s="116">
        <f>SUM(AA1900:AA1920)</f>
        <v>0</v>
      </c>
      <c r="AB1921" s="149"/>
      <c r="AC1921" s="149"/>
      <c r="AD1921" s="149"/>
      <c r="AE1921" s="149"/>
      <c r="AF1921" s="127" t="s">
        <v>356</v>
      </c>
      <c r="AG1921" s="116"/>
      <c r="AH1921" s="116">
        <f>SUM(AH1900:AH1920)</f>
        <v>0</v>
      </c>
      <c r="AI1921" s="149"/>
      <c r="AJ1921" s="149"/>
      <c r="AK1921" s="149"/>
      <c r="AL1921" s="149"/>
      <c r="AM1921" s="150">
        <f>P1921</f>
        <v>0</v>
      </c>
      <c r="AO1921" s="286"/>
      <c r="AP1921" s="284">
        <f t="shared" si="866"/>
        <v>0</v>
      </c>
      <c r="AQ1921" s="281">
        <f t="shared" si="867"/>
        <v>0</v>
      </c>
      <c r="AR1921" s="284">
        <f t="shared" si="868"/>
        <v>0</v>
      </c>
      <c r="AS1921" s="281">
        <f t="shared" si="869"/>
        <v>0</v>
      </c>
      <c r="AT1921" s="284">
        <f t="shared" si="870"/>
        <v>0</v>
      </c>
    </row>
    <row r="1922" spans="1:97" s="234" customFormat="1" ht="185.15" x14ac:dyDescent="0.8">
      <c r="A1922" s="262">
        <f>ROW()</f>
        <v>1922</v>
      </c>
      <c r="B1922" s="234" t="s">
        <v>491</v>
      </c>
      <c r="C1922" s="217" t="str">
        <f>N1900</f>
        <v>Kitchen Hood Make Up Supply Sytem ( from local power supply)</v>
      </c>
      <c r="D1922" s="260" t="str">
        <f>IF(B1922="Shopping List",IF(ISNUMBER(SEARCH("MSSB",C1922)),"MSSB",IF(ISNUMBER(SEARCH("local",C1922)),"LOCAL","")))</f>
        <v>LOCAL</v>
      </c>
      <c r="E1922" s="238"/>
      <c r="F1922" s="217"/>
      <c r="G1922" s="217"/>
      <c r="H1922" s="245"/>
      <c r="I1922" s="270"/>
      <c r="J1922" s="241" t="str">
        <f>CONCATENATE(O1900," ",L1900, " (",M1900,") ",N1900,".", IF(M1900&gt;1," Each "," This "),"includes supply and install of ",O1901,O1902,O1903,O1904,O1905,O1906,O1907,O1908,O1909,O1910,O1911,O1912,O1913,O1914,O1915,O1916,O1917,O1918,O1919,O1920,J1901,J1902,J1903,J1904,J1905,J1906,J1907,J1908,J1909,J1910,J1911,J1912,J1913,J1914,J1915,J1916,J1917,J1918,J1919,J1920)</f>
        <v>Electrical power supply and controls to Zero (0) Kitchen Hood Make Up Supply Sytem ( from local power supply). This includes supply and install of power and controls. Power for systems includes: cabling to VSD ( from local isolator), Danfoss VSD ( interconnected to ramp with kitchen exhaust VSD), shielded cabling, local isolator, Controls for systems includes: air pressure  switch, trefolyte labeling, controls cabling, interface for fire trade connection available at VSD, and commissioning/testing. Coordination Note: - Electrical trade: Please refer to our exclusions relating to Power suply adjacent fanCoordination Note: - Fire trade: Please refer to our exclusions relating to fire cabling from FIP to VSD</v>
      </c>
      <c r="K1922" s="246">
        <f>P1921</f>
        <v>0</v>
      </c>
      <c r="L1922" s="234" t="str">
        <f>CONCATENATE(Q1901,Q1902,Q1903,Q1904,Q1905,Q1906,Q1907,Q1908,Q1909,Q1910,Q1911,Q1912,Q1913,Q1914,Q1915,Q1916,Q1917,Q1918,Q1919,Q1920,)</f>
        <v>Power suply adjacent fanfire cabling from FIP to VSD</v>
      </c>
      <c r="M1922" s="166" t="s">
        <v>367</v>
      </c>
      <c r="N1922" s="160" t="str">
        <f>N1900</f>
        <v>Kitchen Hood Make Up Supply Sytem ( from local power supply)</v>
      </c>
      <c r="O1922" s="160" t="s">
        <v>365</v>
      </c>
      <c r="P1922" s="64" t="e">
        <f>P1921/M1900</f>
        <v>#DIV/0!</v>
      </c>
      <c r="Q1922" s="161"/>
      <c r="R1922" s="161"/>
      <c r="S1922" s="160"/>
      <c r="T1922" s="161"/>
      <c r="U1922" s="503" t="s">
        <v>366</v>
      </c>
      <c r="V1922" s="503"/>
      <c r="W1922" s="162" t="e">
        <f>W1921/M1900</f>
        <v>#DIV/0!</v>
      </c>
      <c r="X1922" s="163"/>
      <c r="Y1922" s="501" t="s">
        <v>365</v>
      </c>
      <c r="Z1922" s="501"/>
      <c r="AA1922" s="164" t="e">
        <f>AA1921/M1900</f>
        <v>#DIV/0!</v>
      </c>
      <c r="AB1922" s="161"/>
      <c r="AC1922" s="161"/>
      <c r="AD1922" s="161"/>
      <c r="AE1922" s="161"/>
      <c r="AF1922" s="501" t="s">
        <v>365</v>
      </c>
      <c r="AG1922" s="501"/>
      <c r="AH1922" s="164" t="e">
        <f>AH1921/M1900</f>
        <v>#DIV/0!</v>
      </c>
      <c r="AI1922" s="161"/>
      <c r="AJ1922" s="161"/>
      <c r="AK1922" s="161"/>
      <c r="AL1922" s="247"/>
      <c r="AM1922" s="257"/>
      <c r="AN1922" s="236">
        <f>K1922*1.25</f>
        <v>0</v>
      </c>
      <c r="AO1922" s="286"/>
      <c r="AP1922" s="284">
        <f t="shared" si="866"/>
        <v>0</v>
      </c>
      <c r="AQ1922" s="281">
        <f t="shared" si="867"/>
        <v>0</v>
      </c>
      <c r="AR1922" s="284">
        <f t="shared" si="868"/>
        <v>0</v>
      </c>
      <c r="AS1922" s="281">
        <f t="shared" si="869"/>
        <v>0</v>
      </c>
      <c r="AT1922" s="284">
        <f t="shared" si="870"/>
        <v>0</v>
      </c>
      <c r="AU1922" s="117"/>
      <c r="AV1922" s="117"/>
      <c r="AW1922" s="117"/>
      <c r="AX1922" s="117"/>
      <c r="AY1922" s="117"/>
      <c r="AZ1922" s="117"/>
      <c r="BA1922" s="117"/>
      <c r="BB1922" s="117"/>
      <c r="BC1922" s="117"/>
      <c r="BD1922" s="117"/>
      <c r="BE1922" s="117"/>
      <c r="BF1922" s="117"/>
      <c r="BG1922" s="117"/>
      <c r="BH1922" s="117"/>
      <c r="BI1922" s="117"/>
      <c r="BJ1922" s="117"/>
      <c r="BK1922" s="117"/>
      <c r="BL1922" s="117"/>
      <c r="BM1922" s="117"/>
      <c r="BN1922" s="117"/>
      <c r="BO1922" s="117"/>
      <c r="BP1922" s="117"/>
      <c r="BQ1922" s="117"/>
      <c r="BR1922" s="117"/>
      <c r="BS1922" s="117"/>
      <c r="BT1922" s="117"/>
      <c r="BU1922" s="117"/>
      <c r="BV1922" s="117"/>
      <c r="BW1922" s="117"/>
      <c r="BX1922" s="117"/>
      <c r="BY1922" s="117"/>
      <c r="BZ1922" s="117"/>
      <c r="CA1922" s="117"/>
      <c r="CB1922" s="117"/>
      <c r="CC1922" s="117"/>
      <c r="CD1922" s="117"/>
      <c r="CE1922" s="117"/>
      <c r="CF1922" s="117"/>
      <c r="CG1922" s="117"/>
      <c r="CH1922" s="117"/>
      <c r="CI1922" s="117"/>
      <c r="CJ1922" s="117"/>
      <c r="CK1922" s="117"/>
      <c r="CL1922" s="117"/>
      <c r="CM1922" s="117"/>
      <c r="CN1922" s="117"/>
      <c r="CO1922" s="117"/>
      <c r="CP1922" s="117"/>
      <c r="CQ1922" s="117"/>
      <c r="CR1922" s="117"/>
      <c r="CS1922" s="117"/>
    </row>
    <row r="1923" spans="1:97" s="116" customFormat="1" ht="192.75" customHeight="1" x14ac:dyDescent="0.8">
      <c r="A1923" s="262">
        <f>ROW()</f>
        <v>1923</v>
      </c>
      <c r="C1923" s="211"/>
      <c r="D1923" s="211"/>
      <c r="E1923" s="211"/>
      <c r="F1923" s="211"/>
      <c r="G1923" s="211"/>
      <c r="H1923" s="211"/>
      <c r="K1923" s="116" t="s">
        <v>452</v>
      </c>
      <c r="M1923" s="116" t="s">
        <v>107</v>
      </c>
      <c r="N1923" s="116" t="s">
        <v>108</v>
      </c>
      <c r="O1923" s="170" t="s">
        <v>386</v>
      </c>
      <c r="P1923" s="502" t="s">
        <v>375</v>
      </c>
      <c r="Q1923" s="502"/>
      <c r="R1923" s="101" t="s">
        <v>452</v>
      </c>
      <c r="S1923" s="116" t="s">
        <v>0</v>
      </c>
      <c r="T1923" s="118"/>
      <c r="U1923" s="116" t="s">
        <v>287</v>
      </c>
      <c r="V1923" s="116" t="s">
        <v>288</v>
      </c>
      <c r="W1923" s="116" t="s">
        <v>291</v>
      </c>
      <c r="X1923" s="140"/>
      <c r="Y1923" s="116" t="s">
        <v>289</v>
      </c>
      <c r="Z1923" s="116" t="s">
        <v>354</v>
      </c>
      <c r="AA1923" s="116" t="s">
        <v>355</v>
      </c>
      <c r="AB1923" s="116" t="s">
        <v>317</v>
      </c>
      <c r="AC1923" s="116" t="s">
        <v>318</v>
      </c>
      <c r="AD1923" s="116" t="s">
        <v>316</v>
      </c>
      <c r="AE1923" s="140"/>
      <c r="AF1923" s="116" t="s">
        <v>293</v>
      </c>
      <c r="AG1923" s="116" t="s">
        <v>354</v>
      </c>
      <c r="AH1923" s="116" t="s">
        <v>355</v>
      </c>
      <c r="AI1923" s="116" t="s">
        <v>296</v>
      </c>
      <c r="AJ1923" s="116" t="s">
        <v>294</v>
      </c>
      <c r="AK1923" s="116" t="s">
        <v>295</v>
      </c>
      <c r="AL1923" s="140"/>
      <c r="AO1923" s="288"/>
      <c r="AP1923" s="284">
        <f t="shared" si="866"/>
        <v>0</v>
      </c>
      <c r="AQ1923" s="281">
        <f t="shared" si="867"/>
        <v>0</v>
      </c>
      <c r="AR1923" s="284">
        <f t="shared" si="868"/>
        <v>0</v>
      </c>
      <c r="AS1923" s="281">
        <f t="shared" si="869"/>
        <v>0</v>
      </c>
      <c r="AT1923" s="284">
        <f t="shared" si="870"/>
        <v>0</v>
      </c>
    </row>
    <row r="1924" spans="1:97" s="114" customFormat="1" ht="40.5" customHeight="1" x14ac:dyDescent="0.8">
      <c r="A1924" s="262">
        <f>ROW()</f>
        <v>1924</v>
      </c>
      <c r="C1924" s="208"/>
      <c r="D1924" s="208"/>
      <c r="E1924" s="208"/>
      <c r="F1924" s="208"/>
      <c r="G1924" s="208"/>
      <c r="H1924" s="208"/>
      <c r="L1924" s="124" t="str">
        <f>VLOOKUP(M1924,Sheet2!$D$2:$E$1024,2,FALSE)</f>
        <v>Zero</v>
      </c>
      <c r="M1924" s="121">
        <f>I1946</f>
        <v>0</v>
      </c>
      <c r="N1924" s="132" t="s">
        <v>710</v>
      </c>
      <c r="O1924" s="121" t="s">
        <v>347</v>
      </c>
      <c r="P1924" s="169" t="s">
        <v>379</v>
      </c>
      <c r="Q1924" s="169" t="s">
        <v>375</v>
      </c>
      <c r="R1924" s="169"/>
      <c r="S1924" s="133">
        <f>M1924</f>
        <v>0</v>
      </c>
      <c r="T1924" s="119"/>
      <c r="U1924" s="121" t="s">
        <v>292</v>
      </c>
      <c r="V1924" s="133">
        <f>S1924</f>
        <v>0</v>
      </c>
      <c r="W1924" s="133">
        <f>VLOOKUP(U1924,Sheet1!$B$6:$C$45,2,FALSE)*V1924</f>
        <v>0</v>
      </c>
      <c r="X1924" s="141"/>
      <c r="Y1924" s="121" t="s">
        <v>292</v>
      </c>
      <c r="Z1924" s="146">
        <f>VLOOKUP(Takeoffs!Y1924,Sheet1!$B$6:$C$124,2,FALSE)</f>
        <v>0</v>
      </c>
      <c r="AA1924" s="146">
        <f>Z1924*AB1924</f>
        <v>0</v>
      </c>
      <c r="AB1924" s="143">
        <f>AD1924*AC1924</f>
        <v>0</v>
      </c>
      <c r="AC1924" s="133">
        <f>S1924</f>
        <v>0</v>
      </c>
      <c r="AD1924" s="142">
        <v>1</v>
      </c>
      <c r="AE1924" s="141"/>
      <c r="AF1924" s="121" t="s">
        <v>292</v>
      </c>
      <c r="AG1924" s="146">
        <f>VLOOKUP(Takeoffs!AF1924,Sheet1!$B$6:$C$124,2,FALSE)</f>
        <v>0</v>
      </c>
      <c r="AH1924" s="146">
        <f>AG1924*AI1924</f>
        <v>0</v>
      </c>
      <c r="AI1924" s="143">
        <f>AK1924*AJ1924</f>
        <v>0</v>
      </c>
      <c r="AJ1924" s="133">
        <f>S1924</f>
        <v>0</v>
      </c>
      <c r="AK1924" s="142">
        <v>0</v>
      </c>
      <c r="AL1924" s="141"/>
      <c r="AO1924" s="286"/>
      <c r="AP1924" s="284">
        <f t="shared" si="866"/>
        <v>0</v>
      </c>
      <c r="AQ1924" s="281">
        <f t="shared" si="867"/>
        <v>0</v>
      </c>
      <c r="AR1924" s="284">
        <f t="shared" si="868"/>
        <v>0</v>
      </c>
      <c r="AS1924" s="281">
        <f t="shared" si="869"/>
        <v>0</v>
      </c>
      <c r="AT1924" s="284">
        <f t="shared" si="870"/>
        <v>0</v>
      </c>
    </row>
    <row r="1925" spans="1:97" s="114" customFormat="1" ht="30.9" x14ac:dyDescent="0.8">
      <c r="A1925" s="262">
        <f>ROW()</f>
        <v>1925</v>
      </c>
      <c r="C1925" s="208"/>
      <c r="D1925" s="208"/>
      <c r="E1925" s="208"/>
      <c r="F1925" s="208"/>
      <c r="G1925" s="208"/>
      <c r="H1925" s="208"/>
      <c r="J1925" s="114" t="str">
        <f>IF(COUNTBLANK(Q1925)&gt;0,"",CONCATENATE("Coordination Note: - ",P1925,": Please refer to our exclusions relating to ",Q1925))</f>
        <v/>
      </c>
      <c r="K1925" s="114" t="str">
        <f>IF(COUNTBLANK(R1925)&gt;0,"",CONCATENATE(R1925," for ",N1924))</f>
        <v/>
      </c>
      <c r="M1925" s="117"/>
      <c r="N1925" s="123" t="s">
        <v>113</v>
      </c>
      <c r="O1925" s="66" t="s">
        <v>411</v>
      </c>
      <c r="P1925" s="121"/>
      <c r="Q1925" s="121"/>
      <c r="R1925" s="121"/>
      <c r="S1925" s="133">
        <f>M1924</f>
        <v>0</v>
      </c>
      <c r="T1925" s="120"/>
      <c r="U1925" s="121" t="s">
        <v>235</v>
      </c>
      <c r="V1925" s="133">
        <f t="shared" ref="V1925:V1944" si="882">S1925</f>
        <v>0</v>
      </c>
      <c r="W1925" s="133">
        <f>VLOOKUP(U1925,Sheet1!$B$6:$C$45,2,FALSE)*V1925</f>
        <v>0</v>
      </c>
      <c r="X1925" s="141"/>
      <c r="Y1925" s="121" t="s">
        <v>292</v>
      </c>
      <c r="Z1925" s="146">
        <f>VLOOKUP(Takeoffs!Y1925,Sheet1!$B$6:$C$124,2,FALSE)</f>
        <v>0</v>
      </c>
      <c r="AA1925" s="146">
        <f t="shared" ref="AA1925:AA1944" si="883">Z1925*AB1925</f>
        <v>0</v>
      </c>
      <c r="AB1925" s="143">
        <f t="shared" ref="AB1925:AB1944" si="884">AD1925*AC1925</f>
        <v>0</v>
      </c>
      <c r="AC1925" s="133">
        <f>S1925</f>
        <v>0</v>
      </c>
      <c r="AD1925" s="142">
        <v>1</v>
      </c>
      <c r="AE1925" s="141"/>
      <c r="AF1925" s="121" t="s">
        <v>292</v>
      </c>
      <c r="AG1925" s="146">
        <f>VLOOKUP(Takeoffs!AF1925,Sheet1!$B$6:$C$124,2,FALSE)</f>
        <v>0</v>
      </c>
      <c r="AH1925" s="146">
        <f t="shared" ref="AH1925:AH1944" si="885">AG1925*AI1925</f>
        <v>0</v>
      </c>
      <c r="AI1925" s="143">
        <f t="shared" ref="AI1925:AI1944" si="886">AK1925*AJ1925</f>
        <v>0</v>
      </c>
      <c r="AJ1925" s="133">
        <f t="shared" ref="AJ1925:AJ1944" si="887">S1925</f>
        <v>0</v>
      </c>
      <c r="AK1925" s="142"/>
      <c r="AL1925" s="141"/>
      <c r="AO1925" s="286"/>
      <c r="AP1925" s="284">
        <f t="shared" si="866"/>
        <v>0</v>
      </c>
      <c r="AQ1925" s="281">
        <f t="shared" si="867"/>
        <v>0</v>
      </c>
      <c r="AR1925" s="284">
        <f t="shared" si="868"/>
        <v>0</v>
      </c>
      <c r="AS1925" s="281">
        <f t="shared" si="869"/>
        <v>0</v>
      </c>
      <c r="AT1925" s="284">
        <f t="shared" si="870"/>
        <v>0</v>
      </c>
    </row>
    <row r="1926" spans="1:97" s="114" customFormat="1" ht="30.9" x14ac:dyDescent="0.8">
      <c r="A1926" s="262">
        <f>ROW()</f>
        <v>1926</v>
      </c>
      <c r="C1926" s="208"/>
      <c r="D1926" s="208"/>
      <c r="E1926" s="208"/>
      <c r="F1926" s="208"/>
      <c r="G1926" s="208"/>
      <c r="H1926" s="208"/>
      <c r="J1926" s="114" t="str">
        <f t="shared" ref="J1926:J1944" si="888">IF(COUNTBLANK(Q1926)&gt;0,"",CONCATENATE("Coordination Note: - ",P1926,": Please refer to our exclusions relating to ",Q1926))</f>
        <v/>
      </c>
      <c r="K1926" s="114" t="str">
        <f>IF(COUNTBLANK(R1926)&gt;0,"",CONCATENATE(R1926," for ",N1924))</f>
        <v/>
      </c>
      <c r="M1926" s="117"/>
      <c r="N1926" s="123" t="s">
        <v>114</v>
      </c>
      <c r="O1926" s="66" t="s">
        <v>308</v>
      </c>
      <c r="P1926" s="121"/>
      <c r="Q1926" s="121"/>
      <c r="R1926" s="121"/>
      <c r="S1926" s="133">
        <f>M1924</f>
        <v>0</v>
      </c>
      <c r="T1926" s="120"/>
      <c r="U1926" s="121" t="s">
        <v>292</v>
      </c>
      <c r="V1926" s="133">
        <f t="shared" si="882"/>
        <v>0</v>
      </c>
      <c r="W1926" s="133">
        <f>VLOOKUP(U1926,Sheet1!$B$6:$C$45,2,FALSE)*V1926</f>
        <v>0</v>
      </c>
      <c r="X1926" s="141"/>
      <c r="Y1926" s="121" t="s">
        <v>292</v>
      </c>
      <c r="Z1926" s="146">
        <f>VLOOKUP(Takeoffs!Y1926,Sheet1!$B$6:$C$124,2,FALSE)</f>
        <v>0</v>
      </c>
      <c r="AA1926" s="146">
        <f t="shared" si="883"/>
        <v>0</v>
      </c>
      <c r="AB1926" s="143">
        <f t="shared" si="884"/>
        <v>0</v>
      </c>
      <c r="AC1926" s="133">
        <f>S1926</f>
        <v>0</v>
      </c>
      <c r="AD1926" s="142">
        <v>1</v>
      </c>
      <c r="AE1926" s="141"/>
      <c r="AF1926" s="121" t="s">
        <v>292</v>
      </c>
      <c r="AG1926" s="146">
        <f>VLOOKUP(Takeoffs!AF1926,Sheet1!$B$6:$C$124,2,FALSE)</f>
        <v>0</v>
      </c>
      <c r="AH1926" s="146">
        <f t="shared" si="885"/>
        <v>0</v>
      </c>
      <c r="AI1926" s="143">
        <f t="shared" si="886"/>
        <v>0</v>
      </c>
      <c r="AJ1926" s="133">
        <f t="shared" si="887"/>
        <v>0</v>
      </c>
      <c r="AK1926" s="142">
        <v>0</v>
      </c>
      <c r="AL1926" s="141"/>
      <c r="AO1926" s="286"/>
      <c r="AP1926" s="284">
        <f t="shared" si="866"/>
        <v>0</v>
      </c>
      <c r="AQ1926" s="281">
        <f t="shared" si="867"/>
        <v>0</v>
      </c>
      <c r="AR1926" s="284">
        <f t="shared" si="868"/>
        <v>0</v>
      </c>
      <c r="AS1926" s="281">
        <f t="shared" si="869"/>
        <v>0</v>
      </c>
      <c r="AT1926" s="284">
        <f t="shared" si="870"/>
        <v>0</v>
      </c>
    </row>
    <row r="1927" spans="1:97" s="114" customFormat="1" ht="30.9" x14ac:dyDescent="0.8">
      <c r="A1927" s="262">
        <f>ROW()</f>
        <v>1927</v>
      </c>
      <c r="C1927" s="208"/>
      <c r="D1927" s="208"/>
      <c r="E1927" s="208"/>
      <c r="F1927" s="208"/>
      <c r="G1927" s="208"/>
      <c r="H1927" s="208"/>
      <c r="J1927" s="114" t="str">
        <f t="shared" si="888"/>
        <v/>
      </c>
      <c r="K1927" s="114" t="str">
        <f>IF(COUNTBLANK(R1927)&gt;0,"",CONCATENATE(R1927," for ",N1924))</f>
        <v/>
      </c>
      <c r="M1927" s="117"/>
      <c r="N1927" s="123" t="s">
        <v>115</v>
      </c>
      <c r="O1927" s="66" t="s">
        <v>305</v>
      </c>
      <c r="P1927" s="121"/>
      <c r="Q1927" s="121"/>
      <c r="R1927" s="121"/>
      <c r="S1927" s="133">
        <f>M1924</f>
        <v>0</v>
      </c>
      <c r="T1927" s="120"/>
      <c r="U1927" s="117" t="s">
        <v>478</v>
      </c>
      <c r="V1927" s="133">
        <f t="shared" si="882"/>
        <v>0</v>
      </c>
      <c r="W1927" s="133">
        <f>VLOOKUP(U1927,Sheet1!$B$6:$C$45,2,FALSE)*V1927</f>
        <v>0</v>
      </c>
      <c r="X1927" s="141"/>
      <c r="Y1927" s="121" t="s">
        <v>292</v>
      </c>
      <c r="Z1927" s="146">
        <f>VLOOKUP(Takeoffs!Y1927,Sheet1!$B$6:$C$124,2,FALSE)</f>
        <v>0</v>
      </c>
      <c r="AA1927" s="146">
        <f t="shared" si="883"/>
        <v>0</v>
      </c>
      <c r="AB1927" s="143">
        <f t="shared" si="884"/>
        <v>0</v>
      </c>
      <c r="AC1927" s="133">
        <f t="shared" ref="AC1927:AC1944" si="889">S1927</f>
        <v>0</v>
      </c>
      <c r="AD1927" s="142">
        <v>1</v>
      </c>
      <c r="AE1927" s="141"/>
      <c r="AF1927" s="122" t="s">
        <v>267</v>
      </c>
      <c r="AG1927" s="146">
        <f>VLOOKUP(Takeoffs!AF1927,Sheet1!$B$6:$C$124,2,FALSE)</f>
        <v>3.48</v>
      </c>
      <c r="AH1927" s="146">
        <f t="shared" si="885"/>
        <v>0</v>
      </c>
      <c r="AI1927" s="143">
        <f t="shared" si="886"/>
        <v>0</v>
      </c>
      <c r="AJ1927" s="133">
        <f t="shared" si="887"/>
        <v>0</v>
      </c>
      <c r="AK1927" s="142">
        <v>1.5</v>
      </c>
      <c r="AL1927" s="141"/>
      <c r="AO1927" s="286"/>
      <c r="AP1927" s="284">
        <f t="shared" si="866"/>
        <v>0</v>
      </c>
      <c r="AQ1927" s="281">
        <f t="shared" si="867"/>
        <v>0</v>
      </c>
      <c r="AR1927" s="284">
        <f t="shared" si="868"/>
        <v>0</v>
      </c>
      <c r="AS1927" s="281">
        <f t="shared" si="869"/>
        <v>0</v>
      </c>
      <c r="AT1927" s="284">
        <f t="shared" si="870"/>
        <v>0</v>
      </c>
    </row>
    <row r="1928" spans="1:97" s="114" customFormat="1" ht="30.9" x14ac:dyDescent="0.8">
      <c r="A1928" s="262">
        <f>ROW()</f>
        <v>1928</v>
      </c>
      <c r="C1928" s="208"/>
      <c r="D1928" s="208"/>
      <c r="E1928" s="208"/>
      <c r="F1928" s="208"/>
      <c r="G1928" s="208"/>
      <c r="H1928" s="208"/>
      <c r="J1928" s="114" t="str">
        <f t="shared" si="888"/>
        <v/>
      </c>
      <c r="K1928" s="114" t="str">
        <f>IF(COUNTBLANK(R1928)&gt;0,"",CONCATENATE(R1928," for ",N1924))</f>
        <v/>
      </c>
      <c r="M1928" s="117"/>
      <c r="N1928" s="123" t="s">
        <v>116</v>
      </c>
      <c r="O1928" s="66" t="s">
        <v>511</v>
      </c>
      <c r="P1928" s="121"/>
      <c r="Q1928" s="121"/>
      <c r="R1928" s="121"/>
      <c r="S1928" s="133">
        <f>M1924</f>
        <v>0</v>
      </c>
      <c r="T1928" s="120"/>
      <c r="U1928" s="121" t="s">
        <v>292</v>
      </c>
      <c r="V1928" s="133">
        <f t="shared" si="882"/>
        <v>0</v>
      </c>
      <c r="W1928" s="133">
        <f>VLOOKUP(U1928,Sheet1!$B$6:$C$45,2,FALSE)*V1928</f>
        <v>0</v>
      </c>
      <c r="X1928" s="141"/>
      <c r="Y1928" s="152" t="s">
        <v>264</v>
      </c>
      <c r="Z1928" s="146">
        <f>VLOOKUP(Takeoffs!Y1928,Sheet1!$B$6:$C$124,2,FALSE)</f>
        <v>751.07999999999993</v>
      </c>
      <c r="AA1928" s="146">
        <f t="shared" si="883"/>
        <v>0</v>
      </c>
      <c r="AB1928" s="143">
        <f t="shared" si="884"/>
        <v>0</v>
      </c>
      <c r="AC1928" s="133">
        <f t="shared" si="889"/>
        <v>0</v>
      </c>
      <c r="AD1928" s="142">
        <v>1</v>
      </c>
      <c r="AE1928" s="141"/>
      <c r="AF1928" s="121" t="s">
        <v>292</v>
      </c>
      <c r="AG1928" s="146">
        <f>VLOOKUP(Takeoffs!AF1928,Sheet1!$B$6:$C$124,2,FALSE)</f>
        <v>0</v>
      </c>
      <c r="AH1928" s="146">
        <f t="shared" si="885"/>
        <v>0</v>
      </c>
      <c r="AI1928" s="143">
        <f t="shared" si="886"/>
        <v>0</v>
      </c>
      <c r="AJ1928" s="133">
        <f t="shared" si="887"/>
        <v>0</v>
      </c>
      <c r="AK1928" s="142">
        <v>0</v>
      </c>
      <c r="AL1928" s="141"/>
      <c r="AO1928" s="286"/>
      <c r="AP1928" s="284">
        <f t="shared" si="866"/>
        <v>0</v>
      </c>
      <c r="AQ1928" s="281">
        <f t="shared" si="867"/>
        <v>0</v>
      </c>
      <c r="AR1928" s="284">
        <f t="shared" si="868"/>
        <v>0</v>
      </c>
      <c r="AS1928" s="281">
        <f t="shared" si="869"/>
        <v>0</v>
      </c>
      <c r="AT1928" s="284">
        <f t="shared" si="870"/>
        <v>0</v>
      </c>
    </row>
    <row r="1929" spans="1:97" s="114" customFormat="1" ht="30.9" x14ac:dyDescent="0.8">
      <c r="A1929" s="262">
        <f>ROW()</f>
        <v>1929</v>
      </c>
      <c r="C1929" s="208"/>
      <c r="D1929" s="208"/>
      <c r="E1929" s="208"/>
      <c r="F1929" s="208"/>
      <c r="G1929" s="208"/>
      <c r="H1929" s="208"/>
      <c r="J1929" s="114" t="str">
        <f t="shared" si="888"/>
        <v/>
      </c>
      <c r="K1929" s="114" t="str">
        <f>IF(COUNTBLANK(R1929)&gt;0,"",CONCATENATE(R1929," for ",N1924))</f>
        <v/>
      </c>
      <c r="M1929" s="117"/>
      <c r="N1929" s="123" t="s">
        <v>117</v>
      </c>
      <c r="O1929" s="66" t="s">
        <v>390</v>
      </c>
      <c r="P1929" s="121"/>
      <c r="Q1929" s="121"/>
      <c r="R1929" s="121"/>
      <c r="S1929" s="133">
        <f>M1924</f>
        <v>0</v>
      </c>
      <c r="T1929" s="120"/>
      <c r="U1929" s="121" t="s">
        <v>292</v>
      </c>
      <c r="V1929" s="133">
        <f t="shared" si="882"/>
        <v>0</v>
      </c>
      <c r="W1929" s="133">
        <f>VLOOKUP(U1929,Sheet1!$B$6:$C$45,2,FALSE)*V1929</f>
        <v>0</v>
      </c>
      <c r="X1929" s="141"/>
      <c r="Y1929" s="121" t="s">
        <v>292</v>
      </c>
      <c r="Z1929" s="146">
        <f>VLOOKUP(Takeoffs!Y1929,Sheet1!$B$6:$C$124,2,FALSE)</f>
        <v>0</v>
      </c>
      <c r="AA1929" s="146">
        <f t="shared" si="883"/>
        <v>0</v>
      </c>
      <c r="AB1929" s="143">
        <f t="shared" si="884"/>
        <v>0</v>
      </c>
      <c r="AC1929" s="133">
        <f t="shared" si="889"/>
        <v>0</v>
      </c>
      <c r="AD1929" s="142">
        <v>1</v>
      </c>
      <c r="AE1929" s="141"/>
      <c r="AF1929" s="122" t="s">
        <v>267</v>
      </c>
      <c r="AG1929" s="146">
        <f>VLOOKUP(Takeoffs!AF1929,Sheet1!$B$6:$C$124,2,FALSE)</f>
        <v>3.48</v>
      </c>
      <c r="AH1929" s="146">
        <f t="shared" si="885"/>
        <v>0</v>
      </c>
      <c r="AI1929" s="143">
        <f t="shared" si="886"/>
        <v>0</v>
      </c>
      <c r="AJ1929" s="133">
        <f t="shared" si="887"/>
        <v>0</v>
      </c>
      <c r="AK1929" s="142">
        <v>20</v>
      </c>
      <c r="AL1929" s="141"/>
      <c r="AO1929" s="286"/>
      <c r="AP1929" s="284">
        <f t="shared" si="866"/>
        <v>0</v>
      </c>
      <c r="AQ1929" s="281">
        <f t="shared" si="867"/>
        <v>0</v>
      </c>
      <c r="AR1929" s="284">
        <f t="shared" si="868"/>
        <v>0</v>
      </c>
      <c r="AS1929" s="281">
        <f t="shared" si="869"/>
        <v>0</v>
      </c>
      <c r="AT1929" s="284">
        <f t="shared" si="870"/>
        <v>0</v>
      </c>
    </row>
    <row r="1930" spans="1:97" s="114" customFormat="1" ht="30.9" x14ac:dyDescent="0.8">
      <c r="A1930" s="262">
        <f>ROW()</f>
        <v>1930</v>
      </c>
      <c r="C1930" s="208"/>
      <c r="D1930" s="208"/>
      <c r="E1930" s="208"/>
      <c r="F1930" s="208"/>
      <c r="G1930" s="208"/>
      <c r="H1930" s="208"/>
      <c r="J1930" s="114" t="str">
        <f t="shared" si="888"/>
        <v/>
      </c>
      <c r="K1930" s="114" t="str">
        <f>IF(COUNTBLANK(R1930)&gt;0,"",CONCATENATE(R1930," for ",N1924))</f>
        <v/>
      </c>
      <c r="M1930" s="117"/>
      <c r="N1930" s="123" t="s">
        <v>118</v>
      </c>
      <c r="O1930" s="66" t="s">
        <v>309</v>
      </c>
      <c r="P1930" s="121"/>
      <c r="Q1930" s="121"/>
      <c r="R1930" s="121"/>
      <c r="S1930" s="133">
        <f>M1924</f>
        <v>0</v>
      </c>
      <c r="T1930" s="120"/>
      <c r="U1930" s="121" t="s">
        <v>292</v>
      </c>
      <c r="V1930" s="133">
        <f t="shared" si="882"/>
        <v>0</v>
      </c>
      <c r="W1930" s="133">
        <f>VLOOKUP(U1930,Sheet1!$B$6:$C$45,2,FALSE)*V1930</f>
        <v>0</v>
      </c>
      <c r="X1930" s="141"/>
      <c r="Y1930" s="122" t="s">
        <v>245</v>
      </c>
      <c r="Z1930" s="146">
        <f>VLOOKUP(Takeoffs!Y1930,Sheet1!$B$6:$C$124,2,FALSE)</f>
        <v>46.463999999999999</v>
      </c>
      <c r="AA1930" s="146">
        <f t="shared" si="883"/>
        <v>0</v>
      </c>
      <c r="AB1930" s="143">
        <f t="shared" si="884"/>
        <v>0</v>
      </c>
      <c r="AC1930" s="133">
        <f t="shared" si="889"/>
        <v>0</v>
      </c>
      <c r="AD1930" s="142">
        <v>1</v>
      </c>
      <c r="AE1930" s="141"/>
      <c r="AF1930" s="121" t="s">
        <v>292</v>
      </c>
      <c r="AG1930" s="146">
        <f>VLOOKUP(Takeoffs!AF1930,Sheet1!$B$6:$C$124,2,FALSE)</f>
        <v>0</v>
      </c>
      <c r="AH1930" s="146">
        <f t="shared" si="885"/>
        <v>0</v>
      </c>
      <c r="AI1930" s="143">
        <f t="shared" si="886"/>
        <v>0</v>
      </c>
      <c r="AJ1930" s="133">
        <f t="shared" si="887"/>
        <v>0</v>
      </c>
      <c r="AK1930" s="142">
        <v>0</v>
      </c>
      <c r="AL1930" s="141"/>
      <c r="AO1930" s="286"/>
      <c r="AP1930" s="284">
        <f t="shared" si="866"/>
        <v>0</v>
      </c>
      <c r="AQ1930" s="281">
        <f t="shared" si="867"/>
        <v>0</v>
      </c>
      <c r="AR1930" s="284">
        <f t="shared" si="868"/>
        <v>0</v>
      </c>
      <c r="AS1930" s="281">
        <f t="shared" si="869"/>
        <v>0</v>
      </c>
      <c r="AT1930" s="284">
        <f t="shared" si="870"/>
        <v>0</v>
      </c>
    </row>
    <row r="1931" spans="1:97" s="114" customFormat="1" ht="30.9" x14ac:dyDescent="0.8">
      <c r="A1931" s="262">
        <f>ROW()</f>
        <v>1931</v>
      </c>
      <c r="C1931" s="208"/>
      <c r="D1931" s="208"/>
      <c r="E1931" s="208"/>
      <c r="F1931" s="208"/>
      <c r="G1931" s="208"/>
      <c r="H1931" s="208"/>
      <c r="J1931" s="114" t="str">
        <f t="shared" si="888"/>
        <v/>
      </c>
      <c r="K1931" s="114" t="str">
        <f>IF(COUNTBLANK(R1931)&gt;0,"",CONCATENATE(R1931," for ",N1924))</f>
        <v/>
      </c>
      <c r="N1931" s="123" t="s">
        <v>119</v>
      </c>
      <c r="O1931" s="66" t="s">
        <v>307</v>
      </c>
      <c r="P1931" s="121"/>
      <c r="Q1931" s="121"/>
      <c r="R1931" s="121"/>
      <c r="S1931" s="133">
        <f>M1924</f>
        <v>0</v>
      </c>
      <c r="T1931" s="120"/>
      <c r="U1931" s="121" t="s">
        <v>292</v>
      </c>
      <c r="V1931" s="133">
        <f t="shared" si="882"/>
        <v>0</v>
      </c>
      <c r="W1931" s="133">
        <f>VLOOKUP(U1931,Sheet1!$B$6:$C$45,2,FALSE)*V1931</f>
        <v>0</v>
      </c>
      <c r="X1931" s="141"/>
      <c r="Y1931" s="121" t="s">
        <v>292</v>
      </c>
      <c r="Z1931" s="146">
        <f>VLOOKUP(Takeoffs!Y1931,Sheet1!$B$6:$C$124,2,FALSE)</f>
        <v>0</v>
      </c>
      <c r="AA1931" s="146">
        <f t="shared" si="883"/>
        <v>0</v>
      </c>
      <c r="AB1931" s="143">
        <f t="shared" si="884"/>
        <v>0</v>
      </c>
      <c r="AC1931" s="133">
        <f t="shared" si="889"/>
        <v>0</v>
      </c>
      <c r="AD1931" s="142">
        <v>1</v>
      </c>
      <c r="AE1931" s="141"/>
      <c r="AF1931" s="121" t="s">
        <v>292</v>
      </c>
      <c r="AG1931" s="146">
        <f>VLOOKUP(Takeoffs!AF1931,Sheet1!$B$6:$C$124,2,FALSE)</f>
        <v>0</v>
      </c>
      <c r="AH1931" s="146">
        <f t="shared" si="885"/>
        <v>0</v>
      </c>
      <c r="AI1931" s="143">
        <f t="shared" si="886"/>
        <v>0</v>
      </c>
      <c r="AJ1931" s="133">
        <f t="shared" si="887"/>
        <v>0</v>
      </c>
      <c r="AK1931" s="142">
        <v>0</v>
      </c>
      <c r="AL1931" s="141"/>
      <c r="AO1931" s="286"/>
      <c r="AP1931" s="284">
        <f t="shared" si="866"/>
        <v>0</v>
      </c>
      <c r="AQ1931" s="281">
        <f t="shared" si="867"/>
        <v>0</v>
      </c>
      <c r="AR1931" s="284">
        <f t="shared" si="868"/>
        <v>0</v>
      </c>
      <c r="AS1931" s="281">
        <f t="shared" si="869"/>
        <v>0</v>
      </c>
      <c r="AT1931" s="284">
        <f t="shared" si="870"/>
        <v>0</v>
      </c>
    </row>
    <row r="1932" spans="1:97" s="114" customFormat="1" ht="30.9" x14ac:dyDescent="0.8">
      <c r="A1932" s="262">
        <f>ROW()</f>
        <v>1932</v>
      </c>
      <c r="C1932" s="208"/>
      <c r="D1932" s="208"/>
      <c r="E1932" s="208"/>
      <c r="F1932" s="208"/>
      <c r="G1932" s="208"/>
      <c r="H1932" s="208"/>
      <c r="J1932" s="114" t="str">
        <f t="shared" si="888"/>
        <v/>
      </c>
      <c r="K1932" s="114" t="str">
        <f>IF(COUNTBLANK(R1932)&gt;0,"",CONCATENATE(R1932," for ",N1924))</f>
        <v/>
      </c>
      <c r="N1932" s="123" t="s">
        <v>120</v>
      </c>
      <c r="O1932" s="66"/>
      <c r="P1932" s="121"/>
      <c r="Q1932" s="121"/>
      <c r="R1932" s="121"/>
      <c r="S1932" s="133">
        <f>M1924</f>
        <v>0</v>
      </c>
      <c r="T1932" s="120"/>
      <c r="U1932" s="121" t="s">
        <v>292</v>
      </c>
      <c r="V1932" s="133">
        <f t="shared" si="882"/>
        <v>0</v>
      </c>
      <c r="W1932" s="133">
        <f>VLOOKUP(U1932,Sheet1!$B$6:$C$45,2,FALSE)*V1932</f>
        <v>0</v>
      </c>
      <c r="X1932" s="141"/>
      <c r="Y1932" s="121" t="s">
        <v>292</v>
      </c>
      <c r="Z1932" s="146">
        <f>VLOOKUP(Takeoffs!Y1932,Sheet1!$B$6:$C$124,2,FALSE)</f>
        <v>0</v>
      </c>
      <c r="AA1932" s="146">
        <f t="shared" si="883"/>
        <v>0</v>
      </c>
      <c r="AB1932" s="143">
        <f t="shared" si="884"/>
        <v>0</v>
      </c>
      <c r="AC1932" s="133">
        <f t="shared" si="889"/>
        <v>0</v>
      </c>
      <c r="AD1932" s="142">
        <v>1</v>
      </c>
      <c r="AE1932" s="141"/>
      <c r="AF1932" s="121" t="s">
        <v>292</v>
      </c>
      <c r="AG1932" s="146">
        <f>VLOOKUP(Takeoffs!AF1932,Sheet1!$B$6:$C$124,2,FALSE)</f>
        <v>0</v>
      </c>
      <c r="AH1932" s="146">
        <f t="shared" si="885"/>
        <v>0</v>
      </c>
      <c r="AI1932" s="143">
        <f t="shared" si="886"/>
        <v>0</v>
      </c>
      <c r="AJ1932" s="133">
        <f t="shared" si="887"/>
        <v>0</v>
      </c>
      <c r="AK1932" s="142">
        <v>0</v>
      </c>
      <c r="AL1932" s="141"/>
      <c r="AO1932" s="286"/>
      <c r="AP1932" s="284">
        <f t="shared" si="866"/>
        <v>0</v>
      </c>
      <c r="AQ1932" s="281">
        <f t="shared" si="867"/>
        <v>0</v>
      </c>
      <c r="AR1932" s="284">
        <f t="shared" si="868"/>
        <v>0</v>
      </c>
      <c r="AS1932" s="281">
        <f t="shared" si="869"/>
        <v>0</v>
      </c>
      <c r="AT1932" s="284">
        <f t="shared" si="870"/>
        <v>0</v>
      </c>
    </row>
    <row r="1933" spans="1:97" s="114" customFormat="1" ht="30.9" x14ac:dyDescent="0.8">
      <c r="A1933" s="262">
        <f>ROW()</f>
        <v>1933</v>
      </c>
      <c r="C1933" s="208"/>
      <c r="D1933" s="208"/>
      <c r="E1933" s="208"/>
      <c r="F1933" s="208"/>
      <c r="G1933" s="208"/>
      <c r="H1933" s="208"/>
      <c r="J1933" s="114" t="str">
        <f t="shared" si="888"/>
        <v/>
      </c>
      <c r="K1933" s="114" t="str">
        <f>IF(COUNTBLANK(R1933)&gt;0,"",CONCATENATE(R1933," for ",N1924))</f>
        <v/>
      </c>
      <c r="N1933" s="123" t="s">
        <v>121</v>
      </c>
      <c r="O1933" s="66"/>
      <c r="P1933" s="121"/>
      <c r="Q1933" s="121"/>
      <c r="R1933" s="121"/>
      <c r="S1933" s="133">
        <f>M1924</f>
        <v>0</v>
      </c>
      <c r="T1933" s="120"/>
      <c r="U1933" s="121" t="s">
        <v>292</v>
      </c>
      <c r="V1933" s="133">
        <f t="shared" si="882"/>
        <v>0</v>
      </c>
      <c r="W1933" s="133">
        <f>VLOOKUP(U1933,Sheet1!$B$6:$C$45,2,FALSE)*V1933</f>
        <v>0</v>
      </c>
      <c r="X1933" s="141"/>
      <c r="Y1933" s="121" t="s">
        <v>292</v>
      </c>
      <c r="Z1933" s="146">
        <f>VLOOKUP(Takeoffs!Y1933,Sheet1!$B$6:$C$124,2,FALSE)</f>
        <v>0</v>
      </c>
      <c r="AA1933" s="146">
        <f t="shared" si="883"/>
        <v>0</v>
      </c>
      <c r="AB1933" s="143">
        <f t="shared" si="884"/>
        <v>0</v>
      </c>
      <c r="AC1933" s="133">
        <f t="shared" si="889"/>
        <v>0</v>
      </c>
      <c r="AD1933" s="142">
        <v>1</v>
      </c>
      <c r="AE1933" s="141"/>
      <c r="AF1933" s="121" t="s">
        <v>292</v>
      </c>
      <c r="AG1933" s="146">
        <f>VLOOKUP(Takeoffs!AF1933,Sheet1!$B$6:$C$124,2,FALSE)</f>
        <v>0</v>
      </c>
      <c r="AH1933" s="146">
        <f t="shared" si="885"/>
        <v>0</v>
      </c>
      <c r="AI1933" s="143">
        <f t="shared" si="886"/>
        <v>0</v>
      </c>
      <c r="AJ1933" s="133">
        <f t="shared" si="887"/>
        <v>0</v>
      </c>
      <c r="AK1933" s="142">
        <v>0</v>
      </c>
      <c r="AL1933" s="141"/>
      <c r="AO1933" s="286"/>
      <c r="AP1933" s="284">
        <f t="shared" si="866"/>
        <v>0</v>
      </c>
      <c r="AQ1933" s="281">
        <f t="shared" si="867"/>
        <v>0</v>
      </c>
      <c r="AR1933" s="284">
        <f t="shared" si="868"/>
        <v>0</v>
      </c>
      <c r="AS1933" s="281">
        <f t="shared" si="869"/>
        <v>0</v>
      </c>
      <c r="AT1933" s="284">
        <f t="shared" si="870"/>
        <v>0</v>
      </c>
    </row>
    <row r="1934" spans="1:97" s="114" customFormat="1" ht="30.9" x14ac:dyDescent="0.8">
      <c r="A1934" s="262">
        <f>ROW()</f>
        <v>1934</v>
      </c>
      <c r="C1934" s="208"/>
      <c r="D1934" s="208"/>
      <c r="E1934" s="208"/>
      <c r="F1934" s="208"/>
      <c r="G1934" s="208"/>
      <c r="H1934" s="208"/>
      <c r="J1934" s="114" t="str">
        <f t="shared" si="888"/>
        <v/>
      </c>
      <c r="K1934" s="114" t="str">
        <f>IF(COUNTBLANK(R1934)&gt;0,"",CONCATENATE(R1934," for ",N1924))</f>
        <v/>
      </c>
      <c r="N1934" s="123" t="s">
        <v>122</v>
      </c>
      <c r="O1934" s="66" t="s">
        <v>512</v>
      </c>
      <c r="P1934" s="121"/>
      <c r="Q1934" s="121"/>
      <c r="R1934" s="121"/>
      <c r="S1934" s="133">
        <f>M1924</f>
        <v>0</v>
      </c>
      <c r="T1934" s="120"/>
      <c r="U1934" s="121" t="s">
        <v>363</v>
      </c>
      <c r="V1934" s="133">
        <f t="shared" si="882"/>
        <v>0</v>
      </c>
      <c r="W1934" s="133">
        <f>VLOOKUP(U1934,Sheet1!$B$6:$C$45,2,FALSE)*V1934</f>
        <v>0</v>
      </c>
      <c r="X1934" s="141"/>
      <c r="Y1934" s="122" t="s">
        <v>321</v>
      </c>
      <c r="Z1934" s="146">
        <f>VLOOKUP(Takeoffs!Y1934,Sheet1!$B$6:$C$124,2,FALSE)</f>
        <v>60</v>
      </c>
      <c r="AA1934" s="146">
        <f t="shared" si="883"/>
        <v>0</v>
      </c>
      <c r="AB1934" s="143">
        <f t="shared" si="884"/>
        <v>0</v>
      </c>
      <c r="AC1934" s="133">
        <f t="shared" si="889"/>
        <v>0</v>
      </c>
      <c r="AD1934" s="142">
        <v>1</v>
      </c>
      <c r="AE1934" s="141"/>
      <c r="AF1934" s="121" t="s">
        <v>292</v>
      </c>
      <c r="AG1934" s="146">
        <f>VLOOKUP(Takeoffs!AF1934,Sheet1!$B$6:$C$124,2,FALSE)</f>
        <v>0</v>
      </c>
      <c r="AH1934" s="146">
        <f t="shared" si="885"/>
        <v>0</v>
      </c>
      <c r="AI1934" s="143">
        <f t="shared" si="886"/>
        <v>0</v>
      </c>
      <c r="AJ1934" s="133">
        <f t="shared" si="887"/>
        <v>0</v>
      </c>
      <c r="AK1934" s="142">
        <v>0</v>
      </c>
      <c r="AL1934" s="141"/>
      <c r="AO1934" s="286"/>
      <c r="AP1934" s="284">
        <f t="shared" si="866"/>
        <v>0</v>
      </c>
      <c r="AQ1934" s="281">
        <f t="shared" si="867"/>
        <v>0</v>
      </c>
      <c r="AR1934" s="284">
        <f t="shared" si="868"/>
        <v>0</v>
      </c>
      <c r="AS1934" s="281">
        <f t="shared" si="869"/>
        <v>0</v>
      </c>
      <c r="AT1934" s="284">
        <f t="shared" si="870"/>
        <v>0</v>
      </c>
    </row>
    <row r="1935" spans="1:97" s="114" customFormat="1" ht="30.9" x14ac:dyDescent="0.8">
      <c r="A1935" s="262">
        <f>ROW()</f>
        <v>1935</v>
      </c>
      <c r="C1935" s="208"/>
      <c r="D1935" s="208"/>
      <c r="E1935" s="208"/>
      <c r="F1935" s="208"/>
      <c r="G1935" s="208"/>
      <c r="H1935" s="208"/>
      <c r="J1935" s="114" t="str">
        <f t="shared" si="888"/>
        <v/>
      </c>
      <c r="K1935" s="114" t="str">
        <f>IF(COUNTBLANK(R1935)&gt;0,"",CONCATENATE(R1935," for ",N1924))</f>
        <v/>
      </c>
      <c r="N1935" s="123" t="s">
        <v>123</v>
      </c>
      <c r="O1935" s="66" t="s">
        <v>467</v>
      </c>
      <c r="P1935" s="121"/>
      <c r="Q1935" s="121"/>
      <c r="R1935" s="121"/>
      <c r="S1935" s="133">
        <f>M1924</f>
        <v>0</v>
      </c>
      <c r="T1935" s="120"/>
      <c r="U1935" s="121" t="s">
        <v>292</v>
      </c>
      <c r="V1935" s="133">
        <f t="shared" si="882"/>
        <v>0</v>
      </c>
      <c r="W1935" s="133">
        <f>VLOOKUP(U1935,Sheet1!$B$6:$C$45,2,FALSE)*V1935</f>
        <v>0</v>
      </c>
      <c r="X1935" s="141"/>
      <c r="Y1935" s="122" t="s">
        <v>274</v>
      </c>
      <c r="Z1935" s="146">
        <f>VLOOKUP(Takeoffs!Y1935,Sheet1!$B$6:$C$124,2,FALSE)</f>
        <v>360</v>
      </c>
      <c r="AA1935" s="146">
        <f t="shared" si="883"/>
        <v>0</v>
      </c>
      <c r="AB1935" s="143">
        <f t="shared" si="884"/>
        <v>0</v>
      </c>
      <c r="AC1935" s="133">
        <f t="shared" si="889"/>
        <v>0</v>
      </c>
      <c r="AD1935" s="142">
        <v>1</v>
      </c>
      <c r="AE1935" s="141"/>
      <c r="AF1935" s="121" t="s">
        <v>292</v>
      </c>
      <c r="AG1935" s="146">
        <f>VLOOKUP(Takeoffs!AF1935,Sheet1!$B$6:$C$124,2,FALSE)</f>
        <v>0</v>
      </c>
      <c r="AH1935" s="146">
        <f t="shared" si="885"/>
        <v>0</v>
      </c>
      <c r="AI1935" s="143">
        <f t="shared" si="886"/>
        <v>0</v>
      </c>
      <c r="AJ1935" s="133">
        <f t="shared" si="887"/>
        <v>0</v>
      </c>
      <c r="AK1935" s="142">
        <v>0</v>
      </c>
      <c r="AL1935" s="141"/>
      <c r="AO1935" s="286"/>
      <c r="AP1935" s="284">
        <f t="shared" si="866"/>
        <v>0</v>
      </c>
      <c r="AQ1935" s="281">
        <f t="shared" si="867"/>
        <v>0</v>
      </c>
      <c r="AR1935" s="284">
        <f t="shared" si="868"/>
        <v>0</v>
      </c>
      <c r="AS1935" s="281">
        <f t="shared" si="869"/>
        <v>0</v>
      </c>
      <c r="AT1935" s="284">
        <f t="shared" si="870"/>
        <v>0</v>
      </c>
    </row>
    <row r="1936" spans="1:97" s="114" customFormat="1" ht="30.9" x14ac:dyDescent="0.8">
      <c r="A1936" s="262">
        <f>ROW()</f>
        <v>1936</v>
      </c>
      <c r="C1936" s="208"/>
      <c r="D1936" s="208"/>
      <c r="E1936" s="208"/>
      <c r="F1936" s="208"/>
      <c r="G1936" s="208"/>
      <c r="H1936" s="208"/>
      <c r="J1936" s="114" t="str">
        <f t="shared" si="888"/>
        <v/>
      </c>
      <c r="K1936" s="114" t="str">
        <f>IF(COUNTBLANK(R1936)&gt;0,"",CONCATENATE(R1936," for ",N1924))</f>
        <v/>
      </c>
      <c r="N1936" s="123" t="s">
        <v>124</v>
      </c>
      <c r="O1936" s="66" t="s">
        <v>140</v>
      </c>
      <c r="P1936" s="121"/>
      <c r="Q1936" s="121"/>
      <c r="R1936" s="121"/>
      <c r="S1936" s="133">
        <f>M1924</f>
        <v>0</v>
      </c>
      <c r="T1936" s="120"/>
      <c r="U1936" s="121" t="s">
        <v>363</v>
      </c>
      <c r="V1936" s="133">
        <f t="shared" si="882"/>
        <v>0</v>
      </c>
      <c r="W1936" s="133">
        <f>VLOOKUP(U1936,Sheet1!$B$6:$C$45,2,FALSE)*V1936</f>
        <v>0</v>
      </c>
      <c r="X1936" s="141"/>
      <c r="Y1936" s="121" t="s">
        <v>292</v>
      </c>
      <c r="Z1936" s="146">
        <f>VLOOKUP(Takeoffs!Y1936,Sheet1!$B$6:$C$124,2,FALSE)</f>
        <v>0</v>
      </c>
      <c r="AA1936" s="146">
        <f t="shared" si="883"/>
        <v>0</v>
      </c>
      <c r="AB1936" s="143">
        <f t="shared" si="884"/>
        <v>0</v>
      </c>
      <c r="AC1936" s="133">
        <f t="shared" si="889"/>
        <v>0</v>
      </c>
      <c r="AD1936" s="142">
        <v>1</v>
      </c>
      <c r="AE1936" s="141"/>
      <c r="AF1936" s="144" t="s">
        <v>269</v>
      </c>
      <c r="AG1936" s="146">
        <f>VLOOKUP(Takeoffs!AF1936,Sheet1!$B$6:$C$124,2,FALSE)</f>
        <v>1.056</v>
      </c>
      <c r="AH1936" s="146">
        <f t="shared" si="885"/>
        <v>0</v>
      </c>
      <c r="AI1936" s="143">
        <f t="shared" si="886"/>
        <v>0</v>
      </c>
      <c r="AJ1936" s="133">
        <f t="shared" si="887"/>
        <v>0</v>
      </c>
      <c r="AK1936" s="142">
        <v>40</v>
      </c>
      <c r="AL1936" s="141"/>
      <c r="AO1936" s="286"/>
      <c r="AP1936" s="284">
        <f t="shared" si="866"/>
        <v>0</v>
      </c>
      <c r="AQ1936" s="281">
        <f t="shared" si="867"/>
        <v>0</v>
      </c>
      <c r="AR1936" s="284">
        <f t="shared" si="868"/>
        <v>0</v>
      </c>
      <c r="AS1936" s="281">
        <f t="shared" si="869"/>
        <v>0</v>
      </c>
      <c r="AT1936" s="284">
        <f t="shared" si="870"/>
        <v>0</v>
      </c>
    </row>
    <row r="1937" spans="1:97" s="114" customFormat="1" ht="30.9" x14ac:dyDescent="0.8">
      <c r="A1937" s="262">
        <f>ROW()</f>
        <v>1937</v>
      </c>
      <c r="C1937" s="208"/>
      <c r="D1937" s="208"/>
      <c r="E1937" s="208"/>
      <c r="F1937" s="208"/>
      <c r="G1937" s="208"/>
      <c r="H1937" s="208"/>
      <c r="J1937" s="114" t="str">
        <f t="shared" si="888"/>
        <v/>
      </c>
      <c r="K1937" s="114" t="str">
        <f>IF(COUNTBLANK(R1937)&gt;0,"",CONCATENATE(R1937," for ",N1924))</f>
        <v/>
      </c>
      <c r="N1937" s="123" t="s">
        <v>125</v>
      </c>
      <c r="O1937" s="66"/>
      <c r="P1937" s="121"/>
      <c r="Q1937" s="121"/>
      <c r="R1937" s="121"/>
      <c r="S1937" s="133">
        <f>M1924</f>
        <v>0</v>
      </c>
      <c r="T1937" s="120"/>
      <c r="U1937" s="121" t="s">
        <v>232</v>
      </c>
      <c r="V1937" s="133">
        <f t="shared" si="882"/>
        <v>0</v>
      </c>
      <c r="W1937" s="133">
        <f>VLOOKUP(U1937,Sheet1!$B$6:$C$45,2,FALSE)*V1937</f>
        <v>0</v>
      </c>
      <c r="X1937" s="141"/>
      <c r="Y1937" s="122" t="s">
        <v>1345</v>
      </c>
      <c r="Z1937" s="146">
        <f>VLOOKUP(Takeoffs!Y1937,Sheet1!$B$6:$C$124,2,FALSE)</f>
        <v>109.25999999999999</v>
      </c>
      <c r="AA1937" s="146">
        <f t="shared" si="883"/>
        <v>0</v>
      </c>
      <c r="AB1937" s="143">
        <f t="shared" si="884"/>
        <v>0</v>
      </c>
      <c r="AC1937" s="133">
        <f t="shared" si="889"/>
        <v>0</v>
      </c>
      <c r="AD1937" s="142">
        <v>1</v>
      </c>
      <c r="AE1937" s="141"/>
      <c r="AF1937" s="121" t="s">
        <v>292</v>
      </c>
      <c r="AG1937" s="146">
        <f>VLOOKUP(Takeoffs!AF1937,Sheet1!$B$6:$C$124,2,FALSE)</f>
        <v>0</v>
      </c>
      <c r="AH1937" s="146">
        <f t="shared" si="885"/>
        <v>0</v>
      </c>
      <c r="AI1937" s="143">
        <f t="shared" si="886"/>
        <v>0</v>
      </c>
      <c r="AJ1937" s="133">
        <f t="shared" si="887"/>
        <v>0</v>
      </c>
      <c r="AK1937" s="142">
        <v>0</v>
      </c>
      <c r="AL1937" s="141"/>
      <c r="AO1937" s="286"/>
      <c r="AP1937" s="284">
        <f t="shared" si="866"/>
        <v>0</v>
      </c>
      <c r="AQ1937" s="281">
        <f t="shared" si="867"/>
        <v>0</v>
      </c>
      <c r="AR1937" s="284">
        <f t="shared" si="868"/>
        <v>0</v>
      </c>
      <c r="AS1937" s="281">
        <f t="shared" si="869"/>
        <v>0</v>
      </c>
      <c r="AT1937" s="284">
        <f t="shared" si="870"/>
        <v>0</v>
      </c>
    </row>
    <row r="1938" spans="1:97" s="114" customFormat="1" ht="30.9" x14ac:dyDescent="0.8">
      <c r="A1938" s="262">
        <f>ROW()</f>
        <v>1938</v>
      </c>
      <c r="C1938" s="208"/>
      <c r="D1938" s="208"/>
      <c r="E1938" s="208"/>
      <c r="F1938" s="208"/>
      <c r="G1938" s="208"/>
      <c r="H1938" s="208"/>
      <c r="J1938" s="114" t="str">
        <f t="shared" si="888"/>
        <v/>
      </c>
      <c r="K1938" s="114" t="str">
        <f>IF(COUNTBLANK(R1938)&gt;0,"",CONCATENATE(R1938," for ",N1924))</f>
        <v/>
      </c>
      <c r="N1938" s="123" t="s">
        <v>126</v>
      </c>
      <c r="O1938" s="66"/>
      <c r="P1938" s="121"/>
      <c r="Q1938" s="121"/>
      <c r="R1938" s="121"/>
      <c r="S1938" s="133">
        <f>M1924</f>
        <v>0</v>
      </c>
      <c r="T1938" s="120"/>
      <c r="U1938" s="121" t="s">
        <v>292</v>
      </c>
      <c r="V1938" s="133">
        <f t="shared" si="882"/>
        <v>0</v>
      </c>
      <c r="W1938" s="133">
        <f>VLOOKUP(U1938,Sheet1!$B$6:$C$45,2,FALSE)*V1938</f>
        <v>0</v>
      </c>
      <c r="X1938" s="141"/>
      <c r="Y1938" s="121" t="s">
        <v>292</v>
      </c>
      <c r="Z1938" s="146">
        <f>VLOOKUP(Takeoffs!Y1938,Sheet1!$B$6:$C$124,2,FALSE)</f>
        <v>0</v>
      </c>
      <c r="AA1938" s="146">
        <f t="shared" si="883"/>
        <v>0</v>
      </c>
      <c r="AB1938" s="143">
        <f t="shared" si="884"/>
        <v>0</v>
      </c>
      <c r="AC1938" s="133">
        <f t="shared" si="889"/>
        <v>0</v>
      </c>
      <c r="AD1938" s="142">
        <v>2</v>
      </c>
      <c r="AE1938" s="141"/>
      <c r="AF1938" s="121" t="s">
        <v>292</v>
      </c>
      <c r="AG1938" s="146">
        <f>VLOOKUP(Takeoffs!AF1938,Sheet1!$B$6:$C$124,2,FALSE)</f>
        <v>0</v>
      </c>
      <c r="AH1938" s="146">
        <f t="shared" si="885"/>
        <v>0</v>
      </c>
      <c r="AI1938" s="143">
        <f t="shared" si="886"/>
        <v>0</v>
      </c>
      <c r="AJ1938" s="133">
        <f t="shared" si="887"/>
        <v>0</v>
      </c>
      <c r="AK1938" s="142">
        <v>0</v>
      </c>
      <c r="AL1938" s="141"/>
      <c r="AO1938" s="286"/>
      <c r="AP1938" s="284">
        <f t="shared" si="866"/>
        <v>0</v>
      </c>
      <c r="AQ1938" s="281">
        <f t="shared" si="867"/>
        <v>0</v>
      </c>
      <c r="AR1938" s="284">
        <f t="shared" si="868"/>
        <v>0</v>
      </c>
      <c r="AS1938" s="281">
        <f t="shared" si="869"/>
        <v>0</v>
      </c>
      <c r="AT1938" s="284">
        <f t="shared" si="870"/>
        <v>0</v>
      </c>
    </row>
    <row r="1939" spans="1:97" s="114" customFormat="1" ht="30.9" x14ac:dyDescent="0.8">
      <c r="A1939" s="262">
        <f>ROW()</f>
        <v>1939</v>
      </c>
      <c r="C1939" s="208"/>
      <c r="D1939" s="208"/>
      <c r="E1939" s="208"/>
      <c r="F1939" s="208"/>
      <c r="G1939" s="208"/>
      <c r="H1939" s="208"/>
      <c r="J1939" s="114" t="str">
        <f t="shared" si="888"/>
        <v/>
      </c>
      <c r="K1939" s="114" t="str">
        <f>IF(COUNTBLANK(R1939)&gt;0,"",CONCATENATE(R1939," for ",N1924))</f>
        <v/>
      </c>
      <c r="N1939" s="123" t="s">
        <v>127</v>
      </c>
      <c r="O1939" s="66"/>
      <c r="P1939" s="121"/>
      <c r="Q1939" s="121"/>
      <c r="R1939" s="121"/>
      <c r="S1939" s="133">
        <f>M1924</f>
        <v>0</v>
      </c>
      <c r="T1939" s="120"/>
      <c r="U1939" s="121" t="s">
        <v>292</v>
      </c>
      <c r="V1939" s="133">
        <f t="shared" si="882"/>
        <v>0</v>
      </c>
      <c r="W1939" s="133">
        <f>VLOOKUP(U1939,Sheet1!$B$6:$C$45,2,FALSE)*V1939</f>
        <v>0</v>
      </c>
      <c r="X1939" s="141"/>
      <c r="Y1939" s="121" t="s">
        <v>292</v>
      </c>
      <c r="Z1939" s="146">
        <f>VLOOKUP(Takeoffs!Y1939,Sheet1!$B$6:$C$124,2,FALSE)</f>
        <v>0</v>
      </c>
      <c r="AA1939" s="146">
        <f t="shared" si="883"/>
        <v>0</v>
      </c>
      <c r="AB1939" s="143">
        <f t="shared" si="884"/>
        <v>0</v>
      </c>
      <c r="AC1939" s="133">
        <f t="shared" si="889"/>
        <v>0</v>
      </c>
      <c r="AD1939" s="142">
        <v>4</v>
      </c>
      <c r="AE1939" s="141"/>
      <c r="AF1939" s="121" t="s">
        <v>292</v>
      </c>
      <c r="AG1939" s="146">
        <f>VLOOKUP(Takeoffs!AF1939,Sheet1!$B$6:$C$124,2,FALSE)</f>
        <v>0</v>
      </c>
      <c r="AH1939" s="146">
        <f t="shared" si="885"/>
        <v>0</v>
      </c>
      <c r="AI1939" s="143">
        <f t="shared" si="886"/>
        <v>0</v>
      </c>
      <c r="AJ1939" s="133">
        <f t="shared" si="887"/>
        <v>0</v>
      </c>
      <c r="AK1939" s="142">
        <v>0</v>
      </c>
      <c r="AL1939" s="141"/>
      <c r="AO1939" s="286"/>
      <c r="AP1939" s="284">
        <f t="shared" si="866"/>
        <v>0</v>
      </c>
      <c r="AQ1939" s="281">
        <f t="shared" si="867"/>
        <v>0</v>
      </c>
      <c r="AR1939" s="284">
        <f t="shared" si="868"/>
        <v>0</v>
      </c>
      <c r="AS1939" s="281">
        <f t="shared" si="869"/>
        <v>0</v>
      </c>
      <c r="AT1939" s="284">
        <f t="shared" si="870"/>
        <v>0</v>
      </c>
    </row>
    <row r="1940" spans="1:97" s="114" customFormat="1" ht="30.9" x14ac:dyDescent="0.8">
      <c r="A1940" s="262">
        <f>ROW()</f>
        <v>1940</v>
      </c>
      <c r="C1940" s="208"/>
      <c r="D1940" s="208"/>
      <c r="E1940" s="208"/>
      <c r="F1940" s="208"/>
      <c r="G1940" s="208"/>
      <c r="H1940" s="208"/>
      <c r="J1940" s="114" t="str">
        <f t="shared" si="888"/>
        <v/>
      </c>
      <c r="K1940" s="114" t="str">
        <f>IF(COUNTBLANK(R1940)&gt;0,"",CONCATENATE(R1940," for ",N1924))</f>
        <v/>
      </c>
      <c r="N1940" s="123" t="s">
        <v>128</v>
      </c>
      <c r="O1940" s="66"/>
      <c r="P1940" s="121"/>
      <c r="Q1940" s="121"/>
      <c r="R1940" s="121"/>
      <c r="S1940" s="133">
        <f>M1924</f>
        <v>0</v>
      </c>
      <c r="T1940" s="120"/>
      <c r="U1940" s="121" t="s">
        <v>292</v>
      </c>
      <c r="V1940" s="133">
        <f t="shared" si="882"/>
        <v>0</v>
      </c>
      <c r="W1940" s="133">
        <f>VLOOKUP(U1940,Sheet1!$B$6:$C$45,2,FALSE)*V1940</f>
        <v>0</v>
      </c>
      <c r="X1940" s="141"/>
      <c r="Y1940" s="121" t="s">
        <v>292</v>
      </c>
      <c r="Z1940" s="146">
        <f>VLOOKUP(Takeoffs!Y1940,Sheet1!$B$6:$C$124,2,FALSE)</f>
        <v>0</v>
      </c>
      <c r="AA1940" s="146">
        <f t="shared" si="883"/>
        <v>0</v>
      </c>
      <c r="AB1940" s="143">
        <f t="shared" si="884"/>
        <v>0</v>
      </c>
      <c r="AC1940" s="133">
        <f t="shared" si="889"/>
        <v>0</v>
      </c>
      <c r="AD1940" s="142">
        <v>2</v>
      </c>
      <c r="AE1940" s="141"/>
      <c r="AF1940" s="121" t="s">
        <v>292</v>
      </c>
      <c r="AG1940" s="146">
        <f>VLOOKUP(Takeoffs!AF1940,Sheet1!$B$6:$C$124,2,FALSE)</f>
        <v>0</v>
      </c>
      <c r="AH1940" s="146">
        <f t="shared" si="885"/>
        <v>0</v>
      </c>
      <c r="AI1940" s="143">
        <f t="shared" si="886"/>
        <v>0</v>
      </c>
      <c r="AJ1940" s="133">
        <f t="shared" si="887"/>
        <v>0</v>
      </c>
      <c r="AK1940" s="142">
        <v>0</v>
      </c>
      <c r="AL1940" s="141"/>
      <c r="AO1940" s="286"/>
      <c r="AP1940" s="284">
        <f t="shared" ref="AP1940:AP2003" si="890">IF(AND(I1940&gt;0, ISNUMBER(I1940)),I1940*P1940,0)</f>
        <v>0</v>
      </c>
      <c r="AQ1940" s="281">
        <f t="shared" ref="AQ1940:AQ2003" si="891">IF(AND(I1940&gt;0, ISNUMBER(I1940)),I1940*W1940*80,0)</f>
        <v>0</v>
      </c>
      <c r="AR1940" s="284">
        <f t="shared" ref="AR1940:AR2003" si="892">IF(AND(I1940&gt;0, ISNUMBER(I1940)),I1940*AA1940,0)</f>
        <v>0</v>
      </c>
      <c r="AS1940" s="281">
        <f t="shared" ref="AS1940:AS2003" si="893">IF(AND(I1940&gt;0, ISNUMBER(I1940)),I1940*AH1940,0)</f>
        <v>0</v>
      </c>
      <c r="AT1940" s="284">
        <f t="shared" ref="AT1940:AT2003" si="894">IF(AND(I1940&gt;0, ISNUMBER(I1940)),I1940*(AP1940-(AQ1940+AR1940+AS1940)),0)</f>
        <v>0</v>
      </c>
    </row>
    <row r="1941" spans="1:97" s="114" customFormat="1" ht="30.9" x14ac:dyDescent="0.8">
      <c r="A1941" s="262">
        <f>ROW()</f>
        <v>1941</v>
      </c>
      <c r="C1941" s="208"/>
      <c r="D1941" s="208"/>
      <c r="E1941" s="208"/>
      <c r="F1941" s="208"/>
      <c r="G1941" s="208"/>
      <c r="H1941" s="208"/>
      <c r="J1941" s="114" t="str">
        <f t="shared" si="888"/>
        <v/>
      </c>
      <c r="K1941" s="114" t="str">
        <f>IF(COUNTBLANK(R1941)&gt;0,"",CONCATENATE(R1941," for ",N1924))</f>
        <v/>
      </c>
      <c r="N1941" s="123" t="s">
        <v>129</v>
      </c>
      <c r="O1941" s="66"/>
      <c r="P1941" s="121"/>
      <c r="Q1941" s="121"/>
      <c r="R1941" s="121"/>
      <c r="S1941" s="133">
        <f>M1924</f>
        <v>0</v>
      </c>
      <c r="T1941" s="120"/>
      <c r="U1941" s="121" t="s">
        <v>292</v>
      </c>
      <c r="V1941" s="133">
        <f t="shared" si="882"/>
        <v>0</v>
      </c>
      <c r="W1941" s="133">
        <f>VLOOKUP(U1941,Sheet1!$B$6:$C$45,2,FALSE)*V1941</f>
        <v>0</v>
      </c>
      <c r="X1941" s="141"/>
      <c r="Y1941" s="121" t="s">
        <v>292</v>
      </c>
      <c r="Z1941" s="146">
        <f>VLOOKUP(Takeoffs!Y1941,Sheet1!$B$6:$C$124,2,FALSE)</f>
        <v>0</v>
      </c>
      <c r="AA1941" s="146">
        <f t="shared" si="883"/>
        <v>0</v>
      </c>
      <c r="AB1941" s="143">
        <f t="shared" si="884"/>
        <v>0</v>
      </c>
      <c r="AC1941" s="133">
        <f t="shared" si="889"/>
        <v>0</v>
      </c>
      <c r="AD1941" s="142">
        <v>1</v>
      </c>
      <c r="AE1941" s="141"/>
      <c r="AF1941" s="121" t="s">
        <v>292</v>
      </c>
      <c r="AG1941" s="146">
        <f>VLOOKUP(Takeoffs!AF1941,Sheet1!$B$6:$C$124,2,FALSE)</f>
        <v>0</v>
      </c>
      <c r="AH1941" s="146">
        <f t="shared" si="885"/>
        <v>0</v>
      </c>
      <c r="AI1941" s="143">
        <f t="shared" si="886"/>
        <v>0</v>
      </c>
      <c r="AJ1941" s="133">
        <f t="shared" si="887"/>
        <v>0</v>
      </c>
      <c r="AK1941" s="142">
        <v>0</v>
      </c>
      <c r="AL1941" s="141"/>
      <c r="AO1941" s="286"/>
      <c r="AP1941" s="284">
        <f t="shared" si="890"/>
        <v>0</v>
      </c>
      <c r="AQ1941" s="281">
        <f t="shared" si="891"/>
        <v>0</v>
      </c>
      <c r="AR1941" s="284">
        <f t="shared" si="892"/>
        <v>0</v>
      </c>
      <c r="AS1941" s="281">
        <f t="shared" si="893"/>
        <v>0</v>
      </c>
      <c r="AT1941" s="284">
        <f t="shared" si="894"/>
        <v>0</v>
      </c>
    </row>
    <row r="1942" spans="1:97" s="114" customFormat="1" ht="30.9" x14ac:dyDescent="0.8">
      <c r="A1942" s="262">
        <f>ROW()</f>
        <v>1942</v>
      </c>
      <c r="C1942" s="208"/>
      <c r="D1942" s="208"/>
      <c r="E1942" s="208"/>
      <c r="F1942" s="208"/>
      <c r="G1942" s="208"/>
      <c r="H1942" s="208"/>
      <c r="J1942" s="114" t="str">
        <f t="shared" si="888"/>
        <v/>
      </c>
      <c r="K1942" s="114" t="str">
        <f>IF(COUNTBLANK(R1942)&gt;0,"",CONCATENATE(R1942," for ",N1924))</f>
        <v/>
      </c>
      <c r="N1942" s="123" t="s">
        <v>130</v>
      </c>
      <c r="O1942" s="66"/>
      <c r="P1942" s="121"/>
      <c r="Q1942" s="121"/>
      <c r="R1942" s="121"/>
      <c r="S1942" s="133">
        <f>M1924</f>
        <v>0</v>
      </c>
      <c r="T1942" s="120"/>
      <c r="U1942" s="121" t="s">
        <v>292</v>
      </c>
      <c r="V1942" s="133">
        <f t="shared" si="882"/>
        <v>0</v>
      </c>
      <c r="W1942" s="133">
        <f>VLOOKUP(U1942,Sheet1!$B$6:$C$45,2,FALSE)*V1942</f>
        <v>0</v>
      </c>
      <c r="X1942" s="141"/>
      <c r="Y1942" s="121" t="s">
        <v>292</v>
      </c>
      <c r="Z1942" s="146">
        <f>VLOOKUP(Takeoffs!Y1942,Sheet1!$B$6:$C$124,2,FALSE)</f>
        <v>0</v>
      </c>
      <c r="AA1942" s="146">
        <f t="shared" si="883"/>
        <v>0</v>
      </c>
      <c r="AB1942" s="143">
        <f t="shared" si="884"/>
        <v>0</v>
      </c>
      <c r="AC1942" s="133">
        <f t="shared" si="889"/>
        <v>0</v>
      </c>
      <c r="AD1942" s="142">
        <v>1</v>
      </c>
      <c r="AE1942" s="141"/>
      <c r="AF1942" s="121" t="s">
        <v>292</v>
      </c>
      <c r="AG1942" s="146">
        <f>VLOOKUP(Takeoffs!AF1942,Sheet1!$B$6:$C$124,2,FALSE)</f>
        <v>0</v>
      </c>
      <c r="AH1942" s="146">
        <f t="shared" si="885"/>
        <v>0</v>
      </c>
      <c r="AI1942" s="143">
        <f t="shared" si="886"/>
        <v>0</v>
      </c>
      <c r="AJ1942" s="133">
        <f t="shared" si="887"/>
        <v>0</v>
      </c>
      <c r="AK1942" s="142">
        <v>0</v>
      </c>
      <c r="AL1942" s="141"/>
      <c r="AO1942" s="286"/>
      <c r="AP1942" s="284">
        <f t="shared" si="890"/>
        <v>0</v>
      </c>
      <c r="AQ1942" s="281">
        <f t="shared" si="891"/>
        <v>0</v>
      </c>
      <c r="AR1942" s="284">
        <f t="shared" si="892"/>
        <v>0</v>
      </c>
      <c r="AS1942" s="281">
        <f t="shared" si="893"/>
        <v>0</v>
      </c>
      <c r="AT1942" s="284">
        <f t="shared" si="894"/>
        <v>0</v>
      </c>
    </row>
    <row r="1943" spans="1:97" s="114" customFormat="1" ht="30.9" x14ac:dyDescent="0.8">
      <c r="A1943" s="262">
        <f>ROW()</f>
        <v>1943</v>
      </c>
      <c r="C1943" s="208"/>
      <c r="D1943" s="208"/>
      <c r="E1943" s="208"/>
      <c r="F1943" s="208"/>
      <c r="G1943" s="208"/>
      <c r="H1943" s="208"/>
      <c r="J1943" s="114" t="str">
        <f t="shared" si="888"/>
        <v>Coordination Note: - Fire trade: Please refer to our exclusions relating to fire cabling from FIP to MSSB</v>
      </c>
      <c r="K1943" s="114" t="str">
        <f>IF(COUNTBLANK(R1943)&gt;0,"",CONCATENATE(R1943," for ",N1924))</f>
        <v/>
      </c>
      <c r="N1943" s="123" t="s">
        <v>131</v>
      </c>
      <c r="O1943" s="66" t="s">
        <v>711</v>
      </c>
      <c r="P1943" s="121" t="s">
        <v>380</v>
      </c>
      <c r="Q1943" s="121" t="s">
        <v>712</v>
      </c>
      <c r="R1943" s="121"/>
      <c r="S1943" s="133">
        <f>M1924</f>
        <v>0</v>
      </c>
      <c r="T1943" s="120"/>
      <c r="U1943" s="121" t="s">
        <v>292</v>
      </c>
      <c r="V1943" s="133">
        <f t="shared" si="882"/>
        <v>0</v>
      </c>
      <c r="W1943" s="133">
        <f>VLOOKUP(U1943,Sheet1!$B$6:$C$45,2,FALSE)*V1943</f>
        <v>0</v>
      </c>
      <c r="X1943" s="141"/>
      <c r="Y1943" s="121" t="s">
        <v>292</v>
      </c>
      <c r="Z1943" s="146">
        <f>VLOOKUP(Takeoffs!Y1943,Sheet1!$B$6:$C$124,2,FALSE)</f>
        <v>0</v>
      </c>
      <c r="AA1943" s="146">
        <f t="shared" si="883"/>
        <v>0</v>
      </c>
      <c r="AB1943" s="143">
        <f t="shared" si="884"/>
        <v>0</v>
      </c>
      <c r="AC1943" s="133">
        <f t="shared" si="889"/>
        <v>0</v>
      </c>
      <c r="AD1943" s="142">
        <v>1</v>
      </c>
      <c r="AE1943" s="141"/>
      <c r="AF1943" s="121" t="s">
        <v>292</v>
      </c>
      <c r="AG1943" s="146">
        <f>VLOOKUP(Takeoffs!AF1943,Sheet1!$B$6:$C$124,2,FALSE)</f>
        <v>0</v>
      </c>
      <c r="AH1943" s="146">
        <f t="shared" si="885"/>
        <v>0</v>
      </c>
      <c r="AI1943" s="143">
        <f t="shared" si="886"/>
        <v>0</v>
      </c>
      <c r="AJ1943" s="133">
        <f t="shared" si="887"/>
        <v>0</v>
      </c>
      <c r="AK1943" s="142">
        <v>0</v>
      </c>
      <c r="AL1943" s="141"/>
      <c r="AO1943" s="286"/>
      <c r="AP1943" s="284">
        <f t="shared" si="890"/>
        <v>0</v>
      </c>
      <c r="AQ1943" s="281">
        <f t="shared" si="891"/>
        <v>0</v>
      </c>
      <c r="AR1943" s="284">
        <f t="shared" si="892"/>
        <v>0</v>
      </c>
      <c r="AS1943" s="281">
        <f t="shared" si="893"/>
        <v>0</v>
      </c>
      <c r="AT1943" s="284">
        <f t="shared" si="894"/>
        <v>0</v>
      </c>
    </row>
    <row r="1944" spans="1:97" s="114" customFormat="1" ht="30.9" x14ac:dyDescent="0.8">
      <c r="A1944" s="262">
        <f>ROW()</f>
        <v>1944</v>
      </c>
      <c r="C1944" s="208"/>
      <c r="D1944" s="208"/>
      <c r="E1944" s="208"/>
      <c r="F1944" s="208"/>
      <c r="G1944" s="208"/>
      <c r="H1944" s="208"/>
      <c r="J1944" s="114" t="str">
        <f t="shared" si="888"/>
        <v/>
      </c>
      <c r="K1944" s="114" t="str">
        <f>IF(COUNTBLANK(R1944)&gt;0,"",CONCATENATE(R1944," for ",N1924))</f>
        <v/>
      </c>
      <c r="N1944" s="123" t="s">
        <v>132</v>
      </c>
      <c r="O1944" s="66" t="s">
        <v>408</v>
      </c>
      <c r="P1944" s="121"/>
      <c r="Q1944" s="121"/>
      <c r="R1944" s="121"/>
      <c r="S1944" s="133">
        <f>M1924</f>
        <v>0</v>
      </c>
      <c r="T1944" s="120"/>
      <c r="U1944" s="121" t="s">
        <v>363</v>
      </c>
      <c r="V1944" s="133">
        <f t="shared" si="882"/>
        <v>0</v>
      </c>
      <c r="W1944" s="133">
        <f>VLOOKUP(U1944,Sheet1!$B$6:$C$45,2,FALSE)*V1944</f>
        <v>0</v>
      </c>
      <c r="X1944" s="141"/>
      <c r="Y1944" s="121" t="s">
        <v>292</v>
      </c>
      <c r="Z1944" s="146">
        <f>VLOOKUP(Takeoffs!Y1944,Sheet1!$B$6:$C$124,2,FALSE)</f>
        <v>0</v>
      </c>
      <c r="AA1944" s="146">
        <f t="shared" si="883"/>
        <v>0</v>
      </c>
      <c r="AB1944" s="143">
        <f t="shared" si="884"/>
        <v>0</v>
      </c>
      <c r="AC1944" s="133">
        <f t="shared" si="889"/>
        <v>0</v>
      </c>
      <c r="AD1944" s="142">
        <v>1</v>
      </c>
      <c r="AE1944" s="141"/>
      <c r="AF1944" s="121" t="s">
        <v>292</v>
      </c>
      <c r="AG1944" s="146">
        <f>VLOOKUP(Takeoffs!AF1944,Sheet1!$B$6:$C$124,2,FALSE)</f>
        <v>0</v>
      </c>
      <c r="AH1944" s="146">
        <f t="shared" si="885"/>
        <v>0</v>
      </c>
      <c r="AI1944" s="143">
        <f t="shared" si="886"/>
        <v>0</v>
      </c>
      <c r="AJ1944" s="133">
        <f t="shared" si="887"/>
        <v>0</v>
      </c>
      <c r="AK1944" s="142">
        <v>0</v>
      </c>
      <c r="AL1944" s="141"/>
      <c r="AO1944" s="286"/>
      <c r="AP1944" s="284">
        <f t="shared" si="890"/>
        <v>0</v>
      </c>
      <c r="AQ1944" s="281">
        <f t="shared" si="891"/>
        <v>0</v>
      </c>
      <c r="AR1944" s="284">
        <f t="shared" si="892"/>
        <v>0</v>
      </c>
      <c r="AS1944" s="281">
        <f t="shared" si="893"/>
        <v>0</v>
      </c>
      <c r="AT1944" s="284">
        <f t="shared" si="894"/>
        <v>0</v>
      </c>
    </row>
    <row r="1945" spans="1:97" s="128" customFormat="1" ht="31.5" customHeight="1" x14ac:dyDescent="0.8">
      <c r="A1945" s="262">
        <f>ROW()</f>
        <v>1945</v>
      </c>
      <c r="C1945" s="212"/>
      <c r="D1945" s="212"/>
      <c r="E1945" s="212"/>
      <c r="F1945" s="212"/>
      <c r="G1945" s="212"/>
      <c r="H1945" s="212"/>
      <c r="J1945" s="128" t="s">
        <v>377</v>
      </c>
      <c r="L1945" s="128" t="s">
        <v>378</v>
      </c>
      <c r="N1945" s="129"/>
      <c r="O1945" s="130" t="s">
        <v>357</v>
      </c>
      <c r="P1945" s="171">
        <f>V1945+AA1945+AH1945</f>
        <v>0</v>
      </c>
      <c r="Q1945" s="144"/>
      <c r="R1945" s="144"/>
      <c r="S1945" s="130"/>
      <c r="T1945" s="127"/>
      <c r="U1945" s="126" t="s">
        <v>351</v>
      </c>
      <c r="V1945" s="127">
        <f>W1945*80</f>
        <v>0</v>
      </c>
      <c r="W1945" s="147">
        <f>SUM(W1924:W1944)</f>
        <v>0</v>
      </c>
      <c r="X1945" s="148"/>
      <c r="Y1945" s="127" t="s">
        <v>352</v>
      </c>
      <c r="Z1945" s="116"/>
      <c r="AA1945" s="116">
        <f>SUM(AA1924:AA1944)</f>
        <v>0</v>
      </c>
      <c r="AB1945" s="149"/>
      <c r="AC1945" s="149"/>
      <c r="AD1945" s="149"/>
      <c r="AE1945" s="149"/>
      <c r="AF1945" s="127" t="s">
        <v>356</v>
      </c>
      <c r="AG1945" s="116"/>
      <c r="AH1945" s="116">
        <f>SUM(AH1924:AH1944)</f>
        <v>0</v>
      </c>
      <c r="AI1945" s="149"/>
      <c r="AJ1945" s="149"/>
      <c r="AK1945" s="149"/>
      <c r="AL1945" s="149"/>
      <c r="AM1945" s="150">
        <f>P1945</f>
        <v>0</v>
      </c>
      <c r="AO1945" s="286"/>
      <c r="AP1945" s="284">
        <f t="shared" si="890"/>
        <v>0</v>
      </c>
      <c r="AQ1945" s="281">
        <f t="shared" si="891"/>
        <v>0</v>
      </c>
      <c r="AR1945" s="284">
        <f t="shared" si="892"/>
        <v>0</v>
      </c>
      <c r="AS1945" s="281">
        <f t="shared" si="893"/>
        <v>0</v>
      </c>
      <c r="AT1945" s="284">
        <f t="shared" si="894"/>
        <v>0</v>
      </c>
    </row>
    <row r="1946" spans="1:97" s="234" customFormat="1" ht="154.30000000000001" x14ac:dyDescent="0.8">
      <c r="A1946" s="262">
        <f>ROW()</f>
        <v>1946</v>
      </c>
      <c r="B1946" s="234" t="s">
        <v>491</v>
      </c>
      <c r="C1946" s="217" t="str">
        <f>N1924</f>
        <v>Kitchen Hood Make Up Supply Sytem ( from MSSB power supply)</v>
      </c>
      <c r="D1946" s="260" t="str">
        <f>IF(B1946="Shopping List",IF(ISNUMBER(SEARCH("MSSB",C1946)),"MSSB",IF(ISNUMBER(SEARCH("local",C1946)),"LOCAL","")))</f>
        <v>MSSB</v>
      </c>
      <c r="E1946" s="238"/>
      <c r="F1946" s="217"/>
      <c r="G1946" s="217"/>
      <c r="H1946" s="245"/>
      <c r="I1946" s="270"/>
      <c r="J1946" s="241" t="str">
        <f>CONCATENATE(O1924," ",L1924, " (",M1924,") ",N1924,".", IF(M1924&gt;1," Each "," This "),"includes supply and install of ",O1925,O1926,O1927,O1928,O1929,O1930,O1931,O1932,O1933,O1934,O1935,O1936,O1937,O1938,O1939,O1940,O1941,O1942,O1943,O1944,J1925,J1926,J1927,J1928,J1929,J1930,J1931,J1932,J1933,J1934,J1935,J1936,J1937,J1938,J1939,J1940,J1941,J1942,J1943,J1944)</f>
        <v>Electrical power supply and controls to Zero (0) Kitchen Hood Make Up Supply Sytem ( from MSSB power supply). This includes supply and install of power and controls. Power for systems includes: CB, cabling to VSD, Danfoss VSD ( interconnected to ramp with kitchen exhaust VSD), shielded cabling, local isolator, Controls for systems includes: air pressure  switch, trefolyte labeling, controls cabling, interface for fire trade connection available at MSSB, and commissioning/testing. Coordination Note: - Fire trade: Please refer to our exclusions relating to fire cabling from FIP to MSSB</v>
      </c>
      <c r="K1946" s="246">
        <f>P1945</f>
        <v>0</v>
      </c>
      <c r="L1946" s="234" t="str">
        <f>CONCATENATE(Q1925,Q1926,Q1927,Q1928,Q1929,Q1930,Q1931,Q1932,Q1933,Q1934,Q1935,Q1936,Q1937,Q1938,Q1939,Q1940,Q1941,Q1942,Q1943,Q1944,)</f>
        <v>fire cabling from FIP to MSSB</v>
      </c>
      <c r="M1946" s="166" t="s">
        <v>367</v>
      </c>
      <c r="N1946" s="160" t="str">
        <f>N1924</f>
        <v>Kitchen Hood Make Up Supply Sytem ( from MSSB power supply)</v>
      </c>
      <c r="O1946" s="160" t="s">
        <v>365</v>
      </c>
      <c r="P1946" s="64" t="e">
        <f>P1945/M1924</f>
        <v>#DIV/0!</v>
      </c>
      <c r="Q1946" s="161"/>
      <c r="R1946" s="161"/>
      <c r="S1946" s="160"/>
      <c r="T1946" s="161"/>
      <c r="U1946" s="503" t="s">
        <v>366</v>
      </c>
      <c r="V1946" s="503"/>
      <c r="W1946" s="162" t="e">
        <f>W1945/M1924</f>
        <v>#DIV/0!</v>
      </c>
      <c r="X1946" s="163"/>
      <c r="Y1946" s="501" t="s">
        <v>365</v>
      </c>
      <c r="Z1946" s="501"/>
      <c r="AA1946" s="164" t="e">
        <f>AA1945/M1924</f>
        <v>#DIV/0!</v>
      </c>
      <c r="AB1946" s="161"/>
      <c r="AC1946" s="161"/>
      <c r="AD1946" s="161"/>
      <c r="AE1946" s="161"/>
      <c r="AF1946" s="501" t="s">
        <v>365</v>
      </c>
      <c r="AG1946" s="501"/>
      <c r="AH1946" s="164" t="e">
        <f>AH1945/M1924</f>
        <v>#DIV/0!</v>
      </c>
      <c r="AI1946" s="161"/>
      <c r="AJ1946" s="161"/>
      <c r="AK1946" s="161"/>
      <c r="AL1946" s="247"/>
      <c r="AM1946" s="257"/>
      <c r="AN1946" s="236">
        <f>K1946*1.25</f>
        <v>0</v>
      </c>
      <c r="AO1946" s="286"/>
      <c r="AP1946" s="284">
        <f t="shared" si="890"/>
        <v>0</v>
      </c>
      <c r="AQ1946" s="281">
        <f t="shared" si="891"/>
        <v>0</v>
      </c>
      <c r="AR1946" s="284">
        <f t="shared" si="892"/>
        <v>0</v>
      </c>
      <c r="AS1946" s="281">
        <f t="shared" si="893"/>
        <v>0</v>
      </c>
      <c r="AT1946" s="284">
        <f t="shared" si="894"/>
        <v>0</v>
      </c>
      <c r="AU1946" s="117"/>
      <c r="AV1946" s="117"/>
      <c r="AW1946" s="117"/>
      <c r="AX1946" s="117"/>
      <c r="AY1946" s="117"/>
      <c r="AZ1946" s="117"/>
      <c r="BA1946" s="117"/>
      <c r="BB1946" s="117"/>
      <c r="BC1946" s="117"/>
      <c r="BD1946" s="117"/>
      <c r="BE1946" s="117"/>
      <c r="BF1946" s="117"/>
      <c r="BG1946" s="117"/>
      <c r="BH1946" s="117"/>
      <c r="BI1946" s="117"/>
      <c r="BJ1946" s="117"/>
      <c r="BK1946" s="117"/>
      <c r="BL1946" s="117"/>
      <c r="BM1946" s="117"/>
      <c r="BN1946" s="117"/>
      <c r="BO1946" s="117"/>
      <c r="BP1946" s="117"/>
      <c r="BQ1946" s="117"/>
      <c r="BR1946" s="117"/>
      <c r="BS1946" s="117"/>
      <c r="BT1946" s="117"/>
      <c r="BU1946" s="117"/>
      <c r="BV1946" s="117"/>
      <c r="BW1946" s="117"/>
      <c r="BX1946" s="117"/>
      <c r="BY1946" s="117"/>
      <c r="BZ1946" s="117"/>
      <c r="CA1946" s="117"/>
      <c r="CB1946" s="117"/>
      <c r="CC1946" s="117"/>
      <c r="CD1946" s="117"/>
      <c r="CE1946" s="117"/>
      <c r="CF1946" s="117"/>
      <c r="CG1946" s="117"/>
      <c r="CH1946" s="117"/>
      <c r="CI1946" s="117"/>
      <c r="CJ1946" s="117"/>
      <c r="CK1946" s="117"/>
      <c r="CL1946" s="117"/>
      <c r="CM1946" s="117"/>
      <c r="CN1946" s="117"/>
      <c r="CO1946" s="117"/>
      <c r="CP1946" s="117"/>
      <c r="CQ1946" s="117"/>
      <c r="CR1946" s="117"/>
      <c r="CS1946" s="117"/>
    </row>
    <row r="1947" spans="1:97" s="116" customFormat="1" ht="192.75" customHeight="1" x14ac:dyDescent="0.8">
      <c r="A1947" s="262">
        <f>ROW()</f>
        <v>1947</v>
      </c>
      <c r="C1947" s="211"/>
      <c r="D1947" s="211"/>
      <c r="E1947" s="211"/>
      <c r="F1947" s="211"/>
      <c r="G1947" s="211"/>
      <c r="H1947" s="211"/>
      <c r="K1947" s="116" t="s">
        <v>452</v>
      </c>
      <c r="M1947" s="116" t="s">
        <v>107</v>
      </c>
      <c r="N1947" s="116" t="s">
        <v>108</v>
      </c>
      <c r="O1947" s="170" t="s">
        <v>386</v>
      </c>
      <c r="P1947" s="502" t="s">
        <v>375</v>
      </c>
      <c r="Q1947" s="502"/>
      <c r="R1947" s="101" t="s">
        <v>452</v>
      </c>
      <c r="S1947" s="116" t="s">
        <v>0</v>
      </c>
      <c r="T1947" s="118"/>
      <c r="U1947" s="116" t="s">
        <v>287</v>
      </c>
      <c r="V1947" s="116" t="s">
        <v>288</v>
      </c>
      <c r="W1947" s="116" t="s">
        <v>291</v>
      </c>
      <c r="X1947" s="140"/>
      <c r="Y1947" s="116" t="s">
        <v>289</v>
      </c>
      <c r="Z1947" s="116" t="s">
        <v>354</v>
      </c>
      <c r="AA1947" s="116" t="s">
        <v>355</v>
      </c>
      <c r="AB1947" s="116" t="s">
        <v>317</v>
      </c>
      <c r="AC1947" s="116" t="s">
        <v>318</v>
      </c>
      <c r="AD1947" s="116" t="s">
        <v>316</v>
      </c>
      <c r="AE1947" s="140"/>
      <c r="AF1947" s="116" t="s">
        <v>293</v>
      </c>
      <c r="AG1947" s="116" t="s">
        <v>354</v>
      </c>
      <c r="AH1947" s="116" t="s">
        <v>355</v>
      </c>
      <c r="AI1947" s="116" t="s">
        <v>296</v>
      </c>
      <c r="AJ1947" s="116" t="s">
        <v>294</v>
      </c>
      <c r="AK1947" s="116" t="s">
        <v>295</v>
      </c>
      <c r="AL1947" s="140"/>
      <c r="AO1947" s="288"/>
      <c r="AP1947" s="284">
        <f t="shared" si="890"/>
        <v>0</v>
      </c>
      <c r="AQ1947" s="281">
        <f t="shared" si="891"/>
        <v>0</v>
      </c>
      <c r="AR1947" s="284">
        <f t="shared" si="892"/>
        <v>0</v>
      </c>
      <c r="AS1947" s="281">
        <f t="shared" si="893"/>
        <v>0</v>
      </c>
      <c r="AT1947" s="284">
        <f t="shared" si="894"/>
        <v>0</v>
      </c>
    </row>
    <row r="1948" spans="1:97" s="114" customFormat="1" ht="59.25" customHeight="1" x14ac:dyDescent="0.8">
      <c r="A1948" s="262">
        <f>ROW()</f>
        <v>1948</v>
      </c>
      <c r="C1948" s="208"/>
      <c r="D1948" s="208"/>
      <c r="E1948" s="208"/>
      <c r="F1948" s="208"/>
      <c r="G1948" s="208"/>
      <c r="H1948" s="208"/>
      <c r="L1948" s="124" t="str">
        <f>VLOOKUP(M1948,Sheet2!$D$2:$E$1024,2,FALSE)</f>
        <v>Zero</v>
      </c>
      <c r="M1948" s="121">
        <f>I1970</f>
        <v>0</v>
      </c>
      <c r="N1948" s="132" t="s">
        <v>462</v>
      </c>
      <c r="O1948" s="121" t="s">
        <v>347</v>
      </c>
      <c r="P1948" s="169" t="s">
        <v>379</v>
      </c>
      <c r="Q1948" s="169" t="s">
        <v>375</v>
      </c>
      <c r="R1948" s="169"/>
      <c r="S1948" s="133">
        <f>M1948</f>
        <v>0</v>
      </c>
      <c r="T1948" s="119"/>
      <c r="U1948" s="121" t="s">
        <v>292</v>
      </c>
      <c r="V1948" s="133">
        <f>S1948</f>
        <v>0</v>
      </c>
      <c r="W1948" s="133">
        <f>VLOOKUP(U1948,Sheet1!$B$6:$C$45,2,FALSE)*V1948</f>
        <v>0</v>
      </c>
      <c r="X1948" s="141"/>
      <c r="Y1948" s="121" t="s">
        <v>292</v>
      </c>
      <c r="Z1948" s="146">
        <f>VLOOKUP(Takeoffs!Y1948,Sheet1!$B$6:$C$124,2,FALSE)</f>
        <v>0</v>
      </c>
      <c r="AA1948" s="146">
        <f>Z1948*AB1948</f>
        <v>0</v>
      </c>
      <c r="AB1948" s="143">
        <f>AD1948*AC1948</f>
        <v>0</v>
      </c>
      <c r="AC1948" s="133">
        <f>S1948</f>
        <v>0</v>
      </c>
      <c r="AD1948" s="142">
        <v>1</v>
      </c>
      <c r="AE1948" s="141"/>
      <c r="AF1948" s="121" t="s">
        <v>292</v>
      </c>
      <c r="AG1948" s="146">
        <f>VLOOKUP(Takeoffs!AF1948,Sheet1!$B$6:$C$124,2,FALSE)</f>
        <v>0</v>
      </c>
      <c r="AH1948" s="146">
        <f>AG1948*AI1948</f>
        <v>0</v>
      </c>
      <c r="AI1948" s="143">
        <f>AK1948*AJ1948</f>
        <v>0</v>
      </c>
      <c r="AJ1948" s="133">
        <f>S1948</f>
        <v>0</v>
      </c>
      <c r="AK1948" s="142">
        <v>0</v>
      </c>
      <c r="AL1948" s="141"/>
      <c r="AO1948" s="286"/>
      <c r="AP1948" s="284">
        <f t="shared" si="890"/>
        <v>0</v>
      </c>
      <c r="AQ1948" s="281">
        <f t="shared" si="891"/>
        <v>0</v>
      </c>
      <c r="AR1948" s="284">
        <f t="shared" si="892"/>
        <v>0</v>
      </c>
      <c r="AS1948" s="281">
        <f t="shared" si="893"/>
        <v>0</v>
      </c>
      <c r="AT1948" s="284">
        <f t="shared" si="894"/>
        <v>0</v>
      </c>
    </row>
    <row r="1949" spans="1:97" s="114" customFormat="1" ht="30.9" x14ac:dyDescent="0.8">
      <c r="A1949" s="262">
        <f>ROW()</f>
        <v>1949</v>
      </c>
      <c r="C1949" s="208"/>
      <c r="D1949" s="208"/>
      <c r="E1949" s="208"/>
      <c r="F1949" s="208"/>
      <c r="G1949" s="208"/>
      <c r="H1949" s="208"/>
      <c r="J1949" s="114" t="str">
        <f>IF(COUNTBLANK(Q1949)&gt;0,"",CONCATENATE("Coordination Note: - ",P1949,": Please refer to our exclusions relating to ",Q1949))</f>
        <v/>
      </c>
      <c r="K1949" s="114" t="str">
        <f>IF(COUNTBLANK(R1949)&gt;0,"",CONCATENATE(R1949," for ",N1948))</f>
        <v/>
      </c>
      <c r="M1949" s="117"/>
      <c r="N1949" s="123" t="s">
        <v>113</v>
      </c>
      <c r="O1949" s="66" t="s">
        <v>411</v>
      </c>
      <c r="P1949" s="121"/>
      <c r="Q1949" s="121"/>
      <c r="R1949" s="121"/>
      <c r="S1949" s="133">
        <f>M1948</f>
        <v>0</v>
      </c>
      <c r="T1949" s="120"/>
      <c r="U1949" s="121" t="s">
        <v>235</v>
      </c>
      <c r="V1949" s="133">
        <f t="shared" ref="V1949:V1968" si="895">S1949</f>
        <v>0</v>
      </c>
      <c r="W1949" s="133">
        <f>VLOOKUP(U1949,Sheet1!$B$6:$C$45,2,FALSE)*V1949</f>
        <v>0</v>
      </c>
      <c r="X1949" s="141"/>
      <c r="Y1949" s="121" t="s">
        <v>292</v>
      </c>
      <c r="Z1949" s="146">
        <f>VLOOKUP(Takeoffs!Y1949,Sheet1!$B$6:$C$124,2,FALSE)</f>
        <v>0</v>
      </c>
      <c r="AA1949" s="146">
        <f t="shared" ref="AA1949:AA1968" si="896">Z1949*AB1949</f>
        <v>0</v>
      </c>
      <c r="AB1949" s="143">
        <f t="shared" ref="AB1949:AB1968" si="897">AD1949*AC1949</f>
        <v>0</v>
      </c>
      <c r="AC1949" s="133">
        <f>S1949</f>
        <v>0</v>
      </c>
      <c r="AD1949" s="142">
        <v>1</v>
      </c>
      <c r="AE1949" s="141"/>
      <c r="AF1949" s="121" t="s">
        <v>292</v>
      </c>
      <c r="AG1949" s="146">
        <f>VLOOKUP(Takeoffs!AF1949,Sheet1!$B$6:$C$124,2,FALSE)</f>
        <v>0</v>
      </c>
      <c r="AH1949" s="146">
        <f t="shared" ref="AH1949:AH1968" si="898">AG1949*AI1949</f>
        <v>0</v>
      </c>
      <c r="AI1949" s="143">
        <f t="shared" ref="AI1949:AI1968" si="899">AK1949*AJ1949</f>
        <v>0</v>
      </c>
      <c r="AJ1949" s="133">
        <f t="shared" ref="AJ1949:AJ1968" si="900">S1949</f>
        <v>0</v>
      </c>
      <c r="AK1949" s="142"/>
      <c r="AL1949" s="141"/>
      <c r="AO1949" s="286"/>
      <c r="AP1949" s="284">
        <f t="shared" si="890"/>
        <v>0</v>
      </c>
      <c r="AQ1949" s="281">
        <f t="shared" si="891"/>
        <v>0</v>
      </c>
      <c r="AR1949" s="284">
        <f t="shared" si="892"/>
        <v>0</v>
      </c>
      <c r="AS1949" s="281">
        <f t="shared" si="893"/>
        <v>0</v>
      </c>
      <c r="AT1949" s="284">
        <f t="shared" si="894"/>
        <v>0</v>
      </c>
    </row>
    <row r="1950" spans="1:97" s="114" customFormat="1" ht="30.9" x14ac:dyDescent="0.8">
      <c r="A1950" s="262">
        <f>ROW()</f>
        <v>1950</v>
      </c>
      <c r="C1950" s="208"/>
      <c r="D1950" s="208"/>
      <c r="E1950" s="208"/>
      <c r="F1950" s="208"/>
      <c r="G1950" s="208"/>
      <c r="H1950" s="208"/>
      <c r="J1950" s="114" t="str">
        <f t="shared" ref="J1950:J1968" si="901">IF(COUNTBLANK(Q1950)&gt;0,"",CONCATENATE("Coordination Note: - ",P1950,": Please refer to our exclusions relating to ",Q1950))</f>
        <v/>
      </c>
      <c r="K1950" s="114" t="str">
        <f>IF(COUNTBLANK(R1950)&gt;0,"",CONCATENATE(R1950," for ",N1948))</f>
        <v/>
      </c>
      <c r="M1950" s="117"/>
      <c r="N1950" s="123" t="s">
        <v>114</v>
      </c>
      <c r="O1950" s="66"/>
      <c r="P1950" s="121"/>
      <c r="Q1950" s="121"/>
      <c r="R1950" s="121"/>
      <c r="S1950" s="133">
        <f>M1948</f>
        <v>0</v>
      </c>
      <c r="T1950" s="120"/>
      <c r="U1950" s="121" t="s">
        <v>292</v>
      </c>
      <c r="V1950" s="133">
        <f t="shared" si="895"/>
        <v>0</v>
      </c>
      <c r="W1950" s="133">
        <f>VLOOKUP(U1950,Sheet1!$B$6:$C$45,2,FALSE)*V1950</f>
        <v>0</v>
      </c>
      <c r="X1950" s="141"/>
      <c r="Y1950" s="121" t="s">
        <v>292</v>
      </c>
      <c r="Z1950" s="146">
        <f>VLOOKUP(Takeoffs!Y1950,Sheet1!$B$6:$C$124,2,FALSE)</f>
        <v>0</v>
      </c>
      <c r="AA1950" s="146">
        <f t="shared" si="896"/>
        <v>0</v>
      </c>
      <c r="AB1950" s="143">
        <f t="shared" si="897"/>
        <v>0</v>
      </c>
      <c r="AC1950" s="133">
        <f>S1950</f>
        <v>0</v>
      </c>
      <c r="AD1950" s="142">
        <v>1</v>
      </c>
      <c r="AE1950" s="141"/>
      <c r="AF1950" s="121" t="s">
        <v>292</v>
      </c>
      <c r="AG1950" s="146">
        <f>VLOOKUP(Takeoffs!AF1950,Sheet1!$B$6:$C$124,2,FALSE)</f>
        <v>0</v>
      </c>
      <c r="AH1950" s="146">
        <f t="shared" si="898"/>
        <v>0</v>
      </c>
      <c r="AI1950" s="143">
        <f t="shared" si="899"/>
        <v>0</v>
      </c>
      <c r="AJ1950" s="133">
        <f t="shared" si="900"/>
        <v>0</v>
      </c>
      <c r="AK1950" s="142">
        <v>0</v>
      </c>
      <c r="AL1950" s="141"/>
      <c r="AO1950" s="286"/>
      <c r="AP1950" s="284">
        <f t="shared" si="890"/>
        <v>0</v>
      </c>
      <c r="AQ1950" s="281">
        <f t="shared" si="891"/>
        <v>0</v>
      </c>
      <c r="AR1950" s="284">
        <f t="shared" si="892"/>
        <v>0</v>
      </c>
      <c r="AS1950" s="281">
        <f t="shared" si="893"/>
        <v>0</v>
      </c>
      <c r="AT1950" s="284">
        <f t="shared" si="894"/>
        <v>0</v>
      </c>
    </row>
    <row r="1951" spans="1:97" s="114" customFormat="1" ht="30.9" x14ac:dyDescent="0.8">
      <c r="A1951" s="262">
        <f>ROW()</f>
        <v>1951</v>
      </c>
      <c r="C1951" s="208"/>
      <c r="D1951" s="208"/>
      <c r="E1951" s="208"/>
      <c r="F1951" s="208"/>
      <c r="G1951" s="208"/>
      <c r="H1951" s="208"/>
      <c r="J1951" s="114" t="str">
        <f t="shared" si="901"/>
        <v>Coordination Note: - Electrical trade: Please refer to our exclusions relating to Power suply adjacent fan</v>
      </c>
      <c r="K1951" s="114" t="str">
        <f>IF(COUNTBLANK(R1951)&gt;0,"",CONCATENATE(R1951," for ",N1948))</f>
        <v/>
      </c>
      <c r="M1951" s="117"/>
      <c r="N1951" s="123" t="s">
        <v>115</v>
      </c>
      <c r="O1951" s="66" t="s">
        <v>510</v>
      </c>
      <c r="P1951" s="121" t="s">
        <v>463</v>
      </c>
      <c r="Q1951" s="121" t="s">
        <v>464</v>
      </c>
      <c r="R1951" s="121"/>
      <c r="S1951" s="133">
        <f>M1948</f>
        <v>0</v>
      </c>
      <c r="T1951" s="120"/>
      <c r="U1951" s="121" t="s">
        <v>361</v>
      </c>
      <c r="V1951" s="133">
        <f t="shared" si="895"/>
        <v>0</v>
      </c>
      <c r="W1951" s="133">
        <f>VLOOKUP(U1951,Sheet1!$B$6:$C$45,2,FALSE)*V1951</f>
        <v>0</v>
      </c>
      <c r="X1951" s="141"/>
      <c r="Y1951" s="121" t="s">
        <v>292</v>
      </c>
      <c r="Z1951" s="146">
        <f>VLOOKUP(Takeoffs!Y1951,Sheet1!$B$6:$C$124,2,FALSE)</f>
        <v>0</v>
      </c>
      <c r="AA1951" s="146">
        <f t="shared" si="896"/>
        <v>0</v>
      </c>
      <c r="AB1951" s="143">
        <f t="shared" si="897"/>
        <v>0</v>
      </c>
      <c r="AC1951" s="133">
        <f t="shared" ref="AC1951:AC1968" si="902">S1951</f>
        <v>0</v>
      </c>
      <c r="AD1951" s="142">
        <v>1</v>
      </c>
      <c r="AE1951" s="141"/>
      <c r="AF1951" s="122" t="s">
        <v>267</v>
      </c>
      <c r="AG1951" s="146">
        <f>VLOOKUP(Takeoffs!AF1951,Sheet1!$B$6:$C$124,2,FALSE)</f>
        <v>3.48</v>
      </c>
      <c r="AH1951" s="146">
        <f t="shared" si="898"/>
        <v>0</v>
      </c>
      <c r="AI1951" s="143">
        <f t="shared" si="899"/>
        <v>0</v>
      </c>
      <c r="AJ1951" s="133">
        <f t="shared" si="900"/>
        <v>0</v>
      </c>
      <c r="AK1951" s="142">
        <v>1.5</v>
      </c>
      <c r="AL1951" s="141"/>
      <c r="AO1951" s="286"/>
      <c r="AP1951" s="284">
        <f t="shared" si="890"/>
        <v>0</v>
      </c>
      <c r="AQ1951" s="281">
        <f t="shared" si="891"/>
        <v>0</v>
      </c>
      <c r="AR1951" s="284">
        <f t="shared" si="892"/>
        <v>0</v>
      </c>
      <c r="AS1951" s="281">
        <f t="shared" si="893"/>
        <v>0</v>
      </c>
      <c r="AT1951" s="284">
        <f t="shared" si="894"/>
        <v>0</v>
      </c>
    </row>
    <row r="1952" spans="1:97" s="114" customFormat="1" ht="30.9" x14ac:dyDescent="0.8">
      <c r="A1952" s="262">
        <f>ROW()</f>
        <v>1952</v>
      </c>
      <c r="C1952" s="208"/>
      <c r="D1952" s="208"/>
      <c r="E1952" s="208"/>
      <c r="F1952" s="208"/>
      <c r="G1952" s="208"/>
      <c r="H1952" s="208"/>
      <c r="J1952" s="114" t="str">
        <f t="shared" si="901"/>
        <v/>
      </c>
      <c r="K1952" s="114" t="str">
        <f>IF(COUNTBLANK(R1952)&gt;0,"",CONCATENATE(R1952," for ",N1948))</f>
        <v/>
      </c>
      <c r="M1952" s="117"/>
      <c r="N1952" s="123" t="s">
        <v>116</v>
      </c>
      <c r="O1952" s="66" t="s">
        <v>323</v>
      </c>
      <c r="P1952" s="121"/>
      <c r="Q1952" s="121"/>
      <c r="R1952" s="121"/>
      <c r="S1952" s="133">
        <f>M1948</f>
        <v>0</v>
      </c>
      <c r="T1952" s="120"/>
      <c r="U1952" s="121" t="s">
        <v>292</v>
      </c>
      <c r="V1952" s="133">
        <f t="shared" si="895"/>
        <v>0</v>
      </c>
      <c r="W1952" s="133">
        <f>VLOOKUP(U1952,Sheet1!$B$6:$C$45,2,FALSE)*V1952</f>
        <v>0</v>
      </c>
      <c r="X1952" s="141"/>
      <c r="Y1952" s="152" t="s">
        <v>264</v>
      </c>
      <c r="Z1952" s="146">
        <f>VLOOKUP(Takeoffs!Y1952,Sheet1!$B$6:$C$124,2,FALSE)</f>
        <v>751.07999999999993</v>
      </c>
      <c r="AA1952" s="146">
        <f t="shared" si="896"/>
        <v>0</v>
      </c>
      <c r="AB1952" s="143">
        <f t="shared" si="897"/>
        <v>0</v>
      </c>
      <c r="AC1952" s="133">
        <f t="shared" si="902"/>
        <v>0</v>
      </c>
      <c r="AD1952" s="142">
        <v>1</v>
      </c>
      <c r="AE1952" s="141"/>
      <c r="AF1952" s="121" t="s">
        <v>292</v>
      </c>
      <c r="AG1952" s="146">
        <f>VLOOKUP(Takeoffs!AF1952,Sheet1!$B$6:$C$124,2,FALSE)</f>
        <v>0</v>
      </c>
      <c r="AH1952" s="146">
        <f t="shared" si="898"/>
        <v>0</v>
      </c>
      <c r="AI1952" s="143">
        <f t="shared" si="899"/>
        <v>0</v>
      </c>
      <c r="AJ1952" s="133">
        <f t="shared" si="900"/>
        <v>0</v>
      </c>
      <c r="AK1952" s="142">
        <v>0</v>
      </c>
      <c r="AL1952" s="141"/>
      <c r="AO1952" s="286"/>
      <c r="AP1952" s="284">
        <f t="shared" si="890"/>
        <v>0</v>
      </c>
      <c r="AQ1952" s="281">
        <f t="shared" si="891"/>
        <v>0</v>
      </c>
      <c r="AR1952" s="284">
        <f t="shared" si="892"/>
        <v>0</v>
      </c>
      <c r="AS1952" s="281">
        <f t="shared" si="893"/>
        <v>0</v>
      </c>
      <c r="AT1952" s="284">
        <f t="shared" si="894"/>
        <v>0</v>
      </c>
    </row>
    <row r="1953" spans="1:46" s="114" customFormat="1" ht="30.9" x14ac:dyDescent="0.8">
      <c r="A1953" s="262">
        <f>ROW()</f>
        <v>1953</v>
      </c>
      <c r="C1953" s="208"/>
      <c r="D1953" s="208"/>
      <c r="E1953" s="208"/>
      <c r="F1953" s="208"/>
      <c r="G1953" s="208"/>
      <c r="H1953" s="208"/>
      <c r="J1953" s="114" t="str">
        <f t="shared" si="901"/>
        <v/>
      </c>
      <c r="K1953" s="114" t="str">
        <f>IF(COUNTBLANK(R1953)&gt;0,"",CONCATENATE(R1953," for ",N1948))</f>
        <v/>
      </c>
      <c r="M1953" s="117"/>
      <c r="N1953" s="123" t="s">
        <v>117</v>
      </c>
      <c r="O1953" s="66" t="s">
        <v>390</v>
      </c>
      <c r="P1953" s="121"/>
      <c r="Q1953" s="121"/>
      <c r="R1953" s="121"/>
      <c r="S1953" s="133">
        <f>M1948</f>
        <v>0</v>
      </c>
      <c r="T1953" s="120"/>
      <c r="U1953" s="121" t="s">
        <v>292</v>
      </c>
      <c r="V1953" s="133">
        <f t="shared" si="895"/>
        <v>0</v>
      </c>
      <c r="W1953" s="133">
        <f>VLOOKUP(U1953,Sheet1!$B$6:$C$45,2,FALSE)*V1953</f>
        <v>0</v>
      </c>
      <c r="X1953" s="141"/>
      <c r="Y1953" s="121" t="s">
        <v>292</v>
      </c>
      <c r="Z1953" s="146">
        <f>VLOOKUP(Takeoffs!Y1953,Sheet1!$B$6:$C$124,2,FALSE)</f>
        <v>0</v>
      </c>
      <c r="AA1953" s="146">
        <f t="shared" si="896"/>
        <v>0</v>
      </c>
      <c r="AB1953" s="143">
        <f t="shared" si="897"/>
        <v>0</v>
      </c>
      <c r="AC1953" s="133">
        <f t="shared" si="902"/>
        <v>0</v>
      </c>
      <c r="AD1953" s="142">
        <v>1</v>
      </c>
      <c r="AE1953" s="141"/>
      <c r="AF1953" s="122" t="s">
        <v>267</v>
      </c>
      <c r="AG1953" s="146">
        <f>VLOOKUP(Takeoffs!AF1953,Sheet1!$B$6:$C$124,2,FALSE)</f>
        <v>3.48</v>
      </c>
      <c r="AH1953" s="146">
        <f t="shared" si="898"/>
        <v>0</v>
      </c>
      <c r="AI1953" s="143">
        <f t="shared" si="899"/>
        <v>0</v>
      </c>
      <c r="AJ1953" s="133">
        <f t="shared" si="900"/>
        <v>0</v>
      </c>
      <c r="AK1953" s="142">
        <v>15</v>
      </c>
      <c r="AL1953" s="141"/>
      <c r="AO1953" s="286"/>
      <c r="AP1953" s="284">
        <f t="shared" si="890"/>
        <v>0</v>
      </c>
      <c r="AQ1953" s="281">
        <f t="shared" si="891"/>
        <v>0</v>
      </c>
      <c r="AR1953" s="284">
        <f t="shared" si="892"/>
        <v>0</v>
      </c>
      <c r="AS1953" s="281">
        <f t="shared" si="893"/>
        <v>0</v>
      </c>
      <c r="AT1953" s="284">
        <f t="shared" si="894"/>
        <v>0</v>
      </c>
    </row>
    <row r="1954" spans="1:46" s="114" customFormat="1" ht="30.9" x14ac:dyDescent="0.8">
      <c r="A1954" s="262">
        <f>ROW()</f>
        <v>1954</v>
      </c>
      <c r="C1954" s="208"/>
      <c r="D1954" s="208"/>
      <c r="E1954" s="208"/>
      <c r="F1954" s="208"/>
      <c r="G1954" s="208"/>
      <c r="H1954" s="208"/>
      <c r="J1954" s="114" t="str">
        <f t="shared" si="901"/>
        <v/>
      </c>
      <c r="K1954" s="114" t="str">
        <f>IF(COUNTBLANK(R1954)&gt;0,"",CONCATENATE(R1954," for ",N1948))</f>
        <v/>
      </c>
      <c r="M1954" s="117"/>
      <c r="N1954" s="123" t="s">
        <v>118</v>
      </c>
      <c r="O1954" s="66" t="s">
        <v>309</v>
      </c>
      <c r="P1954" s="121"/>
      <c r="Q1954" s="121"/>
      <c r="R1954" s="121"/>
      <c r="S1954" s="133">
        <f>M1948</f>
        <v>0</v>
      </c>
      <c r="T1954" s="120"/>
      <c r="U1954" s="121" t="s">
        <v>292</v>
      </c>
      <c r="V1954" s="133">
        <f t="shared" si="895"/>
        <v>0</v>
      </c>
      <c r="W1954" s="133">
        <f>VLOOKUP(U1954,Sheet1!$B$6:$C$45,2,FALSE)*V1954</f>
        <v>0</v>
      </c>
      <c r="X1954" s="141"/>
      <c r="Y1954" s="122" t="s">
        <v>245</v>
      </c>
      <c r="Z1954" s="146">
        <f>VLOOKUP(Takeoffs!Y1954,Sheet1!$B$6:$C$124,2,FALSE)</f>
        <v>46.463999999999999</v>
      </c>
      <c r="AA1954" s="146">
        <f t="shared" si="896"/>
        <v>0</v>
      </c>
      <c r="AB1954" s="143">
        <f t="shared" si="897"/>
        <v>0</v>
      </c>
      <c r="AC1954" s="133">
        <f t="shared" si="902"/>
        <v>0</v>
      </c>
      <c r="AD1954" s="142">
        <v>1</v>
      </c>
      <c r="AE1954" s="141"/>
      <c r="AF1954" s="121" t="s">
        <v>292</v>
      </c>
      <c r="AG1954" s="146">
        <f>VLOOKUP(Takeoffs!AF1954,Sheet1!$B$6:$C$124,2,FALSE)</f>
        <v>0</v>
      </c>
      <c r="AH1954" s="146">
        <f t="shared" si="898"/>
        <v>0</v>
      </c>
      <c r="AI1954" s="143">
        <f t="shared" si="899"/>
        <v>0</v>
      </c>
      <c r="AJ1954" s="133">
        <f t="shared" si="900"/>
        <v>0</v>
      </c>
      <c r="AK1954" s="142">
        <v>0</v>
      </c>
      <c r="AL1954" s="141"/>
      <c r="AO1954" s="286"/>
      <c r="AP1954" s="284">
        <f t="shared" si="890"/>
        <v>0</v>
      </c>
      <c r="AQ1954" s="281">
        <f t="shared" si="891"/>
        <v>0</v>
      </c>
      <c r="AR1954" s="284">
        <f t="shared" si="892"/>
        <v>0</v>
      </c>
      <c r="AS1954" s="281">
        <f t="shared" si="893"/>
        <v>0</v>
      </c>
      <c r="AT1954" s="284">
        <f t="shared" si="894"/>
        <v>0</v>
      </c>
    </row>
    <row r="1955" spans="1:46" s="114" customFormat="1" ht="30.9" x14ac:dyDescent="0.8">
      <c r="A1955" s="262">
        <f>ROW()</f>
        <v>1955</v>
      </c>
      <c r="C1955" s="208"/>
      <c r="D1955" s="208"/>
      <c r="E1955" s="208"/>
      <c r="F1955" s="208"/>
      <c r="G1955" s="208"/>
      <c r="H1955" s="208"/>
      <c r="J1955" s="114" t="str">
        <f t="shared" si="901"/>
        <v/>
      </c>
      <c r="K1955" s="114" t="str">
        <f>IF(COUNTBLANK(R1955)&gt;0,"",CONCATENATE(R1955," for ",N1948))</f>
        <v/>
      </c>
      <c r="N1955" s="123" t="s">
        <v>119</v>
      </c>
      <c r="O1955" s="66" t="s">
        <v>307</v>
      </c>
      <c r="P1955" s="121"/>
      <c r="Q1955" s="121"/>
      <c r="R1955" s="121"/>
      <c r="S1955" s="133">
        <f>M1948</f>
        <v>0</v>
      </c>
      <c r="T1955" s="120"/>
      <c r="U1955" s="121" t="s">
        <v>242</v>
      </c>
      <c r="V1955" s="133">
        <f t="shared" si="895"/>
        <v>0</v>
      </c>
      <c r="W1955" s="133">
        <f>VLOOKUP(U1955,Sheet1!$B$6:$C$45,2,FALSE)*V1955</f>
        <v>0</v>
      </c>
      <c r="X1955" s="141"/>
      <c r="Y1955" s="121" t="s">
        <v>292</v>
      </c>
      <c r="Z1955" s="146">
        <f>VLOOKUP(Takeoffs!Y1955,Sheet1!$B$6:$C$124,2,FALSE)</f>
        <v>0</v>
      </c>
      <c r="AA1955" s="146">
        <f t="shared" si="896"/>
        <v>0</v>
      </c>
      <c r="AB1955" s="143">
        <f t="shared" si="897"/>
        <v>0</v>
      </c>
      <c r="AC1955" s="133">
        <f t="shared" si="902"/>
        <v>0</v>
      </c>
      <c r="AD1955" s="142">
        <v>1</v>
      </c>
      <c r="AE1955" s="141"/>
      <c r="AF1955" s="121" t="s">
        <v>292</v>
      </c>
      <c r="AG1955" s="146">
        <f>VLOOKUP(Takeoffs!AF1955,Sheet1!$B$6:$C$124,2,FALSE)</f>
        <v>0</v>
      </c>
      <c r="AH1955" s="146">
        <f t="shared" si="898"/>
        <v>0</v>
      </c>
      <c r="AI1955" s="143">
        <f t="shared" si="899"/>
        <v>0</v>
      </c>
      <c r="AJ1955" s="133">
        <f t="shared" si="900"/>
        <v>0</v>
      </c>
      <c r="AK1955" s="142">
        <v>0</v>
      </c>
      <c r="AL1955" s="141"/>
      <c r="AO1955" s="286"/>
      <c r="AP1955" s="284">
        <f t="shared" si="890"/>
        <v>0</v>
      </c>
      <c r="AQ1955" s="281">
        <f t="shared" si="891"/>
        <v>0</v>
      </c>
      <c r="AR1955" s="284">
        <f t="shared" si="892"/>
        <v>0</v>
      </c>
      <c r="AS1955" s="281">
        <f t="shared" si="893"/>
        <v>0</v>
      </c>
      <c r="AT1955" s="284">
        <f t="shared" si="894"/>
        <v>0</v>
      </c>
    </row>
    <row r="1956" spans="1:46" s="114" customFormat="1" ht="30.9" x14ac:dyDescent="0.8">
      <c r="A1956" s="262">
        <f>ROW()</f>
        <v>1956</v>
      </c>
      <c r="C1956" s="208"/>
      <c r="D1956" s="208"/>
      <c r="E1956" s="208"/>
      <c r="F1956" s="208"/>
      <c r="G1956" s="208"/>
      <c r="H1956" s="208"/>
      <c r="J1956" s="114" t="str">
        <f t="shared" si="901"/>
        <v/>
      </c>
      <c r="K1956" s="114" t="str">
        <f>IF(COUNTBLANK(R1956)&gt;0,"",CONCATENATE(R1956," for ",N1948))</f>
        <v/>
      </c>
      <c r="N1956" s="123" t="s">
        <v>120</v>
      </c>
      <c r="O1956" s="66" t="s">
        <v>514</v>
      </c>
      <c r="P1956" s="121"/>
      <c r="Q1956" s="121"/>
      <c r="R1956" s="121"/>
      <c r="S1956" s="133">
        <f>M1948</f>
        <v>0</v>
      </c>
      <c r="T1956" s="120"/>
      <c r="U1956" s="121" t="s">
        <v>292</v>
      </c>
      <c r="V1956" s="133">
        <f t="shared" si="895"/>
        <v>0</v>
      </c>
      <c r="W1956" s="133">
        <f>VLOOKUP(U1956,Sheet1!$B$6:$C$45,2,FALSE)*V1956</f>
        <v>0</v>
      </c>
      <c r="X1956" s="141"/>
      <c r="Y1956" s="152" t="s">
        <v>333</v>
      </c>
      <c r="Z1956" s="146">
        <f>VLOOKUP(Takeoffs!Y1956,Sheet1!$B$6:$C$124,2,FALSE)</f>
        <v>60</v>
      </c>
      <c r="AA1956" s="146">
        <f t="shared" si="896"/>
        <v>0</v>
      </c>
      <c r="AB1956" s="143">
        <f t="shared" si="897"/>
        <v>0</v>
      </c>
      <c r="AC1956" s="133">
        <f t="shared" si="902"/>
        <v>0</v>
      </c>
      <c r="AD1956" s="142">
        <v>1</v>
      </c>
      <c r="AE1956" s="141"/>
      <c r="AF1956" s="121" t="s">
        <v>292</v>
      </c>
      <c r="AG1956" s="146">
        <f>VLOOKUP(Takeoffs!AF1956,Sheet1!$B$6:$C$124,2,FALSE)</f>
        <v>0</v>
      </c>
      <c r="AH1956" s="146">
        <f t="shared" si="898"/>
        <v>0</v>
      </c>
      <c r="AI1956" s="143">
        <f t="shared" si="899"/>
        <v>0</v>
      </c>
      <c r="AJ1956" s="133">
        <f t="shared" si="900"/>
        <v>0</v>
      </c>
      <c r="AK1956" s="142">
        <v>0</v>
      </c>
      <c r="AL1956" s="141"/>
      <c r="AO1956" s="286"/>
      <c r="AP1956" s="284">
        <f t="shared" si="890"/>
        <v>0</v>
      </c>
      <c r="AQ1956" s="281">
        <f t="shared" si="891"/>
        <v>0</v>
      </c>
      <c r="AR1956" s="284">
        <f t="shared" si="892"/>
        <v>0</v>
      </c>
      <c r="AS1956" s="281">
        <f t="shared" si="893"/>
        <v>0</v>
      </c>
      <c r="AT1956" s="284">
        <f t="shared" si="894"/>
        <v>0</v>
      </c>
    </row>
    <row r="1957" spans="1:46" s="114" customFormat="1" ht="30.9" x14ac:dyDescent="0.8">
      <c r="A1957" s="262">
        <f>ROW()</f>
        <v>1957</v>
      </c>
      <c r="C1957" s="208"/>
      <c r="D1957" s="208"/>
      <c r="E1957" s="208"/>
      <c r="F1957" s="208"/>
      <c r="G1957" s="208"/>
      <c r="H1957" s="208"/>
      <c r="J1957" s="114" t="str">
        <f t="shared" si="901"/>
        <v/>
      </c>
      <c r="K1957" s="114" t="str">
        <f>IF(COUNTBLANK(R1957)&gt;0,"",CONCATENATE(R1957," for ",N1948))</f>
        <v/>
      </c>
      <c r="N1957" s="123" t="s">
        <v>121</v>
      </c>
      <c r="O1957" s="66" t="s">
        <v>515</v>
      </c>
      <c r="P1957" s="121"/>
      <c r="Q1957" s="121"/>
      <c r="R1957" s="121"/>
      <c r="S1957" s="133">
        <f>M1948</f>
        <v>0</v>
      </c>
      <c r="T1957" s="120"/>
      <c r="U1957" s="121" t="s">
        <v>292</v>
      </c>
      <c r="V1957" s="133">
        <f t="shared" si="895"/>
        <v>0</v>
      </c>
      <c r="W1957" s="133">
        <f>VLOOKUP(U1957,Sheet1!$B$6:$C$45,2,FALSE)*V1957</f>
        <v>0</v>
      </c>
      <c r="X1957" s="141"/>
      <c r="Y1957" s="152" t="s">
        <v>334</v>
      </c>
      <c r="Z1957" s="146">
        <f>VLOOKUP(Takeoffs!Y1957,Sheet1!$B$6:$C$124,2,FALSE)</f>
        <v>56.4</v>
      </c>
      <c r="AA1957" s="146">
        <f t="shared" si="896"/>
        <v>0</v>
      </c>
      <c r="AB1957" s="143">
        <f t="shared" si="897"/>
        <v>0</v>
      </c>
      <c r="AC1957" s="133">
        <f t="shared" si="902"/>
        <v>0</v>
      </c>
      <c r="AD1957" s="142">
        <v>1</v>
      </c>
      <c r="AE1957" s="141"/>
      <c r="AF1957" s="121" t="s">
        <v>292</v>
      </c>
      <c r="AG1957" s="146">
        <f>VLOOKUP(Takeoffs!AF1957,Sheet1!$B$6:$C$124,2,FALSE)</f>
        <v>0</v>
      </c>
      <c r="AH1957" s="146">
        <f t="shared" si="898"/>
        <v>0</v>
      </c>
      <c r="AI1957" s="143">
        <f t="shared" si="899"/>
        <v>0</v>
      </c>
      <c r="AJ1957" s="133">
        <f t="shared" si="900"/>
        <v>0</v>
      </c>
      <c r="AK1957" s="142">
        <v>0</v>
      </c>
      <c r="AL1957" s="141"/>
      <c r="AO1957" s="286"/>
      <c r="AP1957" s="284">
        <f t="shared" si="890"/>
        <v>0</v>
      </c>
      <c r="AQ1957" s="281">
        <f t="shared" si="891"/>
        <v>0</v>
      </c>
      <c r="AR1957" s="284">
        <f t="shared" si="892"/>
        <v>0</v>
      </c>
      <c r="AS1957" s="281">
        <f t="shared" si="893"/>
        <v>0</v>
      </c>
      <c r="AT1957" s="284">
        <f t="shared" si="894"/>
        <v>0</v>
      </c>
    </row>
    <row r="1958" spans="1:46" s="114" customFormat="1" ht="30.9" x14ac:dyDescent="0.8">
      <c r="A1958" s="262">
        <f>ROW()</f>
        <v>1958</v>
      </c>
      <c r="C1958" s="208"/>
      <c r="D1958" s="208"/>
      <c r="E1958" s="208"/>
      <c r="F1958" s="208"/>
      <c r="G1958" s="208"/>
      <c r="H1958" s="208"/>
      <c r="J1958" s="114" t="str">
        <f t="shared" si="901"/>
        <v/>
      </c>
      <c r="K1958" s="114" t="str">
        <f>IF(COUNTBLANK(R1958)&gt;0,"",CONCATENATE(R1958," for ",N1948))</f>
        <v/>
      </c>
      <c r="N1958" s="123" t="s">
        <v>122</v>
      </c>
      <c r="O1958" s="66" t="s">
        <v>512</v>
      </c>
      <c r="P1958" s="121"/>
      <c r="Q1958" s="121"/>
      <c r="R1958" s="121"/>
      <c r="S1958" s="133">
        <f>M1948</f>
        <v>0</v>
      </c>
      <c r="T1958" s="120"/>
      <c r="U1958" s="121" t="s">
        <v>363</v>
      </c>
      <c r="V1958" s="133">
        <f t="shared" si="895"/>
        <v>0</v>
      </c>
      <c r="W1958" s="133">
        <f>VLOOKUP(U1958,Sheet1!$B$6:$C$45,2,FALSE)*V1958</f>
        <v>0</v>
      </c>
      <c r="X1958" s="141"/>
      <c r="Y1958" s="122" t="s">
        <v>321</v>
      </c>
      <c r="Z1958" s="146">
        <f>VLOOKUP(Takeoffs!Y1958,Sheet1!$B$6:$C$124,2,FALSE)</f>
        <v>60</v>
      </c>
      <c r="AA1958" s="146">
        <f t="shared" si="896"/>
        <v>0</v>
      </c>
      <c r="AB1958" s="143">
        <f t="shared" si="897"/>
        <v>0</v>
      </c>
      <c r="AC1958" s="133">
        <f t="shared" si="902"/>
        <v>0</v>
      </c>
      <c r="AD1958" s="142">
        <v>1</v>
      </c>
      <c r="AE1958" s="141"/>
      <c r="AF1958" s="121" t="s">
        <v>292</v>
      </c>
      <c r="AG1958" s="146">
        <f>VLOOKUP(Takeoffs!AF1958,Sheet1!$B$6:$C$124,2,FALSE)</f>
        <v>0</v>
      </c>
      <c r="AH1958" s="146">
        <f t="shared" si="898"/>
        <v>0</v>
      </c>
      <c r="AI1958" s="143">
        <f t="shared" si="899"/>
        <v>0</v>
      </c>
      <c r="AJ1958" s="133">
        <f t="shared" si="900"/>
        <v>0</v>
      </c>
      <c r="AK1958" s="142">
        <v>0</v>
      </c>
      <c r="AL1958" s="141"/>
      <c r="AO1958" s="286"/>
      <c r="AP1958" s="284">
        <f t="shared" si="890"/>
        <v>0</v>
      </c>
      <c r="AQ1958" s="281">
        <f t="shared" si="891"/>
        <v>0</v>
      </c>
      <c r="AR1958" s="284">
        <f t="shared" si="892"/>
        <v>0</v>
      </c>
      <c r="AS1958" s="281">
        <f t="shared" si="893"/>
        <v>0</v>
      </c>
      <c r="AT1958" s="284">
        <f t="shared" si="894"/>
        <v>0</v>
      </c>
    </row>
    <row r="1959" spans="1:46" s="114" customFormat="1" ht="30.9" x14ac:dyDescent="0.8">
      <c r="A1959" s="262">
        <f>ROW()</f>
        <v>1959</v>
      </c>
      <c r="C1959" s="208"/>
      <c r="D1959" s="208"/>
      <c r="E1959" s="208"/>
      <c r="F1959" s="208"/>
      <c r="G1959" s="208"/>
      <c r="H1959" s="208"/>
      <c r="J1959" s="114" t="str">
        <f t="shared" si="901"/>
        <v/>
      </c>
      <c r="K1959" s="114" t="str">
        <f>IF(COUNTBLANK(R1959)&gt;0,"",CONCATENATE(R1959," for ",N1948))</f>
        <v/>
      </c>
      <c r="N1959" s="123" t="s">
        <v>123</v>
      </c>
      <c r="O1959" s="66" t="s">
        <v>516</v>
      </c>
      <c r="P1959" s="121"/>
      <c r="Q1959" s="121"/>
      <c r="R1959" s="121"/>
      <c r="S1959" s="133">
        <f>M1948</f>
        <v>0</v>
      </c>
      <c r="T1959" s="120"/>
      <c r="U1959" s="121" t="s">
        <v>292</v>
      </c>
      <c r="V1959" s="133">
        <f t="shared" si="895"/>
        <v>0</v>
      </c>
      <c r="W1959" s="133">
        <f>VLOOKUP(U1959,Sheet1!$B$6:$C$45,2,FALSE)*V1959</f>
        <v>0</v>
      </c>
      <c r="X1959" s="141"/>
      <c r="Y1959" s="122" t="s">
        <v>274</v>
      </c>
      <c r="Z1959" s="146">
        <f>VLOOKUP(Takeoffs!Y1959,Sheet1!$B$6:$C$124,2,FALSE)</f>
        <v>360</v>
      </c>
      <c r="AA1959" s="146">
        <f t="shared" si="896"/>
        <v>0</v>
      </c>
      <c r="AB1959" s="143">
        <f t="shared" si="897"/>
        <v>0</v>
      </c>
      <c r="AC1959" s="133">
        <f t="shared" si="902"/>
        <v>0</v>
      </c>
      <c r="AD1959" s="142">
        <v>1</v>
      </c>
      <c r="AE1959" s="141"/>
      <c r="AF1959" s="121" t="s">
        <v>292</v>
      </c>
      <c r="AG1959" s="146">
        <f>VLOOKUP(Takeoffs!AF1959,Sheet1!$B$6:$C$124,2,FALSE)</f>
        <v>0</v>
      </c>
      <c r="AH1959" s="146">
        <f t="shared" si="898"/>
        <v>0</v>
      </c>
      <c r="AI1959" s="143">
        <f t="shared" si="899"/>
        <v>0</v>
      </c>
      <c r="AJ1959" s="133">
        <f t="shared" si="900"/>
        <v>0</v>
      </c>
      <c r="AK1959" s="142">
        <v>0</v>
      </c>
      <c r="AL1959" s="141"/>
      <c r="AO1959" s="286"/>
      <c r="AP1959" s="284">
        <f t="shared" si="890"/>
        <v>0</v>
      </c>
      <c r="AQ1959" s="281">
        <f t="shared" si="891"/>
        <v>0</v>
      </c>
      <c r="AR1959" s="284">
        <f t="shared" si="892"/>
        <v>0</v>
      </c>
      <c r="AS1959" s="281">
        <f t="shared" si="893"/>
        <v>0</v>
      </c>
      <c r="AT1959" s="284">
        <f t="shared" si="894"/>
        <v>0</v>
      </c>
    </row>
    <row r="1960" spans="1:46" s="114" customFormat="1" ht="30.9" x14ac:dyDescent="0.8">
      <c r="A1960" s="262">
        <f>ROW()</f>
        <v>1960</v>
      </c>
      <c r="C1960" s="208"/>
      <c r="D1960" s="208"/>
      <c r="E1960" s="208"/>
      <c r="F1960" s="208"/>
      <c r="G1960" s="208"/>
      <c r="H1960" s="208"/>
      <c r="J1960" s="114" t="str">
        <f t="shared" si="901"/>
        <v/>
      </c>
      <c r="K1960" s="114" t="str">
        <f>IF(COUNTBLANK(R1960)&gt;0,"",CONCATENATE(R1960," for ",N1948))</f>
        <v/>
      </c>
      <c r="N1960" s="123" t="s">
        <v>124</v>
      </c>
      <c r="O1960" s="66" t="s">
        <v>140</v>
      </c>
      <c r="P1960" s="121"/>
      <c r="Q1960" s="121"/>
      <c r="R1960" s="121"/>
      <c r="S1960" s="133">
        <f>M1948</f>
        <v>0</v>
      </c>
      <c r="T1960" s="120"/>
      <c r="U1960" s="121" t="s">
        <v>363</v>
      </c>
      <c r="V1960" s="133">
        <f t="shared" si="895"/>
        <v>0</v>
      </c>
      <c r="W1960" s="133">
        <f>VLOOKUP(U1960,Sheet1!$B$6:$C$45,2,FALSE)*V1960</f>
        <v>0</v>
      </c>
      <c r="X1960" s="141"/>
      <c r="Y1960" s="121" t="s">
        <v>292</v>
      </c>
      <c r="Z1960" s="146">
        <f>VLOOKUP(Takeoffs!Y1960,Sheet1!$B$6:$C$124,2,FALSE)</f>
        <v>0</v>
      </c>
      <c r="AA1960" s="146">
        <f t="shared" si="896"/>
        <v>0</v>
      </c>
      <c r="AB1960" s="143">
        <f t="shared" si="897"/>
        <v>0</v>
      </c>
      <c r="AC1960" s="133">
        <f t="shared" si="902"/>
        <v>0</v>
      </c>
      <c r="AD1960" s="142">
        <v>1</v>
      </c>
      <c r="AE1960" s="141"/>
      <c r="AF1960" s="144" t="s">
        <v>269</v>
      </c>
      <c r="AG1960" s="146">
        <f>VLOOKUP(Takeoffs!AF1960,Sheet1!$B$6:$C$124,2,FALSE)</f>
        <v>1.056</v>
      </c>
      <c r="AH1960" s="146">
        <f t="shared" si="898"/>
        <v>0</v>
      </c>
      <c r="AI1960" s="143">
        <f t="shared" si="899"/>
        <v>0</v>
      </c>
      <c r="AJ1960" s="133">
        <f t="shared" si="900"/>
        <v>0</v>
      </c>
      <c r="AK1960" s="142">
        <v>40</v>
      </c>
      <c r="AL1960" s="141"/>
      <c r="AO1960" s="286"/>
      <c r="AP1960" s="284">
        <f t="shared" si="890"/>
        <v>0</v>
      </c>
      <c r="AQ1960" s="281">
        <f t="shared" si="891"/>
        <v>0</v>
      </c>
      <c r="AR1960" s="284">
        <f t="shared" si="892"/>
        <v>0</v>
      </c>
      <c r="AS1960" s="281">
        <f t="shared" si="893"/>
        <v>0</v>
      </c>
      <c r="AT1960" s="284">
        <f t="shared" si="894"/>
        <v>0</v>
      </c>
    </row>
    <row r="1961" spans="1:46" s="114" customFormat="1" ht="30.9" x14ac:dyDescent="0.8">
      <c r="A1961" s="262">
        <f>ROW()</f>
        <v>1961</v>
      </c>
      <c r="C1961" s="208"/>
      <c r="D1961" s="208"/>
      <c r="E1961" s="208"/>
      <c r="F1961" s="208"/>
      <c r="G1961" s="208"/>
      <c r="H1961" s="208"/>
      <c r="J1961" s="114" t="str">
        <f t="shared" si="901"/>
        <v/>
      </c>
      <c r="K1961" s="114" t="str">
        <f>IF(COUNTBLANK(R1961)&gt;0,"",CONCATENATE(R1961," for ",N1948))</f>
        <v/>
      </c>
      <c r="N1961" s="123" t="s">
        <v>125</v>
      </c>
      <c r="O1961" s="66" t="s">
        <v>312</v>
      </c>
      <c r="P1961" s="121"/>
      <c r="Q1961" s="121"/>
      <c r="R1961" s="121"/>
      <c r="S1961" s="133">
        <f>M1948</f>
        <v>0</v>
      </c>
      <c r="T1961" s="120"/>
      <c r="U1961" s="121" t="s">
        <v>232</v>
      </c>
      <c r="V1961" s="133">
        <f t="shared" si="895"/>
        <v>0</v>
      </c>
      <c r="W1961" s="133">
        <f>VLOOKUP(U1961,Sheet1!$B$6:$C$45,2,FALSE)*V1961</f>
        <v>0</v>
      </c>
      <c r="X1961" s="141"/>
      <c r="Y1961" s="122" t="s">
        <v>1345</v>
      </c>
      <c r="Z1961" s="146">
        <f>VLOOKUP(Takeoffs!Y1961,Sheet1!$B$6:$C$124,2,FALSE)</f>
        <v>109.25999999999999</v>
      </c>
      <c r="AA1961" s="146">
        <f t="shared" si="896"/>
        <v>0</v>
      </c>
      <c r="AB1961" s="143">
        <f t="shared" si="897"/>
        <v>0</v>
      </c>
      <c r="AC1961" s="133">
        <f t="shared" si="902"/>
        <v>0</v>
      </c>
      <c r="AD1961" s="142">
        <v>1</v>
      </c>
      <c r="AE1961" s="141"/>
      <c r="AF1961" s="121" t="s">
        <v>292</v>
      </c>
      <c r="AG1961" s="146">
        <f>VLOOKUP(Takeoffs!AF1961,Sheet1!$B$6:$C$124,2,FALSE)</f>
        <v>0</v>
      </c>
      <c r="AH1961" s="146">
        <f t="shared" si="898"/>
        <v>0</v>
      </c>
      <c r="AI1961" s="143">
        <f t="shared" si="899"/>
        <v>0</v>
      </c>
      <c r="AJ1961" s="133">
        <f t="shared" si="900"/>
        <v>0</v>
      </c>
      <c r="AK1961" s="142">
        <v>0</v>
      </c>
      <c r="AL1961" s="141"/>
      <c r="AO1961" s="286"/>
      <c r="AP1961" s="284">
        <f t="shared" si="890"/>
        <v>0</v>
      </c>
      <c r="AQ1961" s="281">
        <f t="shared" si="891"/>
        <v>0</v>
      </c>
      <c r="AR1961" s="284">
        <f t="shared" si="892"/>
        <v>0</v>
      </c>
      <c r="AS1961" s="281">
        <f t="shared" si="893"/>
        <v>0</v>
      </c>
      <c r="AT1961" s="284">
        <f t="shared" si="894"/>
        <v>0</v>
      </c>
    </row>
    <row r="1962" spans="1:46" s="114" customFormat="1" ht="30.9" x14ac:dyDescent="0.8">
      <c r="A1962" s="262">
        <f>ROW()</f>
        <v>1962</v>
      </c>
      <c r="C1962" s="208"/>
      <c r="D1962" s="208"/>
      <c r="E1962" s="208"/>
      <c r="F1962" s="208"/>
      <c r="G1962" s="208"/>
      <c r="H1962" s="208"/>
      <c r="J1962" s="114" t="str">
        <f t="shared" si="901"/>
        <v/>
      </c>
      <c r="K1962" s="114" t="str">
        <f>IF(COUNTBLANK(R1962)&gt;0,"",CONCATENATE(R1962," for ",N1948))</f>
        <v/>
      </c>
      <c r="N1962" s="123" t="s">
        <v>126</v>
      </c>
      <c r="O1962" s="66" t="s">
        <v>517</v>
      </c>
      <c r="P1962" s="121"/>
      <c r="Q1962" s="121"/>
      <c r="R1962" s="121"/>
      <c r="S1962" s="133">
        <f>M1948</f>
        <v>0</v>
      </c>
      <c r="T1962" s="120"/>
      <c r="U1962" s="121" t="s">
        <v>364</v>
      </c>
      <c r="V1962" s="133">
        <f t="shared" si="895"/>
        <v>0</v>
      </c>
      <c r="W1962" s="133">
        <f>VLOOKUP(U1962,Sheet1!$B$6:$C$45,2,FALSE)*V1962</f>
        <v>0</v>
      </c>
      <c r="X1962" s="141"/>
      <c r="Y1962" s="135" t="s">
        <v>461</v>
      </c>
      <c r="Z1962" s="146">
        <f>VLOOKUP(Takeoffs!Y1962,Sheet1!$B$6:$C$124,2,FALSE)</f>
        <v>420</v>
      </c>
      <c r="AA1962" s="146">
        <f t="shared" si="896"/>
        <v>0</v>
      </c>
      <c r="AB1962" s="143">
        <f t="shared" si="897"/>
        <v>0</v>
      </c>
      <c r="AC1962" s="133">
        <f t="shared" si="902"/>
        <v>0</v>
      </c>
      <c r="AD1962" s="142">
        <v>2</v>
      </c>
      <c r="AE1962" s="141"/>
      <c r="AF1962" s="121" t="s">
        <v>292</v>
      </c>
      <c r="AG1962" s="146">
        <f>VLOOKUP(Takeoffs!AF1962,Sheet1!$B$6:$C$124,2,FALSE)</f>
        <v>0</v>
      </c>
      <c r="AH1962" s="146">
        <f t="shared" si="898"/>
        <v>0</v>
      </c>
      <c r="AI1962" s="143">
        <f t="shared" si="899"/>
        <v>0</v>
      </c>
      <c r="AJ1962" s="133">
        <f t="shared" si="900"/>
        <v>0</v>
      </c>
      <c r="AK1962" s="142">
        <v>0</v>
      </c>
      <c r="AL1962" s="141"/>
      <c r="AO1962" s="286"/>
      <c r="AP1962" s="284">
        <f t="shared" si="890"/>
        <v>0</v>
      </c>
      <c r="AQ1962" s="281">
        <f t="shared" si="891"/>
        <v>0</v>
      </c>
      <c r="AR1962" s="284">
        <f t="shared" si="892"/>
        <v>0</v>
      </c>
      <c r="AS1962" s="281">
        <f t="shared" si="893"/>
        <v>0</v>
      </c>
      <c r="AT1962" s="284">
        <f t="shared" si="894"/>
        <v>0</v>
      </c>
    </row>
    <row r="1963" spans="1:46" s="114" customFormat="1" ht="30.9" x14ac:dyDescent="0.8">
      <c r="A1963" s="262">
        <f>ROW()</f>
        <v>1963</v>
      </c>
      <c r="C1963" s="208"/>
      <c r="D1963" s="208"/>
      <c r="E1963" s="208"/>
      <c r="F1963" s="208"/>
      <c r="G1963" s="208"/>
      <c r="H1963" s="208"/>
      <c r="J1963" s="114" t="str">
        <f t="shared" si="901"/>
        <v/>
      </c>
      <c r="K1963" s="114" t="str">
        <f>IF(COUNTBLANK(R1963)&gt;0,"",CONCATENATE(R1963," for ",N1948))</f>
        <v/>
      </c>
      <c r="N1963" s="123" t="s">
        <v>127</v>
      </c>
      <c r="O1963" s="66" t="s">
        <v>518</v>
      </c>
      <c r="P1963" s="121"/>
      <c r="Q1963" s="121"/>
      <c r="R1963" s="121"/>
      <c r="S1963" s="133">
        <f>M1948</f>
        <v>0</v>
      </c>
      <c r="T1963" s="120"/>
      <c r="U1963" s="121" t="s">
        <v>292</v>
      </c>
      <c r="V1963" s="133">
        <f t="shared" si="895"/>
        <v>0</v>
      </c>
      <c r="W1963" s="133">
        <f>VLOOKUP(U1963,Sheet1!$B$6:$C$45,2,FALSE)*V1963</f>
        <v>0</v>
      </c>
      <c r="X1963" s="141"/>
      <c r="Y1963" s="122" t="s">
        <v>280</v>
      </c>
      <c r="Z1963" s="146">
        <f>VLOOKUP(Takeoffs!Y1963,Sheet1!$B$6:$C$124,2,FALSE)</f>
        <v>19.2</v>
      </c>
      <c r="AA1963" s="146">
        <f t="shared" si="896"/>
        <v>0</v>
      </c>
      <c r="AB1963" s="143">
        <f t="shared" si="897"/>
        <v>0</v>
      </c>
      <c r="AC1963" s="133">
        <f t="shared" si="902"/>
        <v>0</v>
      </c>
      <c r="AD1963" s="142">
        <v>4</v>
      </c>
      <c r="AE1963" s="141"/>
      <c r="AF1963" s="121" t="s">
        <v>292</v>
      </c>
      <c r="AG1963" s="146">
        <f>VLOOKUP(Takeoffs!AF1963,Sheet1!$B$6:$C$124,2,FALSE)</f>
        <v>0</v>
      </c>
      <c r="AH1963" s="146">
        <f t="shared" si="898"/>
        <v>0</v>
      </c>
      <c r="AI1963" s="143">
        <f t="shared" si="899"/>
        <v>0</v>
      </c>
      <c r="AJ1963" s="133">
        <f t="shared" si="900"/>
        <v>0</v>
      </c>
      <c r="AK1963" s="142">
        <v>0</v>
      </c>
      <c r="AL1963" s="141"/>
      <c r="AO1963" s="286"/>
      <c r="AP1963" s="284">
        <f t="shared" si="890"/>
        <v>0</v>
      </c>
      <c r="AQ1963" s="281">
        <f t="shared" si="891"/>
        <v>0</v>
      </c>
      <c r="AR1963" s="284">
        <f t="shared" si="892"/>
        <v>0</v>
      </c>
      <c r="AS1963" s="281">
        <f t="shared" si="893"/>
        <v>0</v>
      </c>
      <c r="AT1963" s="284">
        <f t="shared" si="894"/>
        <v>0</v>
      </c>
    </row>
    <row r="1964" spans="1:46" s="114" customFormat="1" ht="30.9" x14ac:dyDescent="0.8">
      <c r="A1964" s="262">
        <f>ROW()</f>
        <v>1964</v>
      </c>
      <c r="C1964" s="208"/>
      <c r="D1964" s="208"/>
      <c r="E1964" s="208"/>
      <c r="F1964" s="208"/>
      <c r="G1964" s="208"/>
      <c r="H1964" s="208"/>
      <c r="J1964" s="114" t="str">
        <f t="shared" si="901"/>
        <v/>
      </c>
      <c r="K1964" s="114" t="str">
        <f>IF(COUNTBLANK(R1964)&gt;0,"",CONCATENATE(R1964," for ",N1948))</f>
        <v/>
      </c>
      <c r="N1964" s="123" t="s">
        <v>128</v>
      </c>
      <c r="O1964" s="66" t="s">
        <v>519</v>
      </c>
      <c r="P1964" s="121"/>
      <c r="Q1964" s="121"/>
      <c r="R1964" s="121"/>
      <c r="S1964" s="133">
        <f>M1948</f>
        <v>0</v>
      </c>
      <c r="T1964" s="120"/>
      <c r="U1964" s="121" t="s">
        <v>292</v>
      </c>
      <c r="V1964" s="133">
        <f t="shared" si="895"/>
        <v>0</v>
      </c>
      <c r="W1964" s="133">
        <f>VLOOKUP(U1964,Sheet1!$B$6:$C$45,2,FALSE)*V1964</f>
        <v>0</v>
      </c>
      <c r="X1964" s="141"/>
      <c r="Y1964" s="152" t="s">
        <v>459</v>
      </c>
      <c r="Z1964" s="146">
        <f>VLOOKUP(Takeoffs!Y1964,Sheet1!$B$6:$C$124,2,FALSE)</f>
        <v>11.46</v>
      </c>
      <c r="AA1964" s="146">
        <f t="shared" si="896"/>
        <v>0</v>
      </c>
      <c r="AB1964" s="143">
        <f t="shared" si="897"/>
        <v>0</v>
      </c>
      <c r="AC1964" s="133">
        <f t="shared" si="902"/>
        <v>0</v>
      </c>
      <c r="AD1964" s="142">
        <v>2</v>
      </c>
      <c r="AE1964" s="141"/>
      <c r="AF1964" s="121" t="s">
        <v>292</v>
      </c>
      <c r="AG1964" s="146">
        <f>VLOOKUP(Takeoffs!AF1964,Sheet1!$B$6:$C$124,2,FALSE)</f>
        <v>0</v>
      </c>
      <c r="AH1964" s="146">
        <f t="shared" si="898"/>
        <v>0</v>
      </c>
      <c r="AI1964" s="143">
        <f t="shared" si="899"/>
        <v>0</v>
      </c>
      <c r="AJ1964" s="133">
        <f t="shared" si="900"/>
        <v>0</v>
      </c>
      <c r="AK1964" s="142">
        <v>0</v>
      </c>
      <c r="AL1964" s="141"/>
      <c r="AO1964" s="286"/>
      <c r="AP1964" s="284">
        <f t="shared" si="890"/>
        <v>0</v>
      </c>
      <c r="AQ1964" s="281">
        <f t="shared" si="891"/>
        <v>0</v>
      </c>
      <c r="AR1964" s="284">
        <f t="shared" si="892"/>
        <v>0</v>
      </c>
      <c r="AS1964" s="281">
        <f t="shared" si="893"/>
        <v>0</v>
      </c>
      <c r="AT1964" s="284">
        <f t="shared" si="894"/>
        <v>0</v>
      </c>
    </row>
    <row r="1965" spans="1:46" s="114" customFormat="1" ht="30.9" x14ac:dyDescent="0.8">
      <c r="A1965" s="262">
        <f>ROW()</f>
        <v>1965</v>
      </c>
      <c r="C1965" s="208"/>
      <c r="D1965" s="208"/>
      <c r="E1965" s="208"/>
      <c r="F1965" s="208"/>
      <c r="G1965" s="208"/>
      <c r="H1965" s="208"/>
      <c r="J1965" s="114" t="str">
        <f t="shared" si="901"/>
        <v/>
      </c>
      <c r="K1965" s="114" t="str">
        <f>IF(COUNTBLANK(R1965)&gt;0,"",CONCATENATE(R1965," for ",N1948))</f>
        <v/>
      </c>
      <c r="N1965" s="123" t="s">
        <v>129</v>
      </c>
      <c r="O1965" s="66" t="s">
        <v>520</v>
      </c>
      <c r="P1965" s="121"/>
      <c r="Q1965" s="121"/>
      <c r="R1965" s="121"/>
      <c r="S1965" s="133">
        <f>M1948</f>
        <v>0</v>
      </c>
      <c r="T1965" s="120"/>
      <c r="U1965" s="121" t="s">
        <v>292</v>
      </c>
      <c r="V1965" s="133">
        <f t="shared" si="895"/>
        <v>0</v>
      </c>
      <c r="W1965" s="133">
        <f>VLOOKUP(U1965,Sheet1!$B$6:$C$45,2,FALSE)*V1965</f>
        <v>0</v>
      </c>
      <c r="X1965" s="141"/>
      <c r="Y1965" s="152" t="s">
        <v>460</v>
      </c>
      <c r="Z1965" s="146">
        <f>VLOOKUP(Takeoffs!Y1965,Sheet1!$B$6:$C$124,2,FALSE)</f>
        <v>36</v>
      </c>
      <c r="AA1965" s="146">
        <f t="shared" si="896"/>
        <v>0</v>
      </c>
      <c r="AB1965" s="143">
        <f t="shared" si="897"/>
        <v>0</v>
      </c>
      <c r="AC1965" s="133">
        <f t="shared" si="902"/>
        <v>0</v>
      </c>
      <c r="AD1965" s="142">
        <v>1</v>
      </c>
      <c r="AE1965" s="141"/>
      <c r="AF1965" s="121" t="s">
        <v>292</v>
      </c>
      <c r="AG1965" s="146">
        <f>VLOOKUP(Takeoffs!AF1965,Sheet1!$B$6:$C$124,2,FALSE)</f>
        <v>0</v>
      </c>
      <c r="AH1965" s="146">
        <f t="shared" si="898"/>
        <v>0</v>
      </c>
      <c r="AI1965" s="143">
        <f t="shared" si="899"/>
        <v>0</v>
      </c>
      <c r="AJ1965" s="133">
        <f t="shared" si="900"/>
        <v>0</v>
      </c>
      <c r="AK1965" s="142">
        <v>0</v>
      </c>
      <c r="AL1965" s="141"/>
      <c r="AO1965" s="286"/>
      <c r="AP1965" s="284">
        <f t="shared" si="890"/>
        <v>0</v>
      </c>
      <c r="AQ1965" s="281">
        <f t="shared" si="891"/>
        <v>0</v>
      </c>
      <c r="AR1965" s="284">
        <f t="shared" si="892"/>
        <v>0</v>
      </c>
      <c r="AS1965" s="281">
        <f t="shared" si="893"/>
        <v>0</v>
      </c>
      <c r="AT1965" s="284">
        <f t="shared" si="894"/>
        <v>0</v>
      </c>
    </row>
    <row r="1966" spans="1:46" s="114" customFormat="1" ht="30.9" x14ac:dyDescent="0.8">
      <c r="A1966" s="262">
        <f>ROW()</f>
        <v>1966</v>
      </c>
      <c r="C1966" s="208"/>
      <c r="D1966" s="208"/>
      <c r="E1966" s="208"/>
      <c r="F1966" s="208"/>
      <c r="G1966" s="208"/>
      <c r="H1966" s="208"/>
      <c r="J1966" s="114" t="str">
        <f t="shared" si="901"/>
        <v>Coordination Note: - Hydraulics/Kichen trade: Please refer to our exclusions relating to supply and install of gas solenoid</v>
      </c>
      <c r="K1966" s="114" t="str">
        <f>IF(COUNTBLANK(R1966)&gt;0,"",CONCATENATE(R1966," for ",N1948))</f>
        <v/>
      </c>
      <c r="N1966" s="123" t="s">
        <v>130</v>
      </c>
      <c r="O1966" s="66" t="s">
        <v>521</v>
      </c>
      <c r="P1966" s="121" t="s">
        <v>456</v>
      </c>
      <c r="Q1966" s="121" t="s">
        <v>457</v>
      </c>
      <c r="R1966" s="121"/>
      <c r="S1966" s="133">
        <f>M1948</f>
        <v>0</v>
      </c>
      <c r="T1966" s="120"/>
      <c r="U1966" s="121" t="s">
        <v>363</v>
      </c>
      <c r="V1966" s="133">
        <f t="shared" si="895"/>
        <v>0</v>
      </c>
      <c r="W1966" s="133">
        <f>VLOOKUP(U1966,Sheet1!$B$6:$C$45,2,FALSE)*V1966</f>
        <v>0</v>
      </c>
      <c r="X1966" s="141"/>
      <c r="Y1966" s="122" t="s">
        <v>326</v>
      </c>
      <c r="Z1966" s="146">
        <f>VLOOKUP(Takeoffs!Y1966,Sheet1!$B$6:$C$124,2,FALSE)</f>
        <v>29.04</v>
      </c>
      <c r="AA1966" s="146">
        <f t="shared" si="896"/>
        <v>0</v>
      </c>
      <c r="AB1966" s="143">
        <f t="shared" si="897"/>
        <v>0</v>
      </c>
      <c r="AC1966" s="133">
        <f t="shared" si="902"/>
        <v>0</v>
      </c>
      <c r="AD1966" s="142">
        <v>1</v>
      </c>
      <c r="AE1966" s="141"/>
      <c r="AF1966" s="121" t="s">
        <v>292</v>
      </c>
      <c r="AG1966" s="146">
        <f>VLOOKUP(Takeoffs!AF1966,Sheet1!$B$6:$C$124,2,FALSE)</f>
        <v>0</v>
      </c>
      <c r="AH1966" s="146">
        <f t="shared" si="898"/>
        <v>0</v>
      </c>
      <c r="AI1966" s="143">
        <f t="shared" si="899"/>
        <v>0</v>
      </c>
      <c r="AJ1966" s="133">
        <f t="shared" si="900"/>
        <v>0</v>
      </c>
      <c r="AK1966" s="142">
        <v>0</v>
      </c>
      <c r="AL1966" s="141"/>
      <c r="AO1966" s="286"/>
      <c r="AP1966" s="284">
        <f t="shared" si="890"/>
        <v>0</v>
      </c>
      <c r="AQ1966" s="281">
        <f t="shared" si="891"/>
        <v>0</v>
      </c>
      <c r="AR1966" s="284">
        <f t="shared" si="892"/>
        <v>0</v>
      </c>
      <c r="AS1966" s="281">
        <f t="shared" si="893"/>
        <v>0</v>
      </c>
      <c r="AT1966" s="284">
        <f t="shared" si="894"/>
        <v>0</v>
      </c>
    </row>
    <row r="1967" spans="1:46" s="114" customFormat="1" ht="30.9" x14ac:dyDescent="0.8">
      <c r="A1967" s="262">
        <f>ROW()</f>
        <v>1967</v>
      </c>
      <c r="C1967" s="208"/>
      <c r="D1967" s="208"/>
      <c r="E1967" s="208"/>
      <c r="F1967" s="208"/>
      <c r="G1967" s="208"/>
      <c r="H1967" s="208"/>
      <c r="J1967" s="114" t="str">
        <f t="shared" si="901"/>
        <v>Coordination Note: - Fire trade: Please refer to our exclusions relating to fire cabling from FIP.</v>
      </c>
      <c r="K1967" s="114" t="str">
        <f>IF(COUNTBLANK(R1967)&gt;0,"",CONCATENATE(R1967," for ",N1948))</f>
        <v/>
      </c>
      <c r="N1967" s="123" t="s">
        <v>131</v>
      </c>
      <c r="O1967" s="66" t="s">
        <v>522</v>
      </c>
      <c r="P1967" s="121" t="s">
        <v>380</v>
      </c>
      <c r="Q1967" s="121" t="s">
        <v>384</v>
      </c>
      <c r="R1967" s="121"/>
      <c r="S1967" s="133">
        <f>M1948</f>
        <v>0</v>
      </c>
      <c r="T1967" s="120"/>
      <c r="U1967" s="121" t="s">
        <v>292</v>
      </c>
      <c r="V1967" s="133">
        <f t="shared" si="895"/>
        <v>0</v>
      </c>
      <c r="W1967" s="133">
        <f>VLOOKUP(U1967,Sheet1!$B$6:$C$45,2,FALSE)*V1967</f>
        <v>0</v>
      </c>
      <c r="X1967" s="141"/>
      <c r="Y1967" s="122" t="s">
        <v>322</v>
      </c>
      <c r="Z1967" s="146">
        <f>VLOOKUP(Takeoffs!Y1967,Sheet1!$B$6:$C$124,2,FALSE)</f>
        <v>48</v>
      </c>
      <c r="AA1967" s="146">
        <f t="shared" si="896"/>
        <v>0</v>
      </c>
      <c r="AB1967" s="143">
        <f t="shared" si="897"/>
        <v>0</v>
      </c>
      <c r="AC1967" s="133">
        <f t="shared" si="902"/>
        <v>0</v>
      </c>
      <c r="AD1967" s="142">
        <v>1</v>
      </c>
      <c r="AE1967" s="141"/>
      <c r="AF1967" s="121" t="s">
        <v>292</v>
      </c>
      <c r="AG1967" s="146">
        <f>VLOOKUP(Takeoffs!AF1967,Sheet1!$B$6:$C$124,2,FALSE)</f>
        <v>0</v>
      </c>
      <c r="AH1967" s="146">
        <f t="shared" si="898"/>
        <v>0</v>
      </c>
      <c r="AI1967" s="143">
        <f t="shared" si="899"/>
        <v>0</v>
      </c>
      <c r="AJ1967" s="133">
        <f t="shared" si="900"/>
        <v>0</v>
      </c>
      <c r="AK1967" s="142">
        <v>0</v>
      </c>
      <c r="AL1967" s="141"/>
      <c r="AO1967" s="286"/>
      <c r="AP1967" s="284">
        <f t="shared" si="890"/>
        <v>0</v>
      </c>
      <c r="AQ1967" s="281">
        <f t="shared" si="891"/>
        <v>0</v>
      </c>
      <c r="AR1967" s="284">
        <f t="shared" si="892"/>
        <v>0</v>
      </c>
      <c r="AS1967" s="281">
        <f t="shared" si="893"/>
        <v>0</v>
      </c>
      <c r="AT1967" s="284">
        <f t="shared" si="894"/>
        <v>0</v>
      </c>
    </row>
    <row r="1968" spans="1:46" s="114" customFormat="1" ht="30.9" x14ac:dyDescent="0.8">
      <c r="A1968" s="262">
        <f>ROW()</f>
        <v>1968</v>
      </c>
      <c r="C1968" s="208"/>
      <c r="D1968" s="208"/>
      <c r="E1968" s="208"/>
      <c r="F1968" s="208"/>
      <c r="G1968" s="208"/>
      <c r="H1968" s="208"/>
      <c r="J1968" s="114" t="str">
        <f t="shared" si="901"/>
        <v/>
      </c>
      <c r="K1968" s="114" t="str">
        <f>IF(COUNTBLANK(R1968)&gt;0,"",CONCATENATE(R1968," for ",N1948))</f>
        <v/>
      </c>
      <c r="N1968" s="123" t="s">
        <v>132</v>
      </c>
      <c r="O1968" s="66" t="s">
        <v>408</v>
      </c>
      <c r="P1968" s="121"/>
      <c r="Q1968" s="121"/>
      <c r="R1968" s="121"/>
      <c r="S1968" s="133">
        <f>M1948</f>
        <v>0</v>
      </c>
      <c r="T1968" s="120"/>
      <c r="U1968" s="121" t="s">
        <v>363</v>
      </c>
      <c r="V1968" s="133">
        <f t="shared" si="895"/>
        <v>0</v>
      </c>
      <c r="W1968" s="133">
        <f>VLOOKUP(U1968,Sheet1!$B$6:$C$45,2,FALSE)*V1968</f>
        <v>0</v>
      </c>
      <c r="X1968" s="141"/>
      <c r="Y1968" s="121" t="s">
        <v>292</v>
      </c>
      <c r="Z1968" s="146">
        <f>VLOOKUP(Takeoffs!Y1968,Sheet1!$B$6:$C$124,2,FALSE)</f>
        <v>0</v>
      </c>
      <c r="AA1968" s="146">
        <f t="shared" si="896"/>
        <v>0</v>
      </c>
      <c r="AB1968" s="143">
        <f t="shared" si="897"/>
        <v>0</v>
      </c>
      <c r="AC1968" s="133">
        <f t="shared" si="902"/>
        <v>0</v>
      </c>
      <c r="AD1968" s="142">
        <v>1</v>
      </c>
      <c r="AE1968" s="141"/>
      <c r="AF1968" s="121" t="s">
        <v>292</v>
      </c>
      <c r="AG1968" s="146">
        <f>VLOOKUP(Takeoffs!AF1968,Sheet1!$B$6:$C$124,2,FALSE)</f>
        <v>0</v>
      </c>
      <c r="AH1968" s="146">
        <f t="shared" si="898"/>
        <v>0</v>
      </c>
      <c r="AI1968" s="143">
        <f t="shared" si="899"/>
        <v>0</v>
      </c>
      <c r="AJ1968" s="133">
        <f t="shared" si="900"/>
        <v>0</v>
      </c>
      <c r="AK1968" s="142">
        <v>0</v>
      </c>
      <c r="AL1968" s="141"/>
      <c r="AO1968" s="286"/>
      <c r="AP1968" s="284">
        <f t="shared" si="890"/>
        <v>0</v>
      </c>
      <c r="AQ1968" s="281">
        <f t="shared" si="891"/>
        <v>0</v>
      </c>
      <c r="AR1968" s="284">
        <f t="shared" si="892"/>
        <v>0</v>
      </c>
      <c r="AS1968" s="281">
        <f t="shared" si="893"/>
        <v>0</v>
      </c>
      <c r="AT1968" s="284">
        <f t="shared" si="894"/>
        <v>0</v>
      </c>
    </row>
    <row r="1969" spans="1:97" s="128" customFormat="1" ht="31.5" customHeight="1" x14ac:dyDescent="0.8">
      <c r="A1969" s="262">
        <f>ROW()</f>
        <v>1969</v>
      </c>
      <c r="C1969" s="212"/>
      <c r="D1969" s="212"/>
      <c r="E1969" s="212"/>
      <c r="F1969" s="212"/>
      <c r="G1969" s="212"/>
      <c r="H1969" s="212"/>
      <c r="J1969" s="128" t="s">
        <v>377</v>
      </c>
      <c r="L1969" s="128" t="s">
        <v>378</v>
      </c>
      <c r="N1969" s="129"/>
      <c r="O1969" s="130" t="s">
        <v>357</v>
      </c>
      <c r="P1969" s="171">
        <f>V1969+AA1969+AH1969</f>
        <v>0</v>
      </c>
      <c r="Q1969" s="144"/>
      <c r="R1969" s="144"/>
      <c r="S1969" s="130"/>
      <c r="T1969" s="127"/>
      <c r="U1969" s="126" t="s">
        <v>351</v>
      </c>
      <c r="V1969" s="127">
        <f>W1969*80</f>
        <v>0</v>
      </c>
      <c r="W1969" s="147">
        <f>SUM(W1948:W1968)</f>
        <v>0</v>
      </c>
      <c r="X1969" s="148"/>
      <c r="Y1969" s="127" t="s">
        <v>352</v>
      </c>
      <c r="Z1969" s="116"/>
      <c r="AA1969" s="116">
        <f>SUM(AA1948:AA1968)</f>
        <v>0</v>
      </c>
      <c r="AB1969" s="149"/>
      <c r="AC1969" s="149"/>
      <c r="AD1969" s="149"/>
      <c r="AE1969" s="149"/>
      <c r="AF1969" s="127" t="s">
        <v>356</v>
      </c>
      <c r="AG1969" s="116"/>
      <c r="AH1969" s="116">
        <f>SUM(AH1948:AH1968)</f>
        <v>0</v>
      </c>
      <c r="AI1969" s="149"/>
      <c r="AJ1969" s="149"/>
      <c r="AK1969" s="149"/>
      <c r="AL1969" s="149"/>
      <c r="AM1969" s="150">
        <f>P1969</f>
        <v>0</v>
      </c>
      <c r="AO1969" s="286"/>
      <c r="AP1969" s="284">
        <f t="shared" si="890"/>
        <v>0</v>
      </c>
      <c r="AQ1969" s="281">
        <f t="shared" si="891"/>
        <v>0</v>
      </c>
      <c r="AR1969" s="284">
        <f t="shared" si="892"/>
        <v>0</v>
      </c>
      <c r="AS1969" s="281">
        <f t="shared" si="893"/>
        <v>0</v>
      </c>
      <c r="AT1969" s="284">
        <f t="shared" si="894"/>
        <v>0</v>
      </c>
    </row>
    <row r="1970" spans="1:97" s="234" customFormat="1" ht="277.75" x14ac:dyDescent="0.8">
      <c r="A1970" s="262">
        <f>ROW()</f>
        <v>1970</v>
      </c>
      <c r="B1970" s="234" t="s">
        <v>491</v>
      </c>
      <c r="C1970" s="217" t="str">
        <f>N1948</f>
        <v>Kitchen Exhaust Sytem ( from local power supply with 2 separate switchplates)</v>
      </c>
      <c r="D1970" s="260" t="str">
        <f>IF(B1970="Shopping List",IF(ISNUMBER(SEARCH("MSSB",C1970)),"MSSB",IF(ISNUMBER(SEARCH("local",C1970)),"LOCAL","")))</f>
        <v>LOCAL</v>
      </c>
      <c r="E1970" s="238"/>
      <c r="F1970" s="217"/>
      <c r="G1970" s="217"/>
      <c r="H1970" s="245"/>
      <c r="I1970" s="270">
        <v>0</v>
      </c>
      <c r="J1970" s="241" t="str">
        <f>CONCATENATE(O1948," ",L1948, " (",M1948,") ",N1948,".", IF(M1948&gt;1," Each "," This "),"includes supply and install of ",O1949,O1950,O1951,O1952,O1953,O1954,O1955,O1956,O1957,O1958,O1959,O1960,O1961,O1962,O1963,O1964,O1965,O1966,O1967,O1968,J1949,J1950,J1951,J1952,J1953,J1954,J1955,J1956,J1957,J1958,J1959,J1960,J1961,J1962,J1963,J1964,J1965,J1966,J1967,J1968)</f>
        <v>Electrical power supply and controls to Zero (0) Kitchen Exhaust Sytem ( from local power supply with 2 separate switchplates). This includes supply and install of power and controls. Power for systems includes: cabling to VSD ( from local isolator), Danfoss VSD, shielded cabling, local isolator, Controls for systems includes: controls enclosure,  24v transformer to ensure all wiring within wet area is extra low voltage, air pressure  switch, trefolyte labeling in compliance with AS1668, controls cabling, contactors/relays, 2 separate 316 stainless steel switchplates installed in kitchen, run and fault lights (mounted in kitchen switchplate), start puchbutton (mounted in kitchen switchplate), speed control dial (total of 1 mounted in kitchen switchplate), relay, cabling and connection to gas solenoid, interface for fire trade connection, and commissioning/testing. Coordination Note: - Electrical trade: Please refer to our exclusions relating to Power suply adjacent fanCoordination Note: - Hydraulics/Kichen trade: Please refer to our exclusions relating to supply and install of gas solenoidCoordination Note: - Fire trade: Please refer to our exclusions relating to fire cabling from FIP.</v>
      </c>
      <c r="K1970" s="246">
        <f>P1969</f>
        <v>0</v>
      </c>
      <c r="L1970" s="234" t="str">
        <f>CONCATENATE(Q1949,Q1950,Q1951,Q1952,Q1953,Q1954,Q1955,Q1956,Q1957,Q1958,Q1959,Q1960,Q1961,Q1962,Q1963,Q1964,Q1965,Q1966,Q1967,Q1968,)</f>
        <v>Power suply adjacent fansupply and install of gas solenoidfire cabling from FIP.</v>
      </c>
      <c r="M1970" s="166" t="s">
        <v>367</v>
      </c>
      <c r="N1970" s="160" t="str">
        <f>N1948</f>
        <v>Kitchen Exhaust Sytem ( from local power supply with 2 separate switchplates)</v>
      </c>
      <c r="O1970" s="160" t="s">
        <v>365</v>
      </c>
      <c r="P1970" s="161" t="e">
        <f>P1969/M1948</f>
        <v>#DIV/0!</v>
      </c>
      <c r="Q1970" s="161"/>
      <c r="R1970" s="161"/>
      <c r="S1970" s="160"/>
      <c r="T1970" s="161"/>
      <c r="U1970" s="503" t="s">
        <v>366</v>
      </c>
      <c r="V1970" s="503"/>
      <c r="W1970" s="162" t="e">
        <f>W1969/M1948</f>
        <v>#DIV/0!</v>
      </c>
      <c r="X1970" s="163"/>
      <c r="Y1970" s="501" t="s">
        <v>365</v>
      </c>
      <c r="Z1970" s="501"/>
      <c r="AA1970" s="164" t="e">
        <f>AA1969/M1948</f>
        <v>#DIV/0!</v>
      </c>
      <c r="AB1970" s="161"/>
      <c r="AC1970" s="161"/>
      <c r="AD1970" s="161"/>
      <c r="AE1970" s="161"/>
      <c r="AF1970" s="501" t="s">
        <v>365</v>
      </c>
      <c r="AG1970" s="501"/>
      <c r="AH1970" s="164" t="e">
        <f>AH1969/M1948</f>
        <v>#DIV/0!</v>
      </c>
      <c r="AI1970" s="161"/>
      <c r="AJ1970" s="161"/>
      <c r="AK1970" s="161"/>
      <c r="AL1970" s="247"/>
      <c r="AM1970" s="257"/>
      <c r="AN1970" s="236">
        <f>K1970*1.25</f>
        <v>0</v>
      </c>
      <c r="AO1970" s="286"/>
      <c r="AP1970" s="284">
        <f t="shared" si="890"/>
        <v>0</v>
      </c>
      <c r="AQ1970" s="281">
        <f t="shared" si="891"/>
        <v>0</v>
      </c>
      <c r="AR1970" s="284">
        <f t="shared" si="892"/>
        <v>0</v>
      </c>
      <c r="AS1970" s="281">
        <f t="shared" si="893"/>
        <v>0</v>
      </c>
      <c r="AT1970" s="284">
        <f t="shared" si="894"/>
        <v>0</v>
      </c>
      <c r="AU1970" s="117"/>
      <c r="AV1970" s="117"/>
      <c r="AW1970" s="117"/>
      <c r="AX1970" s="117"/>
      <c r="AY1970" s="117"/>
      <c r="AZ1970" s="117"/>
      <c r="BA1970" s="117"/>
      <c r="BB1970" s="117"/>
      <c r="BC1970" s="117"/>
      <c r="BD1970" s="117"/>
      <c r="BE1970" s="117"/>
      <c r="BF1970" s="117"/>
      <c r="BG1970" s="117"/>
      <c r="BH1970" s="117"/>
      <c r="BI1970" s="117"/>
      <c r="BJ1970" s="117"/>
      <c r="BK1970" s="117"/>
      <c r="BL1970" s="117"/>
      <c r="BM1970" s="117"/>
      <c r="BN1970" s="117"/>
      <c r="BO1970" s="117"/>
      <c r="BP1970" s="117"/>
      <c r="BQ1970" s="117"/>
      <c r="BR1970" s="117"/>
      <c r="BS1970" s="117"/>
      <c r="BT1970" s="117"/>
      <c r="BU1970" s="117"/>
      <c r="BV1970" s="117"/>
      <c r="BW1970" s="117"/>
      <c r="BX1970" s="117"/>
      <c r="BY1970" s="117"/>
      <c r="BZ1970" s="117"/>
      <c r="CA1970" s="117"/>
      <c r="CB1970" s="117"/>
      <c r="CC1970" s="117"/>
      <c r="CD1970" s="117"/>
      <c r="CE1970" s="117"/>
      <c r="CF1970" s="117"/>
      <c r="CG1970" s="117"/>
      <c r="CH1970" s="117"/>
      <c r="CI1970" s="117"/>
      <c r="CJ1970" s="117"/>
      <c r="CK1970" s="117"/>
      <c r="CL1970" s="117"/>
      <c r="CM1970" s="117"/>
      <c r="CN1970" s="117"/>
      <c r="CO1970" s="117"/>
      <c r="CP1970" s="117"/>
      <c r="CQ1970" s="117"/>
      <c r="CR1970" s="117"/>
      <c r="CS1970" s="117"/>
    </row>
    <row r="1971" spans="1:97" s="2" customFormat="1" ht="192.75" customHeight="1" x14ac:dyDescent="0.8">
      <c r="A1971" s="262">
        <f>ROW()</f>
        <v>1971</v>
      </c>
      <c r="B1971" s="116"/>
      <c r="C1971" s="211"/>
      <c r="D1971" s="211"/>
      <c r="E1971" s="211"/>
      <c r="F1971" s="211"/>
      <c r="G1971" s="211"/>
      <c r="H1971" s="211"/>
      <c r="I1971" s="116"/>
      <c r="K1971" s="2" t="s">
        <v>452</v>
      </c>
      <c r="M1971" s="2" t="s">
        <v>107</v>
      </c>
      <c r="N1971" s="2" t="s">
        <v>108</v>
      </c>
      <c r="O1971" s="97" t="s">
        <v>386</v>
      </c>
      <c r="P1971" s="502" t="s">
        <v>375</v>
      </c>
      <c r="Q1971" s="502"/>
      <c r="R1971" s="101" t="s">
        <v>452</v>
      </c>
      <c r="S1971" s="2" t="s">
        <v>0</v>
      </c>
      <c r="T1971" s="9"/>
      <c r="U1971" s="2" t="s">
        <v>287</v>
      </c>
      <c r="V1971" s="2" t="s">
        <v>288</v>
      </c>
      <c r="W1971" s="2" t="s">
        <v>291</v>
      </c>
      <c r="X1971" s="58"/>
      <c r="Y1971" s="2" t="s">
        <v>289</v>
      </c>
      <c r="Z1971" s="2" t="s">
        <v>354</v>
      </c>
      <c r="AA1971" s="2" t="s">
        <v>355</v>
      </c>
      <c r="AB1971" s="2" t="s">
        <v>317</v>
      </c>
      <c r="AC1971" s="2" t="s">
        <v>318</v>
      </c>
      <c r="AD1971" s="2" t="s">
        <v>316</v>
      </c>
      <c r="AE1971" s="58"/>
      <c r="AF1971" s="2" t="s">
        <v>293</v>
      </c>
      <c r="AG1971" s="2" t="s">
        <v>354</v>
      </c>
      <c r="AH1971" s="2" t="s">
        <v>355</v>
      </c>
      <c r="AI1971" s="2" t="s">
        <v>296</v>
      </c>
      <c r="AJ1971" s="2" t="s">
        <v>294</v>
      </c>
      <c r="AK1971" s="2" t="s">
        <v>295</v>
      </c>
      <c r="AL1971" s="58"/>
      <c r="AO1971" s="288"/>
      <c r="AP1971" s="284">
        <f t="shared" si="890"/>
        <v>0</v>
      </c>
      <c r="AQ1971" s="281">
        <f t="shared" si="891"/>
        <v>0</v>
      </c>
      <c r="AR1971" s="284">
        <f t="shared" si="892"/>
        <v>0</v>
      </c>
      <c r="AS1971" s="281">
        <f t="shared" si="893"/>
        <v>0</v>
      </c>
      <c r="AT1971" s="284">
        <f t="shared" si="894"/>
        <v>0</v>
      </c>
    </row>
    <row r="1972" spans="1:97" s="32" customFormat="1" ht="31.5" customHeight="1" x14ac:dyDescent="0.8">
      <c r="A1972" s="262">
        <f>ROW()</f>
        <v>1972</v>
      </c>
      <c r="B1972" s="114"/>
      <c r="C1972" s="208"/>
      <c r="D1972" s="208"/>
      <c r="E1972" s="208"/>
      <c r="F1972" s="208"/>
      <c r="G1972" s="208"/>
      <c r="H1972" s="208"/>
      <c r="I1972" s="114"/>
      <c r="L1972" s="16" t="str">
        <f>VLOOKUP(M1972,Sheet2!$D$2:$E$1024,2,FALSE)</f>
        <v>Zero</v>
      </c>
      <c r="M1972" s="121">
        <f>I1994</f>
        <v>0</v>
      </c>
      <c r="N1972" s="27" t="s">
        <v>713</v>
      </c>
      <c r="O1972" s="12" t="s">
        <v>347</v>
      </c>
      <c r="P1972" s="96" t="s">
        <v>379</v>
      </c>
      <c r="Q1972" s="96" t="s">
        <v>375</v>
      </c>
      <c r="R1972" s="96"/>
      <c r="S1972" s="28">
        <f>M1972</f>
        <v>0</v>
      </c>
      <c r="T1972" s="10"/>
      <c r="U1972" s="12" t="s">
        <v>292</v>
      </c>
      <c r="V1972" s="28">
        <f>S1972</f>
        <v>0</v>
      </c>
      <c r="W1972" s="28">
        <f>VLOOKUP(U1972,Sheet1!$B$6:$C$45,2,FALSE)*V1972</f>
        <v>0</v>
      </c>
      <c r="X1972" s="59"/>
      <c r="Y1972" s="108" t="s">
        <v>292</v>
      </c>
      <c r="Z1972" s="68">
        <f>VLOOKUP(Takeoffs!Y1972,Sheet1!$B$6:$C$124,2,FALSE)</f>
        <v>0</v>
      </c>
      <c r="AA1972" s="68">
        <f>Z1972*AB1972</f>
        <v>0</v>
      </c>
      <c r="AB1972" s="63">
        <f>AD1972*AC1972</f>
        <v>0</v>
      </c>
      <c r="AC1972" s="28">
        <f>S1972</f>
        <v>0</v>
      </c>
      <c r="AD1972" s="61">
        <v>1</v>
      </c>
      <c r="AE1972" s="59"/>
      <c r="AF1972" s="111" t="s">
        <v>292</v>
      </c>
      <c r="AG1972" s="68">
        <f>VLOOKUP(Takeoffs!AF1972,Sheet1!$B$6:$C$124,2,FALSE)</f>
        <v>0</v>
      </c>
      <c r="AH1972" s="68">
        <f>AG1972*AI1972</f>
        <v>0</v>
      </c>
      <c r="AI1972" s="63">
        <f>AK1972*AJ1972</f>
        <v>0</v>
      </c>
      <c r="AJ1972" s="28">
        <f>S1972</f>
        <v>0</v>
      </c>
      <c r="AK1972" s="142">
        <v>0</v>
      </c>
      <c r="AL1972" s="59"/>
      <c r="AO1972" s="286"/>
      <c r="AP1972" s="284">
        <f t="shared" si="890"/>
        <v>0</v>
      </c>
      <c r="AQ1972" s="281">
        <f t="shared" si="891"/>
        <v>0</v>
      </c>
      <c r="AR1972" s="284">
        <f t="shared" si="892"/>
        <v>0</v>
      </c>
      <c r="AS1972" s="281">
        <f t="shared" si="893"/>
        <v>0</v>
      </c>
      <c r="AT1972" s="284">
        <f t="shared" si="894"/>
        <v>0</v>
      </c>
    </row>
    <row r="1973" spans="1:97" s="32" customFormat="1" ht="30.9" x14ac:dyDescent="0.8">
      <c r="A1973" s="262">
        <f>ROW()</f>
        <v>1973</v>
      </c>
      <c r="B1973" s="114"/>
      <c r="C1973" s="208"/>
      <c r="D1973" s="208"/>
      <c r="E1973" s="208"/>
      <c r="F1973" s="208"/>
      <c r="G1973" s="208"/>
      <c r="H1973" s="208"/>
      <c r="I1973" s="114"/>
      <c r="J1973" s="32" t="str">
        <f>IF(COUNTBLANK(Q1973)&gt;0,"",CONCATENATE("Coordination Note: - ",P1973,": Please refer to our exclusions relating to ",Q1973))</f>
        <v/>
      </c>
      <c r="K1973" s="32" t="str">
        <f>IF(COUNTBLANK(R1973)&gt;0,"",CONCATENATE(R1973," for ",N1972))</f>
        <v/>
      </c>
      <c r="M1973" s="38"/>
      <c r="N1973" s="15" t="s">
        <v>113</v>
      </c>
      <c r="O1973" s="66" t="s">
        <v>411</v>
      </c>
      <c r="P1973" s="12"/>
      <c r="Q1973" s="12"/>
      <c r="R1973" s="12"/>
      <c r="S1973" s="28">
        <f>M1972</f>
        <v>0</v>
      </c>
      <c r="T1973" s="11"/>
      <c r="U1973" s="12" t="s">
        <v>235</v>
      </c>
      <c r="V1973" s="28">
        <f t="shared" ref="V1973:V1992" si="903">S1973</f>
        <v>0</v>
      </c>
      <c r="W1973" s="28">
        <f>VLOOKUP(U1973,Sheet1!$B$6:$C$45,2,FALSE)*V1973</f>
        <v>0</v>
      </c>
      <c r="X1973" s="59"/>
      <c r="Y1973" s="108" t="s">
        <v>292</v>
      </c>
      <c r="Z1973" s="68">
        <f>VLOOKUP(Takeoffs!Y1973,Sheet1!$B$6:$C$124,2,FALSE)</f>
        <v>0</v>
      </c>
      <c r="AA1973" s="68">
        <f t="shared" ref="AA1973:AA1992" si="904">Z1973*AB1973</f>
        <v>0</v>
      </c>
      <c r="AB1973" s="63">
        <f t="shared" ref="AB1973:AB1992" si="905">AD1973*AC1973</f>
        <v>0</v>
      </c>
      <c r="AC1973" s="28">
        <f>S1973</f>
        <v>0</v>
      </c>
      <c r="AD1973" s="61">
        <v>1</v>
      </c>
      <c r="AE1973" s="59"/>
      <c r="AF1973" s="111" t="s">
        <v>292</v>
      </c>
      <c r="AG1973" s="68">
        <f>VLOOKUP(Takeoffs!AF1973,Sheet1!$B$6:$C$124,2,FALSE)</f>
        <v>0</v>
      </c>
      <c r="AH1973" s="68">
        <f t="shared" ref="AH1973:AH1992" si="906">AG1973*AI1973</f>
        <v>0</v>
      </c>
      <c r="AI1973" s="63">
        <f t="shared" ref="AI1973:AI1992" si="907">AK1973*AJ1973</f>
        <v>0</v>
      </c>
      <c r="AJ1973" s="28">
        <f t="shared" ref="AJ1973:AJ1992" si="908">S1973</f>
        <v>0</v>
      </c>
      <c r="AK1973" s="142"/>
      <c r="AL1973" s="59"/>
      <c r="AO1973" s="286"/>
      <c r="AP1973" s="284">
        <f t="shared" si="890"/>
        <v>0</v>
      </c>
      <c r="AQ1973" s="281">
        <f t="shared" si="891"/>
        <v>0</v>
      </c>
      <c r="AR1973" s="284">
        <f t="shared" si="892"/>
        <v>0</v>
      </c>
      <c r="AS1973" s="281">
        <f t="shared" si="893"/>
        <v>0</v>
      </c>
      <c r="AT1973" s="284">
        <f t="shared" si="894"/>
        <v>0</v>
      </c>
    </row>
    <row r="1974" spans="1:97" s="32" customFormat="1" ht="30.9" x14ac:dyDescent="0.8">
      <c r="A1974" s="262">
        <f>ROW()</f>
        <v>1974</v>
      </c>
      <c r="B1974" s="114"/>
      <c r="C1974" s="208"/>
      <c r="D1974" s="208"/>
      <c r="E1974" s="208"/>
      <c r="F1974" s="208"/>
      <c r="G1974" s="208"/>
      <c r="H1974" s="208"/>
      <c r="I1974" s="114"/>
      <c r="J1974" s="32" t="str">
        <f t="shared" ref="J1974:J1992" si="909">IF(COUNTBLANK(Q1974)&gt;0,"",CONCATENATE("Coordination Note: - ",P1974,": Please refer to our exclusions relating to ",Q1974))</f>
        <v/>
      </c>
      <c r="K1974" s="32" t="str">
        <f>IF(COUNTBLANK(R1974)&gt;0,"",CONCATENATE(R1974," for ",N1972))</f>
        <v/>
      </c>
      <c r="M1974" s="38"/>
      <c r="N1974" s="15" t="s">
        <v>114</v>
      </c>
      <c r="O1974" s="66" t="s">
        <v>308</v>
      </c>
      <c r="P1974" s="12"/>
      <c r="Q1974" s="12"/>
      <c r="R1974" s="12"/>
      <c r="S1974" s="28">
        <f>M1972</f>
        <v>0</v>
      </c>
      <c r="T1974" s="11"/>
      <c r="U1974" s="12" t="s">
        <v>292</v>
      </c>
      <c r="V1974" s="28">
        <f t="shared" si="903"/>
        <v>0</v>
      </c>
      <c r="W1974" s="28">
        <f>VLOOKUP(U1974,Sheet1!$B$6:$C$45,2,FALSE)*V1974</f>
        <v>0</v>
      </c>
      <c r="X1974" s="59"/>
      <c r="Y1974" s="109" t="s">
        <v>252</v>
      </c>
      <c r="Z1974" s="68">
        <f>VLOOKUP(Takeoffs!Y1974,Sheet1!$B$6:$C$124,2,FALSE)</f>
        <v>43.440000000000005</v>
      </c>
      <c r="AA1974" s="68">
        <f t="shared" si="904"/>
        <v>0</v>
      </c>
      <c r="AB1974" s="63">
        <f t="shared" si="905"/>
        <v>0</v>
      </c>
      <c r="AC1974" s="28">
        <f>S1974</f>
        <v>0</v>
      </c>
      <c r="AD1974" s="61">
        <v>1</v>
      </c>
      <c r="AE1974" s="59"/>
      <c r="AF1974" s="111" t="s">
        <v>292</v>
      </c>
      <c r="AG1974" s="68">
        <f>VLOOKUP(Takeoffs!AF1974,Sheet1!$B$6:$C$124,2,FALSE)</f>
        <v>0</v>
      </c>
      <c r="AH1974" s="68">
        <f t="shared" si="906"/>
        <v>0</v>
      </c>
      <c r="AI1974" s="63">
        <f t="shared" si="907"/>
        <v>0</v>
      </c>
      <c r="AJ1974" s="28">
        <f t="shared" si="908"/>
        <v>0</v>
      </c>
      <c r="AK1974" s="142">
        <v>0</v>
      </c>
      <c r="AL1974" s="59"/>
      <c r="AO1974" s="286"/>
      <c r="AP1974" s="284">
        <f t="shared" si="890"/>
        <v>0</v>
      </c>
      <c r="AQ1974" s="281">
        <f t="shared" si="891"/>
        <v>0</v>
      </c>
      <c r="AR1974" s="284">
        <f t="shared" si="892"/>
        <v>0</v>
      </c>
      <c r="AS1974" s="281">
        <f t="shared" si="893"/>
        <v>0</v>
      </c>
      <c r="AT1974" s="284">
        <f t="shared" si="894"/>
        <v>0</v>
      </c>
    </row>
    <row r="1975" spans="1:97" s="32" customFormat="1" ht="30.9" x14ac:dyDescent="0.8">
      <c r="A1975" s="262">
        <f>ROW()</f>
        <v>1975</v>
      </c>
      <c r="B1975" s="114"/>
      <c r="C1975" s="208"/>
      <c r="D1975" s="208"/>
      <c r="E1975" s="208"/>
      <c r="F1975" s="208"/>
      <c r="G1975" s="208"/>
      <c r="H1975" s="208"/>
      <c r="I1975" s="114"/>
      <c r="J1975" s="32" t="str">
        <f t="shared" si="909"/>
        <v/>
      </c>
      <c r="K1975" s="32" t="str">
        <f>IF(COUNTBLANK(R1975)&gt;0,"",CONCATENATE(R1975," for ",N1972))</f>
        <v/>
      </c>
      <c r="M1975" s="38"/>
      <c r="N1975" s="15" t="s">
        <v>115</v>
      </c>
      <c r="O1975" s="66" t="s">
        <v>305</v>
      </c>
      <c r="P1975" s="12"/>
      <c r="Q1975" s="12"/>
      <c r="R1975" s="12"/>
      <c r="S1975" s="28">
        <f>M1972</f>
        <v>0</v>
      </c>
      <c r="T1975" s="11"/>
      <c r="U1975" s="117" t="s">
        <v>478</v>
      </c>
      <c r="V1975" s="28">
        <f t="shared" si="903"/>
        <v>0</v>
      </c>
      <c r="W1975" s="28">
        <f>VLOOKUP(U1975,Sheet1!$B$6:$C$45,2,FALSE)*V1975</f>
        <v>0</v>
      </c>
      <c r="X1975" s="59"/>
      <c r="Y1975" s="108" t="s">
        <v>292</v>
      </c>
      <c r="Z1975" s="68">
        <f>VLOOKUP(Takeoffs!Y1975,Sheet1!$B$6:$C$124,2,FALSE)</f>
        <v>0</v>
      </c>
      <c r="AA1975" s="68">
        <f t="shared" si="904"/>
        <v>0</v>
      </c>
      <c r="AB1975" s="63">
        <f t="shared" si="905"/>
        <v>0</v>
      </c>
      <c r="AC1975" s="28">
        <f t="shared" ref="AC1975:AC1992" si="910">S1975</f>
        <v>0</v>
      </c>
      <c r="AD1975" s="61">
        <v>1</v>
      </c>
      <c r="AE1975" s="59"/>
      <c r="AF1975" s="112" t="s">
        <v>267</v>
      </c>
      <c r="AG1975" s="68">
        <f>VLOOKUP(Takeoffs!AF1975,Sheet1!$B$6:$C$124,2,FALSE)</f>
        <v>3.48</v>
      </c>
      <c r="AH1975" s="68">
        <f t="shared" si="906"/>
        <v>0</v>
      </c>
      <c r="AI1975" s="63">
        <f t="shared" si="907"/>
        <v>0</v>
      </c>
      <c r="AJ1975" s="28">
        <f t="shared" si="908"/>
        <v>0</v>
      </c>
      <c r="AK1975" s="142">
        <v>1.5</v>
      </c>
      <c r="AL1975" s="59"/>
      <c r="AO1975" s="286"/>
      <c r="AP1975" s="284">
        <f t="shared" si="890"/>
        <v>0</v>
      </c>
      <c r="AQ1975" s="281">
        <f t="shared" si="891"/>
        <v>0</v>
      </c>
      <c r="AR1975" s="284">
        <f t="shared" si="892"/>
        <v>0</v>
      </c>
      <c r="AS1975" s="281">
        <f t="shared" si="893"/>
        <v>0</v>
      </c>
      <c r="AT1975" s="284">
        <f t="shared" si="894"/>
        <v>0</v>
      </c>
    </row>
    <row r="1976" spans="1:97" s="32" customFormat="1" ht="30.9" x14ac:dyDescent="0.8">
      <c r="A1976" s="262">
        <f>ROW()</f>
        <v>1976</v>
      </c>
      <c r="B1976" s="114"/>
      <c r="C1976" s="208"/>
      <c r="D1976" s="208"/>
      <c r="E1976" s="208"/>
      <c r="F1976" s="208"/>
      <c r="G1976" s="208"/>
      <c r="H1976" s="208"/>
      <c r="I1976" s="114"/>
      <c r="J1976" s="32" t="str">
        <f t="shared" si="909"/>
        <v/>
      </c>
      <c r="K1976" s="32" t="str">
        <f>IF(COUNTBLANK(R1976)&gt;0,"",CONCATENATE(R1976," for ",N1972))</f>
        <v/>
      </c>
      <c r="M1976" s="38"/>
      <c r="N1976" s="15" t="s">
        <v>116</v>
      </c>
      <c r="O1976" s="66" t="s">
        <v>323</v>
      </c>
      <c r="P1976" s="12"/>
      <c r="Q1976" s="12"/>
      <c r="R1976" s="12"/>
      <c r="S1976" s="28">
        <f>M1972</f>
        <v>0</v>
      </c>
      <c r="T1976" s="11"/>
      <c r="U1976" s="12" t="s">
        <v>292</v>
      </c>
      <c r="V1976" s="28">
        <f t="shared" si="903"/>
        <v>0</v>
      </c>
      <c r="W1976" s="28">
        <f>VLOOKUP(U1976,Sheet1!$B$6:$C$45,2,FALSE)*V1976</f>
        <v>0</v>
      </c>
      <c r="X1976" s="59"/>
      <c r="Y1976" s="110" t="s">
        <v>264</v>
      </c>
      <c r="Z1976" s="68">
        <f>VLOOKUP(Takeoffs!Y1976,Sheet1!$B$6:$C$124,2,FALSE)</f>
        <v>751.07999999999993</v>
      </c>
      <c r="AA1976" s="68">
        <f t="shared" si="904"/>
        <v>0</v>
      </c>
      <c r="AB1976" s="63">
        <f t="shared" si="905"/>
        <v>0</v>
      </c>
      <c r="AC1976" s="28">
        <f t="shared" si="910"/>
        <v>0</v>
      </c>
      <c r="AD1976" s="61">
        <v>1</v>
      </c>
      <c r="AE1976" s="59"/>
      <c r="AF1976" s="111" t="s">
        <v>292</v>
      </c>
      <c r="AG1976" s="68">
        <f>VLOOKUP(Takeoffs!AF1976,Sheet1!$B$6:$C$124,2,FALSE)</f>
        <v>0</v>
      </c>
      <c r="AH1976" s="68">
        <f t="shared" si="906"/>
        <v>0</v>
      </c>
      <c r="AI1976" s="63">
        <f t="shared" si="907"/>
        <v>0</v>
      </c>
      <c r="AJ1976" s="28">
        <f t="shared" si="908"/>
        <v>0</v>
      </c>
      <c r="AK1976" s="142">
        <v>0</v>
      </c>
      <c r="AL1976" s="59"/>
      <c r="AO1976" s="286"/>
      <c r="AP1976" s="284">
        <f t="shared" si="890"/>
        <v>0</v>
      </c>
      <c r="AQ1976" s="281">
        <f t="shared" si="891"/>
        <v>0</v>
      </c>
      <c r="AR1976" s="284">
        <f t="shared" si="892"/>
        <v>0</v>
      </c>
      <c r="AS1976" s="281">
        <f t="shared" si="893"/>
        <v>0</v>
      </c>
      <c r="AT1976" s="284">
        <f t="shared" si="894"/>
        <v>0</v>
      </c>
    </row>
    <row r="1977" spans="1:97" s="32" customFormat="1" ht="30.9" x14ac:dyDescent="0.8">
      <c r="A1977" s="262">
        <f>ROW()</f>
        <v>1977</v>
      </c>
      <c r="B1977" s="114"/>
      <c r="C1977" s="208"/>
      <c r="D1977" s="208"/>
      <c r="E1977" s="208"/>
      <c r="F1977" s="208"/>
      <c r="G1977" s="208"/>
      <c r="H1977" s="208"/>
      <c r="I1977" s="114"/>
      <c r="J1977" s="32" t="str">
        <f t="shared" si="909"/>
        <v/>
      </c>
      <c r="K1977" s="32" t="str">
        <f>IF(COUNTBLANK(R1977)&gt;0,"",CONCATENATE(R1977," for ",N1972))</f>
        <v/>
      </c>
      <c r="M1977" s="38"/>
      <c r="N1977" s="15" t="s">
        <v>117</v>
      </c>
      <c r="O1977" s="66" t="s">
        <v>390</v>
      </c>
      <c r="P1977" s="12"/>
      <c r="Q1977" s="12"/>
      <c r="R1977" s="12"/>
      <c r="S1977" s="28">
        <f>M1972</f>
        <v>0</v>
      </c>
      <c r="T1977" s="11"/>
      <c r="U1977" s="12" t="s">
        <v>292</v>
      </c>
      <c r="V1977" s="28">
        <f t="shared" si="903"/>
        <v>0</v>
      </c>
      <c r="W1977" s="28">
        <f>VLOOKUP(U1977,Sheet1!$B$6:$C$45,2,FALSE)*V1977</f>
        <v>0</v>
      </c>
      <c r="X1977" s="59"/>
      <c r="Y1977" s="108" t="s">
        <v>292</v>
      </c>
      <c r="Z1977" s="68">
        <f>VLOOKUP(Takeoffs!Y1977,Sheet1!$B$6:$C$124,2,FALSE)</f>
        <v>0</v>
      </c>
      <c r="AA1977" s="68">
        <f t="shared" si="904"/>
        <v>0</v>
      </c>
      <c r="AB1977" s="63">
        <f t="shared" si="905"/>
        <v>0</v>
      </c>
      <c r="AC1977" s="28">
        <f t="shared" si="910"/>
        <v>0</v>
      </c>
      <c r="AD1977" s="61">
        <v>1</v>
      </c>
      <c r="AE1977" s="59"/>
      <c r="AF1977" s="112" t="s">
        <v>267</v>
      </c>
      <c r="AG1977" s="68">
        <f>VLOOKUP(Takeoffs!AF1977,Sheet1!$B$6:$C$124,2,FALSE)</f>
        <v>3.48</v>
      </c>
      <c r="AH1977" s="68">
        <f t="shared" si="906"/>
        <v>0</v>
      </c>
      <c r="AI1977" s="63">
        <f t="shared" si="907"/>
        <v>0</v>
      </c>
      <c r="AJ1977" s="28">
        <f t="shared" si="908"/>
        <v>0</v>
      </c>
      <c r="AK1977" s="142">
        <v>15</v>
      </c>
      <c r="AL1977" s="59"/>
      <c r="AO1977" s="286"/>
      <c r="AP1977" s="284">
        <f t="shared" si="890"/>
        <v>0</v>
      </c>
      <c r="AQ1977" s="281">
        <f t="shared" si="891"/>
        <v>0</v>
      </c>
      <c r="AR1977" s="284">
        <f t="shared" si="892"/>
        <v>0</v>
      </c>
      <c r="AS1977" s="281">
        <f t="shared" si="893"/>
        <v>0</v>
      </c>
      <c r="AT1977" s="284">
        <f t="shared" si="894"/>
        <v>0</v>
      </c>
    </row>
    <row r="1978" spans="1:97" s="32" customFormat="1" ht="30.9" x14ac:dyDescent="0.8">
      <c r="A1978" s="262">
        <f>ROW()</f>
        <v>1978</v>
      </c>
      <c r="B1978" s="114"/>
      <c r="C1978" s="208"/>
      <c r="D1978" s="208"/>
      <c r="E1978" s="208"/>
      <c r="F1978" s="208"/>
      <c r="G1978" s="208"/>
      <c r="H1978" s="208"/>
      <c r="I1978" s="114"/>
      <c r="J1978" s="32" t="str">
        <f t="shared" si="909"/>
        <v/>
      </c>
      <c r="K1978" s="32" t="str">
        <f>IF(COUNTBLANK(R1978)&gt;0,"",CONCATENATE(R1978," for ",N1972))</f>
        <v/>
      </c>
      <c r="M1978" s="38"/>
      <c r="N1978" s="15" t="s">
        <v>118</v>
      </c>
      <c r="O1978" s="66" t="s">
        <v>309</v>
      </c>
      <c r="P1978" s="12"/>
      <c r="Q1978" s="12"/>
      <c r="R1978" s="12"/>
      <c r="S1978" s="28">
        <f>M1972</f>
        <v>0</v>
      </c>
      <c r="T1978" s="11"/>
      <c r="U1978" s="12" t="s">
        <v>292</v>
      </c>
      <c r="V1978" s="28">
        <f t="shared" si="903"/>
        <v>0</v>
      </c>
      <c r="W1978" s="28">
        <f>VLOOKUP(U1978,Sheet1!$B$6:$C$45,2,FALSE)*V1978</f>
        <v>0</v>
      </c>
      <c r="X1978" s="59"/>
      <c r="Y1978" s="109" t="s">
        <v>245</v>
      </c>
      <c r="Z1978" s="68">
        <f>VLOOKUP(Takeoffs!Y1978,Sheet1!$B$6:$C$124,2,FALSE)</f>
        <v>46.463999999999999</v>
      </c>
      <c r="AA1978" s="68">
        <f t="shared" si="904"/>
        <v>0</v>
      </c>
      <c r="AB1978" s="63">
        <f t="shared" si="905"/>
        <v>0</v>
      </c>
      <c r="AC1978" s="28">
        <f t="shared" si="910"/>
        <v>0</v>
      </c>
      <c r="AD1978" s="61">
        <v>1</v>
      </c>
      <c r="AE1978" s="59"/>
      <c r="AF1978" s="111" t="s">
        <v>292</v>
      </c>
      <c r="AG1978" s="68">
        <f>VLOOKUP(Takeoffs!AF1978,Sheet1!$B$6:$C$124,2,FALSE)</f>
        <v>0</v>
      </c>
      <c r="AH1978" s="68">
        <f t="shared" si="906"/>
        <v>0</v>
      </c>
      <c r="AI1978" s="63">
        <f t="shared" si="907"/>
        <v>0</v>
      </c>
      <c r="AJ1978" s="28">
        <f t="shared" si="908"/>
        <v>0</v>
      </c>
      <c r="AK1978" s="142">
        <v>0</v>
      </c>
      <c r="AL1978" s="59"/>
      <c r="AO1978" s="286"/>
      <c r="AP1978" s="284">
        <f t="shared" si="890"/>
        <v>0</v>
      </c>
      <c r="AQ1978" s="281">
        <f t="shared" si="891"/>
        <v>0</v>
      </c>
      <c r="AR1978" s="284">
        <f t="shared" si="892"/>
        <v>0</v>
      </c>
      <c r="AS1978" s="281">
        <f t="shared" si="893"/>
        <v>0</v>
      </c>
      <c r="AT1978" s="284">
        <f t="shared" si="894"/>
        <v>0</v>
      </c>
    </row>
    <row r="1979" spans="1:97" s="32" customFormat="1" ht="30.9" x14ac:dyDescent="0.8">
      <c r="A1979" s="262">
        <f>ROW()</f>
        <v>1979</v>
      </c>
      <c r="B1979" s="114"/>
      <c r="C1979" s="208"/>
      <c r="D1979" s="208"/>
      <c r="E1979" s="208"/>
      <c r="F1979" s="208"/>
      <c r="G1979" s="208"/>
      <c r="H1979" s="208"/>
      <c r="I1979" s="114"/>
      <c r="J1979" s="32" t="str">
        <f t="shared" si="909"/>
        <v/>
      </c>
      <c r="K1979" s="32" t="str">
        <f>IF(COUNTBLANK(R1979)&gt;0,"",CONCATENATE(R1979," for ",N1972))</f>
        <v/>
      </c>
      <c r="N1979" s="15" t="s">
        <v>119</v>
      </c>
      <c r="O1979" s="66" t="s">
        <v>307</v>
      </c>
      <c r="P1979" s="12"/>
      <c r="Q1979" s="12"/>
      <c r="R1979" s="12"/>
      <c r="S1979" s="28">
        <f>M1972</f>
        <v>0</v>
      </c>
      <c r="T1979" s="11"/>
      <c r="U1979" s="12" t="s">
        <v>242</v>
      </c>
      <c r="V1979" s="28">
        <f t="shared" si="903"/>
        <v>0</v>
      </c>
      <c r="W1979" s="28">
        <f>VLOOKUP(U1979,Sheet1!$B$6:$C$45,2,FALSE)*V1979</f>
        <v>0</v>
      </c>
      <c r="X1979" s="59"/>
      <c r="Y1979" s="108" t="s">
        <v>292</v>
      </c>
      <c r="Z1979" s="68">
        <f>VLOOKUP(Takeoffs!Y1979,Sheet1!$B$6:$C$124,2,FALSE)</f>
        <v>0</v>
      </c>
      <c r="AA1979" s="68">
        <f t="shared" si="904"/>
        <v>0</v>
      </c>
      <c r="AB1979" s="63">
        <f t="shared" si="905"/>
        <v>0</v>
      </c>
      <c r="AC1979" s="28">
        <f t="shared" si="910"/>
        <v>0</v>
      </c>
      <c r="AD1979" s="61">
        <v>1</v>
      </c>
      <c r="AE1979" s="59"/>
      <c r="AF1979" s="111" t="s">
        <v>292</v>
      </c>
      <c r="AG1979" s="68">
        <f>VLOOKUP(Takeoffs!AF1979,Sheet1!$B$6:$C$124,2,FALSE)</f>
        <v>0</v>
      </c>
      <c r="AH1979" s="68">
        <f t="shared" si="906"/>
        <v>0</v>
      </c>
      <c r="AI1979" s="63">
        <f t="shared" si="907"/>
        <v>0</v>
      </c>
      <c r="AJ1979" s="28">
        <f t="shared" si="908"/>
        <v>0</v>
      </c>
      <c r="AK1979" s="142">
        <v>0</v>
      </c>
      <c r="AL1979" s="59"/>
      <c r="AO1979" s="286"/>
      <c r="AP1979" s="284">
        <f t="shared" si="890"/>
        <v>0</v>
      </c>
      <c r="AQ1979" s="281">
        <f t="shared" si="891"/>
        <v>0</v>
      </c>
      <c r="AR1979" s="284">
        <f t="shared" si="892"/>
        <v>0</v>
      </c>
      <c r="AS1979" s="281">
        <f t="shared" si="893"/>
        <v>0</v>
      </c>
      <c r="AT1979" s="284">
        <f t="shared" si="894"/>
        <v>0</v>
      </c>
    </row>
    <row r="1980" spans="1:97" s="32" customFormat="1" ht="30.9" x14ac:dyDescent="0.8">
      <c r="A1980" s="262">
        <f>ROW()</f>
        <v>1980</v>
      </c>
      <c r="B1980" s="114"/>
      <c r="C1980" s="208"/>
      <c r="D1980" s="208"/>
      <c r="E1980" s="208"/>
      <c r="F1980" s="208"/>
      <c r="G1980" s="208"/>
      <c r="H1980" s="208"/>
      <c r="I1980" s="114"/>
      <c r="J1980" s="32" t="str">
        <f t="shared" si="909"/>
        <v/>
      </c>
      <c r="K1980" s="32" t="str">
        <f>IF(COUNTBLANK(R1980)&gt;0,"",CONCATENATE(R1980," for ",N1972))</f>
        <v/>
      </c>
      <c r="N1980" s="15" t="s">
        <v>120</v>
      </c>
      <c r="O1980" s="66" t="s">
        <v>338</v>
      </c>
      <c r="P1980" s="12"/>
      <c r="Q1980" s="12"/>
      <c r="R1980" s="12"/>
      <c r="S1980" s="28">
        <f>M1972</f>
        <v>0</v>
      </c>
      <c r="T1980" s="11"/>
      <c r="U1980" s="12" t="s">
        <v>292</v>
      </c>
      <c r="V1980" s="28">
        <f t="shared" si="903"/>
        <v>0</v>
      </c>
      <c r="W1980" s="28">
        <f>VLOOKUP(U1980,Sheet1!$B$6:$C$45,2,FALSE)*V1980</f>
        <v>0</v>
      </c>
      <c r="X1980" s="59"/>
      <c r="Y1980" s="110" t="s">
        <v>333</v>
      </c>
      <c r="Z1980" s="68">
        <f>VLOOKUP(Takeoffs!Y1980,Sheet1!$B$6:$C$124,2,FALSE)</f>
        <v>60</v>
      </c>
      <c r="AA1980" s="68">
        <f t="shared" si="904"/>
        <v>0</v>
      </c>
      <c r="AB1980" s="63">
        <f t="shared" si="905"/>
        <v>0</v>
      </c>
      <c r="AC1980" s="28">
        <f t="shared" si="910"/>
        <v>0</v>
      </c>
      <c r="AD1980" s="61">
        <v>1</v>
      </c>
      <c r="AE1980" s="59"/>
      <c r="AF1980" s="111" t="s">
        <v>292</v>
      </c>
      <c r="AG1980" s="68">
        <f>VLOOKUP(Takeoffs!AF1980,Sheet1!$B$6:$C$124,2,FALSE)</f>
        <v>0</v>
      </c>
      <c r="AH1980" s="68">
        <f t="shared" si="906"/>
        <v>0</v>
      </c>
      <c r="AI1980" s="63">
        <f t="shared" si="907"/>
        <v>0</v>
      </c>
      <c r="AJ1980" s="28">
        <f t="shared" si="908"/>
        <v>0</v>
      </c>
      <c r="AK1980" s="142">
        <v>0</v>
      </c>
      <c r="AL1980" s="59"/>
      <c r="AO1980" s="286"/>
      <c r="AP1980" s="284">
        <f t="shared" si="890"/>
        <v>0</v>
      </c>
      <c r="AQ1980" s="281">
        <f t="shared" si="891"/>
        <v>0</v>
      </c>
      <c r="AR1980" s="284">
        <f t="shared" si="892"/>
        <v>0</v>
      </c>
      <c r="AS1980" s="281">
        <f t="shared" si="893"/>
        <v>0</v>
      </c>
      <c r="AT1980" s="284">
        <f t="shared" si="894"/>
        <v>0</v>
      </c>
    </row>
    <row r="1981" spans="1:97" s="32" customFormat="1" ht="30.9" x14ac:dyDescent="0.8">
      <c r="A1981" s="262">
        <f>ROW()</f>
        <v>1981</v>
      </c>
      <c r="B1981" s="114"/>
      <c r="C1981" s="208"/>
      <c r="D1981" s="208"/>
      <c r="E1981" s="208"/>
      <c r="F1981" s="208"/>
      <c r="G1981" s="208"/>
      <c r="H1981" s="208"/>
      <c r="I1981" s="114"/>
      <c r="J1981" s="32" t="str">
        <f t="shared" si="909"/>
        <v/>
      </c>
      <c r="K1981" s="32" t="str">
        <f>IF(COUNTBLANK(R1981)&gt;0,"",CONCATENATE(R1981," for ",N1972))</f>
        <v/>
      </c>
      <c r="N1981" s="15" t="s">
        <v>121</v>
      </c>
      <c r="O1981" s="66" t="s">
        <v>515</v>
      </c>
      <c r="P1981" s="12"/>
      <c r="Q1981" s="12"/>
      <c r="R1981" s="12"/>
      <c r="S1981" s="28">
        <f>M1972</f>
        <v>0</v>
      </c>
      <c r="T1981" s="11"/>
      <c r="U1981" s="12" t="s">
        <v>292</v>
      </c>
      <c r="V1981" s="28">
        <f t="shared" si="903"/>
        <v>0</v>
      </c>
      <c r="W1981" s="28">
        <f>VLOOKUP(U1981,Sheet1!$B$6:$C$45,2,FALSE)*V1981</f>
        <v>0</v>
      </c>
      <c r="X1981" s="59"/>
      <c r="Y1981" s="110" t="s">
        <v>334</v>
      </c>
      <c r="Z1981" s="68">
        <f>VLOOKUP(Takeoffs!Y1981,Sheet1!$B$6:$C$124,2,FALSE)</f>
        <v>56.4</v>
      </c>
      <c r="AA1981" s="68">
        <f t="shared" si="904"/>
        <v>0</v>
      </c>
      <c r="AB1981" s="63">
        <f t="shared" si="905"/>
        <v>0</v>
      </c>
      <c r="AC1981" s="28">
        <f t="shared" si="910"/>
        <v>0</v>
      </c>
      <c r="AD1981" s="61">
        <v>1</v>
      </c>
      <c r="AE1981" s="59"/>
      <c r="AF1981" s="111" t="s">
        <v>292</v>
      </c>
      <c r="AG1981" s="68">
        <f>VLOOKUP(Takeoffs!AF1981,Sheet1!$B$6:$C$124,2,FALSE)</f>
        <v>0</v>
      </c>
      <c r="AH1981" s="68">
        <f t="shared" si="906"/>
        <v>0</v>
      </c>
      <c r="AI1981" s="63">
        <f t="shared" si="907"/>
        <v>0</v>
      </c>
      <c r="AJ1981" s="28">
        <f t="shared" si="908"/>
        <v>0</v>
      </c>
      <c r="AK1981" s="142">
        <v>0</v>
      </c>
      <c r="AL1981" s="59"/>
      <c r="AO1981" s="286"/>
      <c r="AP1981" s="284">
        <f t="shared" si="890"/>
        <v>0</v>
      </c>
      <c r="AQ1981" s="281">
        <f t="shared" si="891"/>
        <v>0</v>
      </c>
      <c r="AR1981" s="284">
        <f t="shared" si="892"/>
        <v>0</v>
      </c>
      <c r="AS1981" s="281">
        <f t="shared" si="893"/>
        <v>0</v>
      </c>
      <c r="AT1981" s="284">
        <f t="shared" si="894"/>
        <v>0</v>
      </c>
    </row>
    <row r="1982" spans="1:97" s="32" customFormat="1" ht="30.9" x14ac:dyDescent="0.8">
      <c r="A1982" s="262">
        <f>ROW()</f>
        <v>1982</v>
      </c>
      <c r="B1982" s="114"/>
      <c r="C1982" s="208"/>
      <c r="D1982" s="208"/>
      <c r="E1982" s="208"/>
      <c r="F1982" s="208"/>
      <c r="G1982" s="208"/>
      <c r="H1982" s="208"/>
      <c r="I1982" s="114"/>
      <c r="J1982" s="32" t="str">
        <f t="shared" si="909"/>
        <v/>
      </c>
      <c r="K1982" s="32" t="str">
        <f>IF(COUNTBLANK(R1982)&gt;0,"",CONCATENATE(R1982," for ",N1972))</f>
        <v/>
      </c>
      <c r="N1982" s="15" t="s">
        <v>122</v>
      </c>
      <c r="O1982" s="66" t="s">
        <v>512</v>
      </c>
      <c r="P1982" s="12"/>
      <c r="Q1982" s="12"/>
      <c r="R1982" s="12"/>
      <c r="S1982" s="28">
        <f>M1972</f>
        <v>0</v>
      </c>
      <c r="T1982" s="11"/>
      <c r="U1982" s="12" t="s">
        <v>363</v>
      </c>
      <c r="V1982" s="28">
        <f t="shared" si="903"/>
        <v>0</v>
      </c>
      <c r="W1982" s="28">
        <f>VLOOKUP(U1982,Sheet1!$B$6:$C$45,2,FALSE)*V1982</f>
        <v>0</v>
      </c>
      <c r="X1982" s="59"/>
      <c r="Y1982" s="109" t="s">
        <v>321</v>
      </c>
      <c r="Z1982" s="68">
        <f>VLOOKUP(Takeoffs!Y1982,Sheet1!$B$6:$C$124,2,FALSE)</f>
        <v>60</v>
      </c>
      <c r="AA1982" s="68">
        <f t="shared" si="904"/>
        <v>0</v>
      </c>
      <c r="AB1982" s="63">
        <f t="shared" si="905"/>
        <v>0</v>
      </c>
      <c r="AC1982" s="28">
        <f t="shared" si="910"/>
        <v>0</v>
      </c>
      <c r="AD1982" s="61">
        <v>1</v>
      </c>
      <c r="AE1982" s="59"/>
      <c r="AF1982" s="111" t="s">
        <v>292</v>
      </c>
      <c r="AG1982" s="68">
        <f>VLOOKUP(Takeoffs!AF1982,Sheet1!$B$6:$C$124,2,FALSE)</f>
        <v>0</v>
      </c>
      <c r="AH1982" s="68">
        <f t="shared" si="906"/>
        <v>0</v>
      </c>
      <c r="AI1982" s="63">
        <f t="shared" si="907"/>
        <v>0</v>
      </c>
      <c r="AJ1982" s="28">
        <f t="shared" si="908"/>
        <v>0</v>
      </c>
      <c r="AK1982" s="142">
        <v>0</v>
      </c>
      <c r="AL1982" s="59"/>
      <c r="AO1982" s="286"/>
      <c r="AP1982" s="284">
        <f t="shared" si="890"/>
        <v>0</v>
      </c>
      <c r="AQ1982" s="281">
        <f t="shared" si="891"/>
        <v>0</v>
      </c>
      <c r="AR1982" s="284">
        <f t="shared" si="892"/>
        <v>0</v>
      </c>
      <c r="AS1982" s="281">
        <f t="shared" si="893"/>
        <v>0</v>
      </c>
      <c r="AT1982" s="284">
        <f t="shared" si="894"/>
        <v>0</v>
      </c>
    </row>
    <row r="1983" spans="1:97" s="32" customFormat="1" ht="30.9" x14ac:dyDescent="0.8">
      <c r="A1983" s="262">
        <f>ROW()</f>
        <v>1983</v>
      </c>
      <c r="B1983" s="114"/>
      <c r="C1983" s="208"/>
      <c r="D1983" s="208"/>
      <c r="E1983" s="208"/>
      <c r="F1983" s="208"/>
      <c r="G1983" s="208"/>
      <c r="H1983" s="208"/>
      <c r="I1983" s="114"/>
      <c r="J1983" s="32" t="str">
        <f t="shared" si="909"/>
        <v/>
      </c>
      <c r="K1983" s="32" t="str">
        <f>IF(COUNTBLANK(R1983)&gt;0,"",CONCATENATE(R1983," for ",N1972))</f>
        <v/>
      </c>
      <c r="N1983" s="15" t="s">
        <v>123</v>
      </c>
      <c r="O1983" s="66" t="s">
        <v>516</v>
      </c>
      <c r="P1983" s="12"/>
      <c r="Q1983" s="12"/>
      <c r="R1983" s="12"/>
      <c r="S1983" s="28">
        <f>M1972</f>
        <v>0</v>
      </c>
      <c r="T1983" s="11"/>
      <c r="U1983" s="12" t="s">
        <v>292</v>
      </c>
      <c r="V1983" s="28">
        <f t="shared" si="903"/>
        <v>0</v>
      </c>
      <c r="W1983" s="28">
        <f>VLOOKUP(U1983,Sheet1!$B$6:$C$45,2,FALSE)*V1983</f>
        <v>0</v>
      </c>
      <c r="X1983" s="59"/>
      <c r="Y1983" s="109" t="s">
        <v>274</v>
      </c>
      <c r="Z1983" s="68">
        <f>VLOOKUP(Takeoffs!Y1983,Sheet1!$B$6:$C$124,2,FALSE)</f>
        <v>360</v>
      </c>
      <c r="AA1983" s="68">
        <f t="shared" si="904"/>
        <v>0</v>
      </c>
      <c r="AB1983" s="63">
        <f t="shared" si="905"/>
        <v>0</v>
      </c>
      <c r="AC1983" s="28">
        <f t="shared" si="910"/>
        <v>0</v>
      </c>
      <c r="AD1983" s="61">
        <v>1</v>
      </c>
      <c r="AE1983" s="59"/>
      <c r="AF1983" s="111" t="s">
        <v>292</v>
      </c>
      <c r="AG1983" s="68">
        <f>VLOOKUP(Takeoffs!AF1983,Sheet1!$B$6:$C$124,2,FALSE)</f>
        <v>0</v>
      </c>
      <c r="AH1983" s="68">
        <f t="shared" si="906"/>
        <v>0</v>
      </c>
      <c r="AI1983" s="63">
        <f t="shared" si="907"/>
        <v>0</v>
      </c>
      <c r="AJ1983" s="28">
        <f t="shared" si="908"/>
        <v>0</v>
      </c>
      <c r="AK1983" s="142">
        <v>0</v>
      </c>
      <c r="AL1983" s="59"/>
      <c r="AO1983" s="286"/>
      <c r="AP1983" s="284">
        <f t="shared" si="890"/>
        <v>0</v>
      </c>
      <c r="AQ1983" s="281">
        <f t="shared" si="891"/>
        <v>0</v>
      </c>
      <c r="AR1983" s="284">
        <f t="shared" si="892"/>
        <v>0</v>
      </c>
      <c r="AS1983" s="281">
        <f t="shared" si="893"/>
        <v>0</v>
      </c>
      <c r="AT1983" s="284">
        <f t="shared" si="894"/>
        <v>0</v>
      </c>
    </row>
    <row r="1984" spans="1:97" s="32" customFormat="1" ht="30.9" x14ac:dyDescent="0.8">
      <c r="A1984" s="262">
        <f>ROW()</f>
        <v>1984</v>
      </c>
      <c r="B1984" s="114"/>
      <c r="C1984" s="208"/>
      <c r="D1984" s="208"/>
      <c r="E1984" s="208"/>
      <c r="F1984" s="208"/>
      <c r="G1984" s="208"/>
      <c r="H1984" s="208"/>
      <c r="I1984" s="114"/>
      <c r="J1984" s="32" t="str">
        <f t="shared" si="909"/>
        <v/>
      </c>
      <c r="K1984" s="32" t="str">
        <f>IF(COUNTBLANK(R1984)&gt;0,"",CONCATENATE(R1984," for ",N1972))</f>
        <v/>
      </c>
      <c r="N1984" s="15" t="s">
        <v>124</v>
      </c>
      <c r="O1984" s="66" t="s">
        <v>140</v>
      </c>
      <c r="P1984" s="12"/>
      <c r="Q1984" s="12"/>
      <c r="R1984" s="12"/>
      <c r="S1984" s="28">
        <f>M1972</f>
        <v>0</v>
      </c>
      <c r="T1984" s="11"/>
      <c r="U1984" s="12" t="s">
        <v>363</v>
      </c>
      <c r="V1984" s="28">
        <f t="shared" si="903"/>
        <v>0</v>
      </c>
      <c r="W1984" s="28">
        <f>VLOOKUP(U1984,Sheet1!$B$6:$C$45,2,FALSE)*V1984</f>
        <v>0</v>
      </c>
      <c r="X1984" s="59"/>
      <c r="Y1984" s="108" t="s">
        <v>292</v>
      </c>
      <c r="Z1984" s="68">
        <f>VLOOKUP(Takeoffs!Y1984,Sheet1!$B$6:$C$124,2,FALSE)</f>
        <v>0</v>
      </c>
      <c r="AA1984" s="68">
        <f t="shared" si="904"/>
        <v>0</v>
      </c>
      <c r="AB1984" s="63">
        <f t="shared" si="905"/>
        <v>0</v>
      </c>
      <c r="AC1984" s="28">
        <f t="shared" si="910"/>
        <v>0</v>
      </c>
      <c r="AD1984" s="61">
        <v>1</v>
      </c>
      <c r="AE1984" s="59"/>
      <c r="AF1984" s="113" t="s">
        <v>269</v>
      </c>
      <c r="AG1984" s="68">
        <f>VLOOKUP(Takeoffs!AF1984,Sheet1!$B$6:$C$124,2,FALSE)</f>
        <v>1.056</v>
      </c>
      <c r="AH1984" s="68">
        <f t="shared" si="906"/>
        <v>0</v>
      </c>
      <c r="AI1984" s="63">
        <f t="shared" si="907"/>
        <v>0</v>
      </c>
      <c r="AJ1984" s="28">
        <f t="shared" si="908"/>
        <v>0</v>
      </c>
      <c r="AK1984" s="142">
        <v>40</v>
      </c>
      <c r="AL1984" s="59"/>
      <c r="AO1984" s="286"/>
      <c r="AP1984" s="284">
        <f t="shared" si="890"/>
        <v>0</v>
      </c>
      <c r="AQ1984" s="281">
        <f t="shared" si="891"/>
        <v>0</v>
      </c>
      <c r="AR1984" s="284">
        <f t="shared" si="892"/>
        <v>0</v>
      </c>
      <c r="AS1984" s="281">
        <f t="shared" si="893"/>
        <v>0</v>
      </c>
      <c r="AT1984" s="284">
        <f t="shared" si="894"/>
        <v>0</v>
      </c>
    </row>
    <row r="1985" spans="1:97" s="32" customFormat="1" ht="30.9" x14ac:dyDescent="0.8">
      <c r="A1985" s="262">
        <f>ROW()</f>
        <v>1985</v>
      </c>
      <c r="B1985" s="114"/>
      <c r="C1985" s="208"/>
      <c r="D1985" s="208"/>
      <c r="E1985" s="208"/>
      <c r="F1985" s="208"/>
      <c r="G1985" s="208"/>
      <c r="H1985" s="208"/>
      <c r="I1985" s="114"/>
      <c r="J1985" s="32" t="str">
        <f t="shared" si="909"/>
        <v/>
      </c>
      <c r="K1985" s="32" t="str">
        <f>IF(COUNTBLANK(R1985)&gt;0,"",CONCATENATE(R1985," for ",N1972))</f>
        <v/>
      </c>
      <c r="N1985" s="15" t="s">
        <v>125</v>
      </c>
      <c r="O1985" s="66" t="s">
        <v>312</v>
      </c>
      <c r="P1985" s="12"/>
      <c r="Q1985" s="12"/>
      <c r="R1985" s="12"/>
      <c r="S1985" s="28">
        <f>M1972</f>
        <v>0</v>
      </c>
      <c r="T1985" s="11"/>
      <c r="U1985" s="108" t="s">
        <v>232</v>
      </c>
      <c r="V1985" s="28">
        <f t="shared" si="903"/>
        <v>0</v>
      </c>
      <c r="W1985" s="28">
        <f>VLOOKUP(U1985,Sheet1!$B$6:$C$45,2,FALSE)*V1985</f>
        <v>0</v>
      </c>
      <c r="X1985" s="59"/>
      <c r="Y1985" s="109" t="s">
        <v>1345</v>
      </c>
      <c r="Z1985" s="68">
        <f>VLOOKUP(Takeoffs!Y1985,Sheet1!$B$6:$C$124,2,FALSE)</f>
        <v>109.25999999999999</v>
      </c>
      <c r="AA1985" s="68">
        <f t="shared" si="904"/>
        <v>0</v>
      </c>
      <c r="AB1985" s="63">
        <f t="shared" si="905"/>
        <v>0</v>
      </c>
      <c r="AC1985" s="28">
        <f t="shared" si="910"/>
        <v>0</v>
      </c>
      <c r="AD1985" s="61">
        <v>1</v>
      </c>
      <c r="AE1985" s="59"/>
      <c r="AF1985" s="111" t="s">
        <v>292</v>
      </c>
      <c r="AG1985" s="68">
        <f>VLOOKUP(Takeoffs!AF1985,Sheet1!$B$6:$C$124,2,FALSE)</f>
        <v>0</v>
      </c>
      <c r="AH1985" s="68">
        <f t="shared" si="906"/>
        <v>0</v>
      </c>
      <c r="AI1985" s="63">
        <f t="shared" si="907"/>
        <v>0</v>
      </c>
      <c r="AJ1985" s="28">
        <f t="shared" si="908"/>
        <v>0</v>
      </c>
      <c r="AK1985" s="142">
        <v>0</v>
      </c>
      <c r="AL1985" s="59"/>
      <c r="AO1985" s="286"/>
      <c r="AP1985" s="284">
        <f t="shared" si="890"/>
        <v>0</v>
      </c>
      <c r="AQ1985" s="281">
        <f t="shared" si="891"/>
        <v>0</v>
      </c>
      <c r="AR1985" s="284">
        <f t="shared" si="892"/>
        <v>0</v>
      </c>
      <c r="AS1985" s="281">
        <f t="shared" si="893"/>
        <v>0</v>
      </c>
      <c r="AT1985" s="284">
        <f t="shared" si="894"/>
        <v>0</v>
      </c>
    </row>
    <row r="1986" spans="1:97" s="32" customFormat="1" ht="30.9" x14ac:dyDescent="0.8">
      <c r="A1986" s="262">
        <f>ROW()</f>
        <v>1986</v>
      </c>
      <c r="B1986" s="114"/>
      <c r="C1986" s="208"/>
      <c r="D1986" s="208"/>
      <c r="E1986" s="208"/>
      <c r="F1986" s="208"/>
      <c r="G1986" s="208"/>
      <c r="H1986" s="208"/>
      <c r="I1986" s="114"/>
      <c r="J1986" s="32" t="str">
        <f t="shared" si="909"/>
        <v/>
      </c>
      <c r="K1986" s="32" t="str">
        <f>IF(COUNTBLANK(R1986)&gt;0,"",CONCATENATE(R1986," for ",N1972))</f>
        <v/>
      </c>
      <c r="N1986" s="15" t="s">
        <v>126</v>
      </c>
      <c r="O1986" s="66" t="s">
        <v>523</v>
      </c>
      <c r="P1986" s="12"/>
      <c r="Q1986" s="12"/>
      <c r="R1986" s="12"/>
      <c r="S1986" s="28">
        <f>M1972</f>
        <v>0</v>
      </c>
      <c r="T1986" s="11"/>
      <c r="U1986" s="12" t="s">
        <v>364</v>
      </c>
      <c r="V1986" s="28">
        <f t="shared" si="903"/>
        <v>0</v>
      </c>
      <c r="W1986" s="28">
        <f>VLOOKUP(U1986,Sheet1!$B$6:$C$45,2,FALSE)*V1986</f>
        <v>0</v>
      </c>
      <c r="X1986" s="59"/>
      <c r="Y1986" s="135" t="s">
        <v>461</v>
      </c>
      <c r="Z1986" s="68">
        <f>VLOOKUP(Takeoffs!Y1986,Sheet1!$B$6:$C$124,2,FALSE)</f>
        <v>420</v>
      </c>
      <c r="AA1986" s="68">
        <f t="shared" si="904"/>
        <v>0</v>
      </c>
      <c r="AB1986" s="63">
        <f t="shared" si="905"/>
        <v>0</v>
      </c>
      <c r="AC1986" s="28">
        <f t="shared" si="910"/>
        <v>0</v>
      </c>
      <c r="AD1986" s="61">
        <v>1</v>
      </c>
      <c r="AE1986" s="59"/>
      <c r="AF1986" s="111" t="s">
        <v>292</v>
      </c>
      <c r="AG1986" s="68">
        <f>VLOOKUP(Takeoffs!AF1986,Sheet1!$B$6:$C$124,2,FALSE)</f>
        <v>0</v>
      </c>
      <c r="AH1986" s="68">
        <f t="shared" si="906"/>
        <v>0</v>
      </c>
      <c r="AI1986" s="63">
        <f t="shared" si="907"/>
        <v>0</v>
      </c>
      <c r="AJ1986" s="28">
        <f t="shared" si="908"/>
        <v>0</v>
      </c>
      <c r="AK1986" s="142">
        <v>0</v>
      </c>
      <c r="AL1986" s="59"/>
      <c r="AO1986" s="286"/>
      <c r="AP1986" s="284">
        <f t="shared" si="890"/>
        <v>0</v>
      </c>
      <c r="AQ1986" s="281">
        <f t="shared" si="891"/>
        <v>0</v>
      </c>
      <c r="AR1986" s="284">
        <f t="shared" si="892"/>
        <v>0</v>
      </c>
      <c r="AS1986" s="281">
        <f t="shared" si="893"/>
        <v>0</v>
      </c>
      <c r="AT1986" s="284">
        <f t="shared" si="894"/>
        <v>0</v>
      </c>
    </row>
    <row r="1987" spans="1:97" s="32" customFormat="1" ht="30.9" x14ac:dyDescent="0.8">
      <c r="A1987" s="262">
        <f>ROW()</f>
        <v>1987</v>
      </c>
      <c r="B1987" s="114"/>
      <c r="C1987" s="208"/>
      <c r="D1987" s="208"/>
      <c r="E1987" s="208"/>
      <c r="F1987" s="208"/>
      <c r="G1987" s="208"/>
      <c r="H1987" s="208"/>
      <c r="I1987" s="114"/>
      <c r="J1987" s="32" t="str">
        <f t="shared" si="909"/>
        <v/>
      </c>
      <c r="K1987" s="32" t="str">
        <f>IF(COUNTBLANK(R1987)&gt;0,"",CONCATENATE(R1987," for ",N1972))</f>
        <v/>
      </c>
      <c r="N1987" s="15" t="s">
        <v>127</v>
      </c>
      <c r="O1987" s="66" t="s">
        <v>518</v>
      </c>
      <c r="P1987" s="12"/>
      <c r="Q1987" s="12"/>
      <c r="R1987" s="12"/>
      <c r="S1987" s="28">
        <f>M1972</f>
        <v>0</v>
      </c>
      <c r="T1987" s="11"/>
      <c r="U1987" s="12" t="s">
        <v>292</v>
      </c>
      <c r="V1987" s="28">
        <f t="shared" si="903"/>
        <v>0</v>
      </c>
      <c r="W1987" s="28">
        <f>VLOOKUP(U1987,Sheet1!$B$6:$C$45,2,FALSE)*V1987</f>
        <v>0</v>
      </c>
      <c r="X1987" s="59"/>
      <c r="Y1987" s="109" t="s">
        <v>280</v>
      </c>
      <c r="Z1987" s="68">
        <f>VLOOKUP(Takeoffs!Y1987,Sheet1!$B$6:$C$124,2,FALSE)</f>
        <v>19.2</v>
      </c>
      <c r="AA1987" s="68">
        <f t="shared" si="904"/>
        <v>0</v>
      </c>
      <c r="AB1987" s="63">
        <f t="shared" si="905"/>
        <v>0</v>
      </c>
      <c r="AC1987" s="28">
        <f t="shared" si="910"/>
        <v>0</v>
      </c>
      <c r="AD1987" s="61">
        <v>2</v>
      </c>
      <c r="AE1987" s="59"/>
      <c r="AF1987" s="111" t="s">
        <v>292</v>
      </c>
      <c r="AG1987" s="68">
        <f>VLOOKUP(Takeoffs!AF1987,Sheet1!$B$6:$C$124,2,FALSE)</f>
        <v>0</v>
      </c>
      <c r="AH1987" s="68">
        <f t="shared" si="906"/>
        <v>0</v>
      </c>
      <c r="AI1987" s="63">
        <f t="shared" si="907"/>
        <v>0</v>
      </c>
      <c r="AJ1987" s="28">
        <f t="shared" si="908"/>
        <v>0</v>
      </c>
      <c r="AK1987" s="142">
        <v>0</v>
      </c>
      <c r="AL1987" s="59"/>
      <c r="AO1987" s="286"/>
      <c r="AP1987" s="284">
        <f t="shared" si="890"/>
        <v>0</v>
      </c>
      <c r="AQ1987" s="281">
        <f t="shared" si="891"/>
        <v>0</v>
      </c>
      <c r="AR1987" s="284">
        <f t="shared" si="892"/>
        <v>0</v>
      </c>
      <c r="AS1987" s="281">
        <f t="shared" si="893"/>
        <v>0</v>
      </c>
      <c r="AT1987" s="284">
        <f t="shared" si="894"/>
        <v>0</v>
      </c>
    </row>
    <row r="1988" spans="1:97" s="32" customFormat="1" ht="30.9" x14ac:dyDescent="0.8">
      <c r="A1988" s="262">
        <f>ROW()</f>
        <v>1988</v>
      </c>
      <c r="B1988" s="114"/>
      <c r="C1988" s="208"/>
      <c r="D1988" s="208"/>
      <c r="E1988" s="208"/>
      <c r="F1988" s="208"/>
      <c r="G1988" s="208"/>
      <c r="H1988" s="208"/>
      <c r="I1988" s="114"/>
      <c r="J1988" s="32" t="str">
        <f t="shared" si="909"/>
        <v/>
      </c>
      <c r="K1988" s="32" t="str">
        <f>IF(COUNTBLANK(R1988)&gt;0,"",CONCATENATE(R1988," for ",N1972))</f>
        <v/>
      </c>
      <c r="N1988" s="15" t="s">
        <v>128</v>
      </c>
      <c r="O1988" s="66" t="s">
        <v>714</v>
      </c>
      <c r="P1988" s="12"/>
      <c r="Q1988" s="12"/>
      <c r="R1988" s="12"/>
      <c r="S1988" s="28">
        <f>M1972</f>
        <v>0</v>
      </c>
      <c r="T1988" s="11"/>
      <c r="U1988" s="12" t="s">
        <v>292</v>
      </c>
      <c r="V1988" s="28">
        <f t="shared" si="903"/>
        <v>0</v>
      </c>
      <c r="W1988" s="28">
        <f>VLOOKUP(U1988,Sheet1!$B$6:$C$45,2,FALSE)*V1988</f>
        <v>0</v>
      </c>
      <c r="X1988" s="59"/>
      <c r="Y1988" s="110" t="s">
        <v>459</v>
      </c>
      <c r="Z1988" s="68">
        <f>VLOOKUP(Takeoffs!Y1988,Sheet1!$B$6:$C$124,2,FALSE)</f>
        <v>11.46</v>
      </c>
      <c r="AA1988" s="68">
        <f t="shared" si="904"/>
        <v>0</v>
      </c>
      <c r="AB1988" s="63">
        <f t="shared" si="905"/>
        <v>0</v>
      </c>
      <c r="AC1988" s="28">
        <f t="shared" si="910"/>
        <v>0</v>
      </c>
      <c r="AD1988" s="61">
        <v>1</v>
      </c>
      <c r="AE1988" s="59"/>
      <c r="AF1988" s="111" t="s">
        <v>292</v>
      </c>
      <c r="AG1988" s="68">
        <f>VLOOKUP(Takeoffs!AF1988,Sheet1!$B$6:$C$124,2,FALSE)</f>
        <v>0</v>
      </c>
      <c r="AH1988" s="68">
        <f t="shared" si="906"/>
        <v>0</v>
      </c>
      <c r="AI1988" s="63">
        <f t="shared" si="907"/>
        <v>0</v>
      </c>
      <c r="AJ1988" s="28">
        <f t="shared" si="908"/>
        <v>0</v>
      </c>
      <c r="AK1988" s="142">
        <v>0</v>
      </c>
      <c r="AL1988" s="59"/>
      <c r="AO1988" s="286"/>
      <c r="AP1988" s="284">
        <f t="shared" si="890"/>
        <v>0</v>
      </c>
      <c r="AQ1988" s="281">
        <f t="shared" si="891"/>
        <v>0</v>
      </c>
      <c r="AR1988" s="284">
        <f t="shared" si="892"/>
        <v>0</v>
      </c>
      <c r="AS1988" s="281">
        <f t="shared" si="893"/>
        <v>0</v>
      </c>
      <c r="AT1988" s="284">
        <f t="shared" si="894"/>
        <v>0</v>
      </c>
    </row>
    <row r="1989" spans="1:97" s="32" customFormat="1" ht="30.9" x14ac:dyDescent="0.8">
      <c r="A1989" s="262">
        <f>ROW()</f>
        <v>1989</v>
      </c>
      <c r="B1989" s="114"/>
      <c r="C1989" s="208"/>
      <c r="D1989" s="208"/>
      <c r="E1989" s="208"/>
      <c r="F1989" s="208"/>
      <c r="G1989" s="208"/>
      <c r="H1989" s="208"/>
      <c r="I1989" s="114"/>
      <c r="J1989" s="32" t="str">
        <f t="shared" si="909"/>
        <v/>
      </c>
      <c r="K1989" s="32" t="str">
        <f>IF(COUNTBLANK(R1989)&gt;0,"",CONCATENATE(R1989," for ",N1972))</f>
        <v/>
      </c>
      <c r="N1989" s="15" t="s">
        <v>129</v>
      </c>
      <c r="O1989" s="66" t="s">
        <v>524</v>
      </c>
      <c r="P1989" s="12"/>
      <c r="Q1989" s="12"/>
      <c r="R1989" s="12"/>
      <c r="S1989" s="28">
        <f>M1972</f>
        <v>0</v>
      </c>
      <c r="T1989" s="11"/>
      <c r="U1989" s="12" t="s">
        <v>292</v>
      </c>
      <c r="V1989" s="28">
        <f t="shared" si="903"/>
        <v>0</v>
      </c>
      <c r="W1989" s="28">
        <f>VLOOKUP(U1989,Sheet1!$B$6:$C$45,2,FALSE)*V1989</f>
        <v>0</v>
      </c>
      <c r="X1989" s="59"/>
      <c r="Y1989" s="110" t="s">
        <v>460</v>
      </c>
      <c r="Z1989" s="68">
        <f>VLOOKUP(Takeoffs!Y1989,Sheet1!$B$6:$C$124,2,FALSE)</f>
        <v>36</v>
      </c>
      <c r="AA1989" s="68">
        <f t="shared" si="904"/>
        <v>0</v>
      </c>
      <c r="AB1989" s="63">
        <f t="shared" si="905"/>
        <v>0</v>
      </c>
      <c r="AC1989" s="28">
        <f t="shared" si="910"/>
        <v>0</v>
      </c>
      <c r="AD1989" s="61">
        <v>1</v>
      </c>
      <c r="AE1989" s="59"/>
      <c r="AF1989" s="111" t="s">
        <v>292</v>
      </c>
      <c r="AG1989" s="68">
        <f>VLOOKUP(Takeoffs!AF1989,Sheet1!$B$6:$C$124,2,FALSE)</f>
        <v>0</v>
      </c>
      <c r="AH1989" s="68">
        <f t="shared" si="906"/>
        <v>0</v>
      </c>
      <c r="AI1989" s="63">
        <f t="shared" si="907"/>
        <v>0</v>
      </c>
      <c r="AJ1989" s="28">
        <f t="shared" si="908"/>
        <v>0</v>
      </c>
      <c r="AK1989" s="142">
        <v>0</v>
      </c>
      <c r="AL1989" s="59"/>
      <c r="AO1989" s="286"/>
      <c r="AP1989" s="284">
        <f t="shared" si="890"/>
        <v>0</v>
      </c>
      <c r="AQ1989" s="281">
        <f t="shared" si="891"/>
        <v>0</v>
      </c>
      <c r="AR1989" s="284">
        <f t="shared" si="892"/>
        <v>0</v>
      </c>
      <c r="AS1989" s="281">
        <f t="shared" si="893"/>
        <v>0</v>
      </c>
      <c r="AT1989" s="284">
        <f t="shared" si="894"/>
        <v>0</v>
      </c>
    </row>
    <row r="1990" spans="1:97" s="32" customFormat="1" ht="30.9" x14ac:dyDescent="0.8">
      <c r="A1990" s="262">
        <f>ROW()</f>
        <v>1990</v>
      </c>
      <c r="B1990" s="114"/>
      <c r="C1990" s="208"/>
      <c r="D1990" s="208"/>
      <c r="E1990" s="208"/>
      <c r="F1990" s="208"/>
      <c r="G1990" s="208"/>
      <c r="H1990" s="208"/>
      <c r="I1990" s="114"/>
      <c r="J1990" s="32" t="str">
        <f t="shared" si="909"/>
        <v>Coordination Note: - Hydraulics/Kichen trade: Please refer to our exclusions relating to supply and install of gas solenoid</v>
      </c>
      <c r="K1990" s="32" t="str">
        <f>IF(COUNTBLANK(R1990)&gt;0,"",CONCATENATE(R1990," for ",N1972))</f>
        <v/>
      </c>
      <c r="N1990" s="15" t="s">
        <v>130</v>
      </c>
      <c r="O1990" s="66" t="s">
        <v>521</v>
      </c>
      <c r="P1990" s="12" t="s">
        <v>456</v>
      </c>
      <c r="Q1990" s="12" t="s">
        <v>457</v>
      </c>
      <c r="R1990" s="12"/>
      <c r="S1990" s="28">
        <f>M1972</f>
        <v>0</v>
      </c>
      <c r="T1990" s="11"/>
      <c r="U1990" s="12" t="s">
        <v>363</v>
      </c>
      <c r="V1990" s="28">
        <f t="shared" si="903"/>
        <v>0</v>
      </c>
      <c r="W1990" s="28">
        <f>VLOOKUP(U1990,Sheet1!$B$6:$C$45,2,FALSE)*V1990</f>
        <v>0</v>
      </c>
      <c r="X1990" s="59"/>
      <c r="Y1990" s="109" t="s">
        <v>326</v>
      </c>
      <c r="Z1990" s="68">
        <f>VLOOKUP(Takeoffs!Y1990,Sheet1!$B$6:$C$124,2,FALSE)</f>
        <v>29.04</v>
      </c>
      <c r="AA1990" s="68">
        <f t="shared" si="904"/>
        <v>0</v>
      </c>
      <c r="AB1990" s="63">
        <f t="shared" si="905"/>
        <v>0</v>
      </c>
      <c r="AC1990" s="28">
        <f t="shared" si="910"/>
        <v>0</v>
      </c>
      <c r="AD1990" s="61">
        <v>1</v>
      </c>
      <c r="AE1990" s="59"/>
      <c r="AF1990" s="111" t="s">
        <v>292</v>
      </c>
      <c r="AG1990" s="68">
        <f>VLOOKUP(Takeoffs!AF1990,Sheet1!$B$6:$C$124,2,FALSE)</f>
        <v>0</v>
      </c>
      <c r="AH1990" s="68">
        <f t="shared" si="906"/>
        <v>0</v>
      </c>
      <c r="AI1990" s="63">
        <f t="shared" si="907"/>
        <v>0</v>
      </c>
      <c r="AJ1990" s="28">
        <f t="shared" si="908"/>
        <v>0</v>
      </c>
      <c r="AK1990" s="142">
        <v>0</v>
      </c>
      <c r="AL1990" s="59"/>
      <c r="AO1990" s="286"/>
      <c r="AP1990" s="284">
        <f t="shared" si="890"/>
        <v>0</v>
      </c>
      <c r="AQ1990" s="281">
        <f t="shared" si="891"/>
        <v>0</v>
      </c>
      <c r="AR1990" s="284">
        <f t="shared" si="892"/>
        <v>0</v>
      </c>
      <c r="AS1990" s="281">
        <f t="shared" si="893"/>
        <v>0</v>
      </c>
      <c r="AT1990" s="284">
        <f t="shared" si="894"/>
        <v>0</v>
      </c>
    </row>
    <row r="1991" spans="1:97" s="32" customFormat="1" ht="30.9" x14ac:dyDescent="0.8">
      <c r="A1991" s="262">
        <f>ROW()</f>
        <v>1991</v>
      </c>
      <c r="B1991" s="114"/>
      <c r="C1991" s="208"/>
      <c r="D1991" s="208"/>
      <c r="E1991" s="208"/>
      <c r="F1991" s="208"/>
      <c r="G1991" s="208"/>
      <c r="H1991" s="208"/>
      <c r="I1991" s="114"/>
      <c r="J1991" s="32" t="str">
        <f t="shared" si="909"/>
        <v>Coordination Note: - Fire trade: Please refer to our exclusions relating to fire cabling from FIP.</v>
      </c>
      <c r="K1991" s="32" t="str">
        <f>IF(COUNTBLANK(R1991)&gt;0,"",CONCATENATE(R1991," for ",N1972))</f>
        <v/>
      </c>
      <c r="N1991" s="15" t="s">
        <v>131</v>
      </c>
      <c r="O1991" s="66" t="s">
        <v>522</v>
      </c>
      <c r="P1991" s="12" t="s">
        <v>380</v>
      </c>
      <c r="Q1991" s="12" t="s">
        <v>384</v>
      </c>
      <c r="R1991" s="12"/>
      <c r="S1991" s="28">
        <f>M1972</f>
        <v>0</v>
      </c>
      <c r="T1991" s="11"/>
      <c r="U1991" s="12" t="s">
        <v>292</v>
      </c>
      <c r="V1991" s="28">
        <f t="shared" si="903"/>
        <v>0</v>
      </c>
      <c r="W1991" s="28">
        <f>VLOOKUP(U1991,Sheet1!$B$6:$C$45,2,FALSE)*V1991</f>
        <v>0</v>
      </c>
      <c r="X1991" s="59"/>
      <c r="Y1991" s="109" t="s">
        <v>322</v>
      </c>
      <c r="Z1991" s="68">
        <f>VLOOKUP(Takeoffs!Y1991,Sheet1!$B$6:$C$124,2,FALSE)</f>
        <v>48</v>
      </c>
      <c r="AA1991" s="68">
        <f t="shared" si="904"/>
        <v>0</v>
      </c>
      <c r="AB1991" s="63">
        <f t="shared" si="905"/>
        <v>0</v>
      </c>
      <c r="AC1991" s="28">
        <f t="shared" si="910"/>
        <v>0</v>
      </c>
      <c r="AD1991" s="61">
        <v>1</v>
      </c>
      <c r="AE1991" s="59"/>
      <c r="AF1991" s="111" t="s">
        <v>292</v>
      </c>
      <c r="AG1991" s="68">
        <f>VLOOKUP(Takeoffs!AF1991,Sheet1!$B$6:$C$124,2,FALSE)</f>
        <v>0</v>
      </c>
      <c r="AH1991" s="68">
        <f t="shared" si="906"/>
        <v>0</v>
      </c>
      <c r="AI1991" s="63">
        <f t="shared" si="907"/>
        <v>0</v>
      </c>
      <c r="AJ1991" s="28">
        <f t="shared" si="908"/>
        <v>0</v>
      </c>
      <c r="AK1991" s="142">
        <v>0</v>
      </c>
      <c r="AL1991" s="59"/>
      <c r="AO1991" s="286"/>
      <c r="AP1991" s="284">
        <f t="shared" si="890"/>
        <v>0</v>
      </c>
      <c r="AQ1991" s="281">
        <f t="shared" si="891"/>
        <v>0</v>
      </c>
      <c r="AR1991" s="284">
        <f t="shared" si="892"/>
        <v>0</v>
      </c>
      <c r="AS1991" s="281">
        <f t="shared" si="893"/>
        <v>0</v>
      </c>
      <c r="AT1991" s="284">
        <f t="shared" si="894"/>
        <v>0</v>
      </c>
    </row>
    <row r="1992" spans="1:97" s="32" customFormat="1" ht="30.9" x14ac:dyDescent="0.8">
      <c r="A1992" s="262">
        <f>ROW()</f>
        <v>1992</v>
      </c>
      <c r="B1992" s="114"/>
      <c r="C1992" s="208"/>
      <c r="D1992" s="208"/>
      <c r="E1992" s="208"/>
      <c r="F1992" s="208"/>
      <c r="G1992" s="208"/>
      <c r="H1992" s="208"/>
      <c r="I1992" s="114"/>
      <c r="J1992" s="32" t="str">
        <f t="shared" si="909"/>
        <v/>
      </c>
      <c r="K1992" s="32" t="str">
        <f>IF(COUNTBLANK(R1992)&gt;0,"",CONCATENATE(R1992," for ",N1972))</f>
        <v/>
      </c>
      <c r="N1992" s="15" t="s">
        <v>132</v>
      </c>
      <c r="O1992" s="66" t="s">
        <v>408</v>
      </c>
      <c r="P1992" s="12"/>
      <c r="Q1992" s="12"/>
      <c r="R1992" s="12"/>
      <c r="S1992" s="28">
        <f>M1972</f>
        <v>0</v>
      </c>
      <c r="T1992" s="11"/>
      <c r="U1992" s="12" t="s">
        <v>363</v>
      </c>
      <c r="V1992" s="28">
        <f t="shared" si="903"/>
        <v>0</v>
      </c>
      <c r="W1992" s="28">
        <f>VLOOKUP(U1992,Sheet1!$B$6:$C$45,2,FALSE)*V1992</f>
        <v>0</v>
      </c>
      <c r="X1992" s="59"/>
      <c r="Y1992" s="108" t="s">
        <v>292</v>
      </c>
      <c r="Z1992" s="68">
        <f>VLOOKUP(Takeoffs!Y1992,Sheet1!$B$6:$C$124,2,FALSE)</f>
        <v>0</v>
      </c>
      <c r="AA1992" s="68">
        <f t="shared" si="904"/>
        <v>0</v>
      </c>
      <c r="AB1992" s="63">
        <f t="shared" si="905"/>
        <v>0</v>
      </c>
      <c r="AC1992" s="28">
        <f t="shared" si="910"/>
        <v>0</v>
      </c>
      <c r="AD1992" s="61">
        <v>1</v>
      </c>
      <c r="AE1992" s="59"/>
      <c r="AF1992" s="111" t="s">
        <v>292</v>
      </c>
      <c r="AG1992" s="68">
        <f>VLOOKUP(Takeoffs!AF1992,Sheet1!$B$6:$C$124,2,FALSE)</f>
        <v>0</v>
      </c>
      <c r="AH1992" s="68">
        <f t="shared" si="906"/>
        <v>0</v>
      </c>
      <c r="AI1992" s="63">
        <f t="shared" si="907"/>
        <v>0</v>
      </c>
      <c r="AJ1992" s="28">
        <f t="shared" si="908"/>
        <v>0</v>
      </c>
      <c r="AK1992" s="142">
        <v>0</v>
      </c>
      <c r="AL1992" s="59"/>
      <c r="AO1992" s="286"/>
      <c r="AP1992" s="284">
        <f t="shared" si="890"/>
        <v>0</v>
      </c>
      <c r="AQ1992" s="281">
        <f t="shared" si="891"/>
        <v>0</v>
      </c>
      <c r="AR1992" s="284">
        <f t="shared" si="892"/>
        <v>0</v>
      </c>
      <c r="AS1992" s="281">
        <f t="shared" si="893"/>
        <v>0</v>
      </c>
      <c r="AT1992" s="284">
        <f t="shared" si="894"/>
        <v>0</v>
      </c>
    </row>
    <row r="1993" spans="1:97" s="21" customFormat="1" ht="31.5" customHeight="1" x14ac:dyDescent="0.8">
      <c r="A1993" s="262">
        <f>ROW()</f>
        <v>1993</v>
      </c>
      <c r="B1993" s="128"/>
      <c r="C1993" s="212"/>
      <c r="D1993" s="212"/>
      <c r="E1993" s="212"/>
      <c r="F1993" s="212"/>
      <c r="G1993" s="212"/>
      <c r="H1993" s="212"/>
      <c r="I1993" s="128"/>
      <c r="J1993" s="21" t="s">
        <v>377</v>
      </c>
      <c r="L1993" s="21" t="s">
        <v>378</v>
      </c>
      <c r="N1993" s="22"/>
      <c r="O1993" s="23" t="s">
        <v>357</v>
      </c>
      <c r="P1993" s="98">
        <f>V1993+AA1993+AH1993</f>
        <v>0</v>
      </c>
      <c r="Q1993" s="65"/>
      <c r="R1993" s="65"/>
      <c r="S1993" s="23"/>
      <c r="T1993" s="20"/>
      <c r="U1993" s="19" t="s">
        <v>351</v>
      </c>
      <c r="V1993" s="20">
        <f>W1993*80</f>
        <v>0</v>
      </c>
      <c r="W1993" s="69">
        <f>SUM(W1972:W1992)</f>
        <v>0</v>
      </c>
      <c r="X1993" s="70"/>
      <c r="Y1993" s="20" t="s">
        <v>352</v>
      </c>
      <c r="Z1993" s="2"/>
      <c r="AA1993" s="2">
        <f>SUM(AA1972:AA1992)</f>
        <v>0</v>
      </c>
      <c r="AB1993" s="71"/>
      <c r="AC1993" s="71"/>
      <c r="AD1993" s="71"/>
      <c r="AE1993" s="71"/>
      <c r="AF1993" s="20" t="s">
        <v>356</v>
      </c>
      <c r="AG1993" s="2"/>
      <c r="AH1993" s="2">
        <f>SUM(AH1972:AH1992)</f>
        <v>0</v>
      </c>
      <c r="AI1993" s="71"/>
      <c r="AJ1993" s="71"/>
      <c r="AK1993" s="71"/>
      <c r="AL1993" s="71"/>
      <c r="AM1993" s="150">
        <f>P1993</f>
        <v>0</v>
      </c>
      <c r="AO1993" s="286"/>
      <c r="AP1993" s="284">
        <f t="shared" si="890"/>
        <v>0</v>
      </c>
      <c r="AQ1993" s="281">
        <f t="shared" si="891"/>
        <v>0</v>
      </c>
      <c r="AR1993" s="284">
        <f t="shared" si="892"/>
        <v>0</v>
      </c>
      <c r="AS1993" s="281">
        <f t="shared" si="893"/>
        <v>0</v>
      </c>
      <c r="AT1993" s="284">
        <f t="shared" si="894"/>
        <v>0</v>
      </c>
    </row>
    <row r="1994" spans="1:97" s="234" customFormat="1" ht="246.9" x14ac:dyDescent="0.8">
      <c r="A1994" s="262">
        <f>ROW()</f>
        <v>1994</v>
      </c>
      <c r="B1994" s="234" t="s">
        <v>491</v>
      </c>
      <c r="C1994" s="217" t="str">
        <f>N1972</f>
        <v>Kitchen Exhaust Sytem (from MSSB)</v>
      </c>
      <c r="D1994" s="260" t="s">
        <v>678</v>
      </c>
      <c r="E1994" s="238"/>
      <c r="F1994" s="217"/>
      <c r="G1994" s="217"/>
      <c r="H1994" s="245"/>
      <c r="I1994" s="270">
        <v>0</v>
      </c>
      <c r="J1994" s="241" t="str">
        <f>CONCATENATE(O1972," ",L1972, " (",M1972,") ",N1972,".", IF(M1972&gt;1," Each "," This "),"includes supply and install of ",O1973,O1974,O1975,O1976,O1977,O1978,O1979,O1980,O1981,O1982,O1983,O1984,O1985,O1986,O1987,O1988,O1989,O1990,O1991,O1992,J1973,J1974,J1975,J1976,J1977,J1978,J1979,J1980,J1981,J1982,J1983,J1984,J1985,J1986,J1987,J1988,J1989,J1990,J1991,J1992)</f>
        <v>Electrical power supply and controls to Zero (0) Kitchen Exhaust Sytem (from MSSB). This includes supply and install of power and controls. Power for systems includes: CB, cabling to VSD, Danfoss VSD, shielded cabling, local isolator, Controls for systems includes: controls enclosure, 24v transformer to ensure all wiring within wet area is extra low voltage, air pressure  switch, trefolyte labeling in compliance with AS1668, controls cabling, contactors/relays, 316 stainless steel switchplate installed in kitchen, run and fault lights (mounted in kitchen switchplate), start pushbutton (mounted in kitchen switchplate), speed control dial (mounted in kitchen switchplate), relay, cabling and connection to gas solenoid, interface for fire trade connection, and commissioning/testing. Coordination Note: - Hydraulics/Kichen trade: Please refer to our exclusions relating to supply and install of gas solenoidCoordination Note: - Fire trade: Please refer to our exclusions relating to fire cabling from FIP.</v>
      </c>
      <c r="K1994" s="246">
        <f>P1993</f>
        <v>0</v>
      </c>
      <c r="L1994" s="234" t="str">
        <f>CONCATENATE(Q1973,Q1974,Q1975,Q1976,Q1977,Q1978,Q1979,Q1980,Q1981,Q1982,Q1983,Q1984,Q1985,Q1986,Q1987,Q1988,Q1989,Q1990,Q1991,Q1992,)</f>
        <v>supply and install of gas solenoidfire cabling from FIP.</v>
      </c>
      <c r="M1994" s="91" t="s">
        <v>367</v>
      </c>
      <c r="N1994" s="83" t="str">
        <f>N1972</f>
        <v>Kitchen Exhaust Sytem (from MSSB)</v>
      </c>
      <c r="O1994" s="83" t="s">
        <v>365</v>
      </c>
      <c r="P1994" s="64" t="e">
        <f>P1993/M1972</f>
        <v>#DIV/0!</v>
      </c>
      <c r="Q1994" s="84"/>
      <c r="R1994" s="84"/>
      <c r="S1994" s="83"/>
      <c r="T1994" s="84"/>
      <c r="U1994" s="503" t="s">
        <v>366</v>
      </c>
      <c r="V1994" s="503"/>
      <c r="W1994" s="85" t="e">
        <f>W1993/M1972</f>
        <v>#DIV/0!</v>
      </c>
      <c r="X1994" s="86"/>
      <c r="Y1994" s="501" t="s">
        <v>365</v>
      </c>
      <c r="Z1994" s="501"/>
      <c r="AA1994" s="87" t="e">
        <f>AA1993/M1972</f>
        <v>#DIV/0!</v>
      </c>
      <c r="AB1994" s="84"/>
      <c r="AC1994" s="84"/>
      <c r="AD1994" s="84"/>
      <c r="AE1994" s="84"/>
      <c r="AF1994" s="501" t="s">
        <v>365</v>
      </c>
      <c r="AG1994" s="501"/>
      <c r="AH1994" s="87" t="e">
        <f>AH1993/M1972</f>
        <v>#DIV/0!</v>
      </c>
      <c r="AI1994" s="84"/>
      <c r="AJ1994" s="84"/>
      <c r="AK1994" s="84"/>
      <c r="AL1994" s="247"/>
      <c r="AM1994" s="257"/>
      <c r="AN1994" s="236">
        <f>K1994*1.25</f>
        <v>0</v>
      </c>
      <c r="AO1994" s="286"/>
      <c r="AP1994" s="284">
        <f t="shared" si="890"/>
        <v>0</v>
      </c>
      <c r="AQ1994" s="281">
        <f t="shared" si="891"/>
        <v>0</v>
      </c>
      <c r="AR1994" s="284">
        <f t="shared" si="892"/>
        <v>0</v>
      </c>
      <c r="AS1994" s="281">
        <f t="shared" si="893"/>
        <v>0</v>
      </c>
      <c r="AT1994" s="284">
        <f t="shared" si="894"/>
        <v>0</v>
      </c>
      <c r="AU1994" s="117"/>
      <c r="AV1994" s="117"/>
      <c r="AW1994" s="117"/>
      <c r="AX1994" s="117"/>
      <c r="AY1994" s="117"/>
      <c r="AZ1994" s="117"/>
      <c r="BA1994" s="117"/>
      <c r="BB1994" s="117"/>
      <c r="BC1994" s="117"/>
      <c r="BD1994" s="117"/>
      <c r="BE1994" s="117"/>
      <c r="BF1994" s="117"/>
      <c r="BG1994" s="117"/>
      <c r="BH1994" s="117"/>
      <c r="BI1994" s="117"/>
      <c r="BJ1994" s="117"/>
      <c r="BK1994" s="117"/>
      <c r="BL1994" s="117"/>
      <c r="BM1994" s="117"/>
      <c r="BN1994" s="117"/>
      <c r="BO1994" s="117"/>
      <c r="BP1994" s="117"/>
      <c r="BQ1994" s="117"/>
      <c r="BR1994" s="117"/>
      <c r="BS1994" s="117"/>
      <c r="BT1994" s="117"/>
      <c r="BU1994" s="117"/>
      <c r="BV1994" s="117"/>
      <c r="BW1994" s="117"/>
      <c r="BX1994" s="117"/>
      <c r="BY1994" s="117"/>
      <c r="BZ1994" s="117"/>
      <c r="CA1994" s="117"/>
      <c r="CB1994" s="117"/>
      <c r="CC1994" s="117"/>
      <c r="CD1994" s="117"/>
      <c r="CE1994" s="117"/>
      <c r="CF1994" s="117"/>
      <c r="CG1994" s="117"/>
      <c r="CH1994" s="117"/>
      <c r="CI1994" s="117"/>
      <c r="CJ1994" s="117"/>
      <c r="CK1994" s="117"/>
      <c r="CL1994" s="117"/>
      <c r="CM1994" s="117"/>
      <c r="CN1994" s="117"/>
      <c r="CO1994" s="117"/>
      <c r="CP1994" s="117"/>
      <c r="CQ1994" s="117"/>
      <c r="CR1994" s="117"/>
      <c r="CS1994" s="117"/>
    </row>
    <row r="1995" spans="1:97" s="261" customFormat="1" ht="92.6" x14ac:dyDescent="1.2">
      <c r="A1995" s="262">
        <f>ROW()</f>
        <v>1995</v>
      </c>
      <c r="B1995" s="261" t="s">
        <v>491</v>
      </c>
      <c r="D1995" s="261" t="str">
        <f>IF(B1995="Shopping List",IF(ISNUMBER(SEARCH("MSSB",C1995)),"MSSB",IF(ISNUMBER(SEARCH("local",C1995)),"LOCAL","")))</f>
        <v/>
      </c>
      <c r="I1995" s="269">
        <f>SUM(I2019:I2091)</f>
        <v>0</v>
      </c>
      <c r="J1995" s="261" t="s">
        <v>680</v>
      </c>
      <c r="L1995" s="261" t="str">
        <f>J1995</f>
        <v>Other</v>
      </c>
      <c r="AN1995" s="261">
        <f>K1995*1.25</f>
        <v>0</v>
      </c>
      <c r="AO1995" s="289"/>
      <c r="AP1995" s="284">
        <f t="shared" si="890"/>
        <v>0</v>
      </c>
      <c r="AQ1995" s="281">
        <f t="shared" si="891"/>
        <v>0</v>
      </c>
      <c r="AR1995" s="284">
        <f t="shared" si="892"/>
        <v>0</v>
      </c>
      <c r="AS1995" s="281">
        <f t="shared" si="893"/>
        <v>0</v>
      </c>
      <c r="AT1995" s="284">
        <f t="shared" si="894"/>
        <v>0</v>
      </c>
    </row>
    <row r="1996" spans="1:97" s="116" customFormat="1" ht="193.5" customHeight="1" x14ac:dyDescent="0.8">
      <c r="A1996" s="262">
        <f>ROW()</f>
        <v>1996</v>
      </c>
      <c r="C1996" s="211"/>
      <c r="D1996" s="211"/>
      <c r="E1996" s="211"/>
      <c r="F1996" s="211"/>
      <c r="G1996" s="211"/>
      <c r="H1996" s="211"/>
      <c r="K1996" s="116" t="s">
        <v>452</v>
      </c>
      <c r="M1996" s="116" t="s">
        <v>107</v>
      </c>
      <c r="N1996" s="116" t="s">
        <v>108</v>
      </c>
      <c r="O1996" s="170" t="s">
        <v>386</v>
      </c>
      <c r="P1996" s="504" t="s">
        <v>375</v>
      </c>
      <c r="Q1996" s="504"/>
      <c r="R1996" s="101" t="s">
        <v>452</v>
      </c>
      <c r="S1996" s="116" t="s">
        <v>0</v>
      </c>
      <c r="T1996" s="118"/>
      <c r="U1996" s="116" t="s">
        <v>287</v>
      </c>
      <c r="V1996" s="116" t="s">
        <v>288</v>
      </c>
      <c r="W1996" s="116" t="s">
        <v>291</v>
      </c>
      <c r="X1996" s="140"/>
      <c r="Y1996" s="116" t="s">
        <v>289</v>
      </c>
      <c r="Z1996" s="116" t="s">
        <v>354</v>
      </c>
      <c r="AA1996" s="116" t="s">
        <v>355</v>
      </c>
      <c r="AB1996" s="116" t="s">
        <v>317</v>
      </c>
      <c r="AC1996" s="116" t="s">
        <v>318</v>
      </c>
      <c r="AD1996" s="116" t="s">
        <v>316</v>
      </c>
      <c r="AE1996" s="140"/>
      <c r="AF1996" s="116" t="s">
        <v>293</v>
      </c>
      <c r="AG1996" s="116" t="s">
        <v>354</v>
      </c>
      <c r="AH1996" s="116" t="s">
        <v>355</v>
      </c>
      <c r="AI1996" s="116" t="s">
        <v>296</v>
      </c>
      <c r="AJ1996" s="116" t="s">
        <v>294</v>
      </c>
      <c r="AK1996" s="116" t="s">
        <v>295</v>
      </c>
      <c r="AL1996" s="140"/>
      <c r="AO1996" s="288"/>
      <c r="AP1996" s="284">
        <f t="shared" si="890"/>
        <v>0</v>
      </c>
      <c r="AQ1996" s="281">
        <f t="shared" si="891"/>
        <v>0</v>
      </c>
      <c r="AR1996" s="284">
        <f t="shared" si="892"/>
        <v>0</v>
      </c>
      <c r="AS1996" s="281">
        <f t="shared" si="893"/>
        <v>0</v>
      </c>
      <c r="AT1996" s="284">
        <f t="shared" si="894"/>
        <v>0</v>
      </c>
    </row>
    <row r="1997" spans="1:97" s="114" customFormat="1" ht="68.25" customHeight="1" x14ac:dyDescent="0.8">
      <c r="A1997" s="262">
        <f>ROW()</f>
        <v>1997</v>
      </c>
      <c r="C1997" s="208"/>
      <c r="D1997" s="208"/>
      <c r="E1997" s="208"/>
      <c r="F1997" s="208"/>
      <c r="G1997" s="208"/>
      <c r="H1997" s="208"/>
      <c r="L1997" s="124" t="str">
        <f>VLOOKUP(M1997,Sheet2!$D$2:$E$1024,2,FALSE)</f>
        <v>Zero</v>
      </c>
      <c r="M1997" s="121">
        <f>I2019</f>
        <v>0</v>
      </c>
      <c r="N1997" s="132" t="s">
        <v>628</v>
      </c>
      <c r="O1997" s="121" t="s">
        <v>347</v>
      </c>
      <c r="P1997" s="169" t="s">
        <v>379</v>
      </c>
      <c r="Q1997" s="169" t="s">
        <v>375</v>
      </c>
      <c r="R1997" s="169"/>
      <c r="S1997" s="133">
        <f>M1997</f>
        <v>0</v>
      </c>
      <c r="T1997" s="119"/>
      <c r="U1997" s="153" t="s">
        <v>292</v>
      </c>
      <c r="V1997" s="133">
        <f>S1997</f>
        <v>0</v>
      </c>
      <c r="W1997" s="133">
        <f>VLOOKUP(U1997,Sheet1!$B$6:$C$45,2,FALSE)*V1997</f>
        <v>0</v>
      </c>
      <c r="X1997" s="141"/>
      <c r="Y1997" s="121" t="s">
        <v>292</v>
      </c>
      <c r="Z1997" s="146">
        <f>VLOOKUP(Takeoffs!Y1997,Sheet1!$B$6:$C$124,2,FALSE)</f>
        <v>0</v>
      </c>
      <c r="AA1997" s="146">
        <f>Z1997*AB1997</f>
        <v>0</v>
      </c>
      <c r="AB1997" s="143">
        <f>AD1997*AC1997</f>
        <v>0</v>
      </c>
      <c r="AC1997" s="133">
        <f>S1997</f>
        <v>0</v>
      </c>
      <c r="AD1997" s="142">
        <v>1</v>
      </c>
      <c r="AE1997" s="141"/>
      <c r="AF1997" s="121" t="s">
        <v>292</v>
      </c>
      <c r="AG1997" s="146">
        <f>VLOOKUP(Takeoffs!AF1997,Sheet1!$B$6:$C$124,2,FALSE)</f>
        <v>0</v>
      </c>
      <c r="AH1997" s="146">
        <f>AG1997*AI1997</f>
        <v>0</v>
      </c>
      <c r="AI1997" s="143">
        <f>AK1997*AJ1997</f>
        <v>0</v>
      </c>
      <c r="AJ1997" s="133">
        <f>S1997</f>
        <v>0</v>
      </c>
      <c r="AK1997" s="142">
        <f>T1997</f>
        <v>0</v>
      </c>
      <c r="AL1997" s="141"/>
      <c r="AO1997" s="286"/>
      <c r="AP1997" s="284">
        <f t="shared" si="890"/>
        <v>0</v>
      </c>
      <c r="AQ1997" s="281">
        <f t="shared" si="891"/>
        <v>0</v>
      </c>
      <c r="AR1997" s="284">
        <f t="shared" si="892"/>
        <v>0</v>
      </c>
      <c r="AS1997" s="281">
        <f t="shared" si="893"/>
        <v>0</v>
      </c>
      <c r="AT1997" s="284">
        <f t="shared" si="894"/>
        <v>0</v>
      </c>
    </row>
    <row r="1998" spans="1:97" s="114" customFormat="1" ht="30.9" x14ac:dyDescent="0.8">
      <c r="A1998" s="262">
        <f>ROW()</f>
        <v>1998</v>
      </c>
      <c r="C1998" s="208"/>
      <c r="D1998" s="208"/>
      <c r="E1998" s="208"/>
      <c r="F1998" s="208"/>
      <c r="G1998" s="208"/>
      <c r="H1998" s="208"/>
      <c r="J1998" s="114" t="str">
        <f>IF(COUNTBLANK(Q1998)&gt;0,"",CONCATENATE("Coordination Note: - ",P1998,": Please refer to our exclusions relating to ",Q1998))</f>
        <v/>
      </c>
      <c r="K1998" s="114" t="str">
        <f>IF(COUNTBLANK(R1998)&gt;0,"",CONCATENATE(R1998," for ",N1997))</f>
        <v/>
      </c>
      <c r="M1998" s="117"/>
      <c r="N1998" s="123" t="s">
        <v>113</v>
      </c>
      <c r="O1998" s="66"/>
      <c r="P1998" s="121"/>
      <c r="Q1998" s="66"/>
      <c r="R1998" s="121"/>
      <c r="S1998" s="133">
        <f>M1997</f>
        <v>0</v>
      </c>
      <c r="T1998" s="120"/>
      <c r="U1998" s="153" t="s">
        <v>292</v>
      </c>
      <c r="V1998" s="133">
        <f t="shared" ref="V1998:V2017" si="911">S1998</f>
        <v>0</v>
      </c>
      <c r="W1998" s="133">
        <f>VLOOKUP(U1998,Sheet1!$B$6:$C$45,2,FALSE)*V1998</f>
        <v>0</v>
      </c>
      <c r="X1998" s="141"/>
      <c r="Y1998" s="121" t="s">
        <v>292</v>
      </c>
      <c r="Z1998" s="146">
        <f>VLOOKUP(Takeoffs!Y1998,Sheet1!$B$6:$C$124,2,FALSE)</f>
        <v>0</v>
      </c>
      <c r="AA1998" s="146">
        <f t="shared" ref="AA1998:AA2017" si="912">Z1998*AB1998</f>
        <v>0</v>
      </c>
      <c r="AB1998" s="143">
        <f t="shared" ref="AB1998:AB2017" si="913">AD1998*AC1998</f>
        <v>0</v>
      </c>
      <c r="AC1998" s="133">
        <f t="shared" ref="AC1998:AC2017" si="914">S1998</f>
        <v>0</v>
      </c>
      <c r="AD1998" s="142">
        <v>1</v>
      </c>
      <c r="AE1998" s="141"/>
      <c r="AF1998" s="121" t="s">
        <v>292</v>
      </c>
      <c r="AG1998" s="146">
        <f>VLOOKUP(Takeoffs!AF1998,Sheet1!$B$6:$C$124,2,FALSE)</f>
        <v>0</v>
      </c>
      <c r="AH1998" s="146">
        <f t="shared" ref="AH1998:AH2017" si="915">AG1998*AI1998</f>
        <v>0</v>
      </c>
      <c r="AI1998" s="143">
        <f t="shared" ref="AI1998:AI2017" si="916">AK1998*AJ1998</f>
        <v>0</v>
      </c>
      <c r="AJ1998" s="133">
        <f t="shared" ref="AJ1998:AJ2017" si="917">S1998</f>
        <v>0</v>
      </c>
      <c r="AK1998" s="142"/>
      <c r="AL1998" s="141"/>
      <c r="AO1998" s="286"/>
      <c r="AP1998" s="284">
        <f t="shared" si="890"/>
        <v>0</v>
      </c>
      <c r="AQ1998" s="281">
        <f t="shared" si="891"/>
        <v>0</v>
      </c>
      <c r="AR1998" s="284">
        <f t="shared" si="892"/>
        <v>0</v>
      </c>
      <c r="AS1998" s="281">
        <f t="shared" si="893"/>
        <v>0</v>
      </c>
      <c r="AT1998" s="284">
        <f t="shared" si="894"/>
        <v>0</v>
      </c>
    </row>
    <row r="1999" spans="1:97" s="114" customFormat="1" ht="30.9" x14ac:dyDescent="0.8">
      <c r="A1999" s="262">
        <f>ROW()</f>
        <v>1999</v>
      </c>
      <c r="C1999" s="208"/>
      <c r="D1999" s="208"/>
      <c r="E1999" s="208"/>
      <c r="F1999" s="208"/>
      <c r="G1999" s="208"/>
      <c r="H1999" s="208"/>
      <c r="J1999" s="114" t="str">
        <f t="shared" ref="J1999:J2017" si="918">IF(COUNTBLANK(Q1999)&gt;0,"",CONCATENATE("Coordination Note: - ",P1999,": Please refer to our exclusions relating to ",Q1999))</f>
        <v/>
      </c>
      <c r="K1999" s="114" t="str">
        <f>IF(COUNTBLANK(R1999)&gt;0,"",CONCATENATE(R1999," for ",N1997))</f>
        <v/>
      </c>
      <c r="M1999" s="117"/>
      <c r="N1999" s="123" t="s">
        <v>114</v>
      </c>
      <c r="O1999" s="66" t="s">
        <v>308</v>
      </c>
      <c r="P1999" s="121"/>
      <c r="Q1999" s="66"/>
      <c r="R1999" s="121"/>
      <c r="S1999" s="133">
        <f>M1997</f>
        <v>0</v>
      </c>
      <c r="T1999" s="120"/>
      <c r="U1999" s="121" t="s">
        <v>292</v>
      </c>
      <c r="V1999" s="133">
        <f t="shared" si="911"/>
        <v>0</v>
      </c>
      <c r="W1999" s="133">
        <f>VLOOKUP(U1999,Sheet1!$B$6:$C$45,2,FALSE)*V1999</f>
        <v>0</v>
      </c>
      <c r="X1999" s="141"/>
      <c r="Y1999" s="135" t="s">
        <v>250</v>
      </c>
      <c r="Z1999" s="146">
        <f>VLOOKUP(Takeoffs!Y1999,Sheet1!$B$6:$C$124,2,FALSE)</f>
        <v>43.440000000000005</v>
      </c>
      <c r="AA1999" s="146">
        <f t="shared" si="912"/>
        <v>0</v>
      </c>
      <c r="AB1999" s="143">
        <f t="shared" si="913"/>
        <v>0</v>
      </c>
      <c r="AC1999" s="133">
        <f t="shared" si="914"/>
        <v>0</v>
      </c>
      <c r="AD1999" s="142">
        <v>1</v>
      </c>
      <c r="AE1999" s="141"/>
      <c r="AF1999" s="121" t="s">
        <v>292</v>
      </c>
      <c r="AG1999" s="146">
        <f>VLOOKUP(Takeoffs!AF1999,Sheet1!$B$6:$C$124,2,FALSE)</f>
        <v>0</v>
      </c>
      <c r="AH1999" s="146">
        <f t="shared" si="915"/>
        <v>0</v>
      </c>
      <c r="AI1999" s="143">
        <f t="shared" si="916"/>
        <v>0</v>
      </c>
      <c r="AJ1999" s="133">
        <f t="shared" si="917"/>
        <v>0</v>
      </c>
      <c r="AK1999" s="142">
        <f>T1999</f>
        <v>0</v>
      </c>
      <c r="AL1999" s="141"/>
      <c r="AO1999" s="286"/>
      <c r="AP1999" s="284">
        <f t="shared" si="890"/>
        <v>0</v>
      </c>
      <c r="AQ1999" s="281">
        <f t="shared" si="891"/>
        <v>0</v>
      </c>
      <c r="AR1999" s="284">
        <f t="shared" si="892"/>
        <v>0</v>
      </c>
      <c r="AS1999" s="281">
        <f t="shared" si="893"/>
        <v>0</v>
      </c>
      <c r="AT1999" s="284">
        <f t="shared" si="894"/>
        <v>0</v>
      </c>
    </row>
    <row r="2000" spans="1:97" s="114" customFormat="1" ht="30.9" x14ac:dyDescent="0.8">
      <c r="A2000" s="262">
        <f>ROW()</f>
        <v>2000</v>
      </c>
      <c r="C2000" s="208"/>
      <c r="D2000" s="208"/>
      <c r="E2000" s="208"/>
      <c r="F2000" s="208"/>
      <c r="G2000" s="208"/>
      <c r="H2000" s="208"/>
      <c r="J2000" s="114" t="str">
        <f t="shared" si="918"/>
        <v/>
      </c>
      <c r="K2000" s="114" t="str">
        <f>IF(COUNTBLANK(R2000)&gt;0,"",CONCATENATE(R2000," for ",N1997))</f>
        <v/>
      </c>
      <c r="M2000" s="117"/>
      <c r="N2000" s="123" t="s">
        <v>115</v>
      </c>
      <c r="O2000" s="66" t="s">
        <v>629</v>
      </c>
      <c r="P2000" s="121"/>
      <c r="Q2000" s="66"/>
      <c r="R2000" s="121"/>
      <c r="S2000" s="133">
        <f>M1997</f>
        <v>0</v>
      </c>
      <c r="T2000" s="120"/>
      <c r="U2000" s="121" t="s">
        <v>292</v>
      </c>
      <c r="V2000" s="133">
        <f t="shared" si="911"/>
        <v>0</v>
      </c>
      <c r="W2000" s="133">
        <f>VLOOKUP(U2000,Sheet1!$B$6:$C$45,2,FALSE)*V2000</f>
        <v>0</v>
      </c>
      <c r="X2000" s="141"/>
      <c r="Y2000" s="121" t="s">
        <v>292</v>
      </c>
      <c r="Z2000" s="146">
        <f>VLOOKUP(Takeoffs!Y2000,Sheet1!$B$6:$C$124,2,FALSE)</f>
        <v>0</v>
      </c>
      <c r="AA2000" s="146">
        <f t="shared" si="912"/>
        <v>0</v>
      </c>
      <c r="AB2000" s="143">
        <f t="shared" si="913"/>
        <v>0</v>
      </c>
      <c r="AC2000" s="133">
        <f t="shared" si="914"/>
        <v>0</v>
      </c>
      <c r="AD2000" s="142">
        <v>1</v>
      </c>
      <c r="AE2000" s="141"/>
      <c r="AF2000" s="122" t="s">
        <v>267</v>
      </c>
      <c r="AG2000" s="146">
        <f>VLOOKUP(Takeoffs!AF2000,Sheet1!$B$6:$C$124,2,FALSE)</f>
        <v>3.48</v>
      </c>
      <c r="AH2000" s="146">
        <f t="shared" si="915"/>
        <v>0</v>
      </c>
      <c r="AI2000" s="143">
        <f t="shared" si="916"/>
        <v>0</v>
      </c>
      <c r="AJ2000" s="133">
        <f t="shared" si="917"/>
        <v>0</v>
      </c>
      <c r="AK2000" s="142">
        <v>20</v>
      </c>
      <c r="AL2000" s="141"/>
      <c r="AO2000" s="286"/>
      <c r="AP2000" s="284">
        <f t="shared" si="890"/>
        <v>0</v>
      </c>
      <c r="AQ2000" s="281">
        <f t="shared" si="891"/>
        <v>0</v>
      </c>
      <c r="AR2000" s="284">
        <f t="shared" si="892"/>
        <v>0</v>
      </c>
      <c r="AS2000" s="281">
        <f t="shared" si="893"/>
        <v>0</v>
      </c>
      <c r="AT2000" s="284">
        <f t="shared" si="894"/>
        <v>0</v>
      </c>
    </row>
    <row r="2001" spans="1:46" s="114" customFormat="1" ht="30.9" x14ac:dyDescent="0.8">
      <c r="A2001" s="262">
        <f>ROW()</f>
        <v>2001</v>
      </c>
      <c r="C2001" s="208"/>
      <c r="D2001" s="208"/>
      <c r="E2001" s="208"/>
      <c r="F2001" s="208"/>
      <c r="G2001" s="208"/>
      <c r="H2001" s="208"/>
      <c r="J2001" s="114" t="str">
        <f t="shared" si="918"/>
        <v/>
      </c>
      <c r="K2001" s="114" t="str">
        <f>IF(COUNTBLANK(R2001)&gt;0,"",CONCATENATE(R2001," for ",N1997))</f>
        <v/>
      </c>
      <c r="M2001" s="117"/>
      <c r="N2001" s="123" t="s">
        <v>116</v>
      </c>
      <c r="O2001" s="66"/>
      <c r="P2001" s="121"/>
      <c r="Q2001" s="66"/>
      <c r="R2001" s="121"/>
      <c r="S2001" s="133">
        <f>M1997</f>
        <v>0</v>
      </c>
      <c r="T2001" s="120"/>
      <c r="U2001" s="121" t="s">
        <v>292</v>
      </c>
      <c r="V2001" s="133">
        <f t="shared" si="911"/>
        <v>0</v>
      </c>
      <c r="W2001" s="133">
        <f>VLOOKUP(U2001,Sheet1!$B$6:$C$45,2,FALSE)*V2001</f>
        <v>0</v>
      </c>
      <c r="X2001" s="141"/>
      <c r="Y2001" s="121" t="s">
        <v>292</v>
      </c>
      <c r="Z2001" s="146">
        <f>VLOOKUP(Takeoffs!Y2001,Sheet1!$B$6:$C$124,2,FALSE)</f>
        <v>0</v>
      </c>
      <c r="AA2001" s="146">
        <f t="shared" si="912"/>
        <v>0</v>
      </c>
      <c r="AB2001" s="143">
        <f t="shared" si="913"/>
        <v>0</v>
      </c>
      <c r="AC2001" s="133">
        <f t="shared" si="914"/>
        <v>0</v>
      </c>
      <c r="AD2001" s="142">
        <v>1</v>
      </c>
      <c r="AE2001" s="141"/>
      <c r="AF2001" s="121" t="s">
        <v>292</v>
      </c>
      <c r="AG2001" s="146">
        <f>VLOOKUP(Takeoffs!AF2001,Sheet1!$B$6:$C$124,2,FALSE)</f>
        <v>0</v>
      </c>
      <c r="AH2001" s="146">
        <f t="shared" si="915"/>
        <v>0</v>
      </c>
      <c r="AI2001" s="143">
        <f t="shared" si="916"/>
        <v>0</v>
      </c>
      <c r="AJ2001" s="133">
        <f t="shared" si="917"/>
        <v>0</v>
      </c>
      <c r="AK2001" s="142">
        <f t="shared" ref="AK2001:AK2008" si="919">T2001</f>
        <v>0</v>
      </c>
      <c r="AL2001" s="141"/>
      <c r="AO2001" s="286"/>
      <c r="AP2001" s="284">
        <f t="shared" si="890"/>
        <v>0</v>
      </c>
      <c r="AQ2001" s="281">
        <f t="shared" si="891"/>
        <v>0</v>
      </c>
      <c r="AR2001" s="284">
        <f t="shared" si="892"/>
        <v>0</v>
      </c>
      <c r="AS2001" s="281">
        <f t="shared" si="893"/>
        <v>0</v>
      </c>
      <c r="AT2001" s="284">
        <f t="shared" si="894"/>
        <v>0</v>
      </c>
    </row>
    <row r="2002" spans="1:46" s="114" customFormat="1" ht="30.9" x14ac:dyDescent="0.8">
      <c r="A2002" s="262">
        <f>ROW()</f>
        <v>2002</v>
      </c>
      <c r="C2002" s="208"/>
      <c r="D2002" s="208"/>
      <c r="E2002" s="208"/>
      <c r="F2002" s="208"/>
      <c r="G2002" s="208"/>
      <c r="H2002" s="208"/>
      <c r="J2002" s="114" t="str">
        <f t="shared" si="918"/>
        <v/>
      </c>
      <c r="K2002" s="114" t="str">
        <f>IF(COUNTBLANK(R2002)&gt;0,"",CONCATENATE(R2002," for ",N1997))</f>
        <v/>
      </c>
      <c r="M2002" s="117"/>
      <c r="N2002" s="123" t="s">
        <v>117</v>
      </c>
      <c r="O2002" s="66"/>
      <c r="P2002" s="121"/>
      <c r="Q2002" s="66"/>
      <c r="R2002" s="121"/>
      <c r="S2002" s="133">
        <f>M1997</f>
        <v>0</v>
      </c>
      <c r="T2002" s="120"/>
      <c r="U2002" s="121" t="s">
        <v>292</v>
      </c>
      <c r="V2002" s="133">
        <f t="shared" si="911"/>
        <v>0</v>
      </c>
      <c r="W2002" s="133">
        <f>VLOOKUP(U2002,Sheet1!$B$6:$C$45,2,FALSE)*V2002</f>
        <v>0</v>
      </c>
      <c r="X2002" s="141"/>
      <c r="Y2002" s="121" t="s">
        <v>292</v>
      </c>
      <c r="Z2002" s="146">
        <f>VLOOKUP(Takeoffs!Y2002,Sheet1!$B$6:$C$124,2,FALSE)</f>
        <v>0</v>
      </c>
      <c r="AA2002" s="146">
        <f t="shared" si="912"/>
        <v>0</v>
      </c>
      <c r="AB2002" s="143">
        <f t="shared" si="913"/>
        <v>0</v>
      </c>
      <c r="AC2002" s="133">
        <f t="shared" si="914"/>
        <v>0</v>
      </c>
      <c r="AD2002" s="142">
        <v>1</v>
      </c>
      <c r="AE2002" s="141"/>
      <c r="AF2002" s="121" t="s">
        <v>292</v>
      </c>
      <c r="AG2002" s="146">
        <f>VLOOKUP(Takeoffs!AF2002,Sheet1!$B$6:$C$124,2,FALSE)</f>
        <v>0</v>
      </c>
      <c r="AH2002" s="146">
        <f t="shared" si="915"/>
        <v>0</v>
      </c>
      <c r="AI2002" s="143">
        <f t="shared" si="916"/>
        <v>0</v>
      </c>
      <c r="AJ2002" s="133">
        <f t="shared" si="917"/>
        <v>0</v>
      </c>
      <c r="AK2002" s="142">
        <f t="shared" si="919"/>
        <v>0</v>
      </c>
      <c r="AL2002" s="141"/>
      <c r="AO2002" s="286"/>
      <c r="AP2002" s="284">
        <f t="shared" si="890"/>
        <v>0</v>
      </c>
      <c r="AQ2002" s="281">
        <f t="shared" si="891"/>
        <v>0</v>
      </c>
      <c r="AR2002" s="284">
        <f t="shared" si="892"/>
        <v>0</v>
      </c>
      <c r="AS2002" s="281">
        <f t="shared" si="893"/>
        <v>0</v>
      </c>
      <c r="AT2002" s="284">
        <f t="shared" si="894"/>
        <v>0</v>
      </c>
    </row>
    <row r="2003" spans="1:46" s="114" customFormat="1" ht="30.9" x14ac:dyDescent="0.8">
      <c r="A2003" s="262">
        <f>ROW()</f>
        <v>2003</v>
      </c>
      <c r="C2003" s="208"/>
      <c r="D2003" s="208"/>
      <c r="E2003" s="208"/>
      <c r="F2003" s="208"/>
      <c r="G2003" s="208"/>
      <c r="H2003" s="208"/>
      <c r="J2003" s="114" t="str">
        <f t="shared" si="918"/>
        <v/>
      </c>
      <c r="K2003" s="114" t="str">
        <f>IF(COUNTBLANK(R2003)&gt;0,"",CONCATENATE(R2003," for ",N1997))</f>
        <v/>
      </c>
      <c r="M2003" s="117"/>
      <c r="N2003" s="123" t="s">
        <v>118</v>
      </c>
      <c r="O2003" s="66"/>
      <c r="P2003" s="121"/>
      <c r="Q2003" s="66"/>
      <c r="R2003" s="121"/>
      <c r="S2003" s="133">
        <f>M1997</f>
        <v>0</v>
      </c>
      <c r="T2003" s="120"/>
      <c r="U2003" s="121" t="s">
        <v>292</v>
      </c>
      <c r="V2003" s="133">
        <f t="shared" si="911"/>
        <v>0</v>
      </c>
      <c r="W2003" s="133">
        <f>VLOOKUP(U2003,Sheet1!$B$6:$C$45,2,FALSE)*V2003</f>
        <v>0</v>
      </c>
      <c r="X2003" s="141"/>
      <c r="Y2003" s="135" t="s">
        <v>245</v>
      </c>
      <c r="Z2003" s="146">
        <f>VLOOKUP(Takeoffs!Y2003,Sheet1!$B$6:$C$124,2,FALSE)</f>
        <v>46.463999999999999</v>
      </c>
      <c r="AA2003" s="146">
        <f t="shared" si="912"/>
        <v>0</v>
      </c>
      <c r="AB2003" s="143">
        <f t="shared" si="913"/>
        <v>0</v>
      </c>
      <c r="AC2003" s="133">
        <f t="shared" si="914"/>
        <v>0</v>
      </c>
      <c r="AD2003" s="142">
        <v>1</v>
      </c>
      <c r="AE2003" s="141"/>
      <c r="AF2003" s="121" t="s">
        <v>292</v>
      </c>
      <c r="AG2003" s="146">
        <f>VLOOKUP(Takeoffs!AF2003,Sheet1!$B$6:$C$124,2,FALSE)</f>
        <v>0</v>
      </c>
      <c r="AH2003" s="146">
        <f t="shared" si="915"/>
        <v>0</v>
      </c>
      <c r="AI2003" s="143">
        <f t="shared" si="916"/>
        <v>0</v>
      </c>
      <c r="AJ2003" s="133">
        <f t="shared" si="917"/>
        <v>0</v>
      </c>
      <c r="AK2003" s="142">
        <f t="shared" si="919"/>
        <v>0</v>
      </c>
      <c r="AL2003" s="141"/>
      <c r="AO2003" s="286"/>
      <c r="AP2003" s="284">
        <f t="shared" si="890"/>
        <v>0</v>
      </c>
      <c r="AQ2003" s="281">
        <f t="shared" si="891"/>
        <v>0</v>
      </c>
      <c r="AR2003" s="284">
        <f t="shared" si="892"/>
        <v>0</v>
      </c>
      <c r="AS2003" s="281">
        <f t="shared" si="893"/>
        <v>0</v>
      </c>
      <c r="AT2003" s="284">
        <f t="shared" si="894"/>
        <v>0</v>
      </c>
    </row>
    <row r="2004" spans="1:46" s="114" customFormat="1" ht="30.9" x14ac:dyDescent="0.8">
      <c r="A2004" s="262">
        <f>ROW()</f>
        <v>2004</v>
      </c>
      <c r="C2004" s="208"/>
      <c r="D2004" s="208"/>
      <c r="E2004" s="208"/>
      <c r="F2004" s="208"/>
      <c r="G2004" s="208"/>
      <c r="H2004" s="208"/>
      <c r="J2004" s="114" t="str">
        <f t="shared" si="918"/>
        <v/>
      </c>
      <c r="K2004" s="114" t="str">
        <f>IF(COUNTBLANK(R2004)&gt;0,"",CONCATENATE(R2004," for ",N1997))</f>
        <v/>
      </c>
      <c r="N2004" s="123" t="s">
        <v>119</v>
      </c>
      <c r="O2004" s="66"/>
      <c r="P2004" s="121"/>
      <c r="Q2004" s="66"/>
      <c r="R2004" s="121"/>
      <c r="S2004" s="133">
        <f>M1997</f>
        <v>0</v>
      </c>
      <c r="T2004" s="120"/>
      <c r="U2004" s="121" t="s">
        <v>292</v>
      </c>
      <c r="V2004" s="133">
        <f t="shared" si="911"/>
        <v>0</v>
      </c>
      <c r="W2004" s="133">
        <f>VLOOKUP(U2004,Sheet1!$B$6:$C$45,2,FALSE)*V2004</f>
        <v>0</v>
      </c>
      <c r="X2004" s="141"/>
      <c r="Y2004" s="121" t="s">
        <v>292</v>
      </c>
      <c r="Z2004" s="146">
        <f>VLOOKUP(Takeoffs!Y2004,Sheet1!$B$6:$C$124,2,FALSE)</f>
        <v>0</v>
      </c>
      <c r="AA2004" s="146">
        <f t="shared" si="912"/>
        <v>0</v>
      </c>
      <c r="AB2004" s="143">
        <f t="shared" si="913"/>
        <v>0</v>
      </c>
      <c r="AC2004" s="133">
        <f t="shared" si="914"/>
        <v>0</v>
      </c>
      <c r="AD2004" s="142">
        <v>1</v>
      </c>
      <c r="AE2004" s="141"/>
      <c r="AF2004" s="121" t="s">
        <v>292</v>
      </c>
      <c r="AG2004" s="146">
        <f>VLOOKUP(Takeoffs!AF2004,Sheet1!$B$6:$C$124,2,FALSE)</f>
        <v>0</v>
      </c>
      <c r="AH2004" s="146">
        <f t="shared" si="915"/>
        <v>0</v>
      </c>
      <c r="AI2004" s="143">
        <f t="shared" si="916"/>
        <v>0</v>
      </c>
      <c r="AJ2004" s="133">
        <f t="shared" si="917"/>
        <v>0</v>
      </c>
      <c r="AK2004" s="142">
        <f t="shared" si="919"/>
        <v>0</v>
      </c>
      <c r="AL2004" s="141"/>
      <c r="AO2004" s="286"/>
      <c r="AP2004" s="284">
        <f t="shared" ref="AP2004:AP2067" si="920">IF(AND(I2004&gt;0, ISNUMBER(I2004)),I2004*P2004,0)</f>
        <v>0</v>
      </c>
      <c r="AQ2004" s="281">
        <f t="shared" ref="AQ2004:AQ2067" si="921">IF(AND(I2004&gt;0, ISNUMBER(I2004)),I2004*W2004*80,0)</f>
        <v>0</v>
      </c>
      <c r="AR2004" s="284">
        <f t="shared" ref="AR2004:AR2067" si="922">IF(AND(I2004&gt;0, ISNUMBER(I2004)),I2004*AA2004,0)</f>
        <v>0</v>
      </c>
      <c r="AS2004" s="281">
        <f t="shared" ref="AS2004:AS2067" si="923">IF(AND(I2004&gt;0, ISNUMBER(I2004)),I2004*AH2004,0)</f>
        <v>0</v>
      </c>
      <c r="AT2004" s="284">
        <f t="shared" ref="AT2004:AT2067" si="924">IF(AND(I2004&gt;0, ISNUMBER(I2004)),I2004*(AP2004-(AQ2004+AR2004+AS2004)),0)</f>
        <v>0</v>
      </c>
    </row>
    <row r="2005" spans="1:46" s="114" customFormat="1" ht="30.9" x14ac:dyDescent="0.8">
      <c r="A2005" s="262">
        <f>ROW()</f>
        <v>2005</v>
      </c>
      <c r="C2005" s="208"/>
      <c r="D2005" s="208"/>
      <c r="E2005" s="208"/>
      <c r="F2005" s="208"/>
      <c r="G2005" s="208"/>
      <c r="H2005" s="208"/>
      <c r="J2005" s="114" t="str">
        <f t="shared" si="918"/>
        <v xml:space="preserve">Coordination Note: - Customers in-house electrician: Please refer to our exclusions relating to heater  trefolyte label. </v>
      </c>
      <c r="K2005" s="114" t="str">
        <f>IF(COUNTBLANK(R2005)&gt;0,"",CONCATENATE(R2005," for ",N1997))</f>
        <v/>
      </c>
      <c r="N2005" s="123" t="s">
        <v>120</v>
      </c>
      <c r="O2005" s="66"/>
      <c r="P2005" s="121" t="s">
        <v>593</v>
      </c>
      <c r="Q2005" s="66" t="s">
        <v>469</v>
      </c>
      <c r="R2005" s="121"/>
      <c r="S2005" s="133">
        <f>M1997</f>
        <v>0</v>
      </c>
      <c r="T2005" s="120"/>
      <c r="U2005" s="121" t="s">
        <v>292</v>
      </c>
      <c r="V2005" s="133">
        <f t="shared" si="911"/>
        <v>0</v>
      </c>
      <c r="W2005" s="133">
        <f>VLOOKUP(U2005,Sheet1!$B$6:$C$45,2,FALSE)*V2005</f>
        <v>0</v>
      </c>
      <c r="X2005" s="141"/>
      <c r="Y2005" s="121" t="s">
        <v>274</v>
      </c>
      <c r="Z2005" s="146">
        <f>VLOOKUP(Takeoffs!Y2005,Sheet1!$B$6:$C$124,2,FALSE)</f>
        <v>360</v>
      </c>
      <c r="AA2005" s="146">
        <f t="shared" si="912"/>
        <v>0</v>
      </c>
      <c r="AB2005" s="143">
        <f t="shared" si="913"/>
        <v>0</v>
      </c>
      <c r="AC2005" s="133">
        <f t="shared" si="914"/>
        <v>0</v>
      </c>
      <c r="AD2005" s="142">
        <v>1</v>
      </c>
      <c r="AE2005" s="141"/>
      <c r="AF2005" s="121" t="s">
        <v>292</v>
      </c>
      <c r="AG2005" s="146">
        <f>VLOOKUP(Takeoffs!AF2005,Sheet1!$B$6:$C$124,2,FALSE)</f>
        <v>0</v>
      </c>
      <c r="AH2005" s="146">
        <f t="shared" si="915"/>
        <v>0</v>
      </c>
      <c r="AI2005" s="143">
        <f t="shared" si="916"/>
        <v>0</v>
      </c>
      <c r="AJ2005" s="133">
        <f t="shared" si="917"/>
        <v>0</v>
      </c>
      <c r="AK2005" s="142">
        <f t="shared" si="919"/>
        <v>0</v>
      </c>
      <c r="AL2005" s="141"/>
      <c r="AO2005" s="286"/>
      <c r="AP2005" s="284">
        <f t="shared" si="920"/>
        <v>0</v>
      </c>
      <c r="AQ2005" s="281">
        <f t="shared" si="921"/>
        <v>0</v>
      </c>
      <c r="AR2005" s="284">
        <f t="shared" si="922"/>
        <v>0</v>
      </c>
      <c r="AS2005" s="281">
        <f t="shared" si="923"/>
        <v>0</v>
      </c>
      <c r="AT2005" s="284">
        <f t="shared" si="924"/>
        <v>0</v>
      </c>
    </row>
    <row r="2006" spans="1:46" s="114" customFormat="1" ht="30.9" x14ac:dyDescent="0.8">
      <c r="A2006" s="262">
        <f>ROW()</f>
        <v>2006</v>
      </c>
      <c r="C2006" s="208"/>
      <c r="D2006" s="208"/>
      <c r="E2006" s="208"/>
      <c r="F2006" s="208"/>
      <c r="G2006" s="208"/>
      <c r="H2006" s="208"/>
      <c r="J2006" s="114" t="str">
        <f t="shared" si="918"/>
        <v/>
      </c>
      <c r="K2006" s="114" t="str">
        <f>IF(COUNTBLANK(R2006)&gt;0,"",CONCATENATE(R2006," for ",N1997))</f>
        <v/>
      </c>
      <c r="N2006" s="123" t="s">
        <v>121</v>
      </c>
      <c r="O2006" s="66" t="s">
        <v>307</v>
      </c>
      <c r="P2006" s="121"/>
      <c r="Q2006" s="66"/>
      <c r="R2006" s="121"/>
      <c r="S2006" s="133">
        <f>M1997</f>
        <v>0</v>
      </c>
      <c r="T2006" s="120"/>
      <c r="U2006" s="121" t="s">
        <v>292</v>
      </c>
      <c r="V2006" s="133">
        <f t="shared" si="911"/>
        <v>0</v>
      </c>
      <c r="W2006" s="133">
        <f>VLOOKUP(U2006,Sheet1!$B$6:$C$45,2,FALSE)*V2006</f>
        <v>0</v>
      </c>
      <c r="X2006" s="141"/>
      <c r="Y2006" s="121" t="s">
        <v>292</v>
      </c>
      <c r="Z2006" s="146">
        <f>VLOOKUP(Takeoffs!Y2006,Sheet1!$B$6:$C$124,2,FALSE)</f>
        <v>0</v>
      </c>
      <c r="AA2006" s="146">
        <f t="shared" si="912"/>
        <v>0</v>
      </c>
      <c r="AB2006" s="143">
        <f t="shared" si="913"/>
        <v>0</v>
      </c>
      <c r="AC2006" s="133">
        <f t="shared" si="914"/>
        <v>0</v>
      </c>
      <c r="AD2006" s="142">
        <v>1</v>
      </c>
      <c r="AE2006" s="141"/>
      <c r="AF2006" s="121" t="s">
        <v>292</v>
      </c>
      <c r="AG2006" s="146">
        <f>VLOOKUP(Takeoffs!AF2006,Sheet1!$B$6:$C$124,2,FALSE)</f>
        <v>0</v>
      </c>
      <c r="AH2006" s="146">
        <f t="shared" si="915"/>
        <v>0</v>
      </c>
      <c r="AI2006" s="143">
        <f t="shared" si="916"/>
        <v>0</v>
      </c>
      <c r="AJ2006" s="133">
        <f t="shared" si="917"/>
        <v>0</v>
      </c>
      <c r="AK2006" s="142">
        <f t="shared" si="919"/>
        <v>0</v>
      </c>
      <c r="AL2006" s="141"/>
      <c r="AO2006" s="286"/>
      <c r="AP2006" s="284">
        <f t="shared" si="920"/>
        <v>0</v>
      </c>
      <c r="AQ2006" s="281">
        <f t="shared" si="921"/>
        <v>0</v>
      </c>
      <c r="AR2006" s="284">
        <f t="shared" si="922"/>
        <v>0</v>
      </c>
      <c r="AS2006" s="281">
        <f t="shared" si="923"/>
        <v>0</v>
      </c>
      <c r="AT2006" s="284">
        <f t="shared" si="924"/>
        <v>0</v>
      </c>
    </row>
    <row r="2007" spans="1:46" s="114" customFormat="1" ht="30.9" x14ac:dyDescent="0.8">
      <c r="A2007" s="262">
        <f>ROW()</f>
        <v>2007</v>
      </c>
      <c r="C2007" s="208"/>
      <c r="D2007" s="208"/>
      <c r="E2007" s="208"/>
      <c r="F2007" s="208"/>
      <c r="G2007" s="208"/>
      <c r="H2007" s="208"/>
      <c r="J2007" s="114" t="str">
        <f t="shared" si="918"/>
        <v/>
      </c>
      <c r="K2007" s="114" t="str">
        <f>IF(COUNTBLANK(R2007)&gt;0,"",CONCATENATE(R2007," for ",N1997))</f>
        <v/>
      </c>
      <c r="N2007" s="123" t="s">
        <v>122</v>
      </c>
      <c r="O2007" s="66" t="s">
        <v>501</v>
      </c>
      <c r="P2007" s="121" t="s">
        <v>471</v>
      </c>
      <c r="Q2007" s="66"/>
      <c r="R2007" s="121"/>
      <c r="S2007" s="133">
        <f>M1997</f>
        <v>0</v>
      </c>
      <c r="T2007" s="120"/>
      <c r="U2007" s="117" t="s">
        <v>363</v>
      </c>
      <c r="V2007" s="133">
        <f t="shared" si="911"/>
        <v>0</v>
      </c>
      <c r="W2007" s="133">
        <f>VLOOKUP(U2007,Sheet1!$B$6:$C$45,2,FALSE)*V2007</f>
        <v>0</v>
      </c>
      <c r="X2007" s="141"/>
      <c r="Y2007" s="121" t="s">
        <v>292</v>
      </c>
      <c r="Z2007" s="146">
        <f>VLOOKUP(Takeoffs!Y2007,Sheet1!$B$6:$C$124,2,FALSE)</f>
        <v>0</v>
      </c>
      <c r="AA2007" s="146">
        <f t="shared" si="912"/>
        <v>0</v>
      </c>
      <c r="AB2007" s="143">
        <f t="shared" si="913"/>
        <v>0</v>
      </c>
      <c r="AC2007" s="133">
        <f t="shared" si="914"/>
        <v>0</v>
      </c>
      <c r="AD2007" s="142">
        <v>3</v>
      </c>
      <c r="AE2007" s="141"/>
      <c r="AF2007" s="121" t="s">
        <v>292</v>
      </c>
      <c r="AG2007" s="146">
        <f>VLOOKUP(Takeoffs!AF2007,Sheet1!$B$6:$C$124,2,FALSE)</f>
        <v>0</v>
      </c>
      <c r="AH2007" s="146">
        <f t="shared" si="915"/>
        <v>0</v>
      </c>
      <c r="AI2007" s="143">
        <f t="shared" si="916"/>
        <v>0</v>
      </c>
      <c r="AJ2007" s="133">
        <f t="shared" si="917"/>
        <v>0</v>
      </c>
      <c r="AK2007" s="142">
        <f t="shared" si="919"/>
        <v>0</v>
      </c>
      <c r="AL2007" s="141"/>
      <c r="AO2007" s="286"/>
      <c r="AP2007" s="284">
        <f t="shared" si="920"/>
        <v>0</v>
      </c>
      <c r="AQ2007" s="281">
        <f t="shared" si="921"/>
        <v>0</v>
      </c>
      <c r="AR2007" s="284">
        <f t="shared" si="922"/>
        <v>0</v>
      </c>
      <c r="AS2007" s="281">
        <f t="shared" si="923"/>
        <v>0</v>
      </c>
      <c r="AT2007" s="284">
        <f t="shared" si="924"/>
        <v>0</v>
      </c>
    </row>
    <row r="2008" spans="1:46" s="114" customFormat="1" ht="30.9" x14ac:dyDescent="0.8">
      <c r="A2008" s="262">
        <f>ROW()</f>
        <v>2008</v>
      </c>
      <c r="C2008" s="208"/>
      <c r="D2008" s="208"/>
      <c r="E2008" s="208"/>
      <c r="F2008" s="208"/>
      <c r="G2008" s="208"/>
      <c r="H2008" s="208"/>
      <c r="J2008" s="114" t="str">
        <f t="shared" si="918"/>
        <v/>
      </c>
      <c r="K2008" s="114" t="str">
        <f>IF(COUNTBLANK(R2008)&gt;0,"",CONCATENATE(R2008," for ",N1997))</f>
        <v/>
      </c>
      <c r="N2008" s="123" t="s">
        <v>123</v>
      </c>
      <c r="O2008" s="66" t="s">
        <v>502</v>
      </c>
      <c r="P2008" s="121"/>
      <c r="Q2008" s="66"/>
      <c r="R2008" s="121"/>
      <c r="S2008" s="133">
        <f>M1997</f>
        <v>0</v>
      </c>
      <c r="T2008" s="120"/>
      <c r="U2008" s="117" t="s">
        <v>363</v>
      </c>
      <c r="V2008" s="133">
        <f t="shared" si="911"/>
        <v>0</v>
      </c>
      <c r="W2008" s="133">
        <f>VLOOKUP(U2008,Sheet1!$B$6:$C$45,2,FALSE)*V2008</f>
        <v>0</v>
      </c>
      <c r="X2008" s="141"/>
      <c r="Y2008" s="121" t="s">
        <v>292</v>
      </c>
      <c r="Z2008" s="146">
        <f>VLOOKUP(Takeoffs!Y2008,Sheet1!$B$6:$C$124,2,FALSE)</f>
        <v>0</v>
      </c>
      <c r="AA2008" s="146">
        <f t="shared" si="912"/>
        <v>0</v>
      </c>
      <c r="AB2008" s="143">
        <f t="shared" si="913"/>
        <v>0</v>
      </c>
      <c r="AC2008" s="133">
        <f t="shared" si="914"/>
        <v>0</v>
      </c>
      <c r="AD2008" s="142">
        <v>1</v>
      </c>
      <c r="AE2008" s="141"/>
      <c r="AF2008" s="121" t="s">
        <v>292</v>
      </c>
      <c r="AG2008" s="146">
        <f>VLOOKUP(Takeoffs!AF2008,Sheet1!$B$6:$C$124,2,FALSE)</f>
        <v>0</v>
      </c>
      <c r="AH2008" s="146">
        <f t="shared" si="915"/>
        <v>0</v>
      </c>
      <c r="AI2008" s="143">
        <f t="shared" si="916"/>
        <v>0</v>
      </c>
      <c r="AJ2008" s="133">
        <f t="shared" si="917"/>
        <v>0</v>
      </c>
      <c r="AK2008" s="142">
        <f t="shared" si="919"/>
        <v>0</v>
      </c>
      <c r="AL2008" s="141"/>
      <c r="AO2008" s="286"/>
      <c r="AP2008" s="284">
        <f t="shared" si="920"/>
        <v>0</v>
      </c>
      <c r="AQ2008" s="281">
        <f t="shared" si="921"/>
        <v>0</v>
      </c>
      <c r="AR2008" s="284">
        <f t="shared" si="922"/>
        <v>0</v>
      </c>
      <c r="AS2008" s="281">
        <f t="shared" si="923"/>
        <v>0</v>
      </c>
      <c r="AT2008" s="284">
        <f t="shared" si="924"/>
        <v>0</v>
      </c>
    </row>
    <row r="2009" spans="1:46" s="114" customFormat="1" ht="30.9" x14ac:dyDescent="0.8">
      <c r="A2009" s="262">
        <f>ROW()</f>
        <v>2009</v>
      </c>
      <c r="C2009" s="208"/>
      <c r="D2009" s="208"/>
      <c r="E2009" s="208"/>
      <c r="F2009" s="208"/>
      <c r="G2009" s="208"/>
      <c r="H2009" s="208"/>
      <c r="J2009" s="114" t="str">
        <f t="shared" si="918"/>
        <v/>
      </c>
      <c r="K2009" s="114" t="str">
        <f>IF(COUNTBLANK(R2009)&gt;0,"",CONCATENATE(R2009," for ",N1997))</f>
        <v/>
      </c>
      <c r="N2009" s="123" t="s">
        <v>124</v>
      </c>
      <c r="O2009" s="66" t="s">
        <v>140</v>
      </c>
      <c r="P2009" s="121"/>
      <c r="Q2009" s="66"/>
      <c r="R2009" s="121"/>
      <c r="S2009" s="133">
        <f>M1997</f>
        <v>0</v>
      </c>
      <c r="T2009" s="120"/>
      <c r="U2009" s="121" t="s">
        <v>292</v>
      </c>
      <c r="V2009" s="133">
        <f t="shared" si="911"/>
        <v>0</v>
      </c>
      <c r="W2009" s="133">
        <f>VLOOKUP(U2009,Sheet1!$B$6:$C$45,2,FALSE)*V2009</f>
        <v>0</v>
      </c>
      <c r="X2009" s="141"/>
      <c r="Y2009" s="121" t="s">
        <v>292</v>
      </c>
      <c r="Z2009" s="146">
        <f>VLOOKUP(Takeoffs!Y2009,Sheet1!$B$6:$C$124,2,FALSE)</f>
        <v>0</v>
      </c>
      <c r="AA2009" s="146">
        <f t="shared" si="912"/>
        <v>0</v>
      </c>
      <c r="AB2009" s="143">
        <f t="shared" si="913"/>
        <v>0</v>
      </c>
      <c r="AC2009" s="133">
        <f t="shared" si="914"/>
        <v>0</v>
      </c>
      <c r="AD2009" s="142">
        <v>1</v>
      </c>
      <c r="AE2009" s="141"/>
      <c r="AF2009" s="144" t="s">
        <v>269</v>
      </c>
      <c r="AG2009" s="146">
        <f>VLOOKUP(Takeoffs!AF2009,Sheet1!$B$6:$C$124,2,FALSE)</f>
        <v>1.056</v>
      </c>
      <c r="AH2009" s="146">
        <f t="shared" si="915"/>
        <v>0</v>
      </c>
      <c r="AI2009" s="143">
        <f t="shared" si="916"/>
        <v>0</v>
      </c>
      <c r="AJ2009" s="133">
        <f t="shared" si="917"/>
        <v>0</v>
      </c>
      <c r="AK2009" s="142">
        <v>20</v>
      </c>
      <c r="AL2009" s="141"/>
      <c r="AO2009" s="286"/>
      <c r="AP2009" s="284">
        <f t="shared" si="920"/>
        <v>0</v>
      </c>
      <c r="AQ2009" s="281">
        <f t="shared" si="921"/>
        <v>0</v>
      </c>
      <c r="AR2009" s="284">
        <f t="shared" si="922"/>
        <v>0</v>
      </c>
      <c r="AS2009" s="281">
        <f t="shared" si="923"/>
        <v>0</v>
      </c>
      <c r="AT2009" s="284">
        <f t="shared" si="924"/>
        <v>0</v>
      </c>
    </row>
    <row r="2010" spans="1:46" s="114" customFormat="1" ht="30.9" x14ac:dyDescent="0.8">
      <c r="A2010" s="262">
        <f>ROW()</f>
        <v>2010</v>
      </c>
      <c r="C2010" s="208"/>
      <c r="D2010" s="208"/>
      <c r="E2010" s="208"/>
      <c r="F2010" s="208"/>
      <c r="G2010" s="208"/>
      <c r="H2010" s="208"/>
      <c r="J2010" s="114" t="str">
        <f t="shared" si="918"/>
        <v/>
      </c>
      <c r="K2010" s="114" t="str">
        <f>IF(COUNTBLANK(R2010)&gt;0,"",CONCATENATE(R2010," for ",N1997))</f>
        <v/>
      </c>
      <c r="N2010" s="123" t="s">
        <v>125</v>
      </c>
      <c r="O2010" s="66" t="s">
        <v>473</v>
      </c>
      <c r="P2010" s="121"/>
      <c r="Q2010" s="66"/>
      <c r="R2010" s="121"/>
      <c r="S2010" s="133">
        <f>M1997</f>
        <v>0</v>
      </c>
      <c r="T2010" s="120"/>
      <c r="U2010" s="135" t="s">
        <v>232</v>
      </c>
      <c r="V2010" s="133">
        <f t="shared" si="911"/>
        <v>0</v>
      </c>
      <c r="W2010" s="133">
        <f>VLOOKUP(U2010,Sheet1!$B$6:$C$45,2,FALSE)*V2010</f>
        <v>0</v>
      </c>
      <c r="X2010" s="141"/>
      <c r="Y2010" s="122" t="s">
        <v>1345</v>
      </c>
      <c r="Z2010" s="146">
        <f>VLOOKUP(Takeoffs!Y2010,Sheet1!$B$6:$C$124,2,FALSE)</f>
        <v>109.25999999999999</v>
      </c>
      <c r="AA2010" s="146">
        <f t="shared" si="912"/>
        <v>0</v>
      </c>
      <c r="AB2010" s="143">
        <f t="shared" si="913"/>
        <v>0</v>
      </c>
      <c r="AC2010" s="133">
        <f t="shared" si="914"/>
        <v>0</v>
      </c>
      <c r="AD2010" s="142">
        <v>1</v>
      </c>
      <c r="AE2010" s="141"/>
      <c r="AF2010" s="121" t="s">
        <v>292</v>
      </c>
      <c r="AG2010" s="146">
        <f>VLOOKUP(Takeoffs!AF2010,Sheet1!$B$6:$C$124,2,FALSE)</f>
        <v>0</v>
      </c>
      <c r="AH2010" s="146">
        <f t="shared" si="915"/>
        <v>0</v>
      </c>
      <c r="AI2010" s="143">
        <f t="shared" si="916"/>
        <v>0</v>
      </c>
      <c r="AJ2010" s="133">
        <f t="shared" si="917"/>
        <v>0</v>
      </c>
      <c r="AK2010" s="142">
        <f t="shared" ref="AK2010:AK2017" si="925">T2010</f>
        <v>0</v>
      </c>
      <c r="AL2010" s="141"/>
      <c r="AO2010" s="286"/>
      <c r="AP2010" s="284">
        <f t="shared" si="920"/>
        <v>0</v>
      </c>
      <c r="AQ2010" s="281">
        <f t="shared" si="921"/>
        <v>0</v>
      </c>
      <c r="AR2010" s="284">
        <f t="shared" si="922"/>
        <v>0</v>
      </c>
      <c r="AS2010" s="281">
        <f t="shared" si="923"/>
        <v>0</v>
      </c>
      <c r="AT2010" s="284">
        <f t="shared" si="924"/>
        <v>0</v>
      </c>
    </row>
    <row r="2011" spans="1:46" s="114" customFormat="1" ht="30.9" x14ac:dyDescent="0.8">
      <c r="A2011" s="262">
        <f>ROW()</f>
        <v>2011</v>
      </c>
      <c r="C2011" s="208"/>
      <c r="D2011" s="208"/>
      <c r="E2011" s="208"/>
      <c r="F2011" s="208"/>
      <c r="G2011" s="208"/>
      <c r="H2011" s="208"/>
      <c r="J2011" s="114" t="str">
        <f t="shared" si="918"/>
        <v/>
      </c>
      <c r="K2011" s="114" t="str">
        <f>IF(COUNTBLANK(R2011)&gt;0,"",CONCATENATE(R2011," for ",N1997))</f>
        <v/>
      </c>
      <c r="N2011" s="123" t="s">
        <v>126</v>
      </c>
      <c r="O2011" s="66" t="s">
        <v>470</v>
      </c>
      <c r="P2011" s="121"/>
      <c r="Q2011" s="66"/>
      <c r="R2011" s="121"/>
      <c r="S2011" s="133">
        <f>M1997</f>
        <v>0</v>
      </c>
      <c r="T2011" s="120"/>
      <c r="U2011" s="121" t="s">
        <v>292</v>
      </c>
      <c r="V2011" s="133">
        <f t="shared" si="911"/>
        <v>0</v>
      </c>
      <c r="W2011" s="133">
        <f>VLOOKUP(U2011,Sheet1!$B$6:$C$45,2,FALSE)*V2011</f>
        <v>0</v>
      </c>
      <c r="X2011" s="141"/>
      <c r="Y2011" s="121" t="s">
        <v>292</v>
      </c>
      <c r="Z2011" s="146">
        <f>VLOOKUP(Takeoffs!Y2011,Sheet1!$B$6:$C$124,2,FALSE)</f>
        <v>0</v>
      </c>
      <c r="AA2011" s="146">
        <f t="shared" si="912"/>
        <v>0</v>
      </c>
      <c r="AB2011" s="143">
        <f t="shared" si="913"/>
        <v>0</v>
      </c>
      <c r="AC2011" s="133">
        <f t="shared" si="914"/>
        <v>0</v>
      </c>
      <c r="AD2011" s="142">
        <v>1</v>
      </c>
      <c r="AE2011" s="141"/>
      <c r="AF2011" s="121" t="s">
        <v>292</v>
      </c>
      <c r="AG2011" s="146">
        <f>VLOOKUP(Takeoffs!AF2011,Sheet1!$B$6:$C$124,2,FALSE)</f>
        <v>0</v>
      </c>
      <c r="AH2011" s="146">
        <f t="shared" si="915"/>
        <v>0</v>
      </c>
      <c r="AI2011" s="143">
        <f t="shared" si="916"/>
        <v>0</v>
      </c>
      <c r="AJ2011" s="133">
        <f t="shared" si="917"/>
        <v>0</v>
      </c>
      <c r="AK2011" s="142">
        <f t="shared" si="925"/>
        <v>0</v>
      </c>
      <c r="AL2011" s="141"/>
      <c r="AO2011" s="286"/>
      <c r="AP2011" s="284">
        <f t="shared" si="920"/>
        <v>0</v>
      </c>
      <c r="AQ2011" s="281">
        <f t="shared" si="921"/>
        <v>0</v>
      </c>
      <c r="AR2011" s="284">
        <f t="shared" si="922"/>
        <v>0</v>
      </c>
      <c r="AS2011" s="281">
        <f t="shared" si="923"/>
        <v>0</v>
      </c>
      <c r="AT2011" s="284">
        <f t="shared" si="924"/>
        <v>0</v>
      </c>
    </row>
    <row r="2012" spans="1:46" s="114" customFormat="1" ht="30.9" x14ac:dyDescent="0.8">
      <c r="A2012" s="262">
        <f>ROW()</f>
        <v>2012</v>
      </c>
      <c r="C2012" s="208"/>
      <c r="D2012" s="208"/>
      <c r="E2012" s="208"/>
      <c r="F2012" s="208"/>
      <c r="G2012" s="208"/>
      <c r="H2012" s="208"/>
      <c r="J2012" s="114" t="str">
        <f t="shared" si="918"/>
        <v/>
      </c>
      <c r="K2012" s="114" t="str">
        <f>IF(COUNTBLANK(R2012)&gt;0,"",CONCATENATE(R2012," for ",N1997))</f>
        <v/>
      </c>
      <c r="N2012" s="123" t="s">
        <v>127</v>
      </c>
      <c r="O2012" s="66"/>
      <c r="P2012" s="121"/>
      <c r="Q2012" s="66"/>
      <c r="R2012" s="121"/>
      <c r="S2012" s="133">
        <f>M1997</f>
        <v>0</v>
      </c>
      <c r="T2012" s="120"/>
      <c r="U2012" s="121" t="s">
        <v>292</v>
      </c>
      <c r="V2012" s="133">
        <f t="shared" si="911"/>
        <v>0</v>
      </c>
      <c r="W2012" s="133">
        <f>VLOOKUP(U2012,Sheet1!$B$6:$C$45,2,FALSE)*V2012</f>
        <v>0</v>
      </c>
      <c r="X2012" s="141"/>
      <c r="Y2012" s="121" t="s">
        <v>292</v>
      </c>
      <c r="Z2012" s="146">
        <f>VLOOKUP(Takeoffs!Y2012,Sheet1!$B$6:$C$124,2,FALSE)</f>
        <v>0</v>
      </c>
      <c r="AA2012" s="146">
        <f t="shared" si="912"/>
        <v>0</v>
      </c>
      <c r="AB2012" s="143">
        <f t="shared" si="913"/>
        <v>0</v>
      </c>
      <c r="AC2012" s="133">
        <f t="shared" si="914"/>
        <v>0</v>
      </c>
      <c r="AD2012" s="142">
        <v>1</v>
      </c>
      <c r="AE2012" s="141"/>
      <c r="AF2012" s="121" t="s">
        <v>292</v>
      </c>
      <c r="AG2012" s="146">
        <f>VLOOKUP(Takeoffs!AF2012,Sheet1!$B$6:$C$124,2,FALSE)</f>
        <v>0</v>
      </c>
      <c r="AH2012" s="146">
        <f t="shared" si="915"/>
        <v>0</v>
      </c>
      <c r="AI2012" s="143">
        <f t="shared" si="916"/>
        <v>0</v>
      </c>
      <c r="AJ2012" s="133">
        <f t="shared" si="917"/>
        <v>0</v>
      </c>
      <c r="AK2012" s="142">
        <f t="shared" si="925"/>
        <v>0</v>
      </c>
      <c r="AL2012" s="141"/>
      <c r="AO2012" s="286"/>
      <c r="AP2012" s="284">
        <f t="shared" si="920"/>
        <v>0</v>
      </c>
      <c r="AQ2012" s="281">
        <f t="shared" si="921"/>
        <v>0</v>
      </c>
      <c r="AR2012" s="284">
        <f t="shared" si="922"/>
        <v>0</v>
      </c>
      <c r="AS2012" s="281">
        <f t="shared" si="923"/>
        <v>0</v>
      </c>
      <c r="AT2012" s="284">
        <f t="shared" si="924"/>
        <v>0</v>
      </c>
    </row>
    <row r="2013" spans="1:46" s="114" customFormat="1" ht="30.9" x14ac:dyDescent="0.8">
      <c r="A2013" s="262">
        <f>ROW()</f>
        <v>2013</v>
      </c>
      <c r="C2013" s="208"/>
      <c r="D2013" s="208"/>
      <c r="E2013" s="208"/>
      <c r="F2013" s="208"/>
      <c r="G2013" s="208"/>
      <c r="H2013" s="208"/>
      <c r="J2013" s="114" t="str">
        <f t="shared" si="918"/>
        <v xml:space="preserve">Coordination Note: - Customers in-house electrician: Please refer to our exclusions relating to Power cabling from MSSB to heater and HPT. Customers electrician to leave tails adjacent MSSB for Controlworks to connect. </v>
      </c>
      <c r="K2013" s="114" t="str">
        <f>IF(COUNTBLANK(R2013)&gt;0,"",CONCATENATE(R2013," for ",N1997))</f>
        <v/>
      </c>
      <c r="N2013" s="123" t="s">
        <v>128</v>
      </c>
      <c r="O2013" s="66" t="s">
        <v>474</v>
      </c>
      <c r="P2013" s="121" t="s">
        <v>593</v>
      </c>
      <c r="Q2013" s="66" t="s">
        <v>630</v>
      </c>
      <c r="R2013" s="121"/>
      <c r="S2013" s="133">
        <f>M1997</f>
        <v>0</v>
      </c>
      <c r="T2013" s="120"/>
      <c r="U2013" s="121" t="s">
        <v>292</v>
      </c>
      <c r="V2013" s="133">
        <f t="shared" si="911"/>
        <v>0</v>
      </c>
      <c r="W2013" s="133">
        <f>VLOOKUP(U2013,Sheet1!$B$6:$C$45,2,FALSE)*V2013</f>
        <v>0</v>
      </c>
      <c r="X2013" s="141"/>
      <c r="Y2013" s="122" t="s">
        <v>280</v>
      </c>
      <c r="Z2013" s="146">
        <f>VLOOKUP(Takeoffs!Y2013,Sheet1!$B$6:$C$124,2,FALSE)</f>
        <v>19.2</v>
      </c>
      <c r="AA2013" s="146">
        <f t="shared" si="912"/>
        <v>0</v>
      </c>
      <c r="AB2013" s="143">
        <f t="shared" si="913"/>
        <v>0</v>
      </c>
      <c r="AC2013" s="133">
        <f t="shared" si="914"/>
        <v>0</v>
      </c>
      <c r="AD2013" s="142">
        <v>1</v>
      </c>
      <c r="AE2013" s="141"/>
      <c r="AF2013" s="121" t="s">
        <v>292</v>
      </c>
      <c r="AG2013" s="146">
        <f>VLOOKUP(Takeoffs!AF2013,Sheet1!$B$6:$C$124,2,FALSE)</f>
        <v>0</v>
      </c>
      <c r="AH2013" s="146">
        <f t="shared" si="915"/>
        <v>0</v>
      </c>
      <c r="AI2013" s="143">
        <f t="shared" si="916"/>
        <v>0</v>
      </c>
      <c r="AJ2013" s="133">
        <f t="shared" si="917"/>
        <v>0</v>
      </c>
      <c r="AK2013" s="142">
        <f t="shared" si="925"/>
        <v>0</v>
      </c>
      <c r="AL2013" s="141"/>
      <c r="AO2013" s="286"/>
      <c r="AP2013" s="284">
        <f t="shared" si="920"/>
        <v>0</v>
      </c>
      <c r="AQ2013" s="281">
        <f t="shared" si="921"/>
        <v>0</v>
      </c>
      <c r="AR2013" s="284">
        <f t="shared" si="922"/>
        <v>0</v>
      </c>
      <c r="AS2013" s="281">
        <f t="shared" si="923"/>
        <v>0</v>
      </c>
      <c r="AT2013" s="284">
        <f t="shared" si="924"/>
        <v>0</v>
      </c>
    </row>
    <row r="2014" spans="1:46" s="114" customFormat="1" ht="30.9" x14ac:dyDescent="0.8">
      <c r="A2014" s="262">
        <f>ROW()</f>
        <v>2014</v>
      </c>
      <c r="C2014" s="208"/>
      <c r="D2014" s="208"/>
      <c r="E2014" s="208"/>
      <c r="F2014" s="208"/>
      <c r="G2014" s="208"/>
      <c r="H2014" s="208"/>
      <c r="J2014" s="114" t="str">
        <f t="shared" si="918"/>
        <v xml:space="preserve">Coordination Note: - BMS trade: Please refer to our exclusions relating to cabling from MSSB's to BMS system </v>
      </c>
      <c r="K2014" s="114" t="str">
        <f>IF(COUNTBLANK(R2014)&gt;0,"",CONCATENATE(R2014," for ",N1997))</f>
        <v/>
      </c>
      <c r="N2014" s="123" t="s">
        <v>129</v>
      </c>
      <c r="O2014" s="66" t="s">
        <v>503</v>
      </c>
      <c r="P2014" s="121" t="s">
        <v>471</v>
      </c>
      <c r="Q2014" s="66" t="s">
        <v>631</v>
      </c>
      <c r="R2014" s="121"/>
      <c r="S2014" s="133">
        <f>M1997</f>
        <v>0</v>
      </c>
      <c r="T2014" s="120"/>
      <c r="U2014" s="121" t="s">
        <v>292</v>
      </c>
      <c r="V2014" s="133">
        <f t="shared" si="911"/>
        <v>0</v>
      </c>
      <c r="W2014" s="133">
        <f>VLOOKUP(U2014,Sheet1!$B$6:$C$45,2,FALSE)*V2014</f>
        <v>0</v>
      </c>
      <c r="X2014" s="141"/>
      <c r="Y2014" s="121" t="s">
        <v>292</v>
      </c>
      <c r="Z2014" s="146">
        <f>VLOOKUP(Takeoffs!Y2014,Sheet1!$B$6:$C$124,2,FALSE)</f>
        <v>0</v>
      </c>
      <c r="AA2014" s="146">
        <f t="shared" si="912"/>
        <v>0</v>
      </c>
      <c r="AB2014" s="143">
        <f t="shared" si="913"/>
        <v>0</v>
      </c>
      <c r="AC2014" s="133">
        <f t="shared" si="914"/>
        <v>0</v>
      </c>
      <c r="AD2014" s="142">
        <v>1</v>
      </c>
      <c r="AE2014" s="141"/>
      <c r="AF2014" s="121" t="s">
        <v>292</v>
      </c>
      <c r="AG2014" s="146">
        <f>VLOOKUP(Takeoffs!AF2014,Sheet1!$B$6:$C$124,2,FALSE)</f>
        <v>0</v>
      </c>
      <c r="AH2014" s="146">
        <f t="shared" si="915"/>
        <v>0</v>
      </c>
      <c r="AI2014" s="143">
        <f t="shared" si="916"/>
        <v>0</v>
      </c>
      <c r="AJ2014" s="133">
        <f t="shared" si="917"/>
        <v>0</v>
      </c>
      <c r="AK2014" s="142">
        <f t="shared" si="925"/>
        <v>0</v>
      </c>
      <c r="AL2014" s="141"/>
      <c r="AO2014" s="286"/>
      <c r="AP2014" s="284">
        <f t="shared" si="920"/>
        <v>0</v>
      </c>
      <c r="AQ2014" s="281">
        <f t="shared" si="921"/>
        <v>0</v>
      </c>
      <c r="AR2014" s="284">
        <f t="shared" si="922"/>
        <v>0</v>
      </c>
      <c r="AS2014" s="281">
        <f t="shared" si="923"/>
        <v>0</v>
      </c>
      <c r="AT2014" s="284">
        <f t="shared" si="924"/>
        <v>0</v>
      </c>
    </row>
    <row r="2015" spans="1:46" s="114" customFormat="1" ht="30.9" x14ac:dyDescent="0.8">
      <c r="A2015" s="262">
        <f>ROW()</f>
        <v>2015</v>
      </c>
      <c r="C2015" s="208"/>
      <c r="D2015" s="208"/>
      <c r="E2015" s="208"/>
      <c r="F2015" s="208"/>
      <c r="G2015" s="208"/>
      <c r="H2015" s="208"/>
      <c r="J2015" s="114" t="str">
        <f t="shared" si="918"/>
        <v/>
      </c>
      <c r="K2015" s="114" t="str">
        <f>IF(COUNTBLANK(R2015)&gt;0,"",CONCATENATE(R2015," for ",N1997))</f>
        <v/>
      </c>
      <c r="N2015" s="123" t="s">
        <v>130</v>
      </c>
      <c r="P2015" s="121"/>
      <c r="Q2015" s="66"/>
      <c r="R2015" s="121"/>
      <c r="S2015" s="133">
        <f>M1997</f>
        <v>0</v>
      </c>
      <c r="T2015" s="120"/>
      <c r="U2015" s="121" t="s">
        <v>292</v>
      </c>
      <c r="V2015" s="133">
        <f t="shared" si="911"/>
        <v>0</v>
      </c>
      <c r="W2015" s="133">
        <f>VLOOKUP(U2015,Sheet1!$B$6:$C$45,2,FALSE)*V2015</f>
        <v>0</v>
      </c>
      <c r="X2015" s="141"/>
      <c r="Y2015" s="121" t="s">
        <v>292</v>
      </c>
      <c r="Z2015" s="146">
        <f>VLOOKUP(Takeoffs!Y2015,Sheet1!$B$6:$C$124,2,FALSE)</f>
        <v>0</v>
      </c>
      <c r="AA2015" s="146">
        <f t="shared" si="912"/>
        <v>0</v>
      </c>
      <c r="AB2015" s="143">
        <f t="shared" si="913"/>
        <v>0</v>
      </c>
      <c r="AC2015" s="133">
        <f t="shared" si="914"/>
        <v>0</v>
      </c>
      <c r="AD2015" s="142">
        <v>1</v>
      </c>
      <c r="AE2015" s="141"/>
      <c r="AF2015" s="121" t="s">
        <v>292</v>
      </c>
      <c r="AG2015" s="146">
        <f>VLOOKUP(Takeoffs!AF2015,Sheet1!$B$6:$C$124,2,FALSE)</f>
        <v>0</v>
      </c>
      <c r="AH2015" s="146">
        <f t="shared" si="915"/>
        <v>0</v>
      </c>
      <c r="AI2015" s="143">
        <f t="shared" si="916"/>
        <v>0</v>
      </c>
      <c r="AJ2015" s="133">
        <f t="shared" si="917"/>
        <v>0</v>
      </c>
      <c r="AK2015" s="142">
        <f t="shared" si="925"/>
        <v>0</v>
      </c>
      <c r="AL2015" s="141"/>
      <c r="AO2015" s="286"/>
      <c r="AP2015" s="284">
        <f t="shared" si="920"/>
        <v>0</v>
      </c>
      <c r="AQ2015" s="281">
        <f t="shared" si="921"/>
        <v>0</v>
      </c>
      <c r="AR2015" s="284">
        <f t="shared" si="922"/>
        <v>0</v>
      </c>
      <c r="AS2015" s="281">
        <f t="shared" si="923"/>
        <v>0</v>
      </c>
      <c r="AT2015" s="284">
        <f t="shared" si="924"/>
        <v>0</v>
      </c>
    </row>
    <row r="2016" spans="1:46" s="114" customFormat="1" ht="30.9" x14ac:dyDescent="0.8">
      <c r="A2016" s="262">
        <f>ROW()</f>
        <v>2016</v>
      </c>
      <c r="C2016" s="208"/>
      <c r="D2016" s="208"/>
      <c r="E2016" s="208"/>
      <c r="F2016" s="208"/>
      <c r="G2016" s="208"/>
      <c r="H2016" s="208"/>
      <c r="J2016" s="114" t="str">
        <f t="shared" si="918"/>
        <v xml:space="preserve">Coordination Note: - Fire trade: Please refer to our exclusions relating to fire cabling from FIP. </v>
      </c>
      <c r="K2016" s="114" t="str">
        <f>IF(COUNTBLANK(R2016)&gt;0,"",CONCATENATE(R2016," for ",N1997))</f>
        <v/>
      </c>
      <c r="N2016" s="123" t="s">
        <v>131</v>
      </c>
      <c r="O2016" s="66" t="s">
        <v>596</v>
      </c>
      <c r="P2016" s="121" t="s">
        <v>380</v>
      </c>
      <c r="Q2016" s="66" t="s">
        <v>632</v>
      </c>
      <c r="R2016" s="121"/>
      <c r="S2016" s="133">
        <f>M1997</f>
        <v>0</v>
      </c>
      <c r="T2016" s="120"/>
      <c r="U2016" s="121" t="s">
        <v>292</v>
      </c>
      <c r="V2016" s="133">
        <f t="shared" si="911"/>
        <v>0</v>
      </c>
      <c r="W2016" s="133">
        <f>VLOOKUP(U2016,Sheet1!$B$6:$C$45,2,FALSE)*V2016</f>
        <v>0</v>
      </c>
      <c r="X2016" s="141"/>
      <c r="Y2016" s="122" t="s">
        <v>322</v>
      </c>
      <c r="Z2016" s="146">
        <f>VLOOKUP(Takeoffs!Y2016,Sheet1!$B$6:$C$124,2,FALSE)</f>
        <v>48</v>
      </c>
      <c r="AA2016" s="146">
        <f t="shared" si="912"/>
        <v>0</v>
      </c>
      <c r="AB2016" s="143">
        <f t="shared" si="913"/>
        <v>0</v>
      </c>
      <c r="AC2016" s="133">
        <f t="shared" si="914"/>
        <v>0</v>
      </c>
      <c r="AD2016" s="142">
        <v>1</v>
      </c>
      <c r="AE2016" s="141"/>
      <c r="AF2016" s="121" t="s">
        <v>292</v>
      </c>
      <c r="AG2016" s="146">
        <f>VLOOKUP(Takeoffs!AF2016,Sheet1!$B$6:$C$124,2,FALSE)</f>
        <v>0</v>
      </c>
      <c r="AH2016" s="146">
        <f t="shared" si="915"/>
        <v>0</v>
      </c>
      <c r="AI2016" s="143">
        <f t="shared" si="916"/>
        <v>0</v>
      </c>
      <c r="AJ2016" s="133">
        <f t="shared" si="917"/>
        <v>0</v>
      </c>
      <c r="AK2016" s="142">
        <f t="shared" si="925"/>
        <v>0</v>
      </c>
      <c r="AL2016" s="141"/>
      <c r="AO2016" s="286"/>
      <c r="AP2016" s="284">
        <f t="shared" si="920"/>
        <v>0</v>
      </c>
      <c r="AQ2016" s="281">
        <f t="shared" si="921"/>
        <v>0</v>
      </c>
      <c r="AR2016" s="284">
        <f t="shared" si="922"/>
        <v>0</v>
      </c>
      <c r="AS2016" s="281">
        <f t="shared" si="923"/>
        <v>0</v>
      </c>
      <c r="AT2016" s="284">
        <f t="shared" si="924"/>
        <v>0</v>
      </c>
    </row>
    <row r="2017" spans="1:97" s="114" customFormat="1" ht="30.9" x14ac:dyDescent="0.8">
      <c r="A2017" s="262">
        <f>ROW()</f>
        <v>2017</v>
      </c>
      <c r="C2017" s="208"/>
      <c r="D2017" s="208"/>
      <c r="E2017" s="208"/>
      <c r="F2017" s="208"/>
      <c r="G2017" s="208"/>
      <c r="H2017" s="208"/>
      <c r="J2017" s="114" t="str">
        <f t="shared" si="918"/>
        <v>Coordination Note: - : Please refer to our exclusions relating to 0</v>
      </c>
      <c r="K2017" s="114" t="str">
        <f>IF(COUNTBLANK(R2017)&gt;0,"",CONCATENATE(R2017," for ",N1997))</f>
        <v/>
      </c>
      <c r="N2017" s="123" t="s">
        <v>132</v>
      </c>
      <c r="O2017" s="66" t="s">
        <v>597</v>
      </c>
      <c r="P2017" s="121"/>
      <c r="Q2017" s="66">
        <v>0</v>
      </c>
      <c r="R2017" s="121"/>
      <c r="S2017" s="133">
        <f>M1997</f>
        <v>0</v>
      </c>
      <c r="T2017" s="120"/>
      <c r="U2017" s="121" t="s">
        <v>292</v>
      </c>
      <c r="V2017" s="133">
        <f t="shared" si="911"/>
        <v>0</v>
      </c>
      <c r="W2017" s="133">
        <f>VLOOKUP(U2017,Sheet1!$B$6:$C$45,2,FALSE)*V2017</f>
        <v>0</v>
      </c>
      <c r="X2017" s="141"/>
      <c r="Y2017" s="121" t="s">
        <v>292</v>
      </c>
      <c r="Z2017" s="146">
        <f>VLOOKUP(Takeoffs!Y2017,Sheet1!$B$6:$C$124,2,FALSE)</f>
        <v>0</v>
      </c>
      <c r="AA2017" s="146">
        <f t="shared" si="912"/>
        <v>0</v>
      </c>
      <c r="AB2017" s="143">
        <f t="shared" si="913"/>
        <v>0</v>
      </c>
      <c r="AC2017" s="133">
        <f t="shared" si="914"/>
        <v>0</v>
      </c>
      <c r="AD2017" s="142">
        <v>1</v>
      </c>
      <c r="AE2017" s="141"/>
      <c r="AF2017" s="121" t="s">
        <v>292</v>
      </c>
      <c r="AG2017" s="146">
        <f>VLOOKUP(Takeoffs!AF2017,Sheet1!$B$6:$C$124,2,FALSE)</f>
        <v>0</v>
      </c>
      <c r="AH2017" s="146">
        <f t="shared" si="915"/>
        <v>0</v>
      </c>
      <c r="AI2017" s="143">
        <f t="shared" si="916"/>
        <v>0</v>
      </c>
      <c r="AJ2017" s="133">
        <f t="shared" si="917"/>
        <v>0</v>
      </c>
      <c r="AK2017" s="142">
        <f t="shared" si="925"/>
        <v>0</v>
      </c>
      <c r="AL2017" s="141"/>
      <c r="AO2017" s="286"/>
      <c r="AP2017" s="284">
        <f t="shared" si="920"/>
        <v>0</v>
      </c>
      <c r="AQ2017" s="281">
        <f t="shared" si="921"/>
        <v>0</v>
      </c>
      <c r="AR2017" s="284">
        <f t="shared" si="922"/>
        <v>0</v>
      </c>
      <c r="AS2017" s="281">
        <f t="shared" si="923"/>
        <v>0</v>
      </c>
      <c r="AT2017" s="284">
        <f t="shared" si="924"/>
        <v>0</v>
      </c>
    </row>
    <row r="2018" spans="1:97" s="128" customFormat="1" ht="32.25" customHeight="1" thickBot="1" x14ac:dyDescent="0.85">
      <c r="A2018" s="262">
        <f>ROW()</f>
        <v>2018</v>
      </c>
      <c r="C2018" s="212"/>
      <c r="D2018" s="212"/>
      <c r="E2018" s="212"/>
      <c r="F2018" s="212"/>
      <c r="G2018" s="212"/>
      <c r="H2018" s="212"/>
      <c r="J2018" s="128" t="s">
        <v>377</v>
      </c>
      <c r="L2018" s="128" t="s">
        <v>378</v>
      </c>
      <c r="N2018" s="129"/>
      <c r="O2018" s="130" t="s">
        <v>357</v>
      </c>
      <c r="P2018" s="155">
        <f>V2018+AA2018+AH2018</f>
        <v>0</v>
      </c>
      <c r="Q2018" s="155"/>
      <c r="R2018" s="131"/>
      <c r="S2018" s="130"/>
      <c r="T2018" s="127"/>
      <c r="U2018" s="126" t="s">
        <v>351</v>
      </c>
      <c r="V2018" s="127">
        <f>W2018*80</f>
        <v>0</v>
      </c>
      <c r="W2018" s="147">
        <f>SUM(W1997:W2017)</f>
        <v>0</v>
      </c>
      <c r="X2018" s="148"/>
      <c r="Y2018" s="127" t="s">
        <v>352</v>
      </c>
      <c r="Z2018" s="116"/>
      <c r="AA2018" s="116">
        <f>SUM(AA1997:AA2017)</f>
        <v>0</v>
      </c>
      <c r="AB2018" s="149"/>
      <c r="AC2018" s="149"/>
      <c r="AD2018" s="149"/>
      <c r="AE2018" s="149"/>
      <c r="AF2018" s="127" t="s">
        <v>356</v>
      </c>
      <c r="AG2018" s="116"/>
      <c r="AH2018" s="116">
        <f>SUM(AH1997:AH2017)</f>
        <v>0</v>
      </c>
      <c r="AI2018" s="149"/>
      <c r="AJ2018" s="149"/>
      <c r="AK2018" s="149"/>
      <c r="AL2018" s="149"/>
      <c r="AM2018" s="150">
        <f>P2018</f>
        <v>0</v>
      </c>
      <c r="AO2018" s="286"/>
      <c r="AP2018" s="284">
        <f t="shared" si="920"/>
        <v>0</v>
      </c>
      <c r="AQ2018" s="281">
        <f t="shared" si="921"/>
        <v>0</v>
      </c>
      <c r="AR2018" s="284">
        <f t="shared" si="922"/>
        <v>0</v>
      </c>
      <c r="AS2018" s="281">
        <f t="shared" si="923"/>
        <v>0</v>
      </c>
      <c r="AT2018" s="284">
        <f t="shared" si="924"/>
        <v>0</v>
      </c>
    </row>
    <row r="2019" spans="1:97" s="234" customFormat="1" ht="343.3" thickBot="1" x14ac:dyDescent="1.25">
      <c r="A2019" s="262">
        <f>ROW()</f>
        <v>2019</v>
      </c>
      <c r="B2019" s="234" t="s">
        <v>491</v>
      </c>
      <c r="C2019" s="217" t="str">
        <f>N1997</f>
        <v>Electric Duct Heater ( 3 phase -Exclude Field cabling, SSRs and HPT)</v>
      </c>
      <c r="D2019" s="260" t="s">
        <v>678</v>
      </c>
      <c r="E2019" s="238"/>
      <c r="F2019" s="217"/>
      <c r="G2019" s="217"/>
      <c r="H2019" s="245"/>
      <c r="I2019" s="270"/>
      <c r="J2019" s="241" t="str">
        <f>CONCATENATE(O1997," ",L1997, " (",M1997,") ",N1997,".", IF(M1997&gt;1," Each "," This "),"includes supply and install of ",O1998,O1999,O2000,O2001,O2002,O2003,O2004,O2005,O2006,O2007,O2008,O2009,O2010,O2011,O2012,O2013,O2014,O2015,O2016,O2017,J1998,J1999,J2000,J2001,J2002,J2003,J2004,J2005,J2006,J2007,J2008,J2009,J2010,J2011,J2012,J2013,J2014,J2015,J2016,J2017)</f>
        <v>Electrical power supply and controls to Zero (0) Electric Duct Heater ( 3 phase -Exclude Field cabling, SSRs and HPT). This includes supply and install of CB,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Customers in-house electrician: Please refer to our exclusions relating to Power cabling from MSSB to heater and HPT. Customers electrician to leave tails adjacent MSSB for Controlworks to connect. Coordination Note: - BMS trade: Please refer to our exclusions relating to cabling from MSSB's to BMS system Coordination Note: - Fire trade: Please refer to our exclusions relating to fire cabling from FIP. Coordination Note: - : Please refer to our exclusions relating to 0</v>
      </c>
      <c r="K2019" s="248">
        <f>P2018</f>
        <v>0</v>
      </c>
      <c r="L2019" s="235" t="str">
        <f>CONCATENATE(Q1998,Q1999,Q2000,Q2001,Q2002,Q2003,Q2004,Q2005,Q2006,Q2007,Q2008,Q2009,Q2010,Q2011,Q2012,Q2013,Q2014,Q2015,Q2016,Q2017,)</f>
        <v>heater  trefolyte label. Power cabling from MSSB to heater and HPT. Customers electrician to leave tails adjacent MSSB for Controlworks to connect. cabling from MSSB's to BMS system fire cabling from FIP. 0</v>
      </c>
      <c r="M2019" s="166" t="s">
        <v>367</v>
      </c>
      <c r="N2019" s="160" t="str">
        <f>N1997</f>
        <v>Electric Duct Heater ( 3 phase -Exclude Field cabling, SSRs and HPT)</v>
      </c>
      <c r="O2019" s="185" t="s">
        <v>365</v>
      </c>
      <c r="P2019" s="203" t="e">
        <f>P2018/M1997</f>
        <v>#DIV/0!</v>
      </c>
      <c r="Q2019" s="195"/>
      <c r="R2019" s="188"/>
      <c r="S2019" s="160"/>
      <c r="T2019" s="161"/>
      <c r="U2019" s="503" t="s">
        <v>366</v>
      </c>
      <c r="V2019" s="503"/>
      <c r="W2019" s="162" t="e">
        <f>W2018/M1997</f>
        <v>#DIV/0!</v>
      </c>
      <c r="X2019" s="163"/>
      <c r="Y2019" s="501" t="s">
        <v>365</v>
      </c>
      <c r="Z2019" s="501"/>
      <c r="AA2019" s="164" t="e">
        <f>AA2018/M1997</f>
        <v>#DIV/0!</v>
      </c>
      <c r="AB2019" s="161"/>
      <c r="AC2019" s="161"/>
      <c r="AD2019" s="161"/>
      <c r="AE2019" s="161"/>
      <c r="AF2019" s="501" t="s">
        <v>365</v>
      </c>
      <c r="AG2019" s="501"/>
      <c r="AH2019" s="164" t="e">
        <f>AH2018/M1997</f>
        <v>#DIV/0!</v>
      </c>
      <c r="AI2019" s="161"/>
      <c r="AJ2019" s="161"/>
      <c r="AK2019" s="161"/>
      <c r="AL2019" s="247"/>
      <c r="AM2019" s="257"/>
      <c r="AN2019" s="230">
        <f>K2019*1.25</f>
        <v>0</v>
      </c>
      <c r="AO2019" s="286"/>
      <c r="AP2019" s="284">
        <f t="shared" si="920"/>
        <v>0</v>
      </c>
      <c r="AQ2019" s="281">
        <f t="shared" si="921"/>
        <v>0</v>
      </c>
      <c r="AR2019" s="284">
        <f t="shared" si="922"/>
        <v>0</v>
      </c>
      <c r="AS2019" s="281">
        <f t="shared" si="923"/>
        <v>0</v>
      </c>
      <c r="AT2019" s="284">
        <f t="shared" si="924"/>
        <v>0</v>
      </c>
      <c r="AU2019" s="117"/>
      <c r="AV2019" s="117"/>
      <c r="AW2019" s="117"/>
      <c r="AX2019" s="117"/>
      <c r="AY2019" s="117"/>
      <c r="AZ2019" s="117"/>
      <c r="BA2019" s="117"/>
      <c r="BB2019" s="117"/>
      <c r="BC2019" s="117"/>
      <c r="BD2019" s="117"/>
      <c r="BE2019" s="117"/>
      <c r="BF2019" s="117"/>
      <c r="BG2019" s="117"/>
      <c r="BH2019" s="117"/>
      <c r="BI2019" s="117"/>
      <c r="BJ2019" s="117"/>
      <c r="BK2019" s="117"/>
      <c r="BL2019" s="117"/>
      <c r="BM2019" s="117"/>
      <c r="BN2019" s="117"/>
      <c r="BO2019" s="117"/>
      <c r="BP2019" s="117"/>
      <c r="BQ2019" s="117"/>
      <c r="BR2019" s="117"/>
      <c r="BS2019" s="117"/>
      <c r="BT2019" s="117"/>
      <c r="BU2019" s="117"/>
      <c r="BV2019" s="117"/>
      <c r="BW2019" s="117"/>
      <c r="BX2019" s="117"/>
      <c r="BY2019" s="117"/>
      <c r="BZ2019" s="117"/>
      <c r="CA2019" s="117"/>
      <c r="CB2019" s="117"/>
      <c r="CC2019" s="117"/>
      <c r="CD2019" s="117"/>
      <c r="CE2019" s="117"/>
      <c r="CF2019" s="117"/>
      <c r="CG2019" s="117"/>
      <c r="CH2019" s="117"/>
      <c r="CI2019" s="117"/>
      <c r="CJ2019" s="117"/>
      <c r="CK2019" s="117"/>
      <c r="CL2019" s="117"/>
      <c r="CM2019" s="117"/>
      <c r="CN2019" s="117"/>
      <c r="CO2019" s="117"/>
      <c r="CP2019" s="117"/>
      <c r="CQ2019" s="117"/>
      <c r="CR2019" s="117"/>
      <c r="CS2019" s="117"/>
    </row>
    <row r="2020" spans="1:97" s="116" customFormat="1" ht="193.5" customHeight="1" x14ac:dyDescent="0.8">
      <c r="A2020" s="262">
        <f>ROW()</f>
        <v>2020</v>
      </c>
      <c r="C2020" s="211"/>
      <c r="D2020" s="211"/>
      <c r="E2020" s="211"/>
      <c r="F2020" s="211"/>
      <c r="G2020" s="211"/>
      <c r="H2020" s="211"/>
      <c r="K2020" s="116" t="s">
        <v>452</v>
      </c>
      <c r="M2020" s="116" t="s">
        <v>107</v>
      </c>
      <c r="N2020" s="116" t="s">
        <v>108</v>
      </c>
      <c r="O2020" s="170" t="s">
        <v>386</v>
      </c>
      <c r="P2020" s="504" t="s">
        <v>375</v>
      </c>
      <c r="Q2020" s="504"/>
      <c r="R2020" s="101" t="s">
        <v>452</v>
      </c>
      <c r="S2020" s="116" t="s">
        <v>0</v>
      </c>
      <c r="T2020" s="118"/>
      <c r="U2020" s="116" t="s">
        <v>287</v>
      </c>
      <c r="V2020" s="116" t="s">
        <v>288</v>
      </c>
      <c r="W2020" s="116" t="s">
        <v>291</v>
      </c>
      <c r="X2020" s="140"/>
      <c r="Y2020" s="116" t="s">
        <v>289</v>
      </c>
      <c r="Z2020" s="116" t="s">
        <v>354</v>
      </c>
      <c r="AA2020" s="116" t="s">
        <v>355</v>
      </c>
      <c r="AB2020" s="116" t="s">
        <v>317</v>
      </c>
      <c r="AC2020" s="116" t="s">
        <v>318</v>
      </c>
      <c r="AD2020" s="116" t="s">
        <v>316</v>
      </c>
      <c r="AE2020" s="140"/>
      <c r="AF2020" s="116" t="s">
        <v>293</v>
      </c>
      <c r="AG2020" s="116" t="s">
        <v>354</v>
      </c>
      <c r="AH2020" s="116" t="s">
        <v>355</v>
      </c>
      <c r="AI2020" s="116" t="s">
        <v>296</v>
      </c>
      <c r="AJ2020" s="116" t="s">
        <v>294</v>
      </c>
      <c r="AK2020" s="116" t="s">
        <v>295</v>
      </c>
      <c r="AL2020" s="140"/>
      <c r="AO2020" s="288"/>
      <c r="AP2020" s="284">
        <f t="shared" si="920"/>
        <v>0</v>
      </c>
      <c r="AQ2020" s="281">
        <f t="shared" si="921"/>
        <v>0</v>
      </c>
      <c r="AR2020" s="284">
        <f t="shared" si="922"/>
        <v>0</v>
      </c>
      <c r="AS2020" s="281">
        <f t="shared" si="923"/>
        <v>0</v>
      </c>
      <c r="AT2020" s="284">
        <f t="shared" si="924"/>
        <v>0</v>
      </c>
    </row>
    <row r="2021" spans="1:97" s="114" customFormat="1" ht="68.25" customHeight="1" x14ac:dyDescent="0.8">
      <c r="A2021" s="262">
        <f>ROW()</f>
        <v>2021</v>
      </c>
      <c r="C2021" s="208"/>
      <c r="D2021" s="208"/>
      <c r="E2021" s="208"/>
      <c r="F2021" s="208"/>
      <c r="G2021" s="208"/>
      <c r="H2021" s="208"/>
      <c r="L2021" s="124" t="str">
        <f>VLOOKUP(M2021,Sheet2!$D$2:$E$1024,2,FALSE)</f>
        <v>Zero</v>
      </c>
      <c r="M2021" s="121">
        <f>I2043</f>
        <v>0</v>
      </c>
      <c r="N2021" s="132" t="s">
        <v>625</v>
      </c>
      <c r="O2021" s="121" t="s">
        <v>347</v>
      </c>
      <c r="P2021" s="169" t="s">
        <v>379</v>
      </c>
      <c r="Q2021" s="169" t="s">
        <v>375</v>
      </c>
      <c r="R2021" s="169"/>
      <c r="S2021" s="133">
        <f>M2021</f>
        <v>0</v>
      </c>
      <c r="T2021" s="119"/>
      <c r="U2021" s="153" t="s">
        <v>292</v>
      </c>
      <c r="V2021" s="133">
        <f>S2021</f>
        <v>0</v>
      </c>
      <c r="W2021" s="133">
        <f>VLOOKUP(U2021,Sheet1!$B$6:$C$45,2,FALSE)*V2021</f>
        <v>0</v>
      </c>
      <c r="X2021" s="141"/>
      <c r="Y2021" s="121" t="s">
        <v>292</v>
      </c>
      <c r="Z2021" s="146">
        <f>VLOOKUP(Takeoffs!Y2021,Sheet1!$B$6:$C$124,2,FALSE)</f>
        <v>0</v>
      </c>
      <c r="AA2021" s="146">
        <f>Z2021*AB2021</f>
        <v>0</v>
      </c>
      <c r="AB2021" s="143">
        <f>AD2021*AC2021</f>
        <v>0</v>
      </c>
      <c r="AC2021" s="133">
        <f>S2021</f>
        <v>0</v>
      </c>
      <c r="AD2021" s="142">
        <v>1</v>
      </c>
      <c r="AE2021" s="141"/>
      <c r="AF2021" s="121" t="s">
        <v>292</v>
      </c>
      <c r="AG2021" s="146">
        <f>VLOOKUP(Takeoffs!AF2021,Sheet1!$B$6:$C$124,2,FALSE)</f>
        <v>0</v>
      </c>
      <c r="AH2021" s="146">
        <f>AG2021*AI2021</f>
        <v>0</v>
      </c>
      <c r="AI2021" s="143">
        <f>AK2021*AJ2021</f>
        <v>0</v>
      </c>
      <c r="AJ2021" s="133">
        <f>S2021</f>
        <v>0</v>
      </c>
      <c r="AK2021" s="142">
        <f>T2021</f>
        <v>0</v>
      </c>
      <c r="AL2021" s="141"/>
      <c r="AO2021" s="286"/>
      <c r="AP2021" s="284">
        <f t="shared" si="920"/>
        <v>0</v>
      </c>
      <c r="AQ2021" s="281">
        <f t="shared" si="921"/>
        <v>0</v>
      </c>
      <c r="AR2021" s="284">
        <f t="shared" si="922"/>
        <v>0</v>
      </c>
      <c r="AS2021" s="281">
        <f t="shared" si="923"/>
        <v>0</v>
      </c>
      <c r="AT2021" s="284">
        <f t="shared" si="924"/>
        <v>0</v>
      </c>
    </row>
    <row r="2022" spans="1:97" s="114" customFormat="1" ht="30.9" x14ac:dyDescent="0.8">
      <c r="A2022" s="262">
        <f>ROW()</f>
        <v>2022</v>
      </c>
      <c r="C2022" s="208"/>
      <c r="D2022" s="208"/>
      <c r="E2022" s="208"/>
      <c r="F2022" s="208"/>
      <c r="G2022" s="208"/>
      <c r="H2022" s="208"/>
      <c r="J2022" s="114" t="str">
        <f>IF(COUNTBLANK(Q2022)&gt;0,"",CONCATENATE("Coordination Note: - ",P2022,": Please refer to our exclusions relating to ",Q2022))</f>
        <v/>
      </c>
      <c r="K2022" s="114" t="str">
        <f>IF(COUNTBLANK(R2022)&gt;0,"",CONCATENATE(R2022," for ",N2021))</f>
        <v/>
      </c>
      <c r="M2022" s="117"/>
      <c r="N2022" s="123" t="s">
        <v>113</v>
      </c>
      <c r="O2022" s="66"/>
      <c r="P2022" s="121"/>
      <c r="Q2022" s="66"/>
      <c r="R2022" s="121"/>
      <c r="S2022" s="133">
        <f>M2021</f>
        <v>0</v>
      </c>
      <c r="T2022" s="120"/>
      <c r="U2022" s="153" t="s">
        <v>292</v>
      </c>
      <c r="V2022" s="133">
        <f t="shared" ref="V2022:V2041" si="926">S2022</f>
        <v>0</v>
      </c>
      <c r="W2022" s="133">
        <f>VLOOKUP(U2022,Sheet1!$B$6:$C$45,2,FALSE)*V2022</f>
        <v>0</v>
      </c>
      <c r="X2022" s="141"/>
      <c r="Y2022" s="121" t="s">
        <v>292</v>
      </c>
      <c r="Z2022" s="146">
        <f>VLOOKUP(Takeoffs!Y2022,Sheet1!$B$6:$C$124,2,FALSE)</f>
        <v>0</v>
      </c>
      <c r="AA2022" s="146">
        <f t="shared" ref="AA2022:AA2041" si="927">Z2022*AB2022</f>
        <v>0</v>
      </c>
      <c r="AB2022" s="143">
        <f t="shared" ref="AB2022:AB2041" si="928">AD2022*AC2022</f>
        <v>0</v>
      </c>
      <c r="AC2022" s="133">
        <f t="shared" ref="AC2022:AC2041" si="929">S2022</f>
        <v>0</v>
      </c>
      <c r="AD2022" s="142">
        <v>1</v>
      </c>
      <c r="AE2022" s="141"/>
      <c r="AF2022" s="121" t="s">
        <v>292</v>
      </c>
      <c r="AG2022" s="146">
        <f>VLOOKUP(Takeoffs!AF2022,Sheet1!$B$6:$C$124,2,FALSE)</f>
        <v>0</v>
      </c>
      <c r="AH2022" s="146">
        <f t="shared" ref="AH2022:AH2041" si="930">AG2022*AI2022</f>
        <v>0</v>
      </c>
      <c r="AI2022" s="143">
        <f t="shared" ref="AI2022:AI2041" si="931">AK2022*AJ2022</f>
        <v>0</v>
      </c>
      <c r="AJ2022" s="133">
        <f t="shared" ref="AJ2022:AJ2041" si="932">S2022</f>
        <v>0</v>
      </c>
      <c r="AK2022" s="142"/>
      <c r="AL2022" s="141"/>
      <c r="AO2022" s="286"/>
      <c r="AP2022" s="284">
        <f t="shared" si="920"/>
        <v>0</v>
      </c>
      <c r="AQ2022" s="281">
        <f t="shared" si="921"/>
        <v>0</v>
      </c>
      <c r="AR2022" s="284">
        <f t="shared" si="922"/>
        <v>0</v>
      </c>
      <c r="AS2022" s="281">
        <f t="shared" si="923"/>
        <v>0</v>
      </c>
      <c r="AT2022" s="284">
        <f t="shared" si="924"/>
        <v>0</v>
      </c>
    </row>
    <row r="2023" spans="1:97" s="114" customFormat="1" ht="30.9" x14ac:dyDescent="0.8">
      <c r="A2023" s="262">
        <f>ROW()</f>
        <v>2023</v>
      </c>
      <c r="C2023" s="208"/>
      <c r="D2023" s="208"/>
      <c r="E2023" s="208"/>
      <c r="F2023" s="208"/>
      <c r="G2023" s="208"/>
      <c r="H2023" s="208"/>
      <c r="J2023" s="114" t="str">
        <f t="shared" ref="J2023:J2041" si="933">IF(COUNTBLANK(Q2023)&gt;0,"",CONCATENATE("Coordination Note: - ",P2023,": Please refer to our exclusions relating to ",Q2023))</f>
        <v/>
      </c>
      <c r="K2023" s="114" t="str">
        <f>IF(COUNTBLANK(R2023)&gt;0,"",CONCATENATE(R2023," for ",N2021))</f>
        <v/>
      </c>
      <c r="M2023" s="117"/>
      <c r="N2023" s="123" t="s">
        <v>114</v>
      </c>
      <c r="O2023" s="66" t="s">
        <v>308</v>
      </c>
      <c r="P2023" s="121"/>
      <c r="Q2023" s="66"/>
      <c r="R2023" s="121"/>
      <c r="S2023" s="133">
        <f>M2021</f>
        <v>0</v>
      </c>
      <c r="T2023" s="120"/>
      <c r="U2023" s="121" t="s">
        <v>292</v>
      </c>
      <c r="V2023" s="133">
        <f t="shared" si="926"/>
        <v>0</v>
      </c>
      <c r="W2023" s="133">
        <f>VLOOKUP(U2023,Sheet1!$B$6:$C$45,2,FALSE)*V2023</f>
        <v>0</v>
      </c>
      <c r="X2023" s="141"/>
      <c r="Y2023" s="135" t="s">
        <v>250</v>
      </c>
      <c r="Z2023" s="146">
        <f>VLOOKUP(Takeoffs!Y2023,Sheet1!$B$6:$C$124,2,FALSE)</f>
        <v>43.440000000000005</v>
      </c>
      <c r="AA2023" s="146">
        <f t="shared" si="927"/>
        <v>0</v>
      </c>
      <c r="AB2023" s="143">
        <f t="shared" si="928"/>
        <v>0</v>
      </c>
      <c r="AC2023" s="133">
        <f t="shared" si="929"/>
        <v>0</v>
      </c>
      <c r="AD2023" s="142">
        <v>1</v>
      </c>
      <c r="AE2023" s="141"/>
      <c r="AF2023" s="121" t="s">
        <v>292</v>
      </c>
      <c r="AG2023" s="146">
        <f>VLOOKUP(Takeoffs!AF2023,Sheet1!$B$6:$C$124,2,FALSE)</f>
        <v>0</v>
      </c>
      <c r="AH2023" s="146">
        <f t="shared" si="930"/>
        <v>0</v>
      </c>
      <c r="AI2023" s="143">
        <f t="shared" si="931"/>
        <v>0</v>
      </c>
      <c r="AJ2023" s="133">
        <f t="shared" si="932"/>
        <v>0</v>
      </c>
      <c r="AK2023" s="142">
        <f>T2023</f>
        <v>0</v>
      </c>
      <c r="AL2023" s="141"/>
      <c r="AO2023" s="286"/>
      <c r="AP2023" s="284">
        <f t="shared" si="920"/>
        <v>0</v>
      </c>
      <c r="AQ2023" s="281">
        <f t="shared" si="921"/>
        <v>0</v>
      </c>
      <c r="AR2023" s="284">
        <f t="shared" si="922"/>
        <v>0</v>
      </c>
      <c r="AS2023" s="281">
        <f t="shared" si="923"/>
        <v>0</v>
      </c>
      <c r="AT2023" s="284">
        <f t="shared" si="924"/>
        <v>0</v>
      </c>
    </row>
    <row r="2024" spans="1:97" s="114" customFormat="1" ht="30.9" x14ac:dyDescent="0.8">
      <c r="A2024" s="262">
        <f>ROW()</f>
        <v>2024</v>
      </c>
      <c r="C2024" s="208"/>
      <c r="D2024" s="208"/>
      <c r="E2024" s="208"/>
      <c r="F2024" s="208"/>
      <c r="G2024" s="208"/>
      <c r="H2024" s="208"/>
      <c r="J2024" s="114" t="str">
        <f t="shared" si="933"/>
        <v/>
      </c>
      <c r="K2024" s="114" t="str">
        <f>IF(COUNTBLANK(R2024)&gt;0,"",CONCATENATE(R2024," for ",N2021))</f>
        <v/>
      </c>
      <c r="M2024" s="117"/>
      <c r="N2024" s="123" t="s">
        <v>115</v>
      </c>
      <c r="O2024" s="66" t="s">
        <v>626</v>
      </c>
      <c r="P2024" s="121"/>
      <c r="Q2024" s="66"/>
      <c r="R2024" s="121"/>
      <c r="S2024" s="133">
        <f>M2021</f>
        <v>0</v>
      </c>
      <c r="T2024" s="120"/>
      <c r="U2024" s="117" t="s">
        <v>478</v>
      </c>
      <c r="V2024" s="133">
        <f t="shared" si="926"/>
        <v>0</v>
      </c>
      <c r="W2024" s="133">
        <f>VLOOKUP(U2024,Sheet1!$B$6:$C$45,2,FALSE)*V2024</f>
        <v>0</v>
      </c>
      <c r="X2024" s="141"/>
      <c r="Y2024" s="121" t="s">
        <v>292</v>
      </c>
      <c r="Z2024" s="146">
        <f>VLOOKUP(Takeoffs!Y2024,Sheet1!$B$6:$C$124,2,FALSE)</f>
        <v>0</v>
      </c>
      <c r="AA2024" s="146">
        <f t="shared" si="927"/>
        <v>0</v>
      </c>
      <c r="AB2024" s="143">
        <f t="shared" si="928"/>
        <v>0</v>
      </c>
      <c r="AC2024" s="133">
        <f t="shared" si="929"/>
        <v>0</v>
      </c>
      <c r="AD2024" s="142">
        <v>1</v>
      </c>
      <c r="AE2024" s="141"/>
      <c r="AF2024" s="122" t="s">
        <v>267</v>
      </c>
      <c r="AG2024" s="146">
        <f>VLOOKUP(Takeoffs!AF2024,Sheet1!$B$6:$C$124,2,FALSE)</f>
        <v>3.48</v>
      </c>
      <c r="AH2024" s="146">
        <f t="shared" si="930"/>
        <v>0</v>
      </c>
      <c r="AI2024" s="143">
        <f t="shared" si="931"/>
        <v>0</v>
      </c>
      <c r="AJ2024" s="133">
        <f t="shared" si="932"/>
        <v>0</v>
      </c>
      <c r="AK2024" s="142">
        <v>20</v>
      </c>
      <c r="AL2024" s="141"/>
      <c r="AO2024" s="286"/>
      <c r="AP2024" s="284">
        <f t="shared" si="920"/>
        <v>0</v>
      </c>
      <c r="AQ2024" s="281">
        <f t="shared" si="921"/>
        <v>0</v>
      </c>
      <c r="AR2024" s="284">
        <f t="shared" si="922"/>
        <v>0</v>
      </c>
      <c r="AS2024" s="281">
        <f t="shared" si="923"/>
        <v>0</v>
      </c>
      <c r="AT2024" s="284">
        <f t="shared" si="924"/>
        <v>0</v>
      </c>
    </row>
    <row r="2025" spans="1:97" s="114" customFormat="1" ht="30.9" x14ac:dyDescent="0.8">
      <c r="A2025" s="262">
        <f>ROW()</f>
        <v>2025</v>
      </c>
      <c r="C2025" s="208"/>
      <c r="D2025" s="208"/>
      <c r="E2025" s="208"/>
      <c r="F2025" s="208"/>
      <c r="G2025" s="208"/>
      <c r="H2025" s="208"/>
      <c r="J2025" s="114" t="str">
        <f t="shared" si="933"/>
        <v/>
      </c>
      <c r="K2025" s="114" t="str">
        <f>IF(COUNTBLANK(R2025)&gt;0,"",CONCATENATE(R2025," for ",N2021))</f>
        <v/>
      </c>
      <c r="M2025" s="117"/>
      <c r="N2025" s="123" t="s">
        <v>116</v>
      </c>
      <c r="O2025" s="66"/>
      <c r="P2025" s="121"/>
      <c r="Q2025" s="66"/>
      <c r="R2025" s="121"/>
      <c r="S2025" s="133">
        <f>M2021</f>
        <v>0</v>
      </c>
      <c r="T2025" s="120"/>
      <c r="U2025" s="121" t="s">
        <v>292</v>
      </c>
      <c r="V2025" s="133">
        <f t="shared" si="926"/>
        <v>0</v>
      </c>
      <c r="W2025" s="133">
        <f>VLOOKUP(U2025,Sheet1!$B$6:$C$45,2,FALSE)*V2025</f>
        <v>0</v>
      </c>
      <c r="X2025" s="141"/>
      <c r="Y2025" s="121" t="s">
        <v>292</v>
      </c>
      <c r="Z2025" s="146">
        <f>VLOOKUP(Takeoffs!Y2025,Sheet1!$B$6:$C$124,2,FALSE)</f>
        <v>0</v>
      </c>
      <c r="AA2025" s="146">
        <f t="shared" si="927"/>
        <v>0</v>
      </c>
      <c r="AB2025" s="143">
        <f t="shared" si="928"/>
        <v>0</v>
      </c>
      <c r="AC2025" s="133">
        <f t="shared" si="929"/>
        <v>0</v>
      </c>
      <c r="AD2025" s="142">
        <v>1</v>
      </c>
      <c r="AE2025" s="141"/>
      <c r="AF2025" s="121" t="s">
        <v>292</v>
      </c>
      <c r="AG2025" s="146">
        <f>VLOOKUP(Takeoffs!AF2025,Sheet1!$B$6:$C$124,2,FALSE)</f>
        <v>0</v>
      </c>
      <c r="AH2025" s="146">
        <f t="shared" si="930"/>
        <v>0</v>
      </c>
      <c r="AI2025" s="143">
        <f t="shared" si="931"/>
        <v>0</v>
      </c>
      <c r="AJ2025" s="133">
        <f t="shared" si="932"/>
        <v>0</v>
      </c>
      <c r="AK2025" s="142">
        <f t="shared" ref="AK2025:AK2032" si="934">T2025</f>
        <v>0</v>
      </c>
      <c r="AL2025" s="141"/>
      <c r="AO2025" s="286"/>
      <c r="AP2025" s="284">
        <f t="shared" si="920"/>
        <v>0</v>
      </c>
      <c r="AQ2025" s="281">
        <f t="shared" si="921"/>
        <v>0</v>
      </c>
      <c r="AR2025" s="284">
        <f t="shared" si="922"/>
        <v>0</v>
      </c>
      <c r="AS2025" s="281">
        <f t="shared" si="923"/>
        <v>0</v>
      </c>
      <c r="AT2025" s="284">
        <f t="shared" si="924"/>
        <v>0</v>
      </c>
    </row>
    <row r="2026" spans="1:97" s="114" customFormat="1" ht="30.9" x14ac:dyDescent="0.8">
      <c r="A2026" s="262">
        <f>ROW()</f>
        <v>2026</v>
      </c>
      <c r="C2026" s="208"/>
      <c r="D2026" s="208"/>
      <c r="E2026" s="208"/>
      <c r="F2026" s="208"/>
      <c r="G2026" s="208"/>
      <c r="H2026" s="208"/>
      <c r="J2026" s="114" t="str">
        <f t="shared" si="933"/>
        <v/>
      </c>
      <c r="K2026" s="114" t="str">
        <f>IF(COUNTBLANK(R2026)&gt;0,"",CONCATENATE(R2026," for ",N2021))</f>
        <v/>
      </c>
      <c r="M2026" s="117"/>
      <c r="N2026" s="123" t="s">
        <v>117</v>
      </c>
      <c r="O2026" s="66"/>
      <c r="P2026" s="121"/>
      <c r="Q2026" s="66"/>
      <c r="R2026" s="121"/>
      <c r="S2026" s="133">
        <f>M2021</f>
        <v>0</v>
      </c>
      <c r="T2026" s="120"/>
      <c r="U2026" s="121" t="s">
        <v>292</v>
      </c>
      <c r="V2026" s="133">
        <f t="shared" si="926"/>
        <v>0</v>
      </c>
      <c r="W2026" s="133">
        <f>VLOOKUP(U2026,Sheet1!$B$6:$C$45,2,FALSE)*V2026</f>
        <v>0</v>
      </c>
      <c r="X2026" s="141"/>
      <c r="Y2026" s="121" t="s">
        <v>292</v>
      </c>
      <c r="Z2026" s="146">
        <f>VLOOKUP(Takeoffs!Y2026,Sheet1!$B$6:$C$124,2,FALSE)</f>
        <v>0</v>
      </c>
      <c r="AA2026" s="146">
        <f t="shared" si="927"/>
        <v>0</v>
      </c>
      <c r="AB2026" s="143">
        <f t="shared" si="928"/>
        <v>0</v>
      </c>
      <c r="AC2026" s="133">
        <f t="shared" si="929"/>
        <v>0</v>
      </c>
      <c r="AD2026" s="142">
        <v>1</v>
      </c>
      <c r="AE2026" s="141"/>
      <c r="AF2026" s="121" t="s">
        <v>292</v>
      </c>
      <c r="AG2026" s="146">
        <f>VLOOKUP(Takeoffs!AF2026,Sheet1!$B$6:$C$124,2,FALSE)</f>
        <v>0</v>
      </c>
      <c r="AH2026" s="146">
        <f t="shared" si="930"/>
        <v>0</v>
      </c>
      <c r="AI2026" s="143">
        <f t="shared" si="931"/>
        <v>0</v>
      </c>
      <c r="AJ2026" s="133">
        <f t="shared" si="932"/>
        <v>0</v>
      </c>
      <c r="AK2026" s="142">
        <f t="shared" si="934"/>
        <v>0</v>
      </c>
      <c r="AL2026" s="141"/>
      <c r="AO2026" s="286"/>
      <c r="AP2026" s="284">
        <f t="shared" si="920"/>
        <v>0</v>
      </c>
      <c r="AQ2026" s="281">
        <f t="shared" si="921"/>
        <v>0</v>
      </c>
      <c r="AR2026" s="284">
        <f t="shared" si="922"/>
        <v>0</v>
      </c>
      <c r="AS2026" s="281">
        <f t="shared" si="923"/>
        <v>0</v>
      </c>
      <c r="AT2026" s="284">
        <f t="shared" si="924"/>
        <v>0</v>
      </c>
    </row>
    <row r="2027" spans="1:97" s="114" customFormat="1" ht="30.9" x14ac:dyDescent="0.8">
      <c r="A2027" s="262">
        <f>ROW()</f>
        <v>2027</v>
      </c>
      <c r="C2027" s="208"/>
      <c r="D2027" s="208"/>
      <c r="E2027" s="208"/>
      <c r="F2027" s="208"/>
      <c r="G2027" s="208"/>
      <c r="H2027" s="208"/>
      <c r="J2027" s="114" t="str">
        <f t="shared" si="933"/>
        <v/>
      </c>
      <c r="K2027" s="114" t="str">
        <f>IF(COUNTBLANK(R2027)&gt;0,"",CONCATENATE(R2027," for ",N2021))</f>
        <v/>
      </c>
      <c r="M2027" s="117"/>
      <c r="N2027" s="123" t="s">
        <v>118</v>
      </c>
      <c r="O2027" s="66"/>
      <c r="P2027" s="121"/>
      <c r="Q2027" s="66"/>
      <c r="R2027" s="121"/>
      <c r="S2027" s="133">
        <f>M2021</f>
        <v>0</v>
      </c>
      <c r="T2027" s="120"/>
      <c r="U2027" s="121" t="s">
        <v>292</v>
      </c>
      <c r="V2027" s="133">
        <f t="shared" si="926"/>
        <v>0</v>
      </c>
      <c r="W2027" s="133">
        <f>VLOOKUP(U2027,Sheet1!$B$6:$C$45,2,FALSE)*V2027</f>
        <v>0</v>
      </c>
      <c r="X2027" s="141"/>
      <c r="Y2027" s="135" t="s">
        <v>245</v>
      </c>
      <c r="Z2027" s="146">
        <f>VLOOKUP(Takeoffs!Y2027,Sheet1!$B$6:$C$124,2,FALSE)</f>
        <v>46.463999999999999</v>
      </c>
      <c r="AA2027" s="146">
        <f t="shared" si="927"/>
        <v>0</v>
      </c>
      <c r="AB2027" s="143">
        <f t="shared" si="928"/>
        <v>0</v>
      </c>
      <c r="AC2027" s="133">
        <f t="shared" si="929"/>
        <v>0</v>
      </c>
      <c r="AD2027" s="142">
        <v>1</v>
      </c>
      <c r="AE2027" s="141"/>
      <c r="AF2027" s="121" t="s">
        <v>292</v>
      </c>
      <c r="AG2027" s="146">
        <f>VLOOKUP(Takeoffs!AF2027,Sheet1!$B$6:$C$124,2,FALSE)</f>
        <v>0</v>
      </c>
      <c r="AH2027" s="146">
        <f t="shared" si="930"/>
        <v>0</v>
      </c>
      <c r="AI2027" s="143">
        <f t="shared" si="931"/>
        <v>0</v>
      </c>
      <c r="AJ2027" s="133">
        <f t="shared" si="932"/>
        <v>0</v>
      </c>
      <c r="AK2027" s="142">
        <f t="shared" si="934"/>
        <v>0</v>
      </c>
      <c r="AL2027" s="141"/>
      <c r="AO2027" s="286"/>
      <c r="AP2027" s="284">
        <f t="shared" si="920"/>
        <v>0</v>
      </c>
      <c r="AQ2027" s="281">
        <f t="shared" si="921"/>
        <v>0</v>
      </c>
      <c r="AR2027" s="284">
        <f t="shared" si="922"/>
        <v>0</v>
      </c>
      <c r="AS2027" s="281">
        <f t="shared" si="923"/>
        <v>0</v>
      </c>
      <c r="AT2027" s="284">
        <f t="shared" si="924"/>
        <v>0</v>
      </c>
    </row>
    <row r="2028" spans="1:97" s="114" customFormat="1" ht="30.9" x14ac:dyDescent="0.8">
      <c r="A2028" s="262">
        <f>ROW()</f>
        <v>2028</v>
      </c>
      <c r="C2028" s="208"/>
      <c r="D2028" s="208"/>
      <c r="E2028" s="208"/>
      <c r="F2028" s="208"/>
      <c r="G2028" s="208"/>
      <c r="H2028" s="208"/>
      <c r="J2028" s="114" t="str">
        <f t="shared" si="933"/>
        <v/>
      </c>
      <c r="K2028" s="114" t="str">
        <f>IF(COUNTBLANK(R2028)&gt;0,"",CONCATENATE(R2028," for ",N2021))</f>
        <v/>
      </c>
      <c r="N2028" s="123" t="s">
        <v>119</v>
      </c>
      <c r="O2028" s="66"/>
      <c r="P2028" s="121"/>
      <c r="Q2028" s="66"/>
      <c r="R2028" s="121"/>
      <c r="S2028" s="133">
        <f>M2021</f>
        <v>0</v>
      </c>
      <c r="T2028" s="120"/>
      <c r="U2028" s="121" t="s">
        <v>292</v>
      </c>
      <c r="V2028" s="133">
        <f t="shared" si="926"/>
        <v>0</v>
      </c>
      <c r="W2028" s="133">
        <f>VLOOKUP(U2028,Sheet1!$B$6:$C$45,2,FALSE)*V2028</f>
        <v>0</v>
      </c>
      <c r="X2028" s="141"/>
      <c r="Y2028" s="121" t="s">
        <v>292</v>
      </c>
      <c r="Z2028" s="146">
        <f>VLOOKUP(Takeoffs!Y2028,Sheet1!$B$6:$C$124,2,FALSE)</f>
        <v>0</v>
      </c>
      <c r="AA2028" s="146">
        <f t="shared" si="927"/>
        <v>0</v>
      </c>
      <c r="AB2028" s="143">
        <f t="shared" si="928"/>
        <v>0</v>
      </c>
      <c r="AC2028" s="133">
        <f t="shared" si="929"/>
        <v>0</v>
      </c>
      <c r="AD2028" s="142">
        <v>1</v>
      </c>
      <c r="AE2028" s="141"/>
      <c r="AF2028" s="121" t="s">
        <v>292</v>
      </c>
      <c r="AG2028" s="146">
        <f>VLOOKUP(Takeoffs!AF2028,Sheet1!$B$6:$C$124,2,FALSE)</f>
        <v>0</v>
      </c>
      <c r="AH2028" s="146">
        <f t="shared" si="930"/>
        <v>0</v>
      </c>
      <c r="AI2028" s="143">
        <f t="shared" si="931"/>
        <v>0</v>
      </c>
      <c r="AJ2028" s="133">
        <f t="shared" si="932"/>
        <v>0</v>
      </c>
      <c r="AK2028" s="142">
        <f t="shared" si="934"/>
        <v>0</v>
      </c>
      <c r="AL2028" s="141"/>
      <c r="AO2028" s="286"/>
      <c r="AP2028" s="284">
        <f t="shared" si="920"/>
        <v>0</v>
      </c>
      <c r="AQ2028" s="281">
        <f t="shared" si="921"/>
        <v>0</v>
      </c>
      <c r="AR2028" s="284">
        <f t="shared" si="922"/>
        <v>0</v>
      </c>
      <c r="AS2028" s="281">
        <f t="shared" si="923"/>
        <v>0</v>
      </c>
      <c r="AT2028" s="284">
        <f t="shared" si="924"/>
        <v>0</v>
      </c>
    </row>
    <row r="2029" spans="1:97" s="114" customFormat="1" ht="30.9" x14ac:dyDescent="0.8">
      <c r="A2029" s="262">
        <f>ROW()</f>
        <v>2029</v>
      </c>
      <c r="C2029" s="208"/>
      <c r="D2029" s="208"/>
      <c r="E2029" s="208"/>
      <c r="F2029" s="208"/>
      <c r="G2029" s="208"/>
      <c r="H2029" s="208"/>
      <c r="J2029" s="114" t="str">
        <f t="shared" si="933"/>
        <v xml:space="preserve">Coordination Note: - Customers in-house electrician: Please refer to our exclusions relating to heater  trefolyte label. </v>
      </c>
      <c r="K2029" s="114" t="str">
        <f>IF(COUNTBLANK(R2029)&gt;0,"",CONCATENATE(R2029," for ",N2021))</f>
        <v/>
      </c>
      <c r="N2029" s="123" t="s">
        <v>120</v>
      </c>
      <c r="O2029" s="66"/>
      <c r="P2029" s="121" t="s">
        <v>593</v>
      </c>
      <c r="Q2029" s="66" t="s">
        <v>469</v>
      </c>
      <c r="R2029" s="121"/>
      <c r="S2029" s="133">
        <f>M2021</f>
        <v>0</v>
      </c>
      <c r="T2029" s="120"/>
      <c r="U2029" s="121" t="s">
        <v>292</v>
      </c>
      <c r="V2029" s="133">
        <f t="shared" si="926"/>
        <v>0</v>
      </c>
      <c r="W2029" s="133">
        <f>VLOOKUP(U2029,Sheet1!$B$6:$C$45,2,FALSE)*V2029</f>
        <v>0</v>
      </c>
      <c r="X2029" s="141"/>
      <c r="Y2029" s="121" t="s">
        <v>274</v>
      </c>
      <c r="Z2029" s="146">
        <f>VLOOKUP(Takeoffs!Y2029,Sheet1!$B$6:$C$124,2,FALSE)</f>
        <v>360</v>
      </c>
      <c r="AA2029" s="146">
        <f t="shared" si="927"/>
        <v>0</v>
      </c>
      <c r="AB2029" s="143">
        <f t="shared" si="928"/>
        <v>0</v>
      </c>
      <c r="AC2029" s="133">
        <f t="shared" si="929"/>
        <v>0</v>
      </c>
      <c r="AD2029" s="142">
        <v>1</v>
      </c>
      <c r="AE2029" s="141"/>
      <c r="AF2029" s="121" t="s">
        <v>292</v>
      </c>
      <c r="AG2029" s="146">
        <f>VLOOKUP(Takeoffs!AF2029,Sheet1!$B$6:$C$124,2,FALSE)</f>
        <v>0</v>
      </c>
      <c r="AH2029" s="146">
        <f t="shared" si="930"/>
        <v>0</v>
      </c>
      <c r="AI2029" s="143">
        <f t="shared" si="931"/>
        <v>0</v>
      </c>
      <c r="AJ2029" s="133">
        <f t="shared" si="932"/>
        <v>0</v>
      </c>
      <c r="AK2029" s="142">
        <f t="shared" si="934"/>
        <v>0</v>
      </c>
      <c r="AL2029" s="141"/>
      <c r="AO2029" s="286"/>
      <c r="AP2029" s="284">
        <f t="shared" si="920"/>
        <v>0</v>
      </c>
      <c r="AQ2029" s="281">
        <f t="shared" si="921"/>
        <v>0</v>
      </c>
      <c r="AR2029" s="284">
        <f t="shared" si="922"/>
        <v>0</v>
      </c>
      <c r="AS2029" s="281">
        <f t="shared" si="923"/>
        <v>0</v>
      </c>
      <c r="AT2029" s="284">
        <f t="shared" si="924"/>
        <v>0</v>
      </c>
    </row>
    <row r="2030" spans="1:97" s="114" customFormat="1" ht="30.9" x14ac:dyDescent="0.8">
      <c r="A2030" s="262">
        <f>ROW()</f>
        <v>2030</v>
      </c>
      <c r="C2030" s="208"/>
      <c r="D2030" s="208"/>
      <c r="E2030" s="208"/>
      <c r="F2030" s="208"/>
      <c r="G2030" s="208"/>
      <c r="H2030" s="208"/>
      <c r="J2030" s="114" t="str">
        <f t="shared" si="933"/>
        <v/>
      </c>
      <c r="K2030" s="114" t="str">
        <f>IF(COUNTBLANK(R2030)&gt;0,"",CONCATENATE(R2030," for ",N2021))</f>
        <v/>
      </c>
      <c r="N2030" s="123" t="s">
        <v>121</v>
      </c>
      <c r="O2030" s="66" t="s">
        <v>307</v>
      </c>
      <c r="P2030" s="121"/>
      <c r="Q2030" s="66"/>
      <c r="R2030" s="121"/>
      <c r="S2030" s="133">
        <f>M2021</f>
        <v>0</v>
      </c>
      <c r="T2030" s="120"/>
      <c r="U2030" s="117" t="s">
        <v>364</v>
      </c>
      <c r="V2030" s="133">
        <f t="shared" si="926"/>
        <v>0</v>
      </c>
      <c r="W2030" s="133">
        <f>VLOOKUP(U2030,Sheet1!$B$6:$C$45,2,FALSE)*V2030</f>
        <v>0</v>
      </c>
      <c r="X2030" s="141"/>
      <c r="Y2030" s="121" t="s">
        <v>292</v>
      </c>
      <c r="Z2030" s="146">
        <f>VLOOKUP(Takeoffs!Y2030,Sheet1!$B$6:$C$124,2,FALSE)</f>
        <v>0</v>
      </c>
      <c r="AA2030" s="146">
        <f t="shared" si="927"/>
        <v>0</v>
      </c>
      <c r="AB2030" s="143">
        <f t="shared" si="928"/>
        <v>0</v>
      </c>
      <c r="AC2030" s="133">
        <f t="shared" si="929"/>
        <v>0</v>
      </c>
      <c r="AD2030" s="142">
        <v>1</v>
      </c>
      <c r="AE2030" s="141"/>
      <c r="AF2030" s="121" t="s">
        <v>292</v>
      </c>
      <c r="AG2030" s="146">
        <f>VLOOKUP(Takeoffs!AF2030,Sheet1!$B$6:$C$124,2,FALSE)</f>
        <v>0</v>
      </c>
      <c r="AH2030" s="146">
        <f t="shared" si="930"/>
        <v>0</v>
      </c>
      <c r="AI2030" s="143">
        <f t="shared" si="931"/>
        <v>0</v>
      </c>
      <c r="AJ2030" s="133">
        <f t="shared" si="932"/>
        <v>0</v>
      </c>
      <c r="AK2030" s="142">
        <f t="shared" si="934"/>
        <v>0</v>
      </c>
      <c r="AL2030" s="141"/>
      <c r="AO2030" s="286"/>
      <c r="AP2030" s="284">
        <f t="shared" si="920"/>
        <v>0</v>
      </c>
      <c r="AQ2030" s="281">
        <f t="shared" si="921"/>
        <v>0</v>
      </c>
      <c r="AR2030" s="284">
        <f t="shared" si="922"/>
        <v>0</v>
      </c>
      <c r="AS2030" s="281">
        <f t="shared" si="923"/>
        <v>0</v>
      </c>
      <c r="AT2030" s="284">
        <f t="shared" si="924"/>
        <v>0</v>
      </c>
    </row>
    <row r="2031" spans="1:97" s="114" customFormat="1" ht="30.9" x14ac:dyDescent="0.8">
      <c r="A2031" s="262">
        <f>ROW()</f>
        <v>2031</v>
      </c>
      <c r="C2031" s="208"/>
      <c r="D2031" s="208"/>
      <c r="E2031" s="208"/>
      <c r="F2031" s="208"/>
      <c r="G2031" s="208"/>
      <c r="H2031" s="208"/>
      <c r="J2031" s="114" t="str">
        <f t="shared" si="933"/>
        <v>Coordination Note: - BMS trade: Please refer to our exclusions relating to cabling from MSSB's to BMS system</v>
      </c>
      <c r="K2031" s="114" t="str">
        <f>IF(COUNTBLANK(R2031)&gt;0,"",CONCATENATE(R2031," for ",N2021))</f>
        <v/>
      </c>
      <c r="N2031" s="123" t="s">
        <v>122</v>
      </c>
      <c r="O2031" s="66" t="s">
        <v>501</v>
      </c>
      <c r="P2031" s="121" t="s">
        <v>471</v>
      </c>
      <c r="Q2031" s="66" t="s">
        <v>472</v>
      </c>
      <c r="R2031" s="121"/>
      <c r="S2031" s="133">
        <f>M2021</f>
        <v>0</v>
      </c>
      <c r="T2031" s="120"/>
      <c r="U2031" s="121" t="s">
        <v>292</v>
      </c>
      <c r="V2031" s="133">
        <f t="shared" si="926"/>
        <v>0</v>
      </c>
      <c r="W2031" s="133">
        <f>VLOOKUP(U2031,Sheet1!$B$6:$C$45,2,FALSE)*V2031</f>
        <v>0</v>
      </c>
      <c r="X2031" s="141"/>
      <c r="Y2031" s="135" t="s">
        <v>475</v>
      </c>
      <c r="Z2031" s="146">
        <f>VLOOKUP(Takeoffs!Y2031,Sheet1!$B$6:$C$124,2,FALSE)</f>
        <v>60</v>
      </c>
      <c r="AA2031" s="146">
        <f t="shared" si="927"/>
        <v>0</v>
      </c>
      <c r="AB2031" s="143">
        <f t="shared" si="928"/>
        <v>0</v>
      </c>
      <c r="AC2031" s="133">
        <f t="shared" si="929"/>
        <v>0</v>
      </c>
      <c r="AD2031" s="142">
        <v>3</v>
      </c>
      <c r="AE2031" s="141"/>
      <c r="AF2031" s="121" t="s">
        <v>292</v>
      </c>
      <c r="AG2031" s="146">
        <f>VLOOKUP(Takeoffs!AF2031,Sheet1!$B$6:$C$124,2,FALSE)</f>
        <v>0</v>
      </c>
      <c r="AH2031" s="146">
        <f t="shared" si="930"/>
        <v>0</v>
      </c>
      <c r="AI2031" s="143">
        <f t="shared" si="931"/>
        <v>0</v>
      </c>
      <c r="AJ2031" s="133">
        <f t="shared" si="932"/>
        <v>0</v>
      </c>
      <c r="AK2031" s="142">
        <f t="shared" si="934"/>
        <v>0</v>
      </c>
      <c r="AL2031" s="141"/>
      <c r="AO2031" s="286"/>
      <c r="AP2031" s="284">
        <f t="shared" si="920"/>
        <v>0</v>
      </c>
      <c r="AQ2031" s="281">
        <f t="shared" si="921"/>
        <v>0</v>
      </c>
      <c r="AR2031" s="284">
        <f t="shared" si="922"/>
        <v>0</v>
      </c>
      <c r="AS2031" s="281">
        <f t="shared" si="923"/>
        <v>0</v>
      </c>
      <c r="AT2031" s="284">
        <f t="shared" si="924"/>
        <v>0</v>
      </c>
    </row>
    <row r="2032" spans="1:97" s="114" customFormat="1" ht="30.9" x14ac:dyDescent="0.8">
      <c r="A2032" s="262">
        <f>ROW()</f>
        <v>2032</v>
      </c>
      <c r="C2032" s="208"/>
      <c r="D2032" s="208"/>
      <c r="E2032" s="208"/>
      <c r="F2032" s="208"/>
      <c r="G2032" s="208"/>
      <c r="H2032" s="208"/>
      <c r="J2032" s="114" t="str">
        <f t="shared" si="933"/>
        <v/>
      </c>
      <c r="K2032" s="114" t="str">
        <f>IF(COUNTBLANK(R2032)&gt;0,"",CONCATENATE(R2032," for ",N2021))</f>
        <v/>
      </c>
      <c r="N2032" s="123" t="s">
        <v>123</v>
      </c>
      <c r="O2032" s="66" t="s">
        <v>502</v>
      </c>
      <c r="P2032" s="121"/>
      <c r="Q2032" s="66"/>
      <c r="R2032" s="121"/>
      <c r="S2032" s="133">
        <f>M2021</f>
        <v>0</v>
      </c>
      <c r="T2032" s="120"/>
      <c r="U2032" s="117" t="s">
        <v>363</v>
      </c>
      <c r="V2032" s="133">
        <f t="shared" si="926"/>
        <v>0</v>
      </c>
      <c r="W2032" s="133">
        <f>VLOOKUP(U2032,Sheet1!$B$6:$C$45,2,FALSE)*V2032</f>
        <v>0</v>
      </c>
      <c r="X2032" s="141"/>
      <c r="Y2032" s="135" t="s">
        <v>477</v>
      </c>
      <c r="Z2032" s="146">
        <f>VLOOKUP(Takeoffs!Y2032,Sheet1!$B$6:$C$124,2,FALSE)</f>
        <v>180</v>
      </c>
      <c r="AA2032" s="146">
        <f t="shared" si="927"/>
        <v>0</v>
      </c>
      <c r="AB2032" s="143">
        <f t="shared" si="928"/>
        <v>0</v>
      </c>
      <c r="AC2032" s="133">
        <f t="shared" si="929"/>
        <v>0</v>
      </c>
      <c r="AD2032" s="142">
        <v>1</v>
      </c>
      <c r="AE2032" s="141"/>
      <c r="AF2032" s="121" t="s">
        <v>292</v>
      </c>
      <c r="AG2032" s="146">
        <f>VLOOKUP(Takeoffs!AF2032,Sheet1!$B$6:$C$124,2,FALSE)</f>
        <v>0</v>
      </c>
      <c r="AH2032" s="146">
        <f t="shared" si="930"/>
        <v>0</v>
      </c>
      <c r="AI2032" s="143">
        <f t="shared" si="931"/>
        <v>0</v>
      </c>
      <c r="AJ2032" s="133">
        <f t="shared" si="932"/>
        <v>0</v>
      </c>
      <c r="AK2032" s="142">
        <f t="shared" si="934"/>
        <v>0</v>
      </c>
      <c r="AL2032" s="141"/>
      <c r="AO2032" s="286"/>
      <c r="AP2032" s="284">
        <f t="shared" si="920"/>
        <v>0</v>
      </c>
      <c r="AQ2032" s="281">
        <f t="shared" si="921"/>
        <v>0</v>
      </c>
      <c r="AR2032" s="284">
        <f t="shared" si="922"/>
        <v>0</v>
      </c>
      <c r="AS2032" s="281">
        <f t="shared" si="923"/>
        <v>0</v>
      </c>
      <c r="AT2032" s="284">
        <f t="shared" si="924"/>
        <v>0</v>
      </c>
    </row>
    <row r="2033" spans="1:97" s="114" customFormat="1" ht="30.9" x14ac:dyDescent="0.8">
      <c r="A2033" s="262">
        <f>ROW()</f>
        <v>2033</v>
      </c>
      <c r="C2033" s="208"/>
      <c r="D2033" s="208"/>
      <c r="E2033" s="208"/>
      <c r="F2033" s="208"/>
      <c r="G2033" s="208"/>
      <c r="H2033" s="208"/>
      <c r="J2033" s="114" t="str">
        <f t="shared" si="933"/>
        <v/>
      </c>
      <c r="K2033" s="114" t="str">
        <f>IF(COUNTBLANK(R2033)&gt;0,"",CONCATENATE(R2033," for ",N2021))</f>
        <v/>
      </c>
      <c r="N2033" s="123" t="s">
        <v>124</v>
      </c>
      <c r="O2033" s="66" t="s">
        <v>140</v>
      </c>
      <c r="P2033" s="121"/>
      <c r="Q2033" s="66"/>
      <c r="R2033" s="121"/>
      <c r="S2033" s="133">
        <f>M2021</f>
        <v>0</v>
      </c>
      <c r="T2033" s="120"/>
      <c r="U2033" s="121" t="s">
        <v>292</v>
      </c>
      <c r="V2033" s="133">
        <f t="shared" si="926"/>
        <v>0</v>
      </c>
      <c r="W2033" s="133">
        <f>VLOOKUP(U2033,Sheet1!$B$6:$C$45,2,FALSE)*V2033</f>
        <v>0</v>
      </c>
      <c r="X2033" s="141"/>
      <c r="Y2033" s="121" t="s">
        <v>292</v>
      </c>
      <c r="Z2033" s="146">
        <f>VLOOKUP(Takeoffs!Y2033,Sheet1!$B$6:$C$124,2,FALSE)</f>
        <v>0</v>
      </c>
      <c r="AA2033" s="146">
        <f t="shared" si="927"/>
        <v>0</v>
      </c>
      <c r="AB2033" s="143">
        <f t="shared" si="928"/>
        <v>0</v>
      </c>
      <c r="AC2033" s="133">
        <f t="shared" si="929"/>
        <v>0</v>
      </c>
      <c r="AD2033" s="142">
        <v>1</v>
      </c>
      <c r="AE2033" s="141"/>
      <c r="AF2033" s="144" t="s">
        <v>269</v>
      </c>
      <c r="AG2033" s="146">
        <f>VLOOKUP(Takeoffs!AF2033,Sheet1!$B$6:$C$124,2,FALSE)</f>
        <v>1.056</v>
      </c>
      <c r="AH2033" s="146">
        <f t="shared" si="930"/>
        <v>0</v>
      </c>
      <c r="AI2033" s="143">
        <f t="shared" si="931"/>
        <v>0</v>
      </c>
      <c r="AJ2033" s="133">
        <f t="shared" si="932"/>
        <v>0</v>
      </c>
      <c r="AK2033" s="142">
        <v>20</v>
      </c>
      <c r="AL2033" s="141"/>
      <c r="AO2033" s="286"/>
      <c r="AP2033" s="284">
        <f t="shared" si="920"/>
        <v>0</v>
      </c>
      <c r="AQ2033" s="281">
        <f t="shared" si="921"/>
        <v>0</v>
      </c>
      <c r="AR2033" s="284">
        <f t="shared" si="922"/>
        <v>0</v>
      </c>
      <c r="AS2033" s="281">
        <f t="shared" si="923"/>
        <v>0</v>
      </c>
      <c r="AT2033" s="284">
        <f t="shared" si="924"/>
        <v>0</v>
      </c>
    </row>
    <row r="2034" spans="1:97" s="114" customFormat="1" ht="30.9" x14ac:dyDescent="0.8">
      <c r="A2034" s="262">
        <f>ROW()</f>
        <v>2034</v>
      </c>
      <c r="C2034" s="208"/>
      <c r="D2034" s="208"/>
      <c r="E2034" s="208"/>
      <c r="F2034" s="208"/>
      <c r="G2034" s="208"/>
      <c r="H2034" s="208"/>
      <c r="J2034" s="114" t="str">
        <f t="shared" si="933"/>
        <v/>
      </c>
      <c r="K2034" s="114" t="str">
        <f>IF(COUNTBLANK(R2034)&gt;0,"",CONCATENATE(R2034," for ",N2021))</f>
        <v/>
      </c>
      <c r="N2034" s="123" t="s">
        <v>125</v>
      </c>
      <c r="O2034" s="66" t="s">
        <v>473</v>
      </c>
      <c r="P2034" s="121"/>
      <c r="Q2034" s="66"/>
      <c r="R2034" s="121"/>
      <c r="S2034" s="133">
        <f>M2021</f>
        <v>0</v>
      </c>
      <c r="T2034" s="120"/>
      <c r="U2034" s="135" t="s">
        <v>232</v>
      </c>
      <c r="V2034" s="133">
        <f t="shared" si="926"/>
        <v>0</v>
      </c>
      <c r="W2034" s="133">
        <f>VLOOKUP(U2034,Sheet1!$B$6:$C$45,2,FALSE)*V2034</f>
        <v>0</v>
      </c>
      <c r="X2034" s="141"/>
      <c r="Y2034" s="122" t="s">
        <v>1345</v>
      </c>
      <c r="Z2034" s="146">
        <f>VLOOKUP(Takeoffs!Y2034,Sheet1!$B$6:$C$124,2,FALSE)</f>
        <v>109.25999999999999</v>
      </c>
      <c r="AA2034" s="146">
        <f t="shared" si="927"/>
        <v>0</v>
      </c>
      <c r="AB2034" s="143">
        <f t="shared" si="928"/>
        <v>0</v>
      </c>
      <c r="AC2034" s="133">
        <f t="shared" si="929"/>
        <v>0</v>
      </c>
      <c r="AD2034" s="142">
        <v>1</v>
      </c>
      <c r="AE2034" s="141"/>
      <c r="AF2034" s="121" t="s">
        <v>292</v>
      </c>
      <c r="AG2034" s="146">
        <f>VLOOKUP(Takeoffs!AF2034,Sheet1!$B$6:$C$124,2,FALSE)</f>
        <v>0</v>
      </c>
      <c r="AH2034" s="146">
        <f t="shared" si="930"/>
        <v>0</v>
      </c>
      <c r="AI2034" s="143">
        <f t="shared" si="931"/>
        <v>0</v>
      </c>
      <c r="AJ2034" s="133">
        <f t="shared" si="932"/>
        <v>0</v>
      </c>
      <c r="AK2034" s="142">
        <f t="shared" ref="AK2034:AK2041" si="935">T2034</f>
        <v>0</v>
      </c>
      <c r="AL2034" s="141"/>
      <c r="AO2034" s="286"/>
      <c r="AP2034" s="284">
        <f t="shared" si="920"/>
        <v>0</v>
      </c>
      <c r="AQ2034" s="281">
        <f t="shared" si="921"/>
        <v>0</v>
      </c>
      <c r="AR2034" s="284">
        <f t="shared" si="922"/>
        <v>0</v>
      </c>
      <c r="AS2034" s="281">
        <f t="shared" si="923"/>
        <v>0</v>
      </c>
      <c r="AT2034" s="284">
        <f t="shared" si="924"/>
        <v>0</v>
      </c>
    </row>
    <row r="2035" spans="1:97" s="114" customFormat="1" ht="30.9" x14ac:dyDescent="0.8">
      <c r="A2035" s="262">
        <f>ROW()</f>
        <v>2035</v>
      </c>
      <c r="C2035" s="208"/>
      <c r="D2035" s="208"/>
      <c r="E2035" s="208"/>
      <c r="F2035" s="208"/>
      <c r="G2035" s="208"/>
      <c r="H2035" s="208"/>
      <c r="J2035" s="114" t="str">
        <f t="shared" si="933"/>
        <v/>
      </c>
      <c r="K2035" s="114" t="str">
        <f>IF(COUNTBLANK(R2035)&gt;0,"",CONCATENATE(R2035," for ",N2021))</f>
        <v/>
      </c>
      <c r="N2035" s="123" t="s">
        <v>126</v>
      </c>
      <c r="O2035" s="66" t="s">
        <v>470</v>
      </c>
      <c r="P2035" s="121"/>
      <c r="Q2035" s="66"/>
      <c r="R2035" s="121"/>
      <c r="S2035" s="133">
        <f>M2021</f>
        <v>0</v>
      </c>
      <c r="T2035" s="120"/>
      <c r="U2035" s="121" t="s">
        <v>292</v>
      </c>
      <c r="V2035" s="133">
        <f t="shared" si="926"/>
        <v>0</v>
      </c>
      <c r="W2035" s="133">
        <f>VLOOKUP(U2035,Sheet1!$B$6:$C$45,2,FALSE)*V2035</f>
        <v>0</v>
      </c>
      <c r="X2035" s="141"/>
      <c r="Y2035" s="121" t="s">
        <v>292</v>
      </c>
      <c r="Z2035" s="146">
        <f>VLOOKUP(Takeoffs!Y2035,Sheet1!$B$6:$C$124,2,FALSE)</f>
        <v>0</v>
      </c>
      <c r="AA2035" s="146">
        <f t="shared" si="927"/>
        <v>0</v>
      </c>
      <c r="AB2035" s="143">
        <f t="shared" si="928"/>
        <v>0</v>
      </c>
      <c r="AC2035" s="133">
        <f t="shared" si="929"/>
        <v>0</v>
      </c>
      <c r="AD2035" s="142">
        <v>1</v>
      </c>
      <c r="AE2035" s="141"/>
      <c r="AF2035" s="121" t="s">
        <v>292</v>
      </c>
      <c r="AG2035" s="146">
        <f>VLOOKUP(Takeoffs!AF2035,Sheet1!$B$6:$C$124,2,FALSE)</f>
        <v>0</v>
      </c>
      <c r="AH2035" s="146">
        <f t="shared" si="930"/>
        <v>0</v>
      </c>
      <c r="AI2035" s="143">
        <f t="shared" si="931"/>
        <v>0</v>
      </c>
      <c r="AJ2035" s="133">
        <f t="shared" si="932"/>
        <v>0</v>
      </c>
      <c r="AK2035" s="142">
        <f t="shared" si="935"/>
        <v>0</v>
      </c>
      <c r="AL2035" s="141"/>
      <c r="AO2035" s="286"/>
      <c r="AP2035" s="284">
        <f t="shared" si="920"/>
        <v>0</v>
      </c>
      <c r="AQ2035" s="281">
        <f t="shared" si="921"/>
        <v>0</v>
      </c>
      <c r="AR2035" s="284">
        <f t="shared" si="922"/>
        <v>0</v>
      </c>
      <c r="AS2035" s="281">
        <f t="shared" si="923"/>
        <v>0</v>
      </c>
      <c r="AT2035" s="284">
        <f t="shared" si="924"/>
        <v>0</v>
      </c>
    </row>
    <row r="2036" spans="1:97" s="114" customFormat="1" ht="30.9" x14ac:dyDescent="0.8">
      <c r="A2036" s="262">
        <f>ROW()</f>
        <v>2036</v>
      </c>
      <c r="C2036" s="208"/>
      <c r="D2036" s="208"/>
      <c r="E2036" s="208"/>
      <c r="F2036" s="208"/>
      <c r="G2036" s="208"/>
      <c r="H2036" s="208"/>
      <c r="J2036" s="114" t="str">
        <f t="shared" si="933"/>
        <v/>
      </c>
      <c r="K2036" s="114" t="str">
        <f>IF(COUNTBLANK(R2036)&gt;0,"",CONCATENATE(R2036," for ",N2021))</f>
        <v/>
      </c>
      <c r="N2036" s="123" t="s">
        <v>127</v>
      </c>
      <c r="O2036" s="66"/>
      <c r="P2036" s="121"/>
      <c r="Q2036" s="66"/>
      <c r="R2036" s="121"/>
      <c r="S2036" s="133">
        <f>M2021</f>
        <v>0</v>
      </c>
      <c r="T2036" s="120"/>
      <c r="U2036" s="121" t="s">
        <v>292</v>
      </c>
      <c r="V2036" s="133">
        <f t="shared" si="926"/>
        <v>0</v>
      </c>
      <c r="W2036" s="133">
        <f>VLOOKUP(U2036,Sheet1!$B$6:$C$45,2,FALSE)*V2036</f>
        <v>0</v>
      </c>
      <c r="X2036" s="141"/>
      <c r="Y2036" s="121" t="s">
        <v>292</v>
      </c>
      <c r="Z2036" s="146">
        <f>VLOOKUP(Takeoffs!Y2036,Sheet1!$B$6:$C$124,2,FALSE)</f>
        <v>0</v>
      </c>
      <c r="AA2036" s="146">
        <f t="shared" si="927"/>
        <v>0</v>
      </c>
      <c r="AB2036" s="143">
        <f t="shared" si="928"/>
        <v>0</v>
      </c>
      <c r="AC2036" s="133">
        <f t="shared" si="929"/>
        <v>0</v>
      </c>
      <c r="AD2036" s="142">
        <v>1</v>
      </c>
      <c r="AE2036" s="141"/>
      <c r="AF2036" s="121" t="s">
        <v>292</v>
      </c>
      <c r="AG2036" s="146">
        <f>VLOOKUP(Takeoffs!AF2036,Sheet1!$B$6:$C$124,2,FALSE)</f>
        <v>0</v>
      </c>
      <c r="AH2036" s="146">
        <f t="shared" si="930"/>
        <v>0</v>
      </c>
      <c r="AI2036" s="143">
        <f t="shared" si="931"/>
        <v>0</v>
      </c>
      <c r="AJ2036" s="133">
        <f t="shared" si="932"/>
        <v>0</v>
      </c>
      <c r="AK2036" s="142">
        <f t="shared" si="935"/>
        <v>0</v>
      </c>
      <c r="AL2036" s="141"/>
      <c r="AO2036" s="286"/>
      <c r="AP2036" s="284">
        <f t="shared" si="920"/>
        <v>0</v>
      </c>
      <c r="AQ2036" s="281">
        <f t="shared" si="921"/>
        <v>0</v>
      </c>
      <c r="AR2036" s="284">
        <f t="shared" si="922"/>
        <v>0</v>
      </c>
      <c r="AS2036" s="281">
        <f t="shared" si="923"/>
        <v>0</v>
      </c>
      <c r="AT2036" s="284">
        <f t="shared" si="924"/>
        <v>0</v>
      </c>
    </row>
    <row r="2037" spans="1:97" s="114" customFormat="1" ht="30.9" x14ac:dyDescent="0.8">
      <c r="A2037" s="262">
        <f>ROW()</f>
        <v>2037</v>
      </c>
      <c r="C2037" s="208"/>
      <c r="D2037" s="208"/>
      <c r="E2037" s="208"/>
      <c r="F2037" s="208"/>
      <c r="G2037" s="208"/>
      <c r="H2037" s="208"/>
      <c r="J2037" s="114" t="str">
        <f t="shared" si="933"/>
        <v>Coordination Note: - Customers in-house electrician: Please refer to our exclusions relating to Power cabling from MSSB to heater and HPT. Customers electrician to leave tails adjacent MSSB for Controlworks to connect.</v>
      </c>
      <c r="K2037" s="114" t="str">
        <f>IF(COUNTBLANK(R2037)&gt;0,"",CONCATENATE(R2037," for ",N2021))</f>
        <v/>
      </c>
      <c r="N2037" s="123" t="s">
        <v>128</v>
      </c>
      <c r="O2037" s="66" t="s">
        <v>474</v>
      </c>
      <c r="P2037" s="121" t="s">
        <v>593</v>
      </c>
      <c r="Q2037" s="66" t="s">
        <v>627</v>
      </c>
      <c r="R2037" s="121"/>
      <c r="S2037" s="133">
        <f>M2021</f>
        <v>0</v>
      </c>
      <c r="T2037" s="120"/>
      <c r="U2037" s="121" t="s">
        <v>292</v>
      </c>
      <c r="V2037" s="133">
        <f t="shared" si="926"/>
        <v>0</v>
      </c>
      <c r="W2037" s="133">
        <f>VLOOKUP(U2037,Sheet1!$B$6:$C$45,2,FALSE)*V2037</f>
        <v>0</v>
      </c>
      <c r="X2037" s="141"/>
      <c r="Y2037" s="122" t="s">
        <v>280</v>
      </c>
      <c r="Z2037" s="146">
        <f>VLOOKUP(Takeoffs!Y2037,Sheet1!$B$6:$C$124,2,FALSE)</f>
        <v>19.2</v>
      </c>
      <c r="AA2037" s="146">
        <f t="shared" si="927"/>
        <v>0</v>
      </c>
      <c r="AB2037" s="143">
        <f t="shared" si="928"/>
        <v>0</v>
      </c>
      <c r="AC2037" s="133">
        <f t="shared" si="929"/>
        <v>0</v>
      </c>
      <c r="AD2037" s="142">
        <v>1</v>
      </c>
      <c r="AE2037" s="141"/>
      <c r="AF2037" s="121" t="s">
        <v>292</v>
      </c>
      <c r="AG2037" s="146">
        <f>VLOOKUP(Takeoffs!AF2037,Sheet1!$B$6:$C$124,2,FALSE)</f>
        <v>0</v>
      </c>
      <c r="AH2037" s="146">
        <f t="shared" si="930"/>
        <v>0</v>
      </c>
      <c r="AI2037" s="143">
        <f t="shared" si="931"/>
        <v>0</v>
      </c>
      <c r="AJ2037" s="133">
        <f t="shared" si="932"/>
        <v>0</v>
      </c>
      <c r="AK2037" s="142">
        <f t="shared" si="935"/>
        <v>0</v>
      </c>
      <c r="AL2037" s="141"/>
      <c r="AO2037" s="286"/>
      <c r="AP2037" s="284">
        <f t="shared" si="920"/>
        <v>0</v>
      </c>
      <c r="AQ2037" s="281">
        <f t="shared" si="921"/>
        <v>0</v>
      </c>
      <c r="AR2037" s="284">
        <f t="shared" si="922"/>
        <v>0</v>
      </c>
      <c r="AS2037" s="281">
        <f t="shared" si="923"/>
        <v>0</v>
      </c>
      <c r="AT2037" s="284">
        <f t="shared" si="924"/>
        <v>0</v>
      </c>
    </row>
    <row r="2038" spans="1:97" s="114" customFormat="1" ht="30.9" x14ac:dyDescent="0.8">
      <c r="A2038" s="262">
        <f>ROW()</f>
        <v>2038</v>
      </c>
      <c r="C2038" s="208"/>
      <c r="D2038" s="208"/>
      <c r="E2038" s="208"/>
      <c r="F2038" s="208"/>
      <c r="G2038" s="208"/>
      <c r="H2038" s="208"/>
      <c r="J2038" s="114" t="str">
        <f t="shared" si="933"/>
        <v>Coordination Note: - BMS trade: Please refer to our exclusions relating to cabling from MSSB's to BMS system</v>
      </c>
      <c r="K2038" s="114" t="str">
        <f>IF(COUNTBLANK(R2038)&gt;0,"",CONCATENATE(R2038," for ",N2021))</f>
        <v/>
      </c>
      <c r="N2038" s="123" t="s">
        <v>129</v>
      </c>
      <c r="O2038" s="66" t="s">
        <v>503</v>
      </c>
      <c r="P2038" s="121" t="s">
        <v>471</v>
      </c>
      <c r="Q2038" s="66" t="s">
        <v>472</v>
      </c>
      <c r="R2038" s="121"/>
      <c r="S2038" s="133">
        <f>M2021</f>
        <v>0</v>
      </c>
      <c r="T2038" s="120"/>
      <c r="U2038" s="121" t="s">
        <v>292</v>
      </c>
      <c r="V2038" s="133">
        <f t="shared" si="926"/>
        <v>0</v>
      </c>
      <c r="W2038" s="133">
        <f>VLOOKUP(U2038,Sheet1!$B$6:$C$45,2,FALSE)*V2038</f>
        <v>0</v>
      </c>
      <c r="X2038" s="141"/>
      <c r="Y2038" s="121" t="s">
        <v>292</v>
      </c>
      <c r="Z2038" s="146">
        <f>VLOOKUP(Takeoffs!Y2038,Sheet1!$B$6:$C$124,2,FALSE)</f>
        <v>0</v>
      </c>
      <c r="AA2038" s="146">
        <f t="shared" si="927"/>
        <v>0</v>
      </c>
      <c r="AB2038" s="143">
        <f t="shared" si="928"/>
        <v>0</v>
      </c>
      <c r="AC2038" s="133">
        <f t="shared" si="929"/>
        <v>0</v>
      </c>
      <c r="AD2038" s="142">
        <v>1</v>
      </c>
      <c r="AE2038" s="141"/>
      <c r="AF2038" s="121" t="s">
        <v>292</v>
      </c>
      <c r="AG2038" s="146">
        <f>VLOOKUP(Takeoffs!AF2038,Sheet1!$B$6:$C$124,2,FALSE)</f>
        <v>0</v>
      </c>
      <c r="AH2038" s="146">
        <f t="shared" si="930"/>
        <v>0</v>
      </c>
      <c r="AI2038" s="143">
        <f t="shared" si="931"/>
        <v>0</v>
      </c>
      <c r="AJ2038" s="133">
        <f t="shared" si="932"/>
        <v>0</v>
      </c>
      <c r="AK2038" s="142">
        <f t="shared" si="935"/>
        <v>0</v>
      </c>
      <c r="AL2038" s="141"/>
      <c r="AO2038" s="286"/>
      <c r="AP2038" s="284">
        <f t="shared" si="920"/>
        <v>0</v>
      </c>
      <c r="AQ2038" s="281">
        <f t="shared" si="921"/>
        <v>0</v>
      </c>
      <c r="AR2038" s="284">
        <f t="shared" si="922"/>
        <v>0</v>
      </c>
      <c r="AS2038" s="281">
        <f t="shared" si="923"/>
        <v>0</v>
      </c>
      <c r="AT2038" s="284">
        <f t="shared" si="924"/>
        <v>0</v>
      </c>
    </row>
    <row r="2039" spans="1:97" s="114" customFormat="1" ht="30.9" x14ac:dyDescent="0.8">
      <c r="A2039" s="262">
        <f>ROW()</f>
        <v>2039</v>
      </c>
      <c r="C2039" s="208"/>
      <c r="D2039" s="208"/>
      <c r="E2039" s="208"/>
      <c r="F2039" s="208"/>
      <c r="G2039" s="208"/>
      <c r="H2039" s="208"/>
      <c r="J2039" s="114" t="str">
        <f t="shared" si="933"/>
        <v/>
      </c>
      <c r="K2039" s="114" t="str">
        <f>IF(COUNTBLANK(R2039)&gt;0,"",CONCATENATE(R2039," for ",N2021))</f>
        <v/>
      </c>
      <c r="N2039" s="123" t="s">
        <v>130</v>
      </c>
      <c r="P2039" s="121"/>
      <c r="Q2039" s="66"/>
      <c r="R2039" s="121"/>
      <c r="S2039" s="133">
        <f>M2021</f>
        <v>0</v>
      </c>
      <c r="T2039" s="120"/>
      <c r="U2039" s="121" t="s">
        <v>292</v>
      </c>
      <c r="V2039" s="133">
        <f t="shared" si="926"/>
        <v>0</v>
      </c>
      <c r="W2039" s="133">
        <f>VLOOKUP(U2039,Sheet1!$B$6:$C$45,2,FALSE)*V2039</f>
        <v>0</v>
      </c>
      <c r="X2039" s="141"/>
      <c r="Y2039" s="121" t="s">
        <v>292</v>
      </c>
      <c r="Z2039" s="146">
        <f>VLOOKUP(Takeoffs!Y2039,Sheet1!$B$6:$C$124,2,FALSE)</f>
        <v>0</v>
      </c>
      <c r="AA2039" s="146">
        <f t="shared" si="927"/>
        <v>0</v>
      </c>
      <c r="AB2039" s="143">
        <f t="shared" si="928"/>
        <v>0</v>
      </c>
      <c r="AC2039" s="133">
        <f t="shared" si="929"/>
        <v>0</v>
      </c>
      <c r="AD2039" s="142">
        <v>1</v>
      </c>
      <c r="AE2039" s="141"/>
      <c r="AF2039" s="121" t="s">
        <v>292</v>
      </c>
      <c r="AG2039" s="146">
        <f>VLOOKUP(Takeoffs!AF2039,Sheet1!$B$6:$C$124,2,FALSE)</f>
        <v>0</v>
      </c>
      <c r="AH2039" s="146">
        <f t="shared" si="930"/>
        <v>0</v>
      </c>
      <c r="AI2039" s="143">
        <f t="shared" si="931"/>
        <v>0</v>
      </c>
      <c r="AJ2039" s="133">
        <f t="shared" si="932"/>
        <v>0</v>
      </c>
      <c r="AK2039" s="142">
        <f t="shared" si="935"/>
        <v>0</v>
      </c>
      <c r="AL2039" s="141"/>
      <c r="AO2039" s="286"/>
      <c r="AP2039" s="284">
        <f t="shared" si="920"/>
        <v>0</v>
      </c>
      <c r="AQ2039" s="281">
        <f t="shared" si="921"/>
        <v>0</v>
      </c>
      <c r="AR2039" s="284">
        <f t="shared" si="922"/>
        <v>0</v>
      </c>
      <c r="AS2039" s="281">
        <f t="shared" si="923"/>
        <v>0</v>
      </c>
      <c r="AT2039" s="284">
        <f t="shared" si="924"/>
        <v>0</v>
      </c>
    </row>
    <row r="2040" spans="1:97" s="114" customFormat="1" ht="30.9" x14ac:dyDescent="0.8">
      <c r="A2040" s="262">
        <f>ROW()</f>
        <v>2040</v>
      </c>
      <c r="C2040" s="208"/>
      <c r="D2040" s="208"/>
      <c r="E2040" s="208"/>
      <c r="F2040" s="208"/>
      <c r="G2040" s="208"/>
      <c r="H2040" s="208"/>
      <c r="J2040" s="114" t="str">
        <f t="shared" si="933"/>
        <v>Coordination Note: - Fire trade: Please refer to our exclusions relating to fire cabling from FIP.</v>
      </c>
      <c r="K2040" s="114" t="str">
        <f>IF(COUNTBLANK(R2040)&gt;0,"",CONCATENATE(R2040," for ",N2021))</f>
        <v/>
      </c>
      <c r="N2040" s="123" t="s">
        <v>131</v>
      </c>
      <c r="O2040" s="66" t="s">
        <v>596</v>
      </c>
      <c r="P2040" s="121" t="s">
        <v>380</v>
      </c>
      <c r="Q2040" s="66" t="s">
        <v>384</v>
      </c>
      <c r="R2040" s="121"/>
      <c r="S2040" s="133">
        <f>M2021</f>
        <v>0</v>
      </c>
      <c r="T2040" s="120"/>
      <c r="U2040" s="121" t="s">
        <v>292</v>
      </c>
      <c r="V2040" s="133">
        <f t="shared" si="926"/>
        <v>0</v>
      </c>
      <c r="W2040" s="133">
        <f>VLOOKUP(U2040,Sheet1!$B$6:$C$45,2,FALSE)*V2040</f>
        <v>0</v>
      </c>
      <c r="X2040" s="141"/>
      <c r="Y2040" s="122" t="s">
        <v>322</v>
      </c>
      <c r="Z2040" s="146">
        <f>VLOOKUP(Takeoffs!Y2040,Sheet1!$B$6:$C$124,2,FALSE)</f>
        <v>48</v>
      </c>
      <c r="AA2040" s="146">
        <f t="shared" si="927"/>
        <v>0</v>
      </c>
      <c r="AB2040" s="143">
        <f t="shared" si="928"/>
        <v>0</v>
      </c>
      <c r="AC2040" s="133">
        <f t="shared" si="929"/>
        <v>0</v>
      </c>
      <c r="AD2040" s="142">
        <v>1</v>
      </c>
      <c r="AE2040" s="141"/>
      <c r="AF2040" s="121" t="s">
        <v>292</v>
      </c>
      <c r="AG2040" s="146">
        <f>VLOOKUP(Takeoffs!AF2040,Sheet1!$B$6:$C$124,2,FALSE)</f>
        <v>0</v>
      </c>
      <c r="AH2040" s="146">
        <f t="shared" si="930"/>
        <v>0</v>
      </c>
      <c r="AI2040" s="143">
        <f t="shared" si="931"/>
        <v>0</v>
      </c>
      <c r="AJ2040" s="133">
        <f t="shared" si="932"/>
        <v>0</v>
      </c>
      <c r="AK2040" s="142">
        <f t="shared" si="935"/>
        <v>0</v>
      </c>
      <c r="AL2040" s="141"/>
      <c r="AO2040" s="286"/>
      <c r="AP2040" s="284">
        <f t="shared" si="920"/>
        <v>0</v>
      </c>
      <c r="AQ2040" s="281">
        <f t="shared" si="921"/>
        <v>0</v>
      </c>
      <c r="AR2040" s="284">
        <f t="shared" si="922"/>
        <v>0</v>
      </c>
      <c r="AS2040" s="281">
        <f t="shared" si="923"/>
        <v>0</v>
      </c>
      <c r="AT2040" s="284">
        <f t="shared" si="924"/>
        <v>0</v>
      </c>
    </row>
    <row r="2041" spans="1:97" s="114" customFormat="1" ht="30.9" x14ac:dyDescent="0.8">
      <c r="A2041" s="262">
        <f>ROW()</f>
        <v>2041</v>
      </c>
      <c r="C2041" s="208"/>
      <c r="D2041" s="208"/>
      <c r="E2041" s="208"/>
      <c r="F2041" s="208"/>
      <c r="G2041" s="208"/>
      <c r="H2041" s="208"/>
      <c r="J2041" s="114" t="str">
        <f t="shared" si="933"/>
        <v/>
      </c>
      <c r="K2041" s="114" t="str">
        <f>IF(COUNTBLANK(R2041)&gt;0,"",CONCATENATE(R2041," for ",N2021))</f>
        <v/>
      </c>
      <c r="N2041" s="123" t="s">
        <v>132</v>
      </c>
      <c r="O2041" s="66" t="s">
        <v>597</v>
      </c>
      <c r="P2041" s="121"/>
      <c r="Q2041" s="66"/>
      <c r="R2041" s="121"/>
      <c r="S2041" s="133">
        <f>M2021</f>
        <v>0</v>
      </c>
      <c r="T2041" s="120"/>
      <c r="U2041" s="121" t="s">
        <v>292</v>
      </c>
      <c r="V2041" s="133">
        <f t="shared" si="926"/>
        <v>0</v>
      </c>
      <c r="W2041" s="133">
        <f>VLOOKUP(U2041,Sheet1!$B$6:$C$45,2,FALSE)*V2041</f>
        <v>0</v>
      </c>
      <c r="X2041" s="141"/>
      <c r="Y2041" s="121" t="s">
        <v>292</v>
      </c>
      <c r="Z2041" s="146">
        <f>VLOOKUP(Takeoffs!Y2041,Sheet1!$B$6:$C$124,2,FALSE)</f>
        <v>0</v>
      </c>
      <c r="AA2041" s="146">
        <f t="shared" si="927"/>
        <v>0</v>
      </c>
      <c r="AB2041" s="143">
        <f t="shared" si="928"/>
        <v>0</v>
      </c>
      <c r="AC2041" s="133">
        <f t="shared" si="929"/>
        <v>0</v>
      </c>
      <c r="AD2041" s="142">
        <v>1</v>
      </c>
      <c r="AE2041" s="141"/>
      <c r="AF2041" s="121" t="s">
        <v>292</v>
      </c>
      <c r="AG2041" s="146">
        <f>VLOOKUP(Takeoffs!AF2041,Sheet1!$B$6:$C$124,2,FALSE)</f>
        <v>0</v>
      </c>
      <c r="AH2041" s="146">
        <f t="shared" si="930"/>
        <v>0</v>
      </c>
      <c r="AI2041" s="143">
        <f t="shared" si="931"/>
        <v>0</v>
      </c>
      <c r="AJ2041" s="133">
        <f t="shared" si="932"/>
        <v>0</v>
      </c>
      <c r="AK2041" s="142">
        <f t="shared" si="935"/>
        <v>0</v>
      </c>
      <c r="AL2041" s="141"/>
      <c r="AO2041" s="286"/>
      <c r="AP2041" s="284">
        <f t="shared" si="920"/>
        <v>0</v>
      </c>
      <c r="AQ2041" s="281">
        <f t="shared" si="921"/>
        <v>0</v>
      </c>
      <c r="AR2041" s="284">
        <f t="shared" si="922"/>
        <v>0</v>
      </c>
      <c r="AS2041" s="281">
        <f t="shared" si="923"/>
        <v>0</v>
      </c>
      <c r="AT2041" s="284">
        <f t="shared" si="924"/>
        <v>0</v>
      </c>
    </row>
    <row r="2042" spans="1:97" s="128" customFormat="1" ht="32.25" customHeight="1" thickBot="1" x14ac:dyDescent="0.85">
      <c r="A2042" s="262">
        <f>ROW()</f>
        <v>2042</v>
      </c>
      <c r="C2042" s="212"/>
      <c r="D2042" s="212"/>
      <c r="E2042" s="212"/>
      <c r="F2042" s="212"/>
      <c r="G2042" s="212"/>
      <c r="H2042" s="212"/>
      <c r="J2042" s="128" t="s">
        <v>377</v>
      </c>
      <c r="L2042" s="128" t="s">
        <v>378</v>
      </c>
      <c r="N2042" s="129"/>
      <c r="O2042" s="130" t="s">
        <v>357</v>
      </c>
      <c r="P2042" s="155">
        <f>V2042+AA2042+AH2042</f>
        <v>0</v>
      </c>
      <c r="Q2042" s="155"/>
      <c r="R2042" s="131"/>
      <c r="S2042" s="130"/>
      <c r="T2042" s="127"/>
      <c r="U2042" s="126" t="s">
        <v>351</v>
      </c>
      <c r="V2042" s="127">
        <f>W2042*80</f>
        <v>0</v>
      </c>
      <c r="W2042" s="147">
        <f>SUM(W2021:W2041)</f>
        <v>0</v>
      </c>
      <c r="X2042" s="148"/>
      <c r="Y2042" s="127" t="s">
        <v>352</v>
      </c>
      <c r="Z2042" s="116"/>
      <c r="AA2042" s="116">
        <f>SUM(AA2021:AA2041)</f>
        <v>0</v>
      </c>
      <c r="AB2042" s="149"/>
      <c r="AC2042" s="149"/>
      <c r="AD2042" s="149"/>
      <c r="AE2042" s="149"/>
      <c r="AF2042" s="127" t="s">
        <v>356</v>
      </c>
      <c r="AG2042" s="116"/>
      <c r="AH2042" s="116">
        <f>SUM(AH2021:AH2041)</f>
        <v>0</v>
      </c>
      <c r="AI2042" s="149"/>
      <c r="AJ2042" s="149"/>
      <c r="AK2042" s="149"/>
      <c r="AL2042" s="149"/>
      <c r="AM2042" s="150">
        <f>P2042</f>
        <v>0</v>
      </c>
      <c r="AO2042" s="286"/>
      <c r="AP2042" s="284">
        <f t="shared" si="920"/>
        <v>0</v>
      </c>
      <c r="AQ2042" s="281">
        <f t="shared" si="921"/>
        <v>0</v>
      </c>
      <c r="AR2042" s="284">
        <f t="shared" si="922"/>
        <v>0</v>
      </c>
      <c r="AS2042" s="281">
        <f t="shared" si="923"/>
        <v>0</v>
      </c>
      <c r="AT2042" s="284">
        <f t="shared" si="924"/>
        <v>0</v>
      </c>
    </row>
    <row r="2043" spans="1:97" s="234" customFormat="1" ht="343.3" thickBot="1" x14ac:dyDescent="1.25">
      <c r="A2043" s="262">
        <f>ROW()</f>
        <v>2043</v>
      </c>
      <c r="B2043" s="234" t="s">
        <v>491</v>
      </c>
      <c r="C2043" s="217" t="str">
        <f>N2021</f>
        <v>Electric Duct Heater ( 3 phase -Exclude Field cabling)</v>
      </c>
      <c r="D2043" s="260" t="s">
        <v>678</v>
      </c>
      <c r="E2043" s="238"/>
      <c r="F2043" s="217"/>
      <c r="G2043" s="217"/>
      <c r="H2043" s="245">
        <v>28</v>
      </c>
      <c r="I2043" s="270"/>
      <c r="J2043" s="241" t="str">
        <f>CONCATENATE(O2021," ",L2021, " (",M2021,") ",N2021,".", IF(M2021&gt;1," Each "," This "),"includes supply and install of ",O2022,O2023,O2024,O2025,O2026,O2027,O2028,O2029,O2030,O2031,O2032,O2033,O2034,O2035,O2036,O2037,O2038,O2039,O2040,O2041,J2022,J2023,J2024,J2025,J2026,J2027,J2028,J2029,J2030,J2031,J2032,J2033,J2034,J2035,J2036,J2037,J2038,J2039,J2040,J2041)</f>
        <v>Electrical power supply and controls to Zero (0) Electric Duct Heater ( 3 phase -Exclude Field cabling). This includes supply and install of CB, connections of both HPT cabling and power cabling into MSSB, Controls for systems includes: SSR and BMS interface to allow modulating control ( 1 per phase), heater protection thermostat ( including cabling back to MSSB and interlock relay), controls cabling, contactors/relays ( per phase), interface with ahu air pressure  switch, HPT fault light, BMS terminals for HPT fault indication, testing of customer installed power cabling for compliance with AS3000 ( including polarity, insulation resistance, earth continuity and fault loop impedence), Documented test results of final electrical systems and Form 16 certification. Coordination Note: - Customers in-house electrician: Please refer to our exclusions relating to heater  trefolyte label. Coordination Note: - BMS trade: Please refer to our exclusions relating to cabling from MSSB's to BMS systemCoordination Note: - Customers in-house electrician: Please refer to our exclusions relating to Power cabling from MSSB to heater and HPT. Customers electrician to leave tails adjacent MSSB for Controlworks to connect.Coordination Note: - BMS trade: Please refer to our exclusions relating to cabling from MSSB's to BMS systemCoordination Note: - Fire trade: Please refer to our exclusions relating to fire cabling from FIP.</v>
      </c>
      <c r="K2043" s="248">
        <f>P2042</f>
        <v>0</v>
      </c>
      <c r="L2043" s="235" t="str">
        <f>CONCATENATE(Q2022,Q2023,Q2024,Q2025,Q2026,Q2027,Q2028,Q2029,Q2030,Q2031,Q2032,Q2033,Q2034,Q2035,Q2036,Q2037,Q2038,Q2039,Q2040,Q2041,)</f>
        <v>heater  trefolyte label. cabling from MSSB's to BMS systemPower cabling from MSSB to heater and HPT. Customers electrician to leave tails adjacent MSSB for Controlworks to connect.cabling from MSSB's to BMS systemfire cabling from FIP.</v>
      </c>
      <c r="M2043" s="166" t="s">
        <v>367</v>
      </c>
      <c r="N2043" s="160" t="str">
        <f>N2021</f>
        <v>Electric Duct Heater ( 3 phase -Exclude Field cabling)</v>
      </c>
      <c r="O2043" s="185" t="s">
        <v>365</v>
      </c>
      <c r="P2043" s="203" t="e">
        <f>P2042/M2021</f>
        <v>#DIV/0!</v>
      </c>
      <c r="Q2043" s="195"/>
      <c r="R2043" s="188"/>
      <c r="S2043" s="160"/>
      <c r="T2043" s="161"/>
      <c r="U2043" s="503" t="s">
        <v>366</v>
      </c>
      <c r="V2043" s="503"/>
      <c r="W2043" s="162" t="e">
        <f>W2042/M2021</f>
        <v>#DIV/0!</v>
      </c>
      <c r="X2043" s="163"/>
      <c r="Y2043" s="501" t="s">
        <v>365</v>
      </c>
      <c r="Z2043" s="501"/>
      <c r="AA2043" s="164" t="e">
        <f>AA2042/M2021</f>
        <v>#DIV/0!</v>
      </c>
      <c r="AB2043" s="161"/>
      <c r="AC2043" s="161"/>
      <c r="AD2043" s="161"/>
      <c r="AE2043" s="161"/>
      <c r="AF2043" s="501" t="s">
        <v>365</v>
      </c>
      <c r="AG2043" s="501"/>
      <c r="AH2043" s="164" t="e">
        <f>AH2042/M2021</f>
        <v>#DIV/0!</v>
      </c>
      <c r="AI2043" s="161"/>
      <c r="AJ2043" s="161"/>
      <c r="AK2043" s="161"/>
      <c r="AL2043" s="247"/>
      <c r="AM2043" s="257"/>
      <c r="AN2043" s="230">
        <f>K2043*1.25</f>
        <v>0</v>
      </c>
      <c r="AO2043" s="286"/>
      <c r="AP2043" s="284">
        <f t="shared" si="920"/>
        <v>0</v>
      </c>
      <c r="AQ2043" s="281">
        <f t="shared" si="921"/>
        <v>0</v>
      </c>
      <c r="AR2043" s="284">
        <f t="shared" si="922"/>
        <v>0</v>
      </c>
      <c r="AS2043" s="281">
        <f t="shared" si="923"/>
        <v>0</v>
      </c>
      <c r="AT2043" s="284">
        <f t="shared" si="924"/>
        <v>0</v>
      </c>
      <c r="AU2043" s="117"/>
      <c r="AV2043" s="117"/>
      <c r="AW2043" s="117"/>
      <c r="AX2043" s="117"/>
      <c r="AY2043" s="117"/>
      <c r="AZ2043" s="117"/>
      <c r="BA2043" s="117"/>
      <c r="BB2043" s="117"/>
      <c r="BC2043" s="117"/>
      <c r="BD2043" s="117"/>
      <c r="BE2043" s="117"/>
      <c r="BF2043" s="117"/>
      <c r="BG2043" s="117"/>
      <c r="BH2043" s="117"/>
      <c r="BI2043" s="117"/>
      <c r="BJ2043" s="117"/>
      <c r="BK2043" s="117"/>
      <c r="BL2043" s="117"/>
      <c r="BM2043" s="117"/>
      <c r="BN2043" s="117"/>
      <c r="BO2043" s="117"/>
      <c r="BP2043" s="117"/>
      <c r="BQ2043" s="117"/>
      <c r="BR2043" s="117"/>
      <c r="BS2043" s="117"/>
      <c r="BT2043" s="117"/>
      <c r="BU2043" s="117"/>
      <c r="BV2043" s="117"/>
      <c r="BW2043" s="117"/>
      <c r="BX2043" s="117"/>
      <c r="BY2043" s="117"/>
      <c r="BZ2043" s="117"/>
      <c r="CA2043" s="117"/>
      <c r="CB2043" s="117"/>
      <c r="CC2043" s="117"/>
      <c r="CD2043" s="117"/>
      <c r="CE2043" s="117"/>
      <c r="CF2043" s="117"/>
      <c r="CG2043" s="117"/>
      <c r="CH2043" s="117"/>
      <c r="CI2043" s="117"/>
      <c r="CJ2043" s="117"/>
      <c r="CK2043" s="117"/>
      <c r="CL2043" s="117"/>
      <c r="CM2043" s="117"/>
      <c r="CN2043" s="117"/>
      <c r="CO2043" s="117"/>
      <c r="CP2043" s="117"/>
      <c r="CQ2043" s="117"/>
      <c r="CR2043" s="117"/>
      <c r="CS2043" s="117"/>
    </row>
    <row r="2044" spans="1:97" s="116" customFormat="1" ht="192.75" customHeight="1" x14ac:dyDescent="0.8">
      <c r="A2044" s="262">
        <f>ROW()</f>
        <v>2044</v>
      </c>
      <c r="C2044" s="211" t="s">
        <v>492</v>
      </c>
      <c r="D2044" s="211"/>
      <c r="E2044" s="218"/>
      <c r="F2044" s="218"/>
      <c r="G2044" s="218"/>
      <c r="H2044" s="218"/>
      <c r="I2044" s="240" t="s">
        <v>0</v>
      </c>
      <c r="J2044" s="116" t="s">
        <v>639</v>
      </c>
      <c r="K2044" s="222" t="s">
        <v>353</v>
      </c>
      <c r="L2044" s="253" t="s">
        <v>388</v>
      </c>
      <c r="M2044" s="116" t="s">
        <v>107</v>
      </c>
      <c r="N2044" s="116" t="s">
        <v>108</v>
      </c>
      <c r="O2044" s="170" t="s">
        <v>386</v>
      </c>
      <c r="P2044" s="502" t="s">
        <v>375</v>
      </c>
      <c r="Q2044" s="502"/>
      <c r="R2044" s="101" t="s">
        <v>452</v>
      </c>
      <c r="S2044" s="116" t="s">
        <v>0</v>
      </c>
      <c r="T2044" s="118"/>
      <c r="U2044" s="116" t="s">
        <v>287</v>
      </c>
      <c r="V2044" s="116" t="s">
        <v>288</v>
      </c>
      <c r="W2044" s="116" t="s">
        <v>291</v>
      </c>
      <c r="X2044" s="140"/>
      <c r="Y2044" s="116" t="s">
        <v>289</v>
      </c>
      <c r="Z2044" s="116" t="s">
        <v>354</v>
      </c>
      <c r="AA2044" s="116" t="s">
        <v>355</v>
      </c>
      <c r="AB2044" s="116" t="s">
        <v>317</v>
      </c>
      <c r="AC2044" s="116" t="s">
        <v>318</v>
      </c>
      <c r="AD2044" s="116" t="s">
        <v>316</v>
      </c>
      <c r="AE2044" s="140"/>
      <c r="AF2044" s="116" t="s">
        <v>293</v>
      </c>
      <c r="AG2044" s="116" t="s">
        <v>354</v>
      </c>
      <c r="AH2044" s="116" t="s">
        <v>355</v>
      </c>
      <c r="AI2044" s="116" t="s">
        <v>296</v>
      </c>
      <c r="AJ2044" s="116" t="s">
        <v>294</v>
      </c>
      <c r="AK2044" s="116" t="s">
        <v>295</v>
      </c>
      <c r="AL2044" s="140"/>
      <c r="AN2044" s="194"/>
      <c r="AO2044" s="288"/>
      <c r="AP2044" s="284">
        <f t="shared" si="920"/>
        <v>0</v>
      </c>
      <c r="AQ2044" s="281">
        <f t="shared" si="921"/>
        <v>0</v>
      </c>
      <c r="AR2044" s="284">
        <f t="shared" si="922"/>
        <v>0</v>
      </c>
      <c r="AS2044" s="281">
        <f t="shared" si="923"/>
        <v>0</v>
      </c>
      <c r="AT2044" s="284">
        <f t="shared" si="924"/>
        <v>0</v>
      </c>
    </row>
    <row r="2045" spans="1:97" s="114" customFormat="1" ht="31.5" customHeight="1" x14ac:dyDescent="0.8">
      <c r="A2045" s="262">
        <f>ROW()</f>
        <v>2045</v>
      </c>
      <c r="C2045" s="208"/>
      <c r="D2045" s="208"/>
      <c r="E2045" s="208"/>
      <c r="F2045" s="208"/>
      <c r="G2045" s="208"/>
      <c r="H2045" s="208"/>
      <c r="L2045" s="124" t="str">
        <f>VLOOKUP(M2045,Sheet2!$D$2:$E$1024,2,FALSE)</f>
        <v>Zero</v>
      </c>
      <c r="M2045" s="121">
        <f>I2067</f>
        <v>0</v>
      </c>
      <c r="N2045" s="132" t="s">
        <v>702</v>
      </c>
      <c r="O2045" s="121" t="s">
        <v>178</v>
      </c>
      <c r="P2045" s="169" t="s">
        <v>379</v>
      </c>
      <c r="Q2045" s="169" t="s">
        <v>375</v>
      </c>
      <c r="R2045" s="169"/>
      <c r="S2045" s="133">
        <f>M2045</f>
        <v>0</v>
      </c>
      <c r="T2045" s="119"/>
      <c r="U2045" s="117" t="s">
        <v>364</v>
      </c>
      <c r="V2045" s="133">
        <f>S2045</f>
        <v>0</v>
      </c>
      <c r="W2045" s="133">
        <f>VLOOKUP(U2045,Sheet1!$B$6:$C$45,2,FALSE)*V2045</f>
        <v>0</v>
      </c>
      <c r="X2045" s="141"/>
      <c r="Y2045" s="121" t="s">
        <v>292</v>
      </c>
      <c r="Z2045" s="146">
        <f>VLOOKUP(Takeoffs!Y2045,Sheet1!$B$6:$C$124,2,FALSE)</f>
        <v>0</v>
      </c>
      <c r="AA2045" s="146">
        <f>Z2045*AB2045</f>
        <v>0</v>
      </c>
      <c r="AB2045" s="143">
        <f>AD2045*AC2045</f>
        <v>0</v>
      </c>
      <c r="AC2045" s="133">
        <f>S2045</f>
        <v>0</v>
      </c>
      <c r="AD2045" s="142">
        <v>1</v>
      </c>
      <c r="AE2045" s="141"/>
      <c r="AF2045" s="121" t="s">
        <v>292</v>
      </c>
      <c r="AG2045" s="146">
        <f>VLOOKUP(Takeoffs!AF2045,Sheet1!$B$6:$C$124,2,FALSE)</f>
        <v>0</v>
      </c>
      <c r="AH2045" s="146">
        <f>AG2045*AI2045</f>
        <v>0</v>
      </c>
      <c r="AI2045" s="143">
        <f>AK2045*AJ2045</f>
        <v>0</v>
      </c>
      <c r="AJ2045" s="133">
        <f>S2045</f>
        <v>0</v>
      </c>
      <c r="AK2045" s="142">
        <v>0</v>
      </c>
      <c r="AL2045" s="141"/>
      <c r="AO2045" s="286"/>
      <c r="AP2045" s="284">
        <f t="shared" si="920"/>
        <v>0</v>
      </c>
      <c r="AQ2045" s="281">
        <f t="shared" si="921"/>
        <v>0</v>
      </c>
      <c r="AR2045" s="284">
        <f t="shared" si="922"/>
        <v>0</v>
      </c>
      <c r="AS2045" s="281">
        <f t="shared" si="923"/>
        <v>0</v>
      </c>
      <c r="AT2045" s="284">
        <f t="shared" si="924"/>
        <v>0</v>
      </c>
    </row>
    <row r="2046" spans="1:97" s="114" customFormat="1" ht="30.9" x14ac:dyDescent="0.8">
      <c r="A2046" s="262">
        <f>ROW()</f>
        <v>2046</v>
      </c>
      <c r="C2046" s="208"/>
      <c r="D2046" s="208"/>
      <c r="E2046" s="208"/>
      <c r="F2046" s="208"/>
      <c r="G2046" s="208"/>
      <c r="H2046" s="208"/>
      <c r="J2046" s="114" t="str">
        <f>IF(COUNTBLANK(Q2046)&gt;0,"",CONCATENATE("Coordination Note: - ",P2046,": Please refer to our exclusions relating to ",Q2046))</f>
        <v/>
      </c>
      <c r="K2046" s="114" t="str">
        <f>IF(COUNTBLANK(R2046)&gt;0,"",CONCATENATE(R2046," for ",N2045))</f>
        <v/>
      </c>
      <c r="M2046" s="117"/>
      <c r="N2046" s="123" t="s">
        <v>113</v>
      </c>
      <c r="O2046" s="66" t="s">
        <v>140</v>
      </c>
      <c r="P2046" s="121"/>
      <c r="Q2046" s="121"/>
      <c r="R2046" s="121"/>
      <c r="S2046" s="133">
        <f>M2045</f>
        <v>0</v>
      </c>
      <c r="T2046" s="120"/>
      <c r="U2046" s="121" t="s">
        <v>292</v>
      </c>
      <c r="V2046" s="133">
        <f t="shared" ref="V2046:V2065" si="936">S2046</f>
        <v>0</v>
      </c>
      <c r="W2046" s="133">
        <f>VLOOKUP(U2046,Sheet1!$B$6:$C$45,2,FALSE)*V2046</f>
        <v>0</v>
      </c>
      <c r="X2046" s="141"/>
      <c r="Y2046" s="121" t="s">
        <v>292</v>
      </c>
      <c r="Z2046" s="146">
        <f>VLOOKUP(Takeoffs!Y2046,Sheet1!$B$6:$C$124,2,FALSE)</f>
        <v>0</v>
      </c>
      <c r="AA2046" s="146">
        <f t="shared" ref="AA2046:AA2065" si="937">Z2046*AB2046</f>
        <v>0</v>
      </c>
      <c r="AB2046" s="143">
        <f t="shared" ref="AB2046:AB2065" si="938">AD2046*AC2046</f>
        <v>0</v>
      </c>
      <c r="AC2046" s="133">
        <f t="shared" ref="AC2046:AC2065" si="939">S2046</f>
        <v>0</v>
      </c>
      <c r="AD2046" s="142">
        <v>1</v>
      </c>
      <c r="AE2046" s="141"/>
      <c r="AF2046" s="121" t="s">
        <v>292</v>
      </c>
      <c r="AG2046" s="146">
        <f>VLOOKUP(Takeoffs!AF2046,Sheet1!$B$6:$C$124,2,FALSE)</f>
        <v>0</v>
      </c>
      <c r="AH2046" s="146">
        <f t="shared" ref="AH2046:AH2065" si="940">AG2046*AI2046</f>
        <v>0</v>
      </c>
      <c r="AI2046" s="143">
        <f t="shared" ref="AI2046:AI2065" si="941">AK2046*AJ2046</f>
        <v>0</v>
      </c>
      <c r="AJ2046" s="133">
        <f t="shared" ref="AJ2046:AJ2065" si="942">S2046</f>
        <v>0</v>
      </c>
      <c r="AK2046" s="142">
        <f>T2046</f>
        <v>0</v>
      </c>
      <c r="AL2046" s="141"/>
      <c r="AO2046" s="286"/>
      <c r="AP2046" s="284">
        <f t="shared" si="920"/>
        <v>0</v>
      </c>
      <c r="AQ2046" s="281">
        <f t="shared" si="921"/>
        <v>0</v>
      </c>
      <c r="AR2046" s="284">
        <f t="shared" si="922"/>
        <v>0</v>
      </c>
      <c r="AS2046" s="281">
        <f t="shared" si="923"/>
        <v>0</v>
      </c>
      <c r="AT2046" s="284">
        <f t="shared" si="924"/>
        <v>0</v>
      </c>
    </row>
    <row r="2047" spans="1:97" s="114" customFormat="1" ht="30.9" x14ac:dyDescent="0.8">
      <c r="A2047" s="262">
        <f>ROW()</f>
        <v>2047</v>
      </c>
      <c r="C2047" s="208"/>
      <c r="D2047" s="208"/>
      <c r="E2047" s="208"/>
      <c r="F2047" s="208"/>
      <c r="G2047" s="208"/>
      <c r="H2047" s="208"/>
      <c r="J2047" s="114" t="str">
        <f t="shared" ref="J2047:J2065" si="943">IF(COUNTBLANK(Q2047)&gt;0,"",CONCATENATE("Coordination Note: - ",P2047,": Please refer to our exclusions relating to ",Q2047))</f>
        <v/>
      </c>
      <c r="K2047" s="114" t="str">
        <f>IF(COUNTBLANK(R2047)&gt;0,"",CONCATENATE(R2047," for ",N2045))</f>
        <v/>
      </c>
      <c r="M2047" s="117"/>
      <c r="N2047" s="123" t="s">
        <v>114</v>
      </c>
      <c r="O2047" s="66" t="s">
        <v>703</v>
      </c>
      <c r="P2047" s="121"/>
      <c r="Q2047" s="121"/>
      <c r="R2047" s="121"/>
      <c r="S2047" s="133">
        <f>M2045</f>
        <v>0</v>
      </c>
      <c r="T2047" s="120"/>
      <c r="U2047" s="121" t="s">
        <v>292</v>
      </c>
      <c r="V2047" s="133">
        <f t="shared" si="936"/>
        <v>0</v>
      </c>
      <c r="W2047" s="133">
        <f>VLOOKUP(U2047,Sheet1!$B$6:$C$45,2,FALSE)*V2047</f>
        <v>0</v>
      </c>
      <c r="X2047" s="141"/>
      <c r="Y2047" s="135" t="s">
        <v>704</v>
      </c>
      <c r="Z2047" s="146">
        <f>VLOOKUP(Takeoffs!Y2047,Sheet1!$B$6:$C$124,2,FALSE)</f>
        <v>240</v>
      </c>
      <c r="AA2047" s="146">
        <f t="shared" si="937"/>
        <v>0</v>
      </c>
      <c r="AB2047" s="143">
        <f t="shared" si="938"/>
        <v>0</v>
      </c>
      <c r="AC2047" s="133">
        <f t="shared" si="939"/>
        <v>0</v>
      </c>
      <c r="AD2047" s="142">
        <v>1</v>
      </c>
      <c r="AE2047" s="141"/>
      <c r="AF2047" s="122" t="s">
        <v>268</v>
      </c>
      <c r="AG2047" s="146">
        <f>VLOOKUP(Takeoffs!AF2047,Sheet1!$B$6:$C$124,2,FALSE)</f>
        <v>1.02</v>
      </c>
      <c r="AH2047" s="146">
        <f t="shared" si="940"/>
        <v>0</v>
      </c>
      <c r="AI2047" s="143">
        <f t="shared" si="941"/>
        <v>0</v>
      </c>
      <c r="AJ2047" s="133">
        <f t="shared" si="942"/>
        <v>0</v>
      </c>
      <c r="AK2047" s="142">
        <v>20</v>
      </c>
      <c r="AL2047" s="141"/>
      <c r="AO2047" s="286"/>
      <c r="AP2047" s="284">
        <f t="shared" si="920"/>
        <v>0</v>
      </c>
      <c r="AQ2047" s="281">
        <f t="shared" si="921"/>
        <v>0</v>
      </c>
      <c r="AR2047" s="284">
        <f t="shared" si="922"/>
        <v>0</v>
      </c>
      <c r="AS2047" s="281">
        <f t="shared" si="923"/>
        <v>0</v>
      </c>
      <c r="AT2047" s="284">
        <f t="shared" si="924"/>
        <v>0</v>
      </c>
    </row>
    <row r="2048" spans="1:97" s="114" customFormat="1" ht="30.9" x14ac:dyDescent="0.8">
      <c r="A2048" s="262">
        <f>ROW()</f>
        <v>2048</v>
      </c>
      <c r="C2048" s="208"/>
      <c r="D2048" s="208"/>
      <c r="E2048" s="208"/>
      <c r="F2048" s="208"/>
      <c r="G2048" s="208"/>
      <c r="H2048" s="208"/>
      <c r="J2048" s="114" t="str">
        <f t="shared" si="943"/>
        <v/>
      </c>
      <c r="K2048" s="114" t="str">
        <f>IF(COUNTBLANK(R2048)&gt;0,"",CONCATENATE(R2048," for ",N2045))</f>
        <v/>
      </c>
      <c r="M2048" s="117"/>
      <c r="N2048" s="123" t="s">
        <v>115</v>
      </c>
      <c r="O2048" s="66" t="s">
        <v>707</v>
      </c>
      <c r="P2048" s="121"/>
      <c r="Q2048" s="121"/>
      <c r="R2048" s="121"/>
      <c r="S2048" s="133">
        <f>M2045</f>
        <v>0</v>
      </c>
      <c r="T2048" s="120"/>
      <c r="U2048" s="121" t="s">
        <v>292</v>
      </c>
      <c r="V2048" s="133">
        <f t="shared" si="936"/>
        <v>0</v>
      </c>
      <c r="W2048" s="133">
        <f>VLOOKUP(U2048,Sheet1!$B$6:$C$45,2,FALSE)*V2048</f>
        <v>0</v>
      </c>
      <c r="X2048" s="141"/>
      <c r="Y2048" s="135" t="s">
        <v>697</v>
      </c>
      <c r="Z2048" s="146">
        <f>VLOOKUP(Takeoffs!Y2048,Sheet1!$B$6:$C$124,2,FALSE)</f>
        <v>29.04</v>
      </c>
      <c r="AA2048" s="146">
        <f t="shared" si="937"/>
        <v>0</v>
      </c>
      <c r="AB2048" s="143">
        <f t="shared" si="938"/>
        <v>0</v>
      </c>
      <c r="AC2048" s="133">
        <f t="shared" si="939"/>
        <v>0</v>
      </c>
      <c r="AD2048" s="142">
        <v>1</v>
      </c>
      <c r="AE2048" s="141"/>
      <c r="AF2048" s="135" t="s">
        <v>269</v>
      </c>
      <c r="AG2048" s="146">
        <f>VLOOKUP(Takeoffs!AF2048,Sheet1!$B$6:$C$124,2,FALSE)</f>
        <v>1.056</v>
      </c>
      <c r="AH2048" s="146">
        <f t="shared" si="940"/>
        <v>0</v>
      </c>
      <c r="AI2048" s="143">
        <f t="shared" si="941"/>
        <v>0</v>
      </c>
      <c r="AJ2048" s="133">
        <f t="shared" si="942"/>
        <v>0</v>
      </c>
      <c r="AK2048" s="142">
        <v>20</v>
      </c>
      <c r="AL2048" s="141"/>
      <c r="AO2048" s="286"/>
      <c r="AP2048" s="284">
        <f t="shared" si="920"/>
        <v>0</v>
      </c>
      <c r="AQ2048" s="281">
        <f t="shared" si="921"/>
        <v>0</v>
      </c>
      <c r="AR2048" s="284">
        <f t="shared" si="922"/>
        <v>0</v>
      </c>
      <c r="AS2048" s="281">
        <f t="shared" si="923"/>
        <v>0</v>
      </c>
      <c r="AT2048" s="284">
        <f t="shared" si="924"/>
        <v>0</v>
      </c>
    </row>
    <row r="2049" spans="1:46" s="114" customFormat="1" ht="30.9" x14ac:dyDescent="0.8">
      <c r="A2049" s="262">
        <f>ROW()</f>
        <v>2049</v>
      </c>
      <c r="C2049" s="208"/>
      <c r="D2049" s="208"/>
      <c r="E2049" s="208"/>
      <c r="F2049" s="208"/>
      <c r="G2049" s="208"/>
      <c r="H2049" s="208"/>
      <c r="J2049" s="114" t="str">
        <f t="shared" si="943"/>
        <v/>
      </c>
      <c r="K2049" s="114" t="str">
        <f>IF(COUNTBLANK(R2049)&gt;0,"",CONCATENATE(R2049," for ",N2045))</f>
        <v/>
      </c>
      <c r="M2049" s="117"/>
      <c r="N2049" s="123" t="s">
        <v>116</v>
      </c>
      <c r="O2049" s="66" t="s">
        <v>705</v>
      </c>
      <c r="P2049" s="121"/>
      <c r="Q2049" s="121"/>
      <c r="R2049" s="121"/>
      <c r="S2049" s="133">
        <f>M2045</f>
        <v>0</v>
      </c>
      <c r="T2049" s="120"/>
      <c r="U2049" s="121" t="s">
        <v>292</v>
      </c>
      <c r="V2049" s="133">
        <f t="shared" si="936"/>
        <v>0</v>
      </c>
      <c r="W2049" s="133">
        <f>VLOOKUP(U2049,Sheet1!$B$6:$C$45,2,FALSE)*V2049</f>
        <v>0</v>
      </c>
      <c r="X2049" s="141"/>
      <c r="Y2049" s="135" t="s">
        <v>333</v>
      </c>
      <c r="Z2049" s="146">
        <f>VLOOKUP(Takeoffs!Y2049,Sheet1!$B$6:$C$124,2,FALSE)</f>
        <v>60</v>
      </c>
      <c r="AA2049" s="146">
        <f t="shared" si="937"/>
        <v>0</v>
      </c>
      <c r="AB2049" s="143">
        <f t="shared" si="938"/>
        <v>0</v>
      </c>
      <c r="AC2049" s="133">
        <f t="shared" si="939"/>
        <v>0</v>
      </c>
      <c r="AD2049" s="142">
        <v>1</v>
      </c>
      <c r="AE2049" s="141"/>
      <c r="AF2049" s="121" t="s">
        <v>292</v>
      </c>
      <c r="AG2049" s="146">
        <f>VLOOKUP(Takeoffs!AF2049,Sheet1!$B$6:$C$124,2,FALSE)</f>
        <v>0</v>
      </c>
      <c r="AH2049" s="146">
        <f t="shared" si="940"/>
        <v>0</v>
      </c>
      <c r="AI2049" s="143">
        <f t="shared" si="941"/>
        <v>0</v>
      </c>
      <c r="AJ2049" s="133">
        <f t="shared" si="942"/>
        <v>0</v>
      </c>
      <c r="AK2049" s="142">
        <f t="shared" ref="AK2049:AK2054" si="944">T2049</f>
        <v>0</v>
      </c>
      <c r="AL2049" s="141"/>
      <c r="AO2049" s="286"/>
      <c r="AP2049" s="284">
        <f t="shared" si="920"/>
        <v>0</v>
      </c>
      <c r="AQ2049" s="281">
        <f t="shared" si="921"/>
        <v>0</v>
      </c>
      <c r="AR2049" s="284">
        <f t="shared" si="922"/>
        <v>0</v>
      </c>
      <c r="AS2049" s="281">
        <f t="shared" si="923"/>
        <v>0</v>
      </c>
      <c r="AT2049" s="284">
        <f t="shared" si="924"/>
        <v>0</v>
      </c>
    </row>
    <row r="2050" spans="1:46" s="114" customFormat="1" ht="30.9" x14ac:dyDescent="0.8">
      <c r="A2050" s="262">
        <f>ROW()</f>
        <v>2050</v>
      </c>
      <c r="C2050" s="208"/>
      <c r="D2050" s="208"/>
      <c r="E2050" s="208"/>
      <c r="F2050" s="208"/>
      <c r="G2050" s="208"/>
      <c r="H2050" s="208"/>
      <c r="J2050" s="114" t="str">
        <f t="shared" si="943"/>
        <v/>
      </c>
      <c r="K2050" s="114" t="str">
        <f>IF(COUNTBLANK(R2050)&gt;0,"",CONCATENATE(R2050," for ",N2045))</f>
        <v/>
      </c>
      <c r="M2050" s="117"/>
      <c r="N2050" s="123" t="s">
        <v>117</v>
      </c>
      <c r="O2050" s="66"/>
      <c r="P2050" s="121"/>
      <c r="Q2050" s="121"/>
      <c r="R2050" s="121"/>
      <c r="S2050" s="133">
        <f>M2045</f>
        <v>0</v>
      </c>
      <c r="T2050" s="120"/>
      <c r="U2050" s="121" t="s">
        <v>292</v>
      </c>
      <c r="V2050" s="133">
        <f t="shared" si="936"/>
        <v>0</v>
      </c>
      <c r="W2050" s="133">
        <f>VLOOKUP(U2050,Sheet1!$B$6:$C$45,2,FALSE)*V2050</f>
        <v>0</v>
      </c>
      <c r="X2050" s="141"/>
      <c r="Y2050" s="121" t="s">
        <v>292</v>
      </c>
      <c r="Z2050" s="146">
        <f>VLOOKUP(Takeoffs!Y2050,Sheet1!$B$6:$C$124,2,FALSE)</f>
        <v>0</v>
      </c>
      <c r="AA2050" s="146">
        <f t="shared" si="937"/>
        <v>0</v>
      </c>
      <c r="AB2050" s="143">
        <f t="shared" si="938"/>
        <v>0</v>
      </c>
      <c r="AC2050" s="133">
        <f t="shared" si="939"/>
        <v>0</v>
      </c>
      <c r="AD2050" s="142">
        <v>1</v>
      </c>
      <c r="AE2050" s="141"/>
      <c r="AF2050" s="121" t="s">
        <v>292</v>
      </c>
      <c r="AG2050" s="146">
        <f>VLOOKUP(Takeoffs!AF2050,Sheet1!$B$6:$C$124,2,FALSE)</f>
        <v>0</v>
      </c>
      <c r="AH2050" s="146">
        <f t="shared" si="940"/>
        <v>0</v>
      </c>
      <c r="AI2050" s="143">
        <f t="shared" si="941"/>
        <v>0</v>
      </c>
      <c r="AJ2050" s="133">
        <f t="shared" si="942"/>
        <v>0</v>
      </c>
      <c r="AK2050" s="142">
        <f t="shared" si="944"/>
        <v>0</v>
      </c>
      <c r="AL2050" s="141"/>
      <c r="AO2050" s="286"/>
      <c r="AP2050" s="284">
        <f t="shared" si="920"/>
        <v>0</v>
      </c>
      <c r="AQ2050" s="281">
        <f t="shared" si="921"/>
        <v>0</v>
      </c>
      <c r="AR2050" s="284">
        <f t="shared" si="922"/>
        <v>0</v>
      </c>
      <c r="AS2050" s="281">
        <f t="shared" si="923"/>
        <v>0</v>
      </c>
      <c r="AT2050" s="284">
        <f t="shared" si="924"/>
        <v>0</v>
      </c>
    </row>
    <row r="2051" spans="1:46" s="114" customFormat="1" ht="30.9" x14ac:dyDescent="0.8">
      <c r="A2051" s="262">
        <f>ROW()</f>
        <v>2051</v>
      </c>
      <c r="C2051" s="208"/>
      <c r="D2051" s="208"/>
      <c r="E2051" s="208"/>
      <c r="F2051" s="208"/>
      <c r="G2051" s="208"/>
      <c r="H2051" s="208"/>
      <c r="J2051" s="114" t="str">
        <f t="shared" si="943"/>
        <v/>
      </c>
      <c r="K2051" s="114" t="str">
        <f>IF(COUNTBLANK(R2051)&gt;0,"",CONCATENATE(R2051," for ",N2045))</f>
        <v/>
      </c>
      <c r="M2051" s="117"/>
      <c r="N2051" s="123" t="s">
        <v>118</v>
      </c>
      <c r="O2051" s="66"/>
      <c r="P2051" s="121"/>
      <c r="Q2051" s="121"/>
      <c r="R2051" s="121"/>
      <c r="S2051" s="133">
        <f>M2045</f>
        <v>0</v>
      </c>
      <c r="T2051" s="120"/>
      <c r="U2051" s="121" t="s">
        <v>292</v>
      </c>
      <c r="V2051" s="133">
        <f t="shared" si="936"/>
        <v>0</v>
      </c>
      <c r="W2051" s="133">
        <f>VLOOKUP(U2051,Sheet1!$B$6:$C$45,2,FALSE)*V2051</f>
        <v>0</v>
      </c>
      <c r="X2051" s="141"/>
      <c r="Y2051" s="121" t="s">
        <v>292</v>
      </c>
      <c r="Z2051" s="146">
        <f>VLOOKUP(Takeoffs!Y2051,Sheet1!$B$6:$C$124,2,FALSE)</f>
        <v>0</v>
      </c>
      <c r="AA2051" s="146">
        <f t="shared" si="937"/>
        <v>0</v>
      </c>
      <c r="AB2051" s="143">
        <f t="shared" si="938"/>
        <v>0</v>
      </c>
      <c r="AC2051" s="133">
        <f t="shared" si="939"/>
        <v>0</v>
      </c>
      <c r="AD2051" s="142">
        <v>1</v>
      </c>
      <c r="AE2051" s="141"/>
      <c r="AF2051" s="121" t="s">
        <v>292</v>
      </c>
      <c r="AG2051" s="146">
        <f>VLOOKUP(Takeoffs!AF2051,Sheet1!$B$6:$C$124,2,FALSE)</f>
        <v>0</v>
      </c>
      <c r="AH2051" s="146">
        <f t="shared" si="940"/>
        <v>0</v>
      </c>
      <c r="AI2051" s="143">
        <f t="shared" si="941"/>
        <v>0</v>
      </c>
      <c r="AJ2051" s="133">
        <f t="shared" si="942"/>
        <v>0</v>
      </c>
      <c r="AK2051" s="142">
        <f t="shared" si="944"/>
        <v>0</v>
      </c>
      <c r="AL2051" s="141"/>
      <c r="AO2051" s="286"/>
      <c r="AP2051" s="284">
        <f t="shared" si="920"/>
        <v>0</v>
      </c>
      <c r="AQ2051" s="281">
        <f t="shared" si="921"/>
        <v>0</v>
      </c>
      <c r="AR2051" s="284">
        <f t="shared" si="922"/>
        <v>0</v>
      </c>
      <c r="AS2051" s="281">
        <f t="shared" si="923"/>
        <v>0</v>
      </c>
      <c r="AT2051" s="284">
        <f t="shared" si="924"/>
        <v>0</v>
      </c>
    </row>
    <row r="2052" spans="1:46" s="114" customFormat="1" ht="30.9" x14ac:dyDescent="0.8">
      <c r="A2052" s="262">
        <f>ROW()</f>
        <v>2052</v>
      </c>
      <c r="C2052" s="208"/>
      <c r="D2052" s="208"/>
      <c r="E2052" s="208"/>
      <c r="F2052" s="208"/>
      <c r="G2052" s="208"/>
      <c r="H2052" s="208"/>
      <c r="J2052" s="114" t="str">
        <f t="shared" si="943"/>
        <v/>
      </c>
      <c r="K2052" s="114" t="str">
        <f>IF(COUNTBLANK(R2052)&gt;0,"",CONCATENATE(R2052," for ",N2045))</f>
        <v/>
      </c>
      <c r="N2052" s="123" t="s">
        <v>119</v>
      </c>
      <c r="O2052" s="66"/>
      <c r="P2052" s="121"/>
      <c r="Q2052" s="121"/>
      <c r="R2052" s="121"/>
      <c r="S2052" s="133">
        <f>M2045</f>
        <v>0</v>
      </c>
      <c r="T2052" s="120"/>
      <c r="U2052" s="121" t="s">
        <v>292</v>
      </c>
      <c r="V2052" s="133">
        <f t="shared" si="936"/>
        <v>0</v>
      </c>
      <c r="W2052" s="133">
        <f>VLOOKUP(U2052,Sheet1!$B$6:$C$45,2,FALSE)*V2052</f>
        <v>0</v>
      </c>
      <c r="X2052" s="141"/>
      <c r="Y2052" s="121" t="s">
        <v>292</v>
      </c>
      <c r="Z2052" s="146">
        <f>VLOOKUP(Takeoffs!Y2052,Sheet1!$B$6:$C$124,2,FALSE)</f>
        <v>0</v>
      </c>
      <c r="AA2052" s="146">
        <f t="shared" si="937"/>
        <v>0</v>
      </c>
      <c r="AB2052" s="143">
        <f t="shared" si="938"/>
        <v>0</v>
      </c>
      <c r="AC2052" s="133">
        <f t="shared" si="939"/>
        <v>0</v>
      </c>
      <c r="AD2052" s="142">
        <v>1</v>
      </c>
      <c r="AE2052" s="141"/>
      <c r="AF2052" s="121" t="s">
        <v>292</v>
      </c>
      <c r="AG2052" s="146">
        <f>VLOOKUP(Takeoffs!AF2052,Sheet1!$B$6:$C$124,2,FALSE)</f>
        <v>0</v>
      </c>
      <c r="AH2052" s="146">
        <f t="shared" si="940"/>
        <v>0</v>
      </c>
      <c r="AI2052" s="143">
        <f t="shared" si="941"/>
        <v>0</v>
      </c>
      <c r="AJ2052" s="133">
        <f t="shared" si="942"/>
        <v>0</v>
      </c>
      <c r="AK2052" s="142">
        <f t="shared" si="944"/>
        <v>0</v>
      </c>
      <c r="AL2052" s="141"/>
      <c r="AO2052" s="286"/>
      <c r="AP2052" s="284">
        <f t="shared" si="920"/>
        <v>0</v>
      </c>
      <c r="AQ2052" s="281">
        <f t="shared" si="921"/>
        <v>0</v>
      </c>
      <c r="AR2052" s="284">
        <f t="shared" si="922"/>
        <v>0</v>
      </c>
      <c r="AS2052" s="281">
        <f t="shared" si="923"/>
        <v>0</v>
      </c>
      <c r="AT2052" s="284">
        <f t="shared" si="924"/>
        <v>0</v>
      </c>
    </row>
    <row r="2053" spans="1:46" s="114" customFormat="1" ht="30.9" x14ac:dyDescent="0.8">
      <c r="A2053" s="262">
        <f>ROW()</f>
        <v>2053</v>
      </c>
      <c r="C2053" s="208"/>
      <c r="D2053" s="208"/>
      <c r="E2053" s="208"/>
      <c r="F2053" s="208"/>
      <c r="G2053" s="208"/>
      <c r="H2053" s="208"/>
      <c r="J2053" s="114" t="str">
        <f t="shared" si="943"/>
        <v/>
      </c>
      <c r="K2053" s="114" t="str">
        <f>IF(COUNTBLANK(R2053)&gt;0,"",CONCATENATE(R2053," for ",N2045))</f>
        <v/>
      </c>
      <c r="N2053" s="123" t="s">
        <v>120</v>
      </c>
      <c r="O2053" s="66"/>
      <c r="P2053" s="121"/>
      <c r="Q2053" s="121"/>
      <c r="R2053" s="121"/>
      <c r="S2053" s="133">
        <f>M2045</f>
        <v>0</v>
      </c>
      <c r="T2053" s="120"/>
      <c r="U2053" s="121" t="s">
        <v>292</v>
      </c>
      <c r="V2053" s="133">
        <f t="shared" si="936"/>
        <v>0</v>
      </c>
      <c r="W2053" s="133">
        <f>VLOOKUP(U2053,Sheet1!$B$6:$C$45,2,FALSE)*V2053</f>
        <v>0</v>
      </c>
      <c r="X2053" s="141"/>
      <c r="Y2053" s="121" t="s">
        <v>292</v>
      </c>
      <c r="Z2053" s="146">
        <f>VLOOKUP(Takeoffs!Y2053,Sheet1!$B$6:$C$124,2,FALSE)</f>
        <v>0</v>
      </c>
      <c r="AA2053" s="146">
        <f t="shared" si="937"/>
        <v>0</v>
      </c>
      <c r="AB2053" s="143">
        <f t="shared" si="938"/>
        <v>0</v>
      </c>
      <c r="AC2053" s="133">
        <f t="shared" si="939"/>
        <v>0</v>
      </c>
      <c r="AD2053" s="142">
        <v>1</v>
      </c>
      <c r="AE2053" s="141"/>
      <c r="AF2053" s="121" t="s">
        <v>292</v>
      </c>
      <c r="AG2053" s="146">
        <f>VLOOKUP(Takeoffs!AF2053,Sheet1!$B$6:$C$124,2,FALSE)</f>
        <v>0</v>
      </c>
      <c r="AH2053" s="146">
        <f t="shared" si="940"/>
        <v>0</v>
      </c>
      <c r="AI2053" s="143">
        <f t="shared" si="941"/>
        <v>0</v>
      </c>
      <c r="AJ2053" s="133">
        <f t="shared" si="942"/>
        <v>0</v>
      </c>
      <c r="AK2053" s="142">
        <f t="shared" si="944"/>
        <v>0</v>
      </c>
      <c r="AL2053" s="141"/>
      <c r="AO2053" s="286"/>
      <c r="AP2053" s="284">
        <f t="shared" si="920"/>
        <v>0</v>
      </c>
      <c r="AQ2053" s="281">
        <f t="shared" si="921"/>
        <v>0</v>
      </c>
      <c r="AR2053" s="284">
        <f t="shared" si="922"/>
        <v>0</v>
      </c>
      <c r="AS2053" s="281">
        <f t="shared" si="923"/>
        <v>0</v>
      </c>
      <c r="AT2053" s="284">
        <f t="shared" si="924"/>
        <v>0</v>
      </c>
    </row>
    <row r="2054" spans="1:46" s="114" customFormat="1" ht="30.9" x14ac:dyDescent="0.8">
      <c r="A2054" s="262">
        <f>ROW()</f>
        <v>2054</v>
      </c>
      <c r="C2054" s="208"/>
      <c r="D2054" s="208"/>
      <c r="E2054" s="208"/>
      <c r="F2054" s="208"/>
      <c r="G2054" s="208"/>
      <c r="H2054" s="208"/>
      <c r="J2054" s="114" t="str">
        <f t="shared" si="943"/>
        <v/>
      </c>
      <c r="K2054" s="114" t="str">
        <f>IF(COUNTBLANK(R2054)&gt;0,"",CONCATENATE(R2054," for ",N2045))</f>
        <v/>
      </c>
      <c r="N2054" s="123" t="s">
        <v>121</v>
      </c>
      <c r="O2054" s="66"/>
      <c r="P2054" s="121"/>
      <c r="Q2054" s="121"/>
      <c r="R2054" s="121"/>
      <c r="S2054" s="133">
        <f>M2045</f>
        <v>0</v>
      </c>
      <c r="T2054" s="120"/>
      <c r="U2054" s="121" t="s">
        <v>292</v>
      </c>
      <c r="V2054" s="133">
        <f t="shared" si="936"/>
        <v>0</v>
      </c>
      <c r="W2054" s="133">
        <f>VLOOKUP(U2054,Sheet1!$B$6:$C$45,2,FALSE)*V2054</f>
        <v>0</v>
      </c>
      <c r="X2054" s="141"/>
      <c r="Y2054" s="121" t="s">
        <v>292</v>
      </c>
      <c r="Z2054" s="146">
        <f>VLOOKUP(Takeoffs!Y2054,Sheet1!$B$6:$C$124,2,FALSE)</f>
        <v>0</v>
      </c>
      <c r="AA2054" s="146">
        <f t="shared" si="937"/>
        <v>0</v>
      </c>
      <c r="AB2054" s="143">
        <f t="shared" si="938"/>
        <v>0</v>
      </c>
      <c r="AC2054" s="133">
        <f t="shared" si="939"/>
        <v>0</v>
      </c>
      <c r="AD2054" s="142">
        <v>1</v>
      </c>
      <c r="AE2054" s="141"/>
      <c r="AF2054" s="121" t="s">
        <v>292</v>
      </c>
      <c r="AG2054" s="146">
        <f>VLOOKUP(Takeoffs!AF2054,Sheet1!$B$6:$C$124,2,FALSE)</f>
        <v>0</v>
      </c>
      <c r="AH2054" s="146">
        <f t="shared" si="940"/>
        <v>0</v>
      </c>
      <c r="AI2054" s="143">
        <f t="shared" si="941"/>
        <v>0</v>
      </c>
      <c r="AJ2054" s="133">
        <f t="shared" si="942"/>
        <v>0</v>
      </c>
      <c r="AK2054" s="142">
        <f t="shared" si="944"/>
        <v>0</v>
      </c>
      <c r="AL2054" s="141"/>
      <c r="AO2054" s="286"/>
      <c r="AP2054" s="284">
        <f t="shared" si="920"/>
        <v>0</v>
      </c>
      <c r="AQ2054" s="281">
        <f t="shared" si="921"/>
        <v>0</v>
      </c>
      <c r="AR2054" s="284">
        <f t="shared" si="922"/>
        <v>0</v>
      </c>
      <c r="AS2054" s="281">
        <f t="shared" si="923"/>
        <v>0</v>
      </c>
      <c r="AT2054" s="284">
        <f t="shared" si="924"/>
        <v>0</v>
      </c>
    </row>
    <row r="2055" spans="1:46" s="114" customFormat="1" ht="30.9" x14ac:dyDescent="0.8">
      <c r="A2055" s="262">
        <f>ROW()</f>
        <v>2055</v>
      </c>
      <c r="C2055" s="208"/>
      <c r="D2055" s="208"/>
      <c r="E2055" s="208"/>
      <c r="F2055" s="208"/>
      <c r="G2055" s="208"/>
      <c r="H2055" s="208"/>
      <c r="J2055" s="114" t="str">
        <f t="shared" si="943"/>
        <v/>
      </c>
      <c r="K2055" s="114" t="str">
        <f>IF(COUNTBLANK(R2055)&gt;0,"",CONCATENATE(R2055," for ",N2045))</f>
        <v/>
      </c>
      <c r="N2055" s="123" t="s">
        <v>122</v>
      </c>
      <c r="O2055" s="66"/>
      <c r="P2055" s="121"/>
      <c r="Q2055" s="121"/>
      <c r="R2055" s="121"/>
      <c r="S2055" s="133">
        <f>M2045</f>
        <v>0</v>
      </c>
      <c r="T2055" s="120"/>
      <c r="U2055" s="121" t="s">
        <v>292</v>
      </c>
      <c r="V2055" s="133">
        <f t="shared" si="936"/>
        <v>0</v>
      </c>
      <c r="W2055" s="133">
        <f>VLOOKUP(U2055,Sheet1!$B$6:$C$45,2,FALSE)*V2055</f>
        <v>0</v>
      </c>
      <c r="X2055" s="141"/>
      <c r="Y2055" s="121" t="s">
        <v>292</v>
      </c>
      <c r="Z2055" s="146">
        <f>VLOOKUP(Takeoffs!Y2055,Sheet1!$B$6:$C$124,2,FALSE)</f>
        <v>0</v>
      </c>
      <c r="AA2055" s="146">
        <f t="shared" si="937"/>
        <v>0</v>
      </c>
      <c r="AB2055" s="143">
        <f t="shared" si="938"/>
        <v>0</v>
      </c>
      <c r="AC2055" s="133">
        <f t="shared" si="939"/>
        <v>0</v>
      </c>
      <c r="AD2055" s="142">
        <v>1</v>
      </c>
      <c r="AE2055" s="141"/>
      <c r="AF2055" s="121" t="s">
        <v>292</v>
      </c>
      <c r="AG2055" s="146">
        <f>VLOOKUP(Takeoffs!AF2055,Sheet1!$B$6:$C$124,2,FALSE)</f>
        <v>0</v>
      </c>
      <c r="AH2055" s="146">
        <f t="shared" si="940"/>
        <v>0</v>
      </c>
      <c r="AI2055" s="143">
        <f t="shared" si="941"/>
        <v>0</v>
      </c>
      <c r="AJ2055" s="133">
        <f t="shared" si="942"/>
        <v>0</v>
      </c>
      <c r="AK2055" s="142">
        <f>T2055</f>
        <v>0</v>
      </c>
      <c r="AL2055" s="141"/>
      <c r="AO2055" s="286"/>
      <c r="AP2055" s="284">
        <f t="shared" si="920"/>
        <v>0</v>
      </c>
      <c r="AQ2055" s="281">
        <f t="shared" si="921"/>
        <v>0</v>
      </c>
      <c r="AR2055" s="284">
        <f t="shared" si="922"/>
        <v>0</v>
      </c>
      <c r="AS2055" s="281">
        <f t="shared" si="923"/>
        <v>0</v>
      </c>
      <c r="AT2055" s="284">
        <f t="shared" si="924"/>
        <v>0</v>
      </c>
    </row>
    <row r="2056" spans="1:46" s="114" customFormat="1" ht="30.9" x14ac:dyDescent="0.8">
      <c r="A2056" s="262">
        <f>ROW()</f>
        <v>2056</v>
      </c>
      <c r="C2056" s="208"/>
      <c r="D2056" s="208"/>
      <c r="E2056" s="208"/>
      <c r="F2056" s="208"/>
      <c r="G2056" s="208"/>
      <c r="H2056" s="208"/>
      <c r="J2056" s="114" t="str">
        <f t="shared" si="943"/>
        <v/>
      </c>
      <c r="K2056" s="114" t="str">
        <f>IF(COUNTBLANK(R2056)&gt;0,"",CONCATENATE(R2056," for ",N2045))</f>
        <v/>
      </c>
      <c r="N2056" s="123" t="s">
        <v>123</v>
      </c>
      <c r="O2056" s="66"/>
      <c r="P2056" s="121"/>
      <c r="Q2056" s="121"/>
      <c r="R2056" s="121"/>
      <c r="S2056" s="133">
        <f>M2045</f>
        <v>0</v>
      </c>
      <c r="T2056" s="120"/>
      <c r="U2056" s="121" t="s">
        <v>292</v>
      </c>
      <c r="V2056" s="133">
        <f t="shared" si="936"/>
        <v>0</v>
      </c>
      <c r="W2056" s="133">
        <f>VLOOKUP(U2056,Sheet1!$B$6:$C$45,2,FALSE)*V2056</f>
        <v>0</v>
      </c>
      <c r="X2056" s="141"/>
      <c r="Y2056" s="121" t="s">
        <v>292</v>
      </c>
      <c r="Z2056" s="146">
        <f>VLOOKUP(Takeoffs!Y2056,Sheet1!$B$6:$C$124,2,FALSE)</f>
        <v>0</v>
      </c>
      <c r="AA2056" s="146">
        <f t="shared" si="937"/>
        <v>0</v>
      </c>
      <c r="AB2056" s="143">
        <f t="shared" si="938"/>
        <v>0</v>
      </c>
      <c r="AC2056" s="133">
        <f t="shared" si="939"/>
        <v>0</v>
      </c>
      <c r="AD2056" s="142">
        <v>1</v>
      </c>
      <c r="AE2056" s="141"/>
      <c r="AF2056" s="121" t="s">
        <v>292</v>
      </c>
      <c r="AG2056" s="146">
        <f>VLOOKUP(Takeoffs!AF2056,Sheet1!$B$6:$C$124,2,FALSE)</f>
        <v>0</v>
      </c>
      <c r="AH2056" s="146">
        <f t="shared" si="940"/>
        <v>0</v>
      </c>
      <c r="AI2056" s="143">
        <f t="shared" si="941"/>
        <v>0</v>
      </c>
      <c r="AJ2056" s="133">
        <f t="shared" si="942"/>
        <v>0</v>
      </c>
      <c r="AK2056" s="142">
        <v>0</v>
      </c>
      <c r="AL2056" s="141"/>
      <c r="AO2056" s="286"/>
      <c r="AP2056" s="284">
        <f t="shared" si="920"/>
        <v>0</v>
      </c>
      <c r="AQ2056" s="281">
        <f t="shared" si="921"/>
        <v>0</v>
      </c>
      <c r="AR2056" s="284">
        <f t="shared" si="922"/>
        <v>0</v>
      </c>
      <c r="AS2056" s="281">
        <f t="shared" si="923"/>
        <v>0</v>
      </c>
      <c r="AT2056" s="284">
        <f t="shared" si="924"/>
        <v>0</v>
      </c>
    </row>
    <row r="2057" spans="1:46" s="114" customFormat="1" ht="30.9" x14ac:dyDescent="0.8">
      <c r="A2057" s="262">
        <f>ROW()</f>
        <v>2057</v>
      </c>
      <c r="C2057" s="208"/>
      <c r="D2057" s="208"/>
      <c r="E2057" s="208"/>
      <c r="F2057" s="208"/>
      <c r="G2057" s="208"/>
      <c r="H2057" s="208"/>
      <c r="J2057" s="114" t="str">
        <f t="shared" si="943"/>
        <v/>
      </c>
      <c r="K2057" s="114" t="str">
        <f>IF(COUNTBLANK(R2057)&gt;0,"",CONCATENATE(R2057," for ",N2045))</f>
        <v/>
      </c>
      <c r="N2057" s="123" t="s">
        <v>124</v>
      </c>
      <c r="O2057" s="66"/>
      <c r="P2057" s="121"/>
      <c r="Q2057" s="121"/>
      <c r="R2057" s="121"/>
      <c r="S2057" s="133">
        <f>M2045</f>
        <v>0</v>
      </c>
      <c r="T2057" s="120"/>
      <c r="U2057" s="121" t="s">
        <v>292</v>
      </c>
      <c r="V2057" s="133">
        <f t="shared" si="936"/>
        <v>0</v>
      </c>
      <c r="W2057" s="133">
        <f>VLOOKUP(U2057,Sheet1!$B$6:$C$45,2,FALSE)*V2057</f>
        <v>0</v>
      </c>
      <c r="X2057" s="141"/>
      <c r="Y2057" s="121" t="s">
        <v>292</v>
      </c>
      <c r="Z2057" s="146">
        <f>VLOOKUP(Takeoffs!Y2057,Sheet1!$B$6:$C$124,2,FALSE)</f>
        <v>0</v>
      </c>
      <c r="AA2057" s="146">
        <f t="shared" si="937"/>
        <v>0</v>
      </c>
      <c r="AB2057" s="143">
        <f t="shared" si="938"/>
        <v>0</v>
      </c>
      <c r="AC2057" s="133">
        <f t="shared" si="939"/>
        <v>0</v>
      </c>
      <c r="AD2057" s="142">
        <v>1</v>
      </c>
      <c r="AE2057" s="141"/>
      <c r="AF2057" s="121" t="s">
        <v>292</v>
      </c>
      <c r="AG2057" s="146">
        <f>VLOOKUP(Takeoffs!AF2057,Sheet1!$B$6:$C$124,2,FALSE)</f>
        <v>0</v>
      </c>
      <c r="AH2057" s="146">
        <f t="shared" si="940"/>
        <v>0</v>
      </c>
      <c r="AI2057" s="143">
        <f t="shared" si="941"/>
        <v>0</v>
      </c>
      <c r="AJ2057" s="133">
        <f t="shared" si="942"/>
        <v>0</v>
      </c>
      <c r="AK2057" s="142"/>
      <c r="AL2057" s="141"/>
      <c r="AO2057" s="286"/>
      <c r="AP2057" s="284">
        <f t="shared" si="920"/>
        <v>0</v>
      </c>
      <c r="AQ2057" s="281">
        <f t="shared" si="921"/>
        <v>0</v>
      </c>
      <c r="AR2057" s="284">
        <f t="shared" si="922"/>
        <v>0</v>
      </c>
      <c r="AS2057" s="281">
        <f t="shared" si="923"/>
        <v>0</v>
      </c>
      <c r="AT2057" s="284">
        <f t="shared" si="924"/>
        <v>0</v>
      </c>
    </row>
    <row r="2058" spans="1:46" s="114" customFormat="1" ht="30.9" x14ac:dyDescent="0.8">
      <c r="A2058" s="262">
        <f>ROW()</f>
        <v>2058</v>
      </c>
      <c r="C2058" s="208"/>
      <c r="D2058" s="208"/>
      <c r="E2058" s="208"/>
      <c r="F2058" s="208"/>
      <c r="G2058" s="208"/>
      <c r="H2058" s="208"/>
      <c r="J2058" s="114" t="str">
        <f t="shared" si="943"/>
        <v/>
      </c>
      <c r="K2058" s="114" t="str">
        <f>IF(COUNTBLANK(R2058)&gt;0,"",CONCATENATE(R2058," for ",N2045))</f>
        <v/>
      </c>
      <c r="N2058" s="123" t="s">
        <v>125</v>
      </c>
      <c r="O2058" s="66"/>
      <c r="P2058" s="121"/>
      <c r="Q2058" s="121"/>
      <c r="R2058" s="121"/>
      <c r="S2058" s="133">
        <f>M2045</f>
        <v>0</v>
      </c>
      <c r="T2058" s="120"/>
      <c r="U2058" s="121" t="s">
        <v>292</v>
      </c>
      <c r="V2058" s="133">
        <f t="shared" si="936"/>
        <v>0</v>
      </c>
      <c r="W2058" s="133">
        <f>VLOOKUP(U2058,Sheet1!$B$6:$C$45,2,FALSE)*V2058</f>
        <v>0</v>
      </c>
      <c r="X2058" s="141"/>
      <c r="Y2058" s="121" t="s">
        <v>292</v>
      </c>
      <c r="Z2058" s="146">
        <f>VLOOKUP(Takeoffs!Y2058,Sheet1!$B$6:$C$124,2,FALSE)</f>
        <v>0</v>
      </c>
      <c r="AA2058" s="146">
        <f t="shared" si="937"/>
        <v>0</v>
      </c>
      <c r="AB2058" s="143">
        <f t="shared" si="938"/>
        <v>0</v>
      </c>
      <c r="AC2058" s="133">
        <f t="shared" si="939"/>
        <v>0</v>
      </c>
      <c r="AD2058" s="142">
        <v>1</v>
      </c>
      <c r="AE2058" s="141"/>
      <c r="AF2058" s="121" t="s">
        <v>292</v>
      </c>
      <c r="AG2058" s="146">
        <f>VLOOKUP(Takeoffs!AF2058,Sheet1!$B$6:$C$124,2,FALSE)</f>
        <v>0</v>
      </c>
      <c r="AH2058" s="146">
        <f t="shared" si="940"/>
        <v>0</v>
      </c>
      <c r="AI2058" s="143">
        <f t="shared" si="941"/>
        <v>0</v>
      </c>
      <c r="AJ2058" s="133">
        <f t="shared" si="942"/>
        <v>0</v>
      </c>
      <c r="AK2058" s="142">
        <f t="shared" ref="AK2058:AK2065" si="945">T2058</f>
        <v>0</v>
      </c>
      <c r="AL2058" s="141"/>
      <c r="AO2058" s="286"/>
      <c r="AP2058" s="284">
        <f t="shared" si="920"/>
        <v>0</v>
      </c>
      <c r="AQ2058" s="281">
        <f t="shared" si="921"/>
        <v>0</v>
      </c>
      <c r="AR2058" s="284">
        <f t="shared" si="922"/>
        <v>0</v>
      </c>
      <c r="AS2058" s="281">
        <f t="shared" si="923"/>
        <v>0</v>
      </c>
      <c r="AT2058" s="284">
        <f t="shared" si="924"/>
        <v>0</v>
      </c>
    </row>
    <row r="2059" spans="1:46" s="114" customFormat="1" ht="30.9" x14ac:dyDescent="0.8">
      <c r="A2059" s="262">
        <f>ROW()</f>
        <v>2059</v>
      </c>
      <c r="C2059" s="208"/>
      <c r="D2059" s="208"/>
      <c r="E2059" s="208"/>
      <c r="F2059" s="208"/>
      <c r="G2059" s="208"/>
      <c r="H2059" s="208"/>
      <c r="J2059" s="114" t="str">
        <f t="shared" si="943"/>
        <v/>
      </c>
      <c r="K2059" s="114" t="str">
        <f>IF(COUNTBLANK(R2059)&gt;0,"",CONCATENATE(R2059," for ",N2045))</f>
        <v/>
      </c>
      <c r="N2059" s="123" t="s">
        <v>126</v>
      </c>
      <c r="O2059" s="66"/>
      <c r="P2059" s="121"/>
      <c r="Q2059" s="121"/>
      <c r="R2059" s="121"/>
      <c r="S2059" s="133">
        <f>M2045</f>
        <v>0</v>
      </c>
      <c r="T2059" s="120"/>
      <c r="U2059" s="121" t="s">
        <v>292</v>
      </c>
      <c r="V2059" s="133">
        <f t="shared" si="936"/>
        <v>0</v>
      </c>
      <c r="W2059" s="133">
        <f>VLOOKUP(U2059,Sheet1!$B$6:$C$45,2,FALSE)*V2059</f>
        <v>0</v>
      </c>
      <c r="X2059" s="141"/>
      <c r="Y2059" s="121" t="s">
        <v>292</v>
      </c>
      <c r="Z2059" s="146">
        <f>VLOOKUP(Takeoffs!Y2059,Sheet1!$B$6:$C$124,2,FALSE)</f>
        <v>0</v>
      </c>
      <c r="AA2059" s="146">
        <f t="shared" si="937"/>
        <v>0</v>
      </c>
      <c r="AB2059" s="143">
        <f t="shared" si="938"/>
        <v>0</v>
      </c>
      <c r="AC2059" s="133">
        <f t="shared" si="939"/>
        <v>0</v>
      </c>
      <c r="AD2059" s="142">
        <v>1</v>
      </c>
      <c r="AE2059" s="141"/>
      <c r="AF2059" s="121" t="s">
        <v>292</v>
      </c>
      <c r="AG2059" s="146">
        <f>VLOOKUP(Takeoffs!AF2059,Sheet1!$B$6:$C$124,2,FALSE)</f>
        <v>0</v>
      </c>
      <c r="AH2059" s="146">
        <f t="shared" si="940"/>
        <v>0</v>
      </c>
      <c r="AI2059" s="143">
        <f t="shared" si="941"/>
        <v>0</v>
      </c>
      <c r="AJ2059" s="133">
        <f t="shared" si="942"/>
        <v>0</v>
      </c>
      <c r="AK2059" s="142">
        <f t="shared" si="945"/>
        <v>0</v>
      </c>
      <c r="AL2059" s="141"/>
      <c r="AO2059" s="286"/>
      <c r="AP2059" s="284">
        <f t="shared" si="920"/>
        <v>0</v>
      </c>
      <c r="AQ2059" s="281">
        <f t="shared" si="921"/>
        <v>0</v>
      </c>
      <c r="AR2059" s="284">
        <f t="shared" si="922"/>
        <v>0</v>
      </c>
      <c r="AS2059" s="281">
        <f t="shared" si="923"/>
        <v>0</v>
      </c>
      <c r="AT2059" s="284">
        <f t="shared" si="924"/>
        <v>0</v>
      </c>
    </row>
    <row r="2060" spans="1:46" s="114" customFormat="1" ht="30.9" x14ac:dyDescent="0.8">
      <c r="A2060" s="262">
        <f>ROW()</f>
        <v>2060</v>
      </c>
      <c r="C2060" s="208"/>
      <c r="D2060" s="208"/>
      <c r="E2060" s="208"/>
      <c r="F2060" s="208"/>
      <c r="G2060" s="208"/>
      <c r="H2060" s="208"/>
      <c r="J2060" s="114" t="str">
        <f t="shared" si="943"/>
        <v/>
      </c>
      <c r="K2060" s="114" t="str">
        <f>IF(COUNTBLANK(R2060)&gt;0,"",CONCATENATE(R2060," for ",N2045))</f>
        <v/>
      </c>
      <c r="N2060" s="123" t="s">
        <v>127</v>
      </c>
      <c r="O2060" s="66"/>
      <c r="P2060" s="121"/>
      <c r="Q2060" s="121"/>
      <c r="R2060" s="121"/>
      <c r="S2060" s="133">
        <f>M2045</f>
        <v>0</v>
      </c>
      <c r="T2060" s="120"/>
      <c r="U2060" s="121" t="s">
        <v>292</v>
      </c>
      <c r="V2060" s="133">
        <f t="shared" si="936"/>
        <v>0</v>
      </c>
      <c r="W2060" s="133">
        <f>VLOOKUP(U2060,Sheet1!$B$6:$C$45,2,FALSE)*V2060</f>
        <v>0</v>
      </c>
      <c r="X2060" s="141"/>
      <c r="Y2060" s="121" t="s">
        <v>292</v>
      </c>
      <c r="Z2060" s="146">
        <f>VLOOKUP(Takeoffs!Y2060,Sheet1!$B$6:$C$124,2,FALSE)</f>
        <v>0</v>
      </c>
      <c r="AA2060" s="146">
        <f t="shared" si="937"/>
        <v>0</v>
      </c>
      <c r="AB2060" s="143">
        <f t="shared" si="938"/>
        <v>0</v>
      </c>
      <c r="AC2060" s="133">
        <f t="shared" si="939"/>
        <v>0</v>
      </c>
      <c r="AD2060" s="142">
        <v>1</v>
      </c>
      <c r="AE2060" s="141"/>
      <c r="AF2060" s="121" t="s">
        <v>292</v>
      </c>
      <c r="AG2060" s="146">
        <f>VLOOKUP(Takeoffs!AF2060,Sheet1!$B$6:$C$124,2,FALSE)</f>
        <v>0</v>
      </c>
      <c r="AH2060" s="146">
        <f t="shared" si="940"/>
        <v>0</v>
      </c>
      <c r="AI2060" s="143">
        <f t="shared" si="941"/>
        <v>0</v>
      </c>
      <c r="AJ2060" s="133">
        <f t="shared" si="942"/>
        <v>0</v>
      </c>
      <c r="AK2060" s="142">
        <f t="shared" si="945"/>
        <v>0</v>
      </c>
      <c r="AL2060" s="141"/>
      <c r="AO2060" s="286"/>
      <c r="AP2060" s="284">
        <f t="shared" si="920"/>
        <v>0</v>
      </c>
      <c r="AQ2060" s="281">
        <f t="shared" si="921"/>
        <v>0</v>
      </c>
      <c r="AR2060" s="284">
        <f t="shared" si="922"/>
        <v>0</v>
      </c>
      <c r="AS2060" s="281">
        <f t="shared" si="923"/>
        <v>0</v>
      </c>
      <c r="AT2060" s="284">
        <f t="shared" si="924"/>
        <v>0</v>
      </c>
    </row>
    <row r="2061" spans="1:46" s="114" customFormat="1" ht="30.9" x14ac:dyDescent="0.8">
      <c r="A2061" s="262">
        <f>ROW()</f>
        <v>2061</v>
      </c>
      <c r="C2061" s="208"/>
      <c r="D2061" s="208"/>
      <c r="E2061" s="208"/>
      <c r="F2061" s="208"/>
      <c r="G2061" s="208"/>
      <c r="H2061" s="208"/>
      <c r="J2061" s="114" t="str">
        <f t="shared" si="943"/>
        <v/>
      </c>
      <c r="K2061" s="114" t="str">
        <f>IF(COUNTBLANK(R2061)&gt;0,"",CONCATENATE(R2061," for ",N2045))</f>
        <v/>
      </c>
      <c r="N2061" s="123" t="s">
        <v>128</v>
      </c>
      <c r="O2061" s="66"/>
      <c r="P2061" s="121"/>
      <c r="Q2061" s="121"/>
      <c r="R2061" s="121"/>
      <c r="S2061" s="133">
        <f>M2045</f>
        <v>0</v>
      </c>
      <c r="T2061" s="120"/>
      <c r="U2061" s="121" t="s">
        <v>292</v>
      </c>
      <c r="V2061" s="133">
        <f t="shared" si="936"/>
        <v>0</v>
      </c>
      <c r="W2061" s="133">
        <f>VLOOKUP(U2061,Sheet1!$B$6:$C$45,2,FALSE)*V2061</f>
        <v>0</v>
      </c>
      <c r="X2061" s="141"/>
      <c r="Y2061" s="121" t="s">
        <v>292</v>
      </c>
      <c r="Z2061" s="146">
        <f>VLOOKUP(Takeoffs!Y2061,Sheet1!$B$6:$C$124,2,FALSE)</f>
        <v>0</v>
      </c>
      <c r="AA2061" s="146">
        <f t="shared" si="937"/>
        <v>0</v>
      </c>
      <c r="AB2061" s="143">
        <f t="shared" si="938"/>
        <v>0</v>
      </c>
      <c r="AC2061" s="133">
        <f t="shared" si="939"/>
        <v>0</v>
      </c>
      <c r="AD2061" s="142">
        <v>1</v>
      </c>
      <c r="AE2061" s="141"/>
      <c r="AF2061" s="121" t="s">
        <v>292</v>
      </c>
      <c r="AG2061" s="146">
        <f>VLOOKUP(Takeoffs!AF2061,Sheet1!$B$6:$C$124,2,FALSE)</f>
        <v>0</v>
      </c>
      <c r="AH2061" s="146">
        <f t="shared" si="940"/>
        <v>0</v>
      </c>
      <c r="AI2061" s="143">
        <f t="shared" si="941"/>
        <v>0</v>
      </c>
      <c r="AJ2061" s="133">
        <f t="shared" si="942"/>
        <v>0</v>
      </c>
      <c r="AK2061" s="142">
        <f t="shared" si="945"/>
        <v>0</v>
      </c>
      <c r="AL2061" s="141"/>
      <c r="AO2061" s="286"/>
      <c r="AP2061" s="284">
        <f t="shared" si="920"/>
        <v>0</v>
      </c>
      <c r="AQ2061" s="281">
        <f t="shared" si="921"/>
        <v>0</v>
      </c>
      <c r="AR2061" s="284">
        <f t="shared" si="922"/>
        <v>0</v>
      </c>
      <c r="AS2061" s="281">
        <f t="shared" si="923"/>
        <v>0</v>
      </c>
      <c r="AT2061" s="284">
        <f t="shared" si="924"/>
        <v>0</v>
      </c>
    </row>
    <row r="2062" spans="1:46" s="114" customFormat="1" ht="30.9" x14ac:dyDescent="0.8">
      <c r="A2062" s="262">
        <f>ROW()</f>
        <v>2062</v>
      </c>
      <c r="C2062" s="208"/>
      <c r="D2062" s="208"/>
      <c r="E2062" s="208"/>
      <c r="F2062" s="208"/>
      <c r="G2062" s="208"/>
      <c r="H2062" s="208"/>
      <c r="J2062" s="114" t="str">
        <f t="shared" si="943"/>
        <v/>
      </c>
      <c r="K2062" s="114" t="str">
        <f>IF(COUNTBLANK(R2062)&gt;0,"",CONCATENATE(R2062," for ",N2045))</f>
        <v/>
      </c>
      <c r="N2062" s="123" t="s">
        <v>129</v>
      </c>
      <c r="O2062" s="66"/>
      <c r="P2062" s="121"/>
      <c r="Q2062" s="121"/>
      <c r="R2062" s="121"/>
      <c r="S2062" s="133">
        <f>M2045</f>
        <v>0</v>
      </c>
      <c r="T2062" s="120"/>
      <c r="U2062" s="121" t="s">
        <v>292</v>
      </c>
      <c r="V2062" s="133">
        <f t="shared" si="936"/>
        <v>0</v>
      </c>
      <c r="W2062" s="133">
        <f>VLOOKUP(U2062,Sheet1!$B$6:$C$45,2,FALSE)*V2062</f>
        <v>0</v>
      </c>
      <c r="X2062" s="141"/>
      <c r="Y2062" s="121" t="s">
        <v>292</v>
      </c>
      <c r="Z2062" s="146">
        <f>VLOOKUP(Takeoffs!Y2062,Sheet1!$B$6:$C$124,2,FALSE)</f>
        <v>0</v>
      </c>
      <c r="AA2062" s="146">
        <f t="shared" si="937"/>
        <v>0</v>
      </c>
      <c r="AB2062" s="143">
        <f t="shared" si="938"/>
        <v>0</v>
      </c>
      <c r="AC2062" s="133">
        <f t="shared" si="939"/>
        <v>0</v>
      </c>
      <c r="AD2062" s="142">
        <v>1</v>
      </c>
      <c r="AE2062" s="141"/>
      <c r="AF2062" s="121" t="s">
        <v>292</v>
      </c>
      <c r="AG2062" s="146">
        <f>VLOOKUP(Takeoffs!AF2062,Sheet1!$B$6:$C$124,2,FALSE)</f>
        <v>0</v>
      </c>
      <c r="AH2062" s="146">
        <f t="shared" si="940"/>
        <v>0</v>
      </c>
      <c r="AI2062" s="143">
        <f t="shared" si="941"/>
        <v>0</v>
      </c>
      <c r="AJ2062" s="133">
        <f t="shared" si="942"/>
        <v>0</v>
      </c>
      <c r="AK2062" s="142">
        <f t="shared" si="945"/>
        <v>0</v>
      </c>
      <c r="AL2062" s="141"/>
      <c r="AO2062" s="286"/>
      <c r="AP2062" s="284">
        <f t="shared" si="920"/>
        <v>0</v>
      </c>
      <c r="AQ2062" s="281">
        <f t="shared" si="921"/>
        <v>0</v>
      </c>
      <c r="AR2062" s="284">
        <f t="shared" si="922"/>
        <v>0</v>
      </c>
      <c r="AS2062" s="281">
        <f t="shared" si="923"/>
        <v>0</v>
      </c>
      <c r="AT2062" s="284">
        <f t="shared" si="924"/>
        <v>0</v>
      </c>
    </row>
    <row r="2063" spans="1:46" s="114" customFormat="1" ht="30.9" x14ac:dyDescent="0.8">
      <c r="A2063" s="262">
        <f>ROW()</f>
        <v>2063</v>
      </c>
      <c r="C2063" s="208"/>
      <c r="D2063" s="208"/>
      <c r="E2063" s="208"/>
      <c r="F2063" s="208"/>
      <c r="G2063" s="208"/>
      <c r="H2063" s="208"/>
      <c r="J2063" s="114" t="str">
        <f t="shared" si="943"/>
        <v/>
      </c>
      <c r="K2063" s="114" t="str">
        <f>IF(COUNTBLANK(R2063)&gt;0,"",CONCATENATE(R2063," for ",N2045))</f>
        <v/>
      </c>
      <c r="N2063" s="123" t="s">
        <v>130</v>
      </c>
      <c r="O2063" s="66"/>
      <c r="P2063" s="121"/>
      <c r="Q2063" s="121"/>
      <c r="R2063" s="121"/>
      <c r="S2063" s="133">
        <f>M2045</f>
        <v>0</v>
      </c>
      <c r="T2063" s="120"/>
      <c r="U2063" s="121" t="s">
        <v>292</v>
      </c>
      <c r="V2063" s="133">
        <f t="shared" si="936"/>
        <v>0</v>
      </c>
      <c r="W2063" s="133">
        <f>VLOOKUP(U2063,Sheet1!$B$6:$C$45,2,FALSE)*V2063</f>
        <v>0</v>
      </c>
      <c r="X2063" s="141"/>
      <c r="Y2063" s="121" t="s">
        <v>292</v>
      </c>
      <c r="Z2063" s="146">
        <f>VLOOKUP(Takeoffs!Y2063,Sheet1!$B$6:$C$124,2,FALSE)</f>
        <v>0</v>
      </c>
      <c r="AA2063" s="146">
        <f t="shared" si="937"/>
        <v>0</v>
      </c>
      <c r="AB2063" s="143">
        <f t="shared" si="938"/>
        <v>0</v>
      </c>
      <c r="AC2063" s="133">
        <f t="shared" si="939"/>
        <v>0</v>
      </c>
      <c r="AD2063" s="142">
        <v>1</v>
      </c>
      <c r="AE2063" s="141"/>
      <c r="AF2063" s="121" t="s">
        <v>292</v>
      </c>
      <c r="AG2063" s="146">
        <f>VLOOKUP(Takeoffs!AF2063,Sheet1!$B$6:$C$124,2,FALSE)</f>
        <v>0</v>
      </c>
      <c r="AH2063" s="146">
        <f t="shared" si="940"/>
        <v>0</v>
      </c>
      <c r="AI2063" s="143">
        <f t="shared" si="941"/>
        <v>0</v>
      </c>
      <c r="AJ2063" s="133">
        <f t="shared" si="942"/>
        <v>0</v>
      </c>
      <c r="AK2063" s="142">
        <f t="shared" si="945"/>
        <v>0</v>
      </c>
      <c r="AL2063" s="141"/>
      <c r="AO2063" s="286"/>
      <c r="AP2063" s="284">
        <f t="shared" si="920"/>
        <v>0</v>
      </c>
      <c r="AQ2063" s="281">
        <f t="shared" si="921"/>
        <v>0</v>
      </c>
      <c r="AR2063" s="284">
        <f t="shared" si="922"/>
        <v>0</v>
      </c>
      <c r="AS2063" s="281">
        <f t="shared" si="923"/>
        <v>0</v>
      </c>
      <c r="AT2063" s="284">
        <f t="shared" si="924"/>
        <v>0</v>
      </c>
    </row>
    <row r="2064" spans="1:46" s="114" customFormat="1" ht="30.9" x14ac:dyDescent="0.8">
      <c r="A2064" s="262">
        <f>ROW()</f>
        <v>2064</v>
      </c>
      <c r="C2064" s="208"/>
      <c r="D2064" s="208"/>
      <c r="E2064" s="208"/>
      <c r="F2064" s="208"/>
      <c r="G2064" s="208"/>
      <c r="H2064" s="208"/>
      <c r="J2064" s="114" t="str">
        <f t="shared" si="943"/>
        <v/>
      </c>
      <c r="K2064" s="114" t="str">
        <f>IF(COUNTBLANK(R2064)&gt;0,"",CONCATENATE(R2064," for ",N2045))</f>
        <v/>
      </c>
      <c r="N2064" s="123" t="s">
        <v>131</v>
      </c>
      <c r="O2064" s="66"/>
      <c r="P2064" s="121"/>
      <c r="Q2064" s="121"/>
      <c r="R2064" s="121"/>
      <c r="S2064" s="133">
        <f>M2045</f>
        <v>0</v>
      </c>
      <c r="T2064" s="120"/>
      <c r="U2064" s="121" t="s">
        <v>292</v>
      </c>
      <c r="V2064" s="133">
        <f t="shared" si="936"/>
        <v>0</v>
      </c>
      <c r="W2064" s="133">
        <f>VLOOKUP(U2064,Sheet1!$B$6:$C$45,2,FALSE)*V2064</f>
        <v>0</v>
      </c>
      <c r="X2064" s="141"/>
      <c r="Y2064" s="121" t="s">
        <v>292</v>
      </c>
      <c r="Z2064" s="146">
        <f>VLOOKUP(Takeoffs!Y2064,Sheet1!$B$6:$C$124,2,FALSE)</f>
        <v>0</v>
      </c>
      <c r="AA2064" s="146">
        <f t="shared" si="937"/>
        <v>0</v>
      </c>
      <c r="AB2064" s="143">
        <f t="shared" si="938"/>
        <v>0</v>
      </c>
      <c r="AC2064" s="133">
        <f t="shared" si="939"/>
        <v>0</v>
      </c>
      <c r="AD2064" s="142">
        <v>1</v>
      </c>
      <c r="AE2064" s="141"/>
      <c r="AF2064" s="121" t="s">
        <v>292</v>
      </c>
      <c r="AG2064" s="146">
        <f>VLOOKUP(Takeoffs!AF2064,Sheet1!$B$6:$C$124,2,FALSE)</f>
        <v>0</v>
      </c>
      <c r="AH2064" s="146">
        <f t="shared" si="940"/>
        <v>0</v>
      </c>
      <c r="AI2064" s="143">
        <f t="shared" si="941"/>
        <v>0</v>
      </c>
      <c r="AJ2064" s="133">
        <f t="shared" si="942"/>
        <v>0</v>
      </c>
      <c r="AK2064" s="142">
        <f t="shared" si="945"/>
        <v>0</v>
      </c>
      <c r="AL2064" s="141"/>
      <c r="AO2064" s="286"/>
      <c r="AP2064" s="284">
        <f t="shared" si="920"/>
        <v>0</v>
      </c>
      <c r="AQ2064" s="281">
        <f t="shared" si="921"/>
        <v>0</v>
      </c>
      <c r="AR2064" s="284">
        <f t="shared" si="922"/>
        <v>0</v>
      </c>
      <c r="AS2064" s="281">
        <f t="shared" si="923"/>
        <v>0</v>
      </c>
      <c r="AT2064" s="284">
        <f t="shared" si="924"/>
        <v>0</v>
      </c>
    </row>
    <row r="2065" spans="1:97" s="114" customFormat="1" ht="30.9" x14ac:dyDescent="0.8">
      <c r="A2065" s="262">
        <f>ROW()</f>
        <v>2065</v>
      </c>
      <c r="C2065" s="208"/>
      <c r="D2065" s="208"/>
      <c r="E2065" s="208"/>
      <c r="F2065" s="208"/>
      <c r="G2065" s="208"/>
      <c r="H2065" s="208"/>
      <c r="J2065" s="114" t="str">
        <f t="shared" si="943"/>
        <v/>
      </c>
      <c r="K2065" s="114" t="str">
        <f>IF(COUNTBLANK(R2065)&gt;0,"",CONCATENATE(R2065," for ",N2045))</f>
        <v/>
      </c>
      <c r="N2065" s="123" t="s">
        <v>132</v>
      </c>
      <c r="O2065" s="66"/>
      <c r="P2065" s="121"/>
      <c r="Q2065" s="121"/>
      <c r="R2065" s="121"/>
      <c r="S2065" s="133">
        <f>M2045</f>
        <v>0</v>
      </c>
      <c r="T2065" s="120"/>
      <c r="U2065" s="121" t="s">
        <v>292</v>
      </c>
      <c r="V2065" s="133">
        <f t="shared" si="936"/>
        <v>0</v>
      </c>
      <c r="W2065" s="133">
        <f>VLOOKUP(U2065,Sheet1!$B$6:$C$45,2,FALSE)*V2065</f>
        <v>0</v>
      </c>
      <c r="X2065" s="141"/>
      <c r="Y2065" s="121" t="s">
        <v>292</v>
      </c>
      <c r="Z2065" s="146">
        <f>VLOOKUP(Takeoffs!Y2065,Sheet1!$B$6:$C$124,2,FALSE)</f>
        <v>0</v>
      </c>
      <c r="AA2065" s="146">
        <f t="shared" si="937"/>
        <v>0</v>
      </c>
      <c r="AB2065" s="143">
        <f t="shared" si="938"/>
        <v>0</v>
      </c>
      <c r="AC2065" s="133">
        <f t="shared" si="939"/>
        <v>0</v>
      </c>
      <c r="AD2065" s="142">
        <v>1</v>
      </c>
      <c r="AE2065" s="141"/>
      <c r="AF2065" s="121" t="s">
        <v>292</v>
      </c>
      <c r="AG2065" s="146">
        <f>VLOOKUP(Takeoffs!AF2065,Sheet1!$B$6:$C$124,2,FALSE)</f>
        <v>0</v>
      </c>
      <c r="AH2065" s="146">
        <f t="shared" si="940"/>
        <v>0</v>
      </c>
      <c r="AI2065" s="143">
        <f t="shared" si="941"/>
        <v>0</v>
      </c>
      <c r="AJ2065" s="133">
        <f t="shared" si="942"/>
        <v>0</v>
      </c>
      <c r="AK2065" s="142">
        <f t="shared" si="945"/>
        <v>0</v>
      </c>
      <c r="AL2065" s="141"/>
      <c r="AO2065" s="286"/>
      <c r="AP2065" s="284">
        <f t="shared" si="920"/>
        <v>0</v>
      </c>
      <c r="AQ2065" s="281">
        <f t="shared" si="921"/>
        <v>0</v>
      </c>
      <c r="AR2065" s="284">
        <f t="shared" si="922"/>
        <v>0</v>
      </c>
      <c r="AS2065" s="281">
        <f t="shared" si="923"/>
        <v>0</v>
      </c>
      <c r="AT2065" s="284">
        <f t="shared" si="924"/>
        <v>0</v>
      </c>
    </row>
    <row r="2066" spans="1:97" s="128" customFormat="1" ht="31.5" customHeight="1" x14ac:dyDescent="0.8">
      <c r="A2066" s="262">
        <f>ROW()</f>
        <v>2066</v>
      </c>
      <c r="C2066" s="212"/>
      <c r="D2066" s="212"/>
      <c r="E2066" s="212"/>
      <c r="F2066" s="212"/>
      <c r="G2066" s="212"/>
      <c r="H2066" s="212"/>
      <c r="J2066" s="128" t="s">
        <v>377</v>
      </c>
      <c r="L2066" s="128" t="s">
        <v>378</v>
      </c>
      <c r="N2066" s="129"/>
      <c r="O2066" s="154" t="s">
        <v>357</v>
      </c>
      <c r="P2066" s="155">
        <f>V2066+AA2066+AH2066</f>
        <v>0</v>
      </c>
      <c r="Q2066" s="155"/>
      <c r="R2066" s="155"/>
      <c r="S2066" s="154"/>
      <c r="T2066" s="156"/>
      <c r="U2066" s="157" t="s">
        <v>351</v>
      </c>
      <c r="V2066" s="156">
        <f>W2066*80</f>
        <v>0</v>
      </c>
      <c r="W2066" s="158">
        <f>SUM(W2045:W2065)</f>
        <v>0</v>
      </c>
      <c r="X2066" s="159"/>
      <c r="Y2066" s="156" t="s">
        <v>352</v>
      </c>
      <c r="Z2066" s="116"/>
      <c r="AA2066" s="116">
        <f>SUM(AA2045:AA2065)</f>
        <v>0</v>
      </c>
      <c r="AB2066" s="149"/>
      <c r="AC2066" s="149"/>
      <c r="AD2066" s="149"/>
      <c r="AE2066" s="149"/>
      <c r="AF2066" s="156" t="s">
        <v>356</v>
      </c>
      <c r="AG2066" s="116"/>
      <c r="AH2066" s="116">
        <f>SUM(AH2045:AH2065)</f>
        <v>0</v>
      </c>
      <c r="AI2066" s="149"/>
      <c r="AJ2066" s="149"/>
      <c r="AK2066" s="149"/>
      <c r="AL2066" s="149"/>
      <c r="AM2066" s="150">
        <f>P2066</f>
        <v>0</v>
      </c>
      <c r="AO2066" s="286"/>
      <c r="AP2066" s="284">
        <f t="shared" si="920"/>
        <v>0</v>
      </c>
      <c r="AQ2066" s="281">
        <f t="shared" si="921"/>
        <v>0</v>
      </c>
      <c r="AR2066" s="284">
        <f t="shared" si="922"/>
        <v>0</v>
      </c>
      <c r="AS2066" s="281">
        <f t="shared" si="923"/>
        <v>0</v>
      </c>
      <c r="AT2066" s="284">
        <f t="shared" si="924"/>
        <v>0</v>
      </c>
    </row>
    <row r="2067" spans="1:97" s="234" customFormat="1" ht="154.30000000000001" x14ac:dyDescent="0.8">
      <c r="A2067" s="262">
        <f>ROW()</f>
        <v>2067</v>
      </c>
      <c r="B2067" s="234" t="s">
        <v>491</v>
      </c>
      <c r="C2067" s="217" t="str">
        <f>N2045</f>
        <v>Motion Sensor ( with internal run on timer) with interlock with other system</v>
      </c>
      <c r="D2067" s="260" t="s">
        <v>706</v>
      </c>
      <c r="E2067" s="238"/>
      <c r="F2067" s="217"/>
      <c r="G2067" s="217"/>
      <c r="H2067" s="245"/>
      <c r="I2067" s="270"/>
      <c r="J2067" s="241" t="str">
        <f>CONCATENATE(O2045," ",L2045, " (",M2045,") ",N2045,".", IF(M2045&gt;1," Each "," This "),"includes supply and install of ",O2046,O2047,O2048,O2049,O2050,O2051,O2052,O2053,O2054,O2055,O2056,O2057,O2058,O2059,O2060,O2061,O2062,O2063,O2064,O2065,J2046,J2047,J2048,J2049,J2050,J2051,J2052,J2053,J2054,J2055,J2056,J2057,J2058,J2059,J2060,J2061,J2062,J2063,J2064,J2065)</f>
        <v xml:space="preserve">Electrical power supply and controls cabling for  Zero (0) Motion Sensor ( with internal run on timer) with interlock with other system. This includes supply and install of controls cabling, power supply, contactors/relays and enclosure. </v>
      </c>
      <c r="K2067" s="246">
        <f>P2066</f>
        <v>0</v>
      </c>
      <c r="L2067" s="234" t="str">
        <f>CONCATENATE(Q2046,Q2047,Q2048,Q2049,Q2050,Q2051,Q2052,Q2053,Q2054,Q2055,Q2056,Q2057,Q2058,Q2059,Q2060,Q2061,Q2062,Q2063,Q2064,Q2065,)</f>
        <v/>
      </c>
      <c r="M2067" s="166" t="s">
        <v>367</v>
      </c>
      <c r="N2067" s="160" t="str">
        <f>N2045</f>
        <v>Motion Sensor ( with internal run on timer) with interlock with other system</v>
      </c>
      <c r="O2067" s="160" t="s">
        <v>365</v>
      </c>
      <c r="P2067" s="171" t="e">
        <f>P2066/M2045</f>
        <v>#DIV/0!</v>
      </c>
      <c r="Q2067" s="161"/>
      <c r="R2067" s="161"/>
      <c r="S2067" s="160"/>
      <c r="T2067" s="161"/>
      <c r="U2067" s="503" t="s">
        <v>366</v>
      </c>
      <c r="V2067" s="503"/>
      <c r="W2067" s="162" t="e">
        <f>W2066/M2045</f>
        <v>#DIV/0!</v>
      </c>
      <c r="X2067" s="163"/>
      <c r="Y2067" s="501" t="s">
        <v>365</v>
      </c>
      <c r="Z2067" s="501"/>
      <c r="AA2067" s="164" t="e">
        <f>AA2066/M2045</f>
        <v>#DIV/0!</v>
      </c>
      <c r="AB2067" s="161"/>
      <c r="AC2067" s="161"/>
      <c r="AD2067" s="161"/>
      <c r="AE2067" s="161"/>
      <c r="AF2067" s="501" t="s">
        <v>365</v>
      </c>
      <c r="AG2067" s="501"/>
      <c r="AH2067" s="164" t="e">
        <f>AH2066/M2045</f>
        <v>#DIV/0!</v>
      </c>
      <c r="AI2067" s="161"/>
      <c r="AJ2067" s="161"/>
      <c r="AK2067" s="161"/>
      <c r="AL2067" s="247"/>
      <c r="AM2067" s="257"/>
      <c r="AN2067" s="236">
        <f>K2067*1.25</f>
        <v>0</v>
      </c>
      <c r="AO2067" s="286"/>
      <c r="AP2067" s="284">
        <f t="shared" si="920"/>
        <v>0</v>
      </c>
      <c r="AQ2067" s="281">
        <f t="shared" si="921"/>
        <v>0</v>
      </c>
      <c r="AR2067" s="284">
        <f t="shared" si="922"/>
        <v>0</v>
      </c>
      <c r="AS2067" s="281">
        <f t="shared" si="923"/>
        <v>0</v>
      </c>
      <c r="AT2067" s="284">
        <f t="shared" si="924"/>
        <v>0</v>
      </c>
      <c r="AU2067" s="117"/>
      <c r="AV2067" s="117"/>
      <c r="AW2067" s="117"/>
      <c r="AX2067" s="117"/>
      <c r="AY2067" s="117"/>
      <c r="AZ2067" s="117"/>
      <c r="BA2067" s="117"/>
      <c r="BB2067" s="117"/>
      <c r="BC2067" s="117"/>
      <c r="BD2067" s="117"/>
      <c r="BE2067" s="117"/>
      <c r="BF2067" s="117"/>
      <c r="BG2067" s="117"/>
      <c r="BH2067" s="117"/>
      <c r="BI2067" s="117"/>
      <c r="BJ2067" s="117"/>
      <c r="BK2067" s="117"/>
      <c r="BL2067" s="117"/>
      <c r="BM2067" s="117"/>
      <c r="BN2067" s="117"/>
      <c r="BO2067" s="117"/>
      <c r="BP2067" s="117"/>
      <c r="BQ2067" s="117"/>
      <c r="BR2067" s="117"/>
      <c r="BS2067" s="117"/>
      <c r="BT2067" s="117"/>
      <c r="BU2067" s="117"/>
      <c r="BV2067" s="117"/>
      <c r="BW2067" s="117"/>
      <c r="BX2067" s="117"/>
      <c r="BY2067" s="117"/>
      <c r="BZ2067" s="117"/>
      <c r="CA2067" s="117"/>
      <c r="CB2067" s="117"/>
      <c r="CC2067" s="117"/>
      <c r="CD2067" s="117"/>
      <c r="CE2067" s="117"/>
      <c r="CF2067" s="117"/>
      <c r="CG2067" s="117"/>
      <c r="CH2067" s="117"/>
      <c r="CI2067" s="117"/>
      <c r="CJ2067" s="117"/>
      <c r="CK2067" s="117"/>
      <c r="CL2067" s="117"/>
      <c r="CM2067" s="117"/>
      <c r="CN2067" s="117"/>
      <c r="CO2067" s="117"/>
      <c r="CP2067" s="117"/>
      <c r="CQ2067" s="117"/>
      <c r="CR2067" s="117"/>
      <c r="CS2067" s="117"/>
    </row>
    <row r="2068" spans="1:97" s="116" customFormat="1" ht="192.75" customHeight="1" x14ac:dyDescent="0.8">
      <c r="A2068" s="262">
        <f>ROW()</f>
        <v>2068</v>
      </c>
      <c r="C2068" s="211" t="s">
        <v>492</v>
      </c>
      <c r="D2068" s="211"/>
      <c r="E2068" s="218"/>
      <c r="F2068" s="218"/>
      <c r="G2068" s="218"/>
      <c r="H2068" s="218"/>
      <c r="I2068" s="240" t="s">
        <v>0</v>
      </c>
      <c r="J2068" s="116" t="s">
        <v>639</v>
      </c>
      <c r="K2068" s="222" t="s">
        <v>353</v>
      </c>
      <c r="L2068" s="253" t="s">
        <v>388</v>
      </c>
      <c r="M2068" s="116" t="s">
        <v>107</v>
      </c>
      <c r="N2068" s="116" t="s">
        <v>108</v>
      </c>
      <c r="O2068" s="170" t="s">
        <v>386</v>
      </c>
      <c r="P2068" s="502" t="s">
        <v>375</v>
      </c>
      <c r="Q2068" s="502"/>
      <c r="R2068" s="101" t="s">
        <v>452</v>
      </c>
      <c r="S2068" s="116" t="s">
        <v>0</v>
      </c>
      <c r="T2068" s="118"/>
      <c r="U2068" s="116" t="s">
        <v>287</v>
      </c>
      <c r="V2068" s="116" t="s">
        <v>288</v>
      </c>
      <c r="W2068" s="116" t="s">
        <v>291</v>
      </c>
      <c r="X2068" s="140"/>
      <c r="Y2068" s="116" t="s">
        <v>289</v>
      </c>
      <c r="Z2068" s="116" t="s">
        <v>354</v>
      </c>
      <c r="AA2068" s="116" t="s">
        <v>355</v>
      </c>
      <c r="AB2068" s="116" t="s">
        <v>317</v>
      </c>
      <c r="AC2068" s="116" t="s">
        <v>318</v>
      </c>
      <c r="AD2068" s="116" t="s">
        <v>316</v>
      </c>
      <c r="AE2068" s="140"/>
      <c r="AF2068" s="116" t="s">
        <v>293</v>
      </c>
      <c r="AG2068" s="116" t="s">
        <v>354</v>
      </c>
      <c r="AH2068" s="116" t="s">
        <v>355</v>
      </c>
      <c r="AI2068" s="116" t="s">
        <v>296</v>
      </c>
      <c r="AJ2068" s="116" t="s">
        <v>294</v>
      </c>
      <c r="AK2068" s="116" t="s">
        <v>295</v>
      </c>
      <c r="AL2068" s="140"/>
      <c r="AN2068" s="194"/>
      <c r="AO2068" s="288"/>
      <c r="AP2068" s="284">
        <f t="shared" ref="AP2068:AP2117" si="946">IF(AND(I2068&gt;0, ISNUMBER(I2068)),I2068*P2068,0)</f>
        <v>0</v>
      </c>
      <c r="AQ2068" s="281">
        <f t="shared" ref="AQ2068:AQ2117" si="947">IF(AND(I2068&gt;0, ISNUMBER(I2068)),I2068*W2068*80,0)</f>
        <v>0</v>
      </c>
      <c r="AR2068" s="284">
        <f t="shared" ref="AR2068:AR2117" si="948">IF(AND(I2068&gt;0, ISNUMBER(I2068)),I2068*AA2068,0)</f>
        <v>0</v>
      </c>
      <c r="AS2068" s="281">
        <f t="shared" ref="AS2068:AS2117" si="949">IF(AND(I2068&gt;0, ISNUMBER(I2068)),I2068*AH2068,0)</f>
        <v>0</v>
      </c>
      <c r="AT2068" s="284">
        <f t="shared" ref="AT2068:AT2117" si="950">IF(AND(I2068&gt;0, ISNUMBER(I2068)),I2068*(AP2068-(AQ2068+AR2068+AS2068)),0)</f>
        <v>0</v>
      </c>
    </row>
    <row r="2069" spans="1:97" s="114" customFormat="1" ht="31.5" customHeight="1" x14ac:dyDescent="0.8">
      <c r="A2069" s="262">
        <f>ROW()</f>
        <v>2069</v>
      </c>
      <c r="C2069" s="208"/>
      <c r="D2069" s="208"/>
      <c r="E2069" s="208"/>
      <c r="F2069" s="208"/>
      <c r="G2069" s="208"/>
      <c r="H2069" s="208"/>
      <c r="L2069" s="124" t="str">
        <f>VLOOKUP(M2069,Sheet2!$D$2:$E$1024,2,FALSE)</f>
        <v>Zero</v>
      </c>
      <c r="M2069" s="121">
        <f>I2091</f>
        <v>0</v>
      </c>
      <c r="N2069" s="132" t="s">
        <v>670</v>
      </c>
      <c r="O2069" s="121" t="s">
        <v>178</v>
      </c>
      <c r="P2069" s="169" t="s">
        <v>379</v>
      </c>
      <c r="Q2069" s="169" t="s">
        <v>375</v>
      </c>
      <c r="R2069" s="169"/>
      <c r="S2069" s="133">
        <f>M2069</f>
        <v>0</v>
      </c>
      <c r="T2069" s="119"/>
      <c r="U2069" s="117" t="s">
        <v>364</v>
      </c>
      <c r="V2069" s="133">
        <f>S2069</f>
        <v>0</v>
      </c>
      <c r="W2069" s="133">
        <f>VLOOKUP(U2069,Sheet1!$B$6:$C$45,2,FALSE)*V2069</f>
        <v>0</v>
      </c>
      <c r="X2069" s="141"/>
      <c r="Y2069" s="121" t="s">
        <v>292</v>
      </c>
      <c r="Z2069" s="146">
        <f>VLOOKUP(Takeoffs!Y2069,Sheet1!$B$6:$C$124,2,FALSE)</f>
        <v>0</v>
      </c>
      <c r="AA2069" s="146">
        <f>Z2069*AB2069</f>
        <v>0</v>
      </c>
      <c r="AB2069" s="143">
        <f>AD2069*AC2069</f>
        <v>0</v>
      </c>
      <c r="AC2069" s="133">
        <f>S2069</f>
        <v>0</v>
      </c>
      <c r="AD2069" s="142">
        <v>1</v>
      </c>
      <c r="AE2069" s="141"/>
      <c r="AF2069" s="121" t="s">
        <v>292</v>
      </c>
      <c r="AG2069" s="146">
        <f>VLOOKUP(Takeoffs!AF2069,Sheet1!$B$6:$C$124,2,FALSE)</f>
        <v>0</v>
      </c>
      <c r="AH2069" s="146">
        <f>AG2069*AI2069</f>
        <v>0</v>
      </c>
      <c r="AI2069" s="143">
        <f>AK2069*AJ2069</f>
        <v>0</v>
      </c>
      <c r="AJ2069" s="133">
        <f>S2069</f>
        <v>0</v>
      </c>
      <c r="AK2069" s="142">
        <v>0</v>
      </c>
      <c r="AL2069" s="141"/>
      <c r="AO2069" s="286"/>
      <c r="AP2069" s="284">
        <f t="shared" si="946"/>
        <v>0</v>
      </c>
      <c r="AQ2069" s="281">
        <f t="shared" si="947"/>
        <v>0</v>
      </c>
      <c r="AR2069" s="284">
        <f t="shared" si="948"/>
        <v>0</v>
      </c>
      <c r="AS2069" s="281">
        <f t="shared" si="949"/>
        <v>0</v>
      </c>
      <c r="AT2069" s="284">
        <f t="shared" si="950"/>
        <v>0</v>
      </c>
    </row>
    <row r="2070" spans="1:97" s="114" customFormat="1" ht="30.9" x14ac:dyDescent="0.8">
      <c r="A2070" s="262">
        <f>ROW()</f>
        <v>2070</v>
      </c>
      <c r="C2070" s="208"/>
      <c r="D2070" s="208"/>
      <c r="E2070" s="208"/>
      <c r="F2070" s="208"/>
      <c r="G2070" s="208"/>
      <c r="H2070" s="208"/>
      <c r="J2070" s="114" t="str">
        <f>IF(COUNTBLANK(Q2070)&gt;0,"",CONCATENATE("Coordination Note: - ",P2070,": Please refer to our exclusions relating to ",Q2070))</f>
        <v/>
      </c>
      <c r="K2070" s="114" t="str">
        <f>IF(COUNTBLANK(R2070)&gt;0,"",CONCATENATE(R2070," for ",N2069))</f>
        <v/>
      </c>
      <c r="M2070" s="117"/>
      <c r="N2070" s="123" t="s">
        <v>113</v>
      </c>
      <c r="O2070" s="66" t="s">
        <v>151</v>
      </c>
      <c r="P2070" s="121"/>
      <c r="Q2070" s="121"/>
      <c r="R2070" s="121"/>
      <c r="S2070" s="133">
        <f>M2069</f>
        <v>0</v>
      </c>
      <c r="T2070" s="120"/>
      <c r="U2070" s="121" t="s">
        <v>292</v>
      </c>
      <c r="V2070" s="133">
        <f t="shared" ref="V2070:V2089" si="951">S2070</f>
        <v>0</v>
      </c>
      <c r="W2070" s="133">
        <f>VLOOKUP(U2070,Sheet1!$B$6:$C$45,2,FALSE)*V2070</f>
        <v>0</v>
      </c>
      <c r="X2070" s="141"/>
      <c r="Y2070" s="135" t="s">
        <v>245</v>
      </c>
      <c r="Z2070" s="146">
        <f>VLOOKUP(Takeoffs!Y2070,Sheet1!$B$6:$C$124,2,FALSE)</f>
        <v>46.463999999999999</v>
      </c>
      <c r="AA2070" s="146">
        <f t="shared" ref="AA2070:AA2089" si="952">Z2070*AB2070</f>
        <v>0</v>
      </c>
      <c r="AB2070" s="143">
        <f t="shared" ref="AB2070:AB2089" si="953">AD2070*AC2070</f>
        <v>0</v>
      </c>
      <c r="AC2070" s="133">
        <f t="shared" ref="AC2070:AC2089" si="954">S2070</f>
        <v>0</v>
      </c>
      <c r="AD2070" s="142">
        <v>1</v>
      </c>
      <c r="AE2070" s="141"/>
      <c r="AF2070" s="121" t="s">
        <v>292</v>
      </c>
      <c r="AG2070" s="146">
        <f>VLOOKUP(Takeoffs!AF2070,Sheet1!$B$6:$C$124,2,FALSE)</f>
        <v>0</v>
      </c>
      <c r="AH2070" s="146">
        <f t="shared" ref="AH2070:AH2089" si="955">AG2070*AI2070</f>
        <v>0</v>
      </c>
      <c r="AI2070" s="143">
        <f t="shared" ref="AI2070:AI2089" si="956">AK2070*AJ2070</f>
        <v>0</v>
      </c>
      <c r="AJ2070" s="133">
        <f t="shared" ref="AJ2070:AJ2089" si="957">S2070</f>
        <v>0</v>
      </c>
      <c r="AK2070" s="142">
        <f>T2070</f>
        <v>0</v>
      </c>
      <c r="AL2070" s="141"/>
      <c r="AO2070" s="286"/>
      <c r="AP2070" s="284">
        <f t="shared" si="946"/>
        <v>0</v>
      </c>
      <c r="AQ2070" s="281">
        <f t="shared" si="947"/>
        <v>0</v>
      </c>
      <c r="AR2070" s="284">
        <f t="shared" si="948"/>
        <v>0</v>
      </c>
      <c r="AS2070" s="281">
        <f t="shared" si="949"/>
        <v>0</v>
      </c>
      <c r="AT2070" s="284">
        <f t="shared" si="950"/>
        <v>0</v>
      </c>
    </row>
    <row r="2071" spans="1:97" s="114" customFormat="1" ht="30.9" x14ac:dyDescent="0.8">
      <c r="A2071" s="262">
        <f>ROW()</f>
        <v>2071</v>
      </c>
      <c r="C2071" s="208"/>
      <c r="D2071" s="208"/>
      <c r="E2071" s="208"/>
      <c r="F2071" s="208"/>
      <c r="G2071" s="208"/>
      <c r="H2071" s="208"/>
      <c r="J2071" s="114" t="str">
        <f t="shared" ref="J2071:J2089" si="958">IF(COUNTBLANK(Q2071)&gt;0,"",CONCATENATE("Coordination Note: - ",P2071,": Please refer to our exclusions relating to ",Q2071))</f>
        <v/>
      </c>
      <c r="K2071" s="114" t="str">
        <f>IF(COUNTBLANK(R2071)&gt;0,"",CONCATENATE(R2071," for ",N2069))</f>
        <v/>
      </c>
      <c r="M2071" s="117"/>
      <c r="N2071" s="123" t="s">
        <v>114</v>
      </c>
      <c r="O2071" s="66" t="s">
        <v>389</v>
      </c>
      <c r="P2071" s="121"/>
      <c r="Q2071" s="121"/>
      <c r="R2071" s="121"/>
      <c r="S2071" s="133">
        <f>M2069</f>
        <v>0</v>
      </c>
      <c r="T2071" s="120"/>
      <c r="U2071" s="121" t="s">
        <v>292</v>
      </c>
      <c r="V2071" s="133">
        <f t="shared" si="951"/>
        <v>0</v>
      </c>
      <c r="W2071" s="133">
        <f>VLOOKUP(U2071,Sheet1!$B$6:$C$45,2,FALSE)*V2071</f>
        <v>0</v>
      </c>
      <c r="X2071" s="141"/>
      <c r="Y2071" s="121" t="s">
        <v>292</v>
      </c>
      <c r="Z2071" s="146">
        <f>VLOOKUP(Takeoffs!Y2071,Sheet1!$B$6:$C$124,2,FALSE)</f>
        <v>0</v>
      </c>
      <c r="AA2071" s="146">
        <f t="shared" si="952"/>
        <v>0</v>
      </c>
      <c r="AB2071" s="143">
        <f t="shared" si="953"/>
        <v>0</v>
      </c>
      <c r="AC2071" s="133">
        <f t="shared" si="954"/>
        <v>0</v>
      </c>
      <c r="AD2071" s="142">
        <v>1</v>
      </c>
      <c r="AE2071" s="141"/>
      <c r="AF2071" s="122" t="s">
        <v>268</v>
      </c>
      <c r="AG2071" s="146">
        <f>VLOOKUP(Takeoffs!AF2071,Sheet1!$B$6:$C$124,2,FALSE)</f>
        <v>1.02</v>
      </c>
      <c r="AH2071" s="146">
        <f t="shared" si="955"/>
        <v>0</v>
      </c>
      <c r="AI2071" s="143">
        <f t="shared" si="956"/>
        <v>0</v>
      </c>
      <c r="AJ2071" s="133">
        <f t="shared" si="957"/>
        <v>0</v>
      </c>
      <c r="AK2071" s="142">
        <v>20</v>
      </c>
      <c r="AL2071" s="141"/>
      <c r="AO2071" s="286"/>
      <c r="AP2071" s="284">
        <f t="shared" si="946"/>
        <v>0</v>
      </c>
      <c r="AQ2071" s="281">
        <f t="shared" si="947"/>
        <v>0</v>
      </c>
      <c r="AR2071" s="284">
        <f t="shared" si="948"/>
        <v>0</v>
      </c>
      <c r="AS2071" s="281">
        <f t="shared" si="949"/>
        <v>0</v>
      </c>
      <c r="AT2071" s="284">
        <f t="shared" si="950"/>
        <v>0</v>
      </c>
    </row>
    <row r="2072" spans="1:97" s="114" customFormat="1" ht="30.9" x14ac:dyDescent="0.8">
      <c r="A2072" s="262">
        <f>ROW()</f>
        <v>2072</v>
      </c>
      <c r="C2072" s="208"/>
      <c r="D2072" s="208"/>
      <c r="E2072" s="208"/>
      <c r="F2072" s="208"/>
      <c r="G2072" s="208"/>
      <c r="H2072" s="208"/>
      <c r="J2072" s="114" t="str">
        <f t="shared" si="958"/>
        <v/>
      </c>
      <c r="K2072" s="114" t="str">
        <f>IF(COUNTBLANK(R2072)&gt;0,"",CONCATENATE(R2072," for ",N2069))</f>
        <v/>
      </c>
      <c r="M2072" s="117"/>
      <c r="N2072" s="123" t="s">
        <v>115</v>
      </c>
      <c r="O2072" s="66" t="s">
        <v>312</v>
      </c>
      <c r="P2072" s="121"/>
      <c r="Q2072" s="121"/>
      <c r="R2072" s="121"/>
      <c r="S2072" s="133">
        <f>M2069</f>
        <v>0</v>
      </c>
      <c r="T2072" s="120"/>
      <c r="U2072" s="121" t="s">
        <v>292</v>
      </c>
      <c r="V2072" s="133">
        <f t="shared" si="951"/>
        <v>0</v>
      </c>
      <c r="W2072" s="133">
        <f>VLOOKUP(U2072,Sheet1!$B$6:$C$45,2,FALSE)*V2072</f>
        <v>0</v>
      </c>
      <c r="X2072" s="141"/>
      <c r="Y2072" s="135" t="s">
        <v>1345</v>
      </c>
      <c r="Z2072" s="146">
        <f>VLOOKUP(Takeoffs!Y2072,Sheet1!$B$6:$C$124,2,FALSE)</f>
        <v>109.25999999999999</v>
      </c>
      <c r="AA2072" s="146">
        <f t="shared" si="952"/>
        <v>0</v>
      </c>
      <c r="AB2072" s="143">
        <f t="shared" si="953"/>
        <v>0</v>
      </c>
      <c r="AC2072" s="133">
        <f t="shared" si="954"/>
        <v>0</v>
      </c>
      <c r="AD2072" s="142">
        <v>1</v>
      </c>
      <c r="AE2072" s="141"/>
      <c r="AF2072" s="121" t="s">
        <v>292</v>
      </c>
      <c r="AG2072" s="146">
        <f>VLOOKUP(Takeoffs!AF2072,Sheet1!$B$6:$C$124,2,FALSE)</f>
        <v>0</v>
      </c>
      <c r="AH2072" s="146">
        <f t="shared" si="955"/>
        <v>0</v>
      </c>
      <c r="AI2072" s="143">
        <f t="shared" si="956"/>
        <v>0</v>
      </c>
      <c r="AJ2072" s="133">
        <f t="shared" si="957"/>
        <v>0</v>
      </c>
      <c r="AK2072" s="142">
        <v>20</v>
      </c>
      <c r="AL2072" s="141"/>
      <c r="AO2072" s="286"/>
      <c r="AP2072" s="284">
        <f t="shared" si="946"/>
        <v>0</v>
      </c>
      <c r="AQ2072" s="281">
        <f t="shared" si="947"/>
        <v>0</v>
      </c>
      <c r="AR2072" s="284">
        <f t="shared" si="948"/>
        <v>0</v>
      </c>
      <c r="AS2072" s="281">
        <f t="shared" si="949"/>
        <v>0</v>
      </c>
      <c r="AT2072" s="284">
        <f t="shared" si="950"/>
        <v>0</v>
      </c>
    </row>
    <row r="2073" spans="1:97" s="114" customFormat="1" ht="30.9" x14ac:dyDescent="0.8">
      <c r="A2073" s="262">
        <f>ROW()</f>
        <v>2073</v>
      </c>
      <c r="C2073" s="208"/>
      <c r="D2073" s="208"/>
      <c r="E2073" s="208"/>
      <c r="F2073" s="208"/>
      <c r="G2073" s="208"/>
      <c r="H2073" s="208"/>
      <c r="J2073" s="114" t="str">
        <f t="shared" si="958"/>
        <v/>
      </c>
      <c r="K2073" s="114" t="str">
        <f>IF(COUNTBLANK(R2073)&gt;0,"",CONCATENATE(R2073," for ",N2069))</f>
        <v/>
      </c>
      <c r="M2073" s="117"/>
      <c r="N2073" s="123" t="s">
        <v>116</v>
      </c>
      <c r="O2073" s="66" t="s">
        <v>671</v>
      </c>
      <c r="P2073" s="121"/>
      <c r="Q2073" s="121"/>
      <c r="R2073" s="121"/>
      <c r="S2073" s="133">
        <f>M2069</f>
        <v>0</v>
      </c>
      <c r="T2073" s="120"/>
      <c r="U2073" s="121" t="s">
        <v>292</v>
      </c>
      <c r="V2073" s="133">
        <f t="shared" si="951"/>
        <v>0</v>
      </c>
      <c r="W2073" s="133">
        <f>VLOOKUP(U2073,Sheet1!$B$6:$C$45,2,FALSE)*V2073</f>
        <v>0</v>
      </c>
      <c r="X2073" s="141"/>
      <c r="Y2073" s="121" t="s">
        <v>292</v>
      </c>
      <c r="Z2073" s="146">
        <f>VLOOKUP(Takeoffs!Y2073,Sheet1!$B$6:$C$124,2,FALSE)</f>
        <v>0</v>
      </c>
      <c r="AA2073" s="146">
        <f t="shared" si="952"/>
        <v>0</v>
      </c>
      <c r="AB2073" s="143">
        <f t="shared" si="953"/>
        <v>0</v>
      </c>
      <c r="AC2073" s="133">
        <f t="shared" si="954"/>
        <v>0</v>
      </c>
      <c r="AD2073" s="142">
        <v>1</v>
      </c>
      <c r="AE2073" s="141"/>
      <c r="AF2073" s="121" t="s">
        <v>292</v>
      </c>
      <c r="AG2073" s="146">
        <f>VLOOKUP(Takeoffs!AF2073,Sheet1!$B$6:$C$124,2,FALSE)</f>
        <v>0</v>
      </c>
      <c r="AH2073" s="146">
        <f t="shared" si="955"/>
        <v>0</v>
      </c>
      <c r="AI2073" s="143">
        <f t="shared" si="956"/>
        <v>0</v>
      </c>
      <c r="AJ2073" s="133">
        <f t="shared" si="957"/>
        <v>0</v>
      </c>
      <c r="AK2073" s="142">
        <f t="shared" ref="AK2073:AK2078" si="959">T2073</f>
        <v>0</v>
      </c>
      <c r="AL2073" s="141"/>
      <c r="AO2073" s="286"/>
      <c r="AP2073" s="284">
        <f t="shared" si="946"/>
        <v>0</v>
      </c>
      <c r="AQ2073" s="281">
        <f t="shared" si="947"/>
        <v>0</v>
      </c>
      <c r="AR2073" s="284">
        <f t="shared" si="948"/>
        <v>0</v>
      </c>
      <c r="AS2073" s="281">
        <f t="shared" si="949"/>
        <v>0</v>
      </c>
      <c r="AT2073" s="284">
        <f t="shared" si="950"/>
        <v>0</v>
      </c>
    </row>
    <row r="2074" spans="1:97" s="114" customFormat="1" ht="30.9" x14ac:dyDescent="0.8">
      <c r="A2074" s="262">
        <f>ROW()</f>
        <v>2074</v>
      </c>
      <c r="C2074" s="208"/>
      <c r="D2074" s="208"/>
      <c r="E2074" s="208"/>
      <c r="F2074" s="208"/>
      <c r="G2074" s="208"/>
      <c r="H2074" s="208"/>
      <c r="J2074" s="114" t="str">
        <f t="shared" si="958"/>
        <v/>
      </c>
      <c r="K2074" s="114" t="str">
        <f>IF(COUNTBLANK(R2074)&gt;0,"",CONCATENATE(R2074," for ",N2069))</f>
        <v/>
      </c>
      <c r="M2074" s="117"/>
      <c r="N2074" s="123" t="s">
        <v>117</v>
      </c>
      <c r="O2074" s="66"/>
      <c r="P2074" s="121"/>
      <c r="Q2074" s="121"/>
      <c r="R2074" s="121"/>
      <c r="S2074" s="133">
        <f>M2069</f>
        <v>0</v>
      </c>
      <c r="T2074" s="120"/>
      <c r="U2074" s="121" t="s">
        <v>292</v>
      </c>
      <c r="V2074" s="133">
        <f t="shared" si="951"/>
        <v>0</v>
      </c>
      <c r="W2074" s="133">
        <f>VLOOKUP(U2074,Sheet1!$B$6:$C$45,2,FALSE)*V2074</f>
        <v>0</v>
      </c>
      <c r="X2074" s="141"/>
      <c r="Y2074" s="52" t="s">
        <v>252</v>
      </c>
      <c r="Z2074" s="146">
        <f>VLOOKUP(Takeoffs!Y2074,Sheet1!$B$6:$C$124,2,FALSE)</f>
        <v>43.440000000000005</v>
      </c>
      <c r="AA2074" s="146">
        <f t="shared" si="952"/>
        <v>0</v>
      </c>
      <c r="AB2074" s="143">
        <f t="shared" si="953"/>
        <v>0</v>
      </c>
      <c r="AC2074" s="133">
        <f t="shared" si="954"/>
        <v>0</v>
      </c>
      <c r="AD2074" s="142">
        <v>1</v>
      </c>
      <c r="AE2074" s="141"/>
      <c r="AF2074" s="121" t="s">
        <v>292</v>
      </c>
      <c r="AG2074" s="146">
        <f>VLOOKUP(Takeoffs!AF2074,Sheet1!$B$6:$C$124,2,FALSE)</f>
        <v>0</v>
      </c>
      <c r="AH2074" s="146">
        <f t="shared" si="955"/>
        <v>0</v>
      </c>
      <c r="AI2074" s="143">
        <f t="shared" si="956"/>
        <v>0</v>
      </c>
      <c r="AJ2074" s="133">
        <f t="shared" si="957"/>
        <v>0</v>
      </c>
      <c r="AK2074" s="142">
        <f t="shared" si="959"/>
        <v>0</v>
      </c>
      <c r="AL2074" s="141"/>
      <c r="AO2074" s="286"/>
      <c r="AP2074" s="284">
        <f t="shared" si="946"/>
        <v>0</v>
      </c>
      <c r="AQ2074" s="281">
        <f t="shared" si="947"/>
        <v>0</v>
      </c>
      <c r="AR2074" s="284">
        <f t="shared" si="948"/>
        <v>0</v>
      </c>
      <c r="AS2074" s="281">
        <f t="shared" si="949"/>
        <v>0</v>
      </c>
      <c r="AT2074" s="284">
        <f t="shared" si="950"/>
        <v>0</v>
      </c>
    </row>
    <row r="2075" spans="1:97" s="114" customFormat="1" ht="30.9" x14ac:dyDescent="0.8">
      <c r="A2075" s="262">
        <f>ROW()</f>
        <v>2075</v>
      </c>
      <c r="C2075" s="208"/>
      <c r="D2075" s="208"/>
      <c r="E2075" s="208"/>
      <c r="F2075" s="208"/>
      <c r="G2075" s="208"/>
      <c r="H2075" s="208"/>
      <c r="J2075" s="114" t="str">
        <f t="shared" si="958"/>
        <v/>
      </c>
      <c r="K2075" s="114" t="str">
        <f>IF(COUNTBLANK(R2075)&gt;0,"",CONCATENATE(R2075," for ",N2069))</f>
        <v/>
      </c>
      <c r="M2075" s="117"/>
      <c r="N2075" s="123" t="s">
        <v>118</v>
      </c>
      <c r="O2075" s="66"/>
      <c r="P2075" s="121"/>
      <c r="Q2075" s="121"/>
      <c r="R2075" s="121"/>
      <c r="S2075" s="133">
        <f>M2069</f>
        <v>0</v>
      </c>
      <c r="T2075" s="120"/>
      <c r="U2075" s="121" t="s">
        <v>292</v>
      </c>
      <c r="V2075" s="133">
        <f t="shared" si="951"/>
        <v>0</v>
      </c>
      <c r="W2075" s="133">
        <f>VLOOKUP(U2075,Sheet1!$B$6:$C$45,2,FALSE)*V2075</f>
        <v>0</v>
      </c>
      <c r="X2075" s="141"/>
      <c r="Y2075" s="121" t="s">
        <v>292</v>
      </c>
      <c r="Z2075" s="146">
        <f>VLOOKUP(Takeoffs!Y2075,Sheet1!$B$6:$C$124,2,FALSE)</f>
        <v>0</v>
      </c>
      <c r="AA2075" s="146">
        <f t="shared" si="952"/>
        <v>0</v>
      </c>
      <c r="AB2075" s="143">
        <f t="shared" si="953"/>
        <v>0</v>
      </c>
      <c r="AC2075" s="133">
        <f t="shared" si="954"/>
        <v>0</v>
      </c>
      <c r="AD2075" s="142">
        <v>1</v>
      </c>
      <c r="AE2075" s="141"/>
      <c r="AF2075" s="121" t="s">
        <v>292</v>
      </c>
      <c r="AG2075" s="146">
        <f>VLOOKUP(Takeoffs!AF2075,Sheet1!$B$6:$C$124,2,FALSE)</f>
        <v>0</v>
      </c>
      <c r="AH2075" s="146">
        <f t="shared" si="955"/>
        <v>0</v>
      </c>
      <c r="AI2075" s="143">
        <f t="shared" si="956"/>
        <v>0</v>
      </c>
      <c r="AJ2075" s="133">
        <f t="shared" si="957"/>
        <v>0</v>
      </c>
      <c r="AK2075" s="142">
        <f t="shared" si="959"/>
        <v>0</v>
      </c>
      <c r="AL2075" s="141"/>
      <c r="AO2075" s="286"/>
      <c r="AP2075" s="284">
        <f t="shared" si="946"/>
        <v>0</v>
      </c>
      <c r="AQ2075" s="281">
        <f t="shared" si="947"/>
        <v>0</v>
      </c>
      <c r="AR2075" s="284">
        <f t="shared" si="948"/>
        <v>0</v>
      </c>
      <c r="AS2075" s="281">
        <f t="shared" si="949"/>
        <v>0</v>
      </c>
      <c r="AT2075" s="284">
        <f t="shared" si="950"/>
        <v>0</v>
      </c>
    </row>
    <row r="2076" spans="1:97" s="114" customFormat="1" ht="30.9" x14ac:dyDescent="0.8">
      <c r="A2076" s="262">
        <f>ROW()</f>
        <v>2076</v>
      </c>
      <c r="C2076" s="208"/>
      <c r="D2076" s="208"/>
      <c r="E2076" s="208"/>
      <c r="F2076" s="208"/>
      <c r="G2076" s="208"/>
      <c r="H2076" s="208"/>
      <c r="J2076" s="114" t="str">
        <f t="shared" si="958"/>
        <v/>
      </c>
      <c r="K2076" s="114" t="str">
        <f>IF(COUNTBLANK(R2076)&gt;0,"",CONCATENATE(R2076," for ",N2069))</f>
        <v/>
      </c>
      <c r="N2076" s="123" t="s">
        <v>119</v>
      </c>
      <c r="O2076" s="66"/>
      <c r="P2076" s="121"/>
      <c r="Q2076" s="121"/>
      <c r="R2076" s="121"/>
      <c r="S2076" s="133">
        <f>M2069</f>
        <v>0</v>
      </c>
      <c r="T2076" s="120"/>
      <c r="U2076" s="121" t="s">
        <v>292</v>
      </c>
      <c r="V2076" s="133">
        <f t="shared" si="951"/>
        <v>0</v>
      </c>
      <c r="W2076" s="133">
        <f>VLOOKUP(U2076,Sheet1!$B$6:$C$45,2,FALSE)*V2076</f>
        <v>0</v>
      </c>
      <c r="X2076" s="141"/>
      <c r="Y2076" s="121" t="s">
        <v>292</v>
      </c>
      <c r="Z2076" s="146">
        <f>VLOOKUP(Takeoffs!Y2076,Sheet1!$B$6:$C$124,2,FALSE)</f>
        <v>0</v>
      </c>
      <c r="AA2076" s="146">
        <f t="shared" si="952"/>
        <v>0</v>
      </c>
      <c r="AB2076" s="143">
        <f t="shared" si="953"/>
        <v>0</v>
      </c>
      <c r="AC2076" s="133">
        <f t="shared" si="954"/>
        <v>0</v>
      </c>
      <c r="AD2076" s="142">
        <v>1</v>
      </c>
      <c r="AE2076" s="141"/>
      <c r="AF2076" s="121" t="s">
        <v>292</v>
      </c>
      <c r="AG2076" s="146">
        <f>VLOOKUP(Takeoffs!AF2076,Sheet1!$B$6:$C$124,2,FALSE)</f>
        <v>0</v>
      </c>
      <c r="AH2076" s="146">
        <f t="shared" si="955"/>
        <v>0</v>
      </c>
      <c r="AI2076" s="143">
        <f t="shared" si="956"/>
        <v>0</v>
      </c>
      <c r="AJ2076" s="133">
        <f t="shared" si="957"/>
        <v>0</v>
      </c>
      <c r="AK2076" s="142">
        <f t="shared" si="959"/>
        <v>0</v>
      </c>
      <c r="AL2076" s="141"/>
      <c r="AO2076" s="286"/>
      <c r="AP2076" s="284">
        <f t="shared" si="946"/>
        <v>0</v>
      </c>
      <c r="AQ2076" s="281">
        <f t="shared" si="947"/>
        <v>0</v>
      </c>
      <c r="AR2076" s="284">
        <f t="shared" si="948"/>
        <v>0</v>
      </c>
      <c r="AS2076" s="281">
        <f t="shared" si="949"/>
        <v>0</v>
      </c>
      <c r="AT2076" s="284">
        <f t="shared" si="950"/>
        <v>0</v>
      </c>
    </row>
    <row r="2077" spans="1:97" s="114" customFormat="1" ht="30.9" x14ac:dyDescent="0.8">
      <c r="A2077" s="262">
        <f>ROW()</f>
        <v>2077</v>
      </c>
      <c r="C2077" s="208"/>
      <c r="D2077" s="208"/>
      <c r="E2077" s="208"/>
      <c r="F2077" s="208"/>
      <c r="G2077" s="208"/>
      <c r="H2077" s="208"/>
      <c r="J2077" s="114" t="str">
        <f t="shared" si="958"/>
        <v/>
      </c>
      <c r="K2077" s="114" t="str">
        <f>IF(COUNTBLANK(R2077)&gt;0,"",CONCATENATE(R2077," for ",N2069))</f>
        <v/>
      </c>
      <c r="N2077" s="123" t="s">
        <v>120</v>
      </c>
      <c r="O2077" s="66"/>
      <c r="P2077" s="121"/>
      <c r="Q2077" s="121"/>
      <c r="R2077" s="121"/>
      <c r="S2077" s="133">
        <f>M2069</f>
        <v>0</v>
      </c>
      <c r="T2077" s="120"/>
      <c r="U2077" s="121" t="s">
        <v>292</v>
      </c>
      <c r="V2077" s="133">
        <f t="shared" si="951"/>
        <v>0</v>
      </c>
      <c r="W2077" s="133">
        <f>VLOOKUP(U2077,Sheet1!$B$6:$C$45,2,FALSE)*V2077</f>
        <v>0</v>
      </c>
      <c r="X2077" s="141"/>
      <c r="Y2077" s="121" t="s">
        <v>292</v>
      </c>
      <c r="Z2077" s="146">
        <f>VLOOKUP(Takeoffs!Y2077,Sheet1!$B$6:$C$124,2,FALSE)</f>
        <v>0</v>
      </c>
      <c r="AA2077" s="146">
        <f t="shared" si="952"/>
        <v>0</v>
      </c>
      <c r="AB2077" s="143">
        <f t="shared" si="953"/>
        <v>0</v>
      </c>
      <c r="AC2077" s="133">
        <f t="shared" si="954"/>
        <v>0</v>
      </c>
      <c r="AD2077" s="142">
        <v>1</v>
      </c>
      <c r="AE2077" s="141"/>
      <c r="AF2077" s="121" t="s">
        <v>292</v>
      </c>
      <c r="AG2077" s="146">
        <f>VLOOKUP(Takeoffs!AF2077,Sheet1!$B$6:$C$124,2,FALSE)</f>
        <v>0</v>
      </c>
      <c r="AH2077" s="146">
        <f t="shared" si="955"/>
        <v>0</v>
      </c>
      <c r="AI2077" s="143">
        <f t="shared" si="956"/>
        <v>0</v>
      </c>
      <c r="AJ2077" s="133">
        <f t="shared" si="957"/>
        <v>0</v>
      </c>
      <c r="AK2077" s="142">
        <f t="shared" si="959"/>
        <v>0</v>
      </c>
      <c r="AL2077" s="141"/>
      <c r="AO2077" s="286"/>
      <c r="AP2077" s="284">
        <f t="shared" si="946"/>
        <v>0</v>
      </c>
      <c r="AQ2077" s="281">
        <f t="shared" si="947"/>
        <v>0</v>
      </c>
      <c r="AR2077" s="284">
        <f t="shared" si="948"/>
        <v>0</v>
      </c>
      <c r="AS2077" s="281">
        <f t="shared" si="949"/>
        <v>0</v>
      </c>
      <c r="AT2077" s="284">
        <f t="shared" si="950"/>
        <v>0</v>
      </c>
    </row>
    <row r="2078" spans="1:97" s="114" customFormat="1" ht="30.9" x14ac:dyDescent="0.8">
      <c r="A2078" s="262">
        <f>ROW()</f>
        <v>2078</v>
      </c>
      <c r="C2078" s="208"/>
      <c r="D2078" s="208"/>
      <c r="E2078" s="208"/>
      <c r="F2078" s="208"/>
      <c r="G2078" s="208"/>
      <c r="H2078" s="208"/>
      <c r="J2078" s="114" t="str">
        <f t="shared" si="958"/>
        <v/>
      </c>
      <c r="K2078" s="114" t="str">
        <f>IF(COUNTBLANK(R2078)&gt;0,"",CONCATENATE(R2078," for ",N2069))</f>
        <v/>
      </c>
      <c r="N2078" s="123" t="s">
        <v>121</v>
      </c>
      <c r="O2078" s="66"/>
      <c r="P2078" s="121"/>
      <c r="Q2078" s="121"/>
      <c r="R2078" s="121"/>
      <c r="S2078" s="133">
        <f>M2069</f>
        <v>0</v>
      </c>
      <c r="T2078" s="120"/>
      <c r="U2078" s="121" t="s">
        <v>292</v>
      </c>
      <c r="V2078" s="133">
        <f t="shared" si="951"/>
        <v>0</v>
      </c>
      <c r="W2078" s="133">
        <f>VLOOKUP(U2078,Sheet1!$B$6:$C$45,2,FALSE)*V2078</f>
        <v>0</v>
      </c>
      <c r="X2078" s="141"/>
      <c r="Y2078" s="121" t="s">
        <v>292</v>
      </c>
      <c r="Z2078" s="146">
        <f>VLOOKUP(Takeoffs!Y2078,Sheet1!$B$6:$C$124,2,FALSE)</f>
        <v>0</v>
      </c>
      <c r="AA2078" s="146">
        <f t="shared" si="952"/>
        <v>0</v>
      </c>
      <c r="AB2078" s="143">
        <f t="shared" si="953"/>
        <v>0</v>
      </c>
      <c r="AC2078" s="133">
        <f t="shared" si="954"/>
        <v>0</v>
      </c>
      <c r="AD2078" s="142">
        <v>1</v>
      </c>
      <c r="AE2078" s="141"/>
      <c r="AF2078" s="121" t="s">
        <v>292</v>
      </c>
      <c r="AG2078" s="146">
        <f>VLOOKUP(Takeoffs!AF2078,Sheet1!$B$6:$C$124,2,FALSE)</f>
        <v>0</v>
      </c>
      <c r="AH2078" s="146">
        <f t="shared" si="955"/>
        <v>0</v>
      </c>
      <c r="AI2078" s="143">
        <f t="shared" si="956"/>
        <v>0</v>
      </c>
      <c r="AJ2078" s="133">
        <f t="shared" si="957"/>
        <v>0</v>
      </c>
      <c r="AK2078" s="142">
        <f t="shared" si="959"/>
        <v>0</v>
      </c>
      <c r="AL2078" s="141"/>
      <c r="AO2078" s="286"/>
      <c r="AP2078" s="284">
        <f t="shared" si="946"/>
        <v>0</v>
      </c>
      <c r="AQ2078" s="281">
        <f t="shared" si="947"/>
        <v>0</v>
      </c>
      <c r="AR2078" s="284">
        <f t="shared" si="948"/>
        <v>0</v>
      </c>
      <c r="AS2078" s="281">
        <f t="shared" si="949"/>
        <v>0</v>
      </c>
      <c r="AT2078" s="284">
        <f t="shared" si="950"/>
        <v>0</v>
      </c>
    </row>
    <row r="2079" spans="1:97" s="114" customFormat="1" ht="30.9" x14ac:dyDescent="0.8">
      <c r="A2079" s="262">
        <f>ROW()</f>
        <v>2079</v>
      </c>
      <c r="C2079" s="208"/>
      <c r="D2079" s="208"/>
      <c r="E2079" s="208"/>
      <c r="F2079" s="208"/>
      <c r="G2079" s="208"/>
      <c r="H2079" s="208"/>
      <c r="J2079" s="114" t="str">
        <f t="shared" si="958"/>
        <v/>
      </c>
      <c r="K2079" s="114" t="str">
        <f>IF(COUNTBLANK(R2079)&gt;0,"",CONCATENATE(R2079," for ",N2069))</f>
        <v/>
      </c>
      <c r="N2079" s="123" t="s">
        <v>122</v>
      </c>
      <c r="O2079" s="66"/>
      <c r="P2079" s="121"/>
      <c r="Q2079" s="121"/>
      <c r="R2079" s="121"/>
      <c r="S2079" s="133">
        <f>M2069</f>
        <v>0</v>
      </c>
      <c r="T2079" s="120"/>
      <c r="U2079" s="121" t="s">
        <v>292</v>
      </c>
      <c r="V2079" s="133">
        <f t="shared" si="951"/>
        <v>0</v>
      </c>
      <c r="W2079" s="133">
        <f>VLOOKUP(U2079,Sheet1!$B$6:$C$45,2,FALSE)*V2079</f>
        <v>0</v>
      </c>
      <c r="X2079" s="141"/>
      <c r="Y2079" s="121" t="s">
        <v>292</v>
      </c>
      <c r="Z2079" s="146">
        <f>VLOOKUP(Takeoffs!Y2079,Sheet1!$B$6:$C$124,2,FALSE)</f>
        <v>0</v>
      </c>
      <c r="AA2079" s="146">
        <f t="shared" si="952"/>
        <v>0</v>
      </c>
      <c r="AB2079" s="143">
        <f t="shared" si="953"/>
        <v>0</v>
      </c>
      <c r="AC2079" s="133">
        <f t="shared" si="954"/>
        <v>0</v>
      </c>
      <c r="AD2079" s="142">
        <v>1</v>
      </c>
      <c r="AE2079" s="141"/>
      <c r="AF2079" s="121" t="s">
        <v>292</v>
      </c>
      <c r="AG2079" s="146">
        <f>VLOOKUP(Takeoffs!AF2079,Sheet1!$B$6:$C$124,2,FALSE)</f>
        <v>0</v>
      </c>
      <c r="AH2079" s="146">
        <f t="shared" si="955"/>
        <v>0</v>
      </c>
      <c r="AI2079" s="143">
        <f t="shared" si="956"/>
        <v>0</v>
      </c>
      <c r="AJ2079" s="133">
        <f t="shared" si="957"/>
        <v>0</v>
      </c>
      <c r="AK2079" s="142">
        <f>T2079</f>
        <v>0</v>
      </c>
      <c r="AL2079" s="141"/>
      <c r="AO2079" s="286"/>
      <c r="AP2079" s="284">
        <f t="shared" si="946"/>
        <v>0</v>
      </c>
      <c r="AQ2079" s="281">
        <f t="shared" si="947"/>
        <v>0</v>
      </c>
      <c r="AR2079" s="284">
        <f t="shared" si="948"/>
        <v>0</v>
      </c>
      <c r="AS2079" s="281">
        <f t="shared" si="949"/>
        <v>0</v>
      </c>
      <c r="AT2079" s="284">
        <f t="shared" si="950"/>
        <v>0</v>
      </c>
    </row>
    <row r="2080" spans="1:97" s="114" customFormat="1" ht="30.9" x14ac:dyDescent="0.8">
      <c r="A2080" s="262">
        <f>ROW()</f>
        <v>2080</v>
      </c>
      <c r="C2080" s="208"/>
      <c r="D2080" s="208"/>
      <c r="E2080" s="208"/>
      <c r="F2080" s="208"/>
      <c r="G2080" s="208"/>
      <c r="H2080" s="208"/>
      <c r="J2080" s="114" t="str">
        <f t="shared" si="958"/>
        <v/>
      </c>
      <c r="K2080" s="114" t="str">
        <f>IF(COUNTBLANK(R2080)&gt;0,"",CONCATENATE(R2080," for ",N2069))</f>
        <v/>
      </c>
      <c r="N2080" s="123" t="s">
        <v>123</v>
      </c>
      <c r="O2080" s="66"/>
      <c r="P2080" s="121"/>
      <c r="Q2080" s="121"/>
      <c r="R2080" s="121"/>
      <c r="S2080" s="133">
        <f>M2069</f>
        <v>0</v>
      </c>
      <c r="T2080" s="120"/>
      <c r="U2080" s="121" t="s">
        <v>292</v>
      </c>
      <c r="V2080" s="133">
        <f t="shared" si="951"/>
        <v>0</v>
      </c>
      <c r="W2080" s="133">
        <f>VLOOKUP(U2080,Sheet1!$B$6:$C$45,2,FALSE)*V2080</f>
        <v>0</v>
      </c>
      <c r="X2080" s="141"/>
      <c r="Y2080" s="121" t="s">
        <v>292</v>
      </c>
      <c r="Z2080" s="146">
        <f>VLOOKUP(Takeoffs!Y2080,Sheet1!$B$6:$C$124,2,FALSE)</f>
        <v>0</v>
      </c>
      <c r="AA2080" s="146">
        <f t="shared" si="952"/>
        <v>0</v>
      </c>
      <c r="AB2080" s="143">
        <f t="shared" si="953"/>
        <v>0</v>
      </c>
      <c r="AC2080" s="133">
        <f t="shared" si="954"/>
        <v>0</v>
      </c>
      <c r="AD2080" s="142">
        <v>1</v>
      </c>
      <c r="AE2080" s="141"/>
      <c r="AF2080" s="121" t="s">
        <v>292</v>
      </c>
      <c r="AG2080" s="146">
        <f>VLOOKUP(Takeoffs!AF2080,Sheet1!$B$6:$C$124,2,FALSE)</f>
        <v>0</v>
      </c>
      <c r="AH2080" s="146">
        <f t="shared" si="955"/>
        <v>0</v>
      </c>
      <c r="AI2080" s="143">
        <f t="shared" si="956"/>
        <v>0</v>
      </c>
      <c r="AJ2080" s="133">
        <f t="shared" si="957"/>
        <v>0</v>
      </c>
      <c r="AK2080" s="142">
        <v>0</v>
      </c>
      <c r="AL2080" s="141"/>
      <c r="AO2080" s="286"/>
      <c r="AP2080" s="284">
        <f t="shared" si="946"/>
        <v>0</v>
      </c>
      <c r="AQ2080" s="281">
        <f t="shared" si="947"/>
        <v>0</v>
      </c>
      <c r="AR2080" s="284">
        <f t="shared" si="948"/>
        <v>0</v>
      </c>
      <c r="AS2080" s="281">
        <f t="shared" si="949"/>
        <v>0</v>
      </c>
      <c r="AT2080" s="284">
        <f t="shared" si="950"/>
        <v>0</v>
      </c>
    </row>
    <row r="2081" spans="1:97" s="114" customFormat="1" ht="30.9" x14ac:dyDescent="0.8">
      <c r="A2081" s="262">
        <f>ROW()</f>
        <v>2081</v>
      </c>
      <c r="C2081" s="208"/>
      <c r="D2081" s="208"/>
      <c r="E2081" s="208"/>
      <c r="F2081" s="208"/>
      <c r="G2081" s="208"/>
      <c r="H2081" s="208"/>
      <c r="J2081" s="114" t="str">
        <f t="shared" si="958"/>
        <v/>
      </c>
      <c r="K2081" s="114" t="str">
        <f>IF(COUNTBLANK(R2081)&gt;0,"",CONCATENATE(R2081," for ",N2069))</f>
        <v/>
      </c>
      <c r="N2081" s="123" t="s">
        <v>124</v>
      </c>
      <c r="O2081" s="66"/>
      <c r="P2081" s="121"/>
      <c r="Q2081" s="121"/>
      <c r="R2081" s="121"/>
      <c r="S2081" s="133">
        <f>M2069</f>
        <v>0</v>
      </c>
      <c r="T2081" s="120"/>
      <c r="U2081" s="121" t="s">
        <v>292</v>
      </c>
      <c r="V2081" s="133">
        <f t="shared" si="951"/>
        <v>0</v>
      </c>
      <c r="W2081" s="133">
        <f>VLOOKUP(U2081,Sheet1!$B$6:$C$45,2,FALSE)*V2081</f>
        <v>0</v>
      </c>
      <c r="X2081" s="141"/>
      <c r="Y2081" s="121" t="s">
        <v>292</v>
      </c>
      <c r="Z2081" s="146">
        <f>VLOOKUP(Takeoffs!Y2081,Sheet1!$B$6:$C$124,2,FALSE)</f>
        <v>0</v>
      </c>
      <c r="AA2081" s="146">
        <f t="shared" si="952"/>
        <v>0</v>
      </c>
      <c r="AB2081" s="143">
        <f t="shared" si="953"/>
        <v>0</v>
      </c>
      <c r="AC2081" s="133">
        <f t="shared" si="954"/>
        <v>0</v>
      </c>
      <c r="AD2081" s="142">
        <v>1</v>
      </c>
      <c r="AE2081" s="141"/>
      <c r="AF2081" s="121" t="s">
        <v>292</v>
      </c>
      <c r="AG2081" s="146">
        <f>VLOOKUP(Takeoffs!AF2081,Sheet1!$B$6:$C$124,2,FALSE)</f>
        <v>0</v>
      </c>
      <c r="AH2081" s="146">
        <f t="shared" si="955"/>
        <v>0</v>
      </c>
      <c r="AI2081" s="143">
        <f t="shared" si="956"/>
        <v>0</v>
      </c>
      <c r="AJ2081" s="133">
        <f t="shared" si="957"/>
        <v>0</v>
      </c>
      <c r="AK2081" s="142"/>
      <c r="AL2081" s="141"/>
      <c r="AO2081" s="286"/>
      <c r="AP2081" s="284">
        <f t="shared" si="946"/>
        <v>0</v>
      </c>
      <c r="AQ2081" s="281">
        <f t="shared" si="947"/>
        <v>0</v>
      </c>
      <c r="AR2081" s="284">
        <f t="shared" si="948"/>
        <v>0</v>
      </c>
      <c r="AS2081" s="281">
        <f t="shared" si="949"/>
        <v>0</v>
      </c>
      <c r="AT2081" s="284">
        <f t="shared" si="950"/>
        <v>0</v>
      </c>
    </row>
    <row r="2082" spans="1:97" s="114" customFormat="1" ht="30.9" x14ac:dyDescent="0.8">
      <c r="A2082" s="262">
        <f>ROW()</f>
        <v>2082</v>
      </c>
      <c r="C2082" s="208"/>
      <c r="D2082" s="208"/>
      <c r="E2082" s="208"/>
      <c r="F2082" s="208"/>
      <c r="G2082" s="208"/>
      <c r="H2082" s="208"/>
      <c r="J2082" s="114" t="str">
        <f t="shared" si="958"/>
        <v/>
      </c>
      <c r="K2082" s="114" t="str">
        <f>IF(COUNTBLANK(R2082)&gt;0,"",CONCATENATE(R2082," for ",N2069))</f>
        <v/>
      </c>
      <c r="N2082" s="123" t="s">
        <v>125</v>
      </c>
      <c r="O2082" s="66"/>
      <c r="P2082" s="121"/>
      <c r="Q2082" s="121"/>
      <c r="R2082" s="121"/>
      <c r="S2082" s="133">
        <f>M2069</f>
        <v>0</v>
      </c>
      <c r="T2082" s="120"/>
      <c r="U2082" s="121" t="s">
        <v>292</v>
      </c>
      <c r="V2082" s="133">
        <f t="shared" si="951"/>
        <v>0</v>
      </c>
      <c r="W2082" s="133">
        <f>VLOOKUP(U2082,Sheet1!$B$6:$C$45,2,FALSE)*V2082</f>
        <v>0</v>
      </c>
      <c r="X2082" s="141"/>
      <c r="Y2082" s="121" t="s">
        <v>292</v>
      </c>
      <c r="Z2082" s="146">
        <f>VLOOKUP(Takeoffs!Y2082,Sheet1!$B$6:$C$124,2,FALSE)</f>
        <v>0</v>
      </c>
      <c r="AA2082" s="146">
        <f t="shared" si="952"/>
        <v>0</v>
      </c>
      <c r="AB2082" s="143">
        <f t="shared" si="953"/>
        <v>0</v>
      </c>
      <c r="AC2082" s="133">
        <f t="shared" si="954"/>
        <v>0</v>
      </c>
      <c r="AD2082" s="142">
        <v>1</v>
      </c>
      <c r="AE2082" s="141"/>
      <c r="AF2082" s="121" t="s">
        <v>292</v>
      </c>
      <c r="AG2082" s="146">
        <f>VLOOKUP(Takeoffs!AF2082,Sheet1!$B$6:$C$124,2,FALSE)</f>
        <v>0</v>
      </c>
      <c r="AH2082" s="146">
        <f t="shared" si="955"/>
        <v>0</v>
      </c>
      <c r="AI2082" s="143">
        <f t="shared" si="956"/>
        <v>0</v>
      </c>
      <c r="AJ2082" s="133">
        <f t="shared" si="957"/>
        <v>0</v>
      </c>
      <c r="AK2082" s="142">
        <f t="shared" ref="AK2082:AK2089" si="960">T2082</f>
        <v>0</v>
      </c>
      <c r="AL2082" s="141"/>
      <c r="AO2082" s="286"/>
      <c r="AP2082" s="284">
        <f t="shared" si="946"/>
        <v>0</v>
      </c>
      <c r="AQ2082" s="281">
        <f t="shared" si="947"/>
        <v>0</v>
      </c>
      <c r="AR2082" s="284">
        <f t="shared" si="948"/>
        <v>0</v>
      </c>
      <c r="AS2082" s="281">
        <f t="shared" si="949"/>
        <v>0</v>
      </c>
      <c r="AT2082" s="284">
        <f t="shared" si="950"/>
        <v>0</v>
      </c>
    </row>
    <row r="2083" spans="1:97" s="114" customFormat="1" ht="30.9" x14ac:dyDescent="0.8">
      <c r="A2083" s="262">
        <f>ROW()</f>
        <v>2083</v>
      </c>
      <c r="C2083" s="208"/>
      <c r="D2083" s="208"/>
      <c r="E2083" s="208"/>
      <c r="F2083" s="208"/>
      <c r="G2083" s="208"/>
      <c r="H2083" s="208"/>
      <c r="J2083" s="114" t="str">
        <f t="shared" si="958"/>
        <v/>
      </c>
      <c r="K2083" s="114" t="str">
        <f>IF(COUNTBLANK(R2083)&gt;0,"",CONCATENATE(R2083," for ",N2069))</f>
        <v/>
      </c>
      <c r="N2083" s="123" t="s">
        <v>126</v>
      </c>
      <c r="O2083" s="66"/>
      <c r="P2083" s="121"/>
      <c r="Q2083" s="121"/>
      <c r="R2083" s="121"/>
      <c r="S2083" s="133">
        <f>M2069</f>
        <v>0</v>
      </c>
      <c r="T2083" s="120"/>
      <c r="U2083" s="121" t="s">
        <v>292</v>
      </c>
      <c r="V2083" s="133">
        <f t="shared" si="951"/>
        <v>0</v>
      </c>
      <c r="W2083" s="133">
        <f>VLOOKUP(U2083,Sheet1!$B$6:$C$45,2,FALSE)*V2083</f>
        <v>0</v>
      </c>
      <c r="X2083" s="141"/>
      <c r="Y2083" s="121" t="s">
        <v>292</v>
      </c>
      <c r="Z2083" s="146">
        <f>VLOOKUP(Takeoffs!Y2083,Sheet1!$B$6:$C$124,2,FALSE)</f>
        <v>0</v>
      </c>
      <c r="AA2083" s="146">
        <f t="shared" si="952"/>
        <v>0</v>
      </c>
      <c r="AB2083" s="143">
        <f t="shared" si="953"/>
        <v>0</v>
      </c>
      <c r="AC2083" s="133">
        <f t="shared" si="954"/>
        <v>0</v>
      </c>
      <c r="AD2083" s="142">
        <v>1</v>
      </c>
      <c r="AE2083" s="141"/>
      <c r="AF2083" s="121" t="s">
        <v>292</v>
      </c>
      <c r="AG2083" s="146">
        <f>VLOOKUP(Takeoffs!AF2083,Sheet1!$B$6:$C$124,2,FALSE)</f>
        <v>0</v>
      </c>
      <c r="AH2083" s="146">
        <f t="shared" si="955"/>
        <v>0</v>
      </c>
      <c r="AI2083" s="143">
        <f t="shared" si="956"/>
        <v>0</v>
      </c>
      <c r="AJ2083" s="133">
        <f t="shared" si="957"/>
        <v>0</v>
      </c>
      <c r="AK2083" s="142">
        <f t="shared" si="960"/>
        <v>0</v>
      </c>
      <c r="AL2083" s="141"/>
      <c r="AO2083" s="286"/>
      <c r="AP2083" s="284">
        <f t="shared" si="946"/>
        <v>0</v>
      </c>
      <c r="AQ2083" s="281">
        <f t="shared" si="947"/>
        <v>0</v>
      </c>
      <c r="AR2083" s="284">
        <f t="shared" si="948"/>
        <v>0</v>
      </c>
      <c r="AS2083" s="281">
        <f t="shared" si="949"/>
        <v>0</v>
      </c>
      <c r="AT2083" s="284">
        <f t="shared" si="950"/>
        <v>0</v>
      </c>
    </row>
    <row r="2084" spans="1:97" s="114" customFormat="1" ht="30.9" x14ac:dyDescent="0.8">
      <c r="A2084" s="262">
        <f>ROW()</f>
        <v>2084</v>
      </c>
      <c r="C2084" s="208"/>
      <c r="D2084" s="208"/>
      <c r="E2084" s="208"/>
      <c r="F2084" s="208"/>
      <c r="G2084" s="208"/>
      <c r="H2084" s="208"/>
      <c r="J2084" s="114" t="str">
        <f t="shared" si="958"/>
        <v/>
      </c>
      <c r="K2084" s="114" t="str">
        <f>IF(COUNTBLANK(R2084)&gt;0,"",CONCATENATE(R2084," for ",N2069))</f>
        <v/>
      </c>
      <c r="N2084" s="123" t="s">
        <v>127</v>
      </c>
      <c r="O2084" s="66"/>
      <c r="P2084" s="121"/>
      <c r="Q2084" s="121"/>
      <c r="R2084" s="121"/>
      <c r="S2084" s="133">
        <f>M2069</f>
        <v>0</v>
      </c>
      <c r="T2084" s="120"/>
      <c r="U2084" s="121" t="s">
        <v>292</v>
      </c>
      <c r="V2084" s="133">
        <f t="shared" si="951"/>
        <v>0</v>
      </c>
      <c r="W2084" s="133">
        <f>VLOOKUP(U2084,Sheet1!$B$6:$C$45,2,FALSE)*V2084</f>
        <v>0</v>
      </c>
      <c r="X2084" s="141"/>
      <c r="Y2084" s="121" t="s">
        <v>292</v>
      </c>
      <c r="Z2084" s="146">
        <f>VLOOKUP(Takeoffs!Y2084,Sheet1!$B$6:$C$124,2,FALSE)</f>
        <v>0</v>
      </c>
      <c r="AA2084" s="146">
        <f t="shared" si="952"/>
        <v>0</v>
      </c>
      <c r="AB2084" s="143">
        <f t="shared" si="953"/>
        <v>0</v>
      </c>
      <c r="AC2084" s="133">
        <f t="shared" si="954"/>
        <v>0</v>
      </c>
      <c r="AD2084" s="142">
        <v>1</v>
      </c>
      <c r="AE2084" s="141"/>
      <c r="AF2084" s="121" t="s">
        <v>292</v>
      </c>
      <c r="AG2084" s="146">
        <f>VLOOKUP(Takeoffs!AF2084,Sheet1!$B$6:$C$124,2,FALSE)</f>
        <v>0</v>
      </c>
      <c r="AH2084" s="146">
        <f t="shared" si="955"/>
        <v>0</v>
      </c>
      <c r="AI2084" s="143">
        <f t="shared" si="956"/>
        <v>0</v>
      </c>
      <c r="AJ2084" s="133">
        <f t="shared" si="957"/>
        <v>0</v>
      </c>
      <c r="AK2084" s="142">
        <f t="shared" si="960"/>
        <v>0</v>
      </c>
      <c r="AL2084" s="141"/>
      <c r="AO2084" s="286"/>
      <c r="AP2084" s="284">
        <f t="shared" si="946"/>
        <v>0</v>
      </c>
      <c r="AQ2084" s="281">
        <f t="shared" si="947"/>
        <v>0</v>
      </c>
      <c r="AR2084" s="284">
        <f t="shared" si="948"/>
        <v>0</v>
      </c>
      <c r="AS2084" s="281">
        <f t="shared" si="949"/>
        <v>0</v>
      </c>
      <c r="AT2084" s="284">
        <f t="shared" si="950"/>
        <v>0</v>
      </c>
    </row>
    <row r="2085" spans="1:97" s="114" customFormat="1" ht="30.9" x14ac:dyDescent="0.8">
      <c r="A2085" s="262">
        <f>ROW()</f>
        <v>2085</v>
      </c>
      <c r="C2085" s="208"/>
      <c r="D2085" s="208"/>
      <c r="E2085" s="208"/>
      <c r="F2085" s="208"/>
      <c r="G2085" s="208"/>
      <c r="H2085" s="208"/>
      <c r="J2085" s="114" t="str">
        <f t="shared" si="958"/>
        <v/>
      </c>
      <c r="K2085" s="114" t="str">
        <f>IF(COUNTBLANK(R2085)&gt;0,"",CONCATENATE(R2085," for ",N2069))</f>
        <v/>
      </c>
      <c r="N2085" s="123" t="s">
        <v>128</v>
      </c>
      <c r="O2085" s="66"/>
      <c r="P2085" s="121"/>
      <c r="Q2085" s="121"/>
      <c r="R2085" s="121"/>
      <c r="S2085" s="133">
        <f>M2069</f>
        <v>0</v>
      </c>
      <c r="T2085" s="120"/>
      <c r="U2085" s="121" t="s">
        <v>292</v>
      </c>
      <c r="V2085" s="133">
        <f t="shared" si="951"/>
        <v>0</v>
      </c>
      <c r="W2085" s="133">
        <f>VLOOKUP(U2085,Sheet1!$B$6:$C$45,2,FALSE)*V2085</f>
        <v>0</v>
      </c>
      <c r="X2085" s="141"/>
      <c r="Y2085" s="121" t="s">
        <v>292</v>
      </c>
      <c r="Z2085" s="146">
        <f>VLOOKUP(Takeoffs!Y2085,Sheet1!$B$6:$C$124,2,FALSE)</f>
        <v>0</v>
      </c>
      <c r="AA2085" s="146">
        <f t="shared" si="952"/>
        <v>0</v>
      </c>
      <c r="AB2085" s="143">
        <f t="shared" si="953"/>
        <v>0</v>
      </c>
      <c r="AC2085" s="133">
        <f t="shared" si="954"/>
        <v>0</v>
      </c>
      <c r="AD2085" s="142">
        <v>1</v>
      </c>
      <c r="AE2085" s="141"/>
      <c r="AF2085" s="121" t="s">
        <v>292</v>
      </c>
      <c r="AG2085" s="146">
        <f>VLOOKUP(Takeoffs!AF2085,Sheet1!$B$6:$C$124,2,FALSE)</f>
        <v>0</v>
      </c>
      <c r="AH2085" s="146">
        <f t="shared" si="955"/>
        <v>0</v>
      </c>
      <c r="AI2085" s="143">
        <f t="shared" si="956"/>
        <v>0</v>
      </c>
      <c r="AJ2085" s="133">
        <f t="shared" si="957"/>
        <v>0</v>
      </c>
      <c r="AK2085" s="142">
        <f t="shared" si="960"/>
        <v>0</v>
      </c>
      <c r="AL2085" s="141"/>
      <c r="AO2085" s="286"/>
      <c r="AP2085" s="284">
        <f t="shared" si="946"/>
        <v>0</v>
      </c>
      <c r="AQ2085" s="281">
        <f t="shared" si="947"/>
        <v>0</v>
      </c>
      <c r="AR2085" s="284">
        <f t="shared" si="948"/>
        <v>0</v>
      </c>
      <c r="AS2085" s="281">
        <f t="shared" si="949"/>
        <v>0</v>
      </c>
      <c r="AT2085" s="284">
        <f t="shared" si="950"/>
        <v>0</v>
      </c>
    </row>
    <row r="2086" spans="1:97" s="114" customFormat="1" ht="30.9" x14ac:dyDescent="0.8">
      <c r="A2086" s="262">
        <f>ROW()</f>
        <v>2086</v>
      </c>
      <c r="C2086" s="208"/>
      <c r="D2086" s="208"/>
      <c r="E2086" s="208"/>
      <c r="F2086" s="208"/>
      <c r="G2086" s="208"/>
      <c r="H2086" s="208"/>
      <c r="J2086" s="114" t="str">
        <f t="shared" si="958"/>
        <v/>
      </c>
      <c r="K2086" s="114" t="str">
        <f>IF(COUNTBLANK(R2086)&gt;0,"",CONCATENATE(R2086," for ",N2069))</f>
        <v/>
      </c>
      <c r="N2086" s="123" t="s">
        <v>129</v>
      </c>
      <c r="O2086" s="66"/>
      <c r="P2086" s="121"/>
      <c r="Q2086" s="121"/>
      <c r="R2086" s="121"/>
      <c r="S2086" s="133">
        <f>M2069</f>
        <v>0</v>
      </c>
      <c r="T2086" s="120"/>
      <c r="U2086" s="121" t="s">
        <v>292</v>
      </c>
      <c r="V2086" s="133">
        <f t="shared" si="951"/>
        <v>0</v>
      </c>
      <c r="W2086" s="133">
        <f>VLOOKUP(U2086,Sheet1!$B$6:$C$45,2,FALSE)*V2086</f>
        <v>0</v>
      </c>
      <c r="X2086" s="141"/>
      <c r="Y2086" s="121" t="s">
        <v>292</v>
      </c>
      <c r="Z2086" s="146">
        <f>VLOOKUP(Takeoffs!Y2086,Sheet1!$B$6:$C$124,2,FALSE)</f>
        <v>0</v>
      </c>
      <c r="AA2086" s="146">
        <f t="shared" si="952"/>
        <v>0</v>
      </c>
      <c r="AB2086" s="143">
        <f t="shared" si="953"/>
        <v>0</v>
      </c>
      <c r="AC2086" s="133">
        <f t="shared" si="954"/>
        <v>0</v>
      </c>
      <c r="AD2086" s="142">
        <v>1</v>
      </c>
      <c r="AE2086" s="141"/>
      <c r="AF2086" s="121" t="s">
        <v>292</v>
      </c>
      <c r="AG2086" s="146">
        <f>VLOOKUP(Takeoffs!AF2086,Sheet1!$B$6:$C$124,2,FALSE)</f>
        <v>0</v>
      </c>
      <c r="AH2086" s="146">
        <f t="shared" si="955"/>
        <v>0</v>
      </c>
      <c r="AI2086" s="143">
        <f t="shared" si="956"/>
        <v>0</v>
      </c>
      <c r="AJ2086" s="133">
        <f t="shared" si="957"/>
        <v>0</v>
      </c>
      <c r="AK2086" s="142">
        <f t="shared" si="960"/>
        <v>0</v>
      </c>
      <c r="AL2086" s="141"/>
      <c r="AO2086" s="286"/>
      <c r="AP2086" s="284">
        <f t="shared" si="946"/>
        <v>0</v>
      </c>
      <c r="AQ2086" s="281">
        <f t="shared" si="947"/>
        <v>0</v>
      </c>
      <c r="AR2086" s="284">
        <f t="shared" si="948"/>
        <v>0</v>
      </c>
      <c r="AS2086" s="281">
        <f t="shared" si="949"/>
        <v>0</v>
      </c>
      <c r="AT2086" s="284">
        <f t="shared" si="950"/>
        <v>0</v>
      </c>
    </row>
    <row r="2087" spans="1:97" s="114" customFormat="1" ht="30.9" x14ac:dyDescent="0.8">
      <c r="A2087" s="262">
        <f>ROW()</f>
        <v>2087</v>
      </c>
      <c r="C2087" s="208"/>
      <c r="D2087" s="208"/>
      <c r="E2087" s="208"/>
      <c r="F2087" s="208"/>
      <c r="G2087" s="208"/>
      <c r="H2087" s="208"/>
      <c r="J2087" s="114" t="str">
        <f t="shared" si="958"/>
        <v/>
      </c>
      <c r="K2087" s="114" t="str">
        <f>IF(COUNTBLANK(R2087)&gt;0,"",CONCATENATE(R2087," for ",N2069))</f>
        <v/>
      </c>
      <c r="N2087" s="123" t="s">
        <v>130</v>
      </c>
      <c r="O2087" s="66"/>
      <c r="P2087" s="121"/>
      <c r="Q2087" s="121"/>
      <c r="R2087" s="121"/>
      <c r="S2087" s="133">
        <f>M2069</f>
        <v>0</v>
      </c>
      <c r="T2087" s="120"/>
      <c r="U2087" s="121" t="s">
        <v>292</v>
      </c>
      <c r="V2087" s="133">
        <f t="shared" si="951"/>
        <v>0</v>
      </c>
      <c r="W2087" s="133">
        <f>VLOOKUP(U2087,Sheet1!$B$6:$C$45,2,FALSE)*V2087</f>
        <v>0</v>
      </c>
      <c r="X2087" s="141"/>
      <c r="Y2087" s="121" t="s">
        <v>292</v>
      </c>
      <c r="Z2087" s="146">
        <f>VLOOKUP(Takeoffs!Y2087,Sheet1!$B$6:$C$124,2,FALSE)</f>
        <v>0</v>
      </c>
      <c r="AA2087" s="146">
        <f t="shared" si="952"/>
        <v>0</v>
      </c>
      <c r="AB2087" s="143">
        <f t="shared" si="953"/>
        <v>0</v>
      </c>
      <c r="AC2087" s="133">
        <f t="shared" si="954"/>
        <v>0</v>
      </c>
      <c r="AD2087" s="142">
        <v>1</v>
      </c>
      <c r="AE2087" s="141"/>
      <c r="AF2087" s="121" t="s">
        <v>292</v>
      </c>
      <c r="AG2087" s="146">
        <f>VLOOKUP(Takeoffs!AF2087,Sheet1!$B$6:$C$124,2,FALSE)</f>
        <v>0</v>
      </c>
      <c r="AH2087" s="146">
        <f t="shared" si="955"/>
        <v>0</v>
      </c>
      <c r="AI2087" s="143">
        <f t="shared" si="956"/>
        <v>0</v>
      </c>
      <c r="AJ2087" s="133">
        <f t="shared" si="957"/>
        <v>0</v>
      </c>
      <c r="AK2087" s="142">
        <f t="shared" si="960"/>
        <v>0</v>
      </c>
      <c r="AL2087" s="141"/>
      <c r="AO2087" s="286"/>
      <c r="AP2087" s="284">
        <f t="shared" si="946"/>
        <v>0</v>
      </c>
      <c r="AQ2087" s="281">
        <f t="shared" si="947"/>
        <v>0</v>
      </c>
      <c r="AR2087" s="284">
        <f t="shared" si="948"/>
        <v>0</v>
      </c>
      <c r="AS2087" s="281">
        <f t="shared" si="949"/>
        <v>0</v>
      </c>
      <c r="AT2087" s="284">
        <f t="shared" si="950"/>
        <v>0</v>
      </c>
    </row>
    <row r="2088" spans="1:97" s="114" customFormat="1" ht="30.9" x14ac:dyDescent="0.8">
      <c r="A2088" s="262">
        <f>ROW()</f>
        <v>2088</v>
      </c>
      <c r="C2088" s="208"/>
      <c r="D2088" s="208"/>
      <c r="E2088" s="208"/>
      <c r="F2088" s="208"/>
      <c r="G2088" s="208"/>
      <c r="H2088" s="208"/>
      <c r="J2088" s="114" t="str">
        <f t="shared" si="958"/>
        <v/>
      </c>
      <c r="K2088" s="114" t="str">
        <f>IF(COUNTBLANK(R2088)&gt;0,"",CONCATENATE(R2088," for ",N2069))</f>
        <v/>
      </c>
      <c r="N2088" s="123" t="s">
        <v>131</v>
      </c>
      <c r="O2088" s="66"/>
      <c r="P2088" s="121"/>
      <c r="Q2088" s="121"/>
      <c r="R2088" s="121"/>
      <c r="S2088" s="133">
        <f>M2069</f>
        <v>0</v>
      </c>
      <c r="T2088" s="120"/>
      <c r="U2088" s="121" t="s">
        <v>292</v>
      </c>
      <c r="V2088" s="133">
        <f t="shared" si="951"/>
        <v>0</v>
      </c>
      <c r="W2088" s="133">
        <f>VLOOKUP(U2088,Sheet1!$B$6:$C$45,2,FALSE)*V2088</f>
        <v>0</v>
      </c>
      <c r="X2088" s="141"/>
      <c r="Y2088" s="121" t="s">
        <v>292</v>
      </c>
      <c r="Z2088" s="146">
        <f>VLOOKUP(Takeoffs!Y2088,Sheet1!$B$6:$C$124,2,FALSE)</f>
        <v>0</v>
      </c>
      <c r="AA2088" s="146">
        <f t="shared" si="952"/>
        <v>0</v>
      </c>
      <c r="AB2088" s="143">
        <f t="shared" si="953"/>
        <v>0</v>
      </c>
      <c r="AC2088" s="133">
        <f t="shared" si="954"/>
        <v>0</v>
      </c>
      <c r="AD2088" s="142">
        <v>1</v>
      </c>
      <c r="AE2088" s="141"/>
      <c r="AF2088" s="121" t="s">
        <v>292</v>
      </c>
      <c r="AG2088" s="146">
        <f>VLOOKUP(Takeoffs!AF2088,Sheet1!$B$6:$C$124,2,FALSE)</f>
        <v>0</v>
      </c>
      <c r="AH2088" s="146">
        <f t="shared" si="955"/>
        <v>0</v>
      </c>
      <c r="AI2088" s="143">
        <f t="shared" si="956"/>
        <v>0</v>
      </c>
      <c r="AJ2088" s="133">
        <f t="shared" si="957"/>
        <v>0</v>
      </c>
      <c r="AK2088" s="142">
        <f t="shared" si="960"/>
        <v>0</v>
      </c>
      <c r="AL2088" s="141"/>
      <c r="AO2088" s="286"/>
      <c r="AP2088" s="284">
        <f t="shared" si="946"/>
        <v>0</v>
      </c>
      <c r="AQ2088" s="281">
        <f t="shared" si="947"/>
        <v>0</v>
      </c>
      <c r="AR2088" s="284">
        <f t="shared" si="948"/>
        <v>0</v>
      </c>
      <c r="AS2088" s="281">
        <f t="shared" si="949"/>
        <v>0</v>
      </c>
      <c r="AT2088" s="284">
        <f t="shared" si="950"/>
        <v>0</v>
      </c>
    </row>
    <row r="2089" spans="1:97" s="114" customFormat="1" ht="30.9" x14ac:dyDescent="0.8">
      <c r="A2089" s="262">
        <f>ROW()</f>
        <v>2089</v>
      </c>
      <c r="C2089" s="208"/>
      <c r="D2089" s="208"/>
      <c r="E2089" s="208"/>
      <c r="F2089" s="208"/>
      <c r="G2089" s="208"/>
      <c r="H2089" s="208"/>
      <c r="J2089" s="114" t="str">
        <f t="shared" si="958"/>
        <v/>
      </c>
      <c r="K2089" s="114" t="str">
        <f>IF(COUNTBLANK(R2089)&gt;0,"",CONCATENATE(R2089," for ",N2069))</f>
        <v/>
      </c>
      <c r="N2089" s="123" t="s">
        <v>132</v>
      </c>
      <c r="O2089" s="66"/>
      <c r="P2089" s="121"/>
      <c r="Q2089" s="121"/>
      <c r="R2089" s="121"/>
      <c r="S2089" s="133">
        <f>M2069</f>
        <v>0</v>
      </c>
      <c r="T2089" s="120"/>
      <c r="U2089" s="121" t="s">
        <v>292</v>
      </c>
      <c r="V2089" s="133">
        <f t="shared" si="951"/>
        <v>0</v>
      </c>
      <c r="W2089" s="133">
        <f>VLOOKUP(U2089,Sheet1!$B$6:$C$45,2,FALSE)*V2089</f>
        <v>0</v>
      </c>
      <c r="X2089" s="141"/>
      <c r="Y2089" s="121" t="s">
        <v>292</v>
      </c>
      <c r="Z2089" s="146">
        <f>VLOOKUP(Takeoffs!Y2089,Sheet1!$B$6:$C$124,2,FALSE)</f>
        <v>0</v>
      </c>
      <c r="AA2089" s="146">
        <f t="shared" si="952"/>
        <v>0</v>
      </c>
      <c r="AB2089" s="143">
        <f t="shared" si="953"/>
        <v>0</v>
      </c>
      <c r="AC2089" s="133">
        <f t="shared" si="954"/>
        <v>0</v>
      </c>
      <c r="AD2089" s="142">
        <v>1</v>
      </c>
      <c r="AE2089" s="141"/>
      <c r="AF2089" s="121" t="s">
        <v>292</v>
      </c>
      <c r="AG2089" s="146">
        <f>VLOOKUP(Takeoffs!AF2089,Sheet1!$B$6:$C$124,2,FALSE)</f>
        <v>0</v>
      </c>
      <c r="AH2089" s="146">
        <f t="shared" si="955"/>
        <v>0</v>
      </c>
      <c r="AI2089" s="143">
        <f t="shared" si="956"/>
        <v>0</v>
      </c>
      <c r="AJ2089" s="133">
        <f t="shared" si="957"/>
        <v>0</v>
      </c>
      <c r="AK2089" s="142">
        <f t="shared" si="960"/>
        <v>0</v>
      </c>
      <c r="AL2089" s="141"/>
      <c r="AO2089" s="286"/>
      <c r="AP2089" s="284">
        <f t="shared" si="946"/>
        <v>0</v>
      </c>
      <c r="AQ2089" s="281">
        <f t="shared" si="947"/>
        <v>0</v>
      </c>
      <c r="AR2089" s="284">
        <f t="shared" si="948"/>
        <v>0</v>
      </c>
      <c r="AS2089" s="281">
        <f t="shared" si="949"/>
        <v>0</v>
      </c>
      <c r="AT2089" s="284">
        <f t="shared" si="950"/>
        <v>0</v>
      </c>
    </row>
    <row r="2090" spans="1:97" s="128" customFormat="1" ht="31.5" customHeight="1" x14ac:dyDescent="0.8">
      <c r="A2090" s="262">
        <f>ROW()</f>
        <v>2090</v>
      </c>
      <c r="C2090" s="212"/>
      <c r="D2090" s="212"/>
      <c r="E2090" s="212"/>
      <c r="F2090" s="212"/>
      <c r="G2090" s="212"/>
      <c r="H2090" s="212"/>
      <c r="J2090" s="128" t="s">
        <v>377</v>
      </c>
      <c r="L2090" s="128" t="s">
        <v>378</v>
      </c>
      <c r="N2090" s="129"/>
      <c r="O2090" s="154" t="s">
        <v>357</v>
      </c>
      <c r="P2090" s="155">
        <f>V2090+AA2090+AH2090</f>
        <v>0</v>
      </c>
      <c r="Q2090" s="155"/>
      <c r="R2090" s="155"/>
      <c r="S2090" s="154"/>
      <c r="T2090" s="156"/>
      <c r="U2090" s="157" t="s">
        <v>351</v>
      </c>
      <c r="V2090" s="156">
        <f>W2090*80</f>
        <v>0</v>
      </c>
      <c r="W2090" s="158">
        <f>SUM(W2069:W2089)</f>
        <v>0</v>
      </c>
      <c r="X2090" s="159"/>
      <c r="Y2090" s="156" t="s">
        <v>352</v>
      </c>
      <c r="Z2090" s="116"/>
      <c r="AA2090" s="116">
        <f>SUM(AA2069:AA2089)</f>
        <v>0</v>
      </c>
      <c r="AB2090" s="149"/>
      <c r="AC2090" s="149"/>
      <c r="AD2090" s="149"/>
      <c r="AE2090" s="149"/>
      <c r="AF2090" s="156" t="s">
        <v>356</v>
      </c>
      <c r="AG2090" s="116"/>
      <c r="AH2090" s="116">
        <f>SUM(AH2069:AH2089)</f>
        <v>0</v>
      </c>
      <c r="AI2090" s="149"/>
      <c r="AJ2090" s="149"/>
      <c r="AK2090" s="149"/>
      <c r="AL2090" s="149"/>
      <c r="AM2090" s="150">
        <f>P2090</f>
        <v>0</v>
      </c>
      <c r="AO2090" s="286"/>
      <c r="AP2090" s="284">
        <f t="shared" si="946"/>
        <v>0</v>
      </c>
      <c r="AQ2090" s="281">
        <f t="shared" si="947"/>
        <v>0</v>
      </c>
      <c r="AR2090" s="284">
        <f t="shared" si="948"/>
        <v>0</v>
      </c>
      <c r="AS2090" s="281">
        <f t="shared" si="949"/>
        <v>0</v>
      </c>
      <c r="AT2090" s="284">
        <f t="shared" si="950"/>
        <v>0</v>
      </c>
    </row>
    <row r="2091" spans="1:97" s="234" customFormat="1" ht="61.75" x14ac:dyDescent="0.8">
      <c r="A2091" s="262">
        <f>ROW()</f>
        <v>2091</v>
      </c>
      <c r="B2091" s="234" t="s">
        <v>491</v>
      </c>
      <c r="C2091" s="217" t="str">
        <f>N2069</f>
        <v>Humidifier</v>
      </c>
      <c r="D2091" s="260" t="s">
        <v>678</v>
      </c>
      <c r="E2091" s="238"/>
      <c r="F2091" s="217"/>
      <c r="G2091" s="217"/>
      <c r="H2091" s="245"/>
      <c r="I2091" s="270"/>
      <c r="J2091" s="241" t="str">
        <f>CONCATENATE(O2069," ",L2069, " (",M2069,") ",N2069,".", IF(M2069&gt;1," Each "," This "),"includes supply and install of ",O2070,O2071,O2072,O2073,O2074,O2075,O2076,O2077,O2078,O2079,O2080,O2081,O2082,O2083,O2084,O2085,O2086,O2087,O2088,O2089,J2070,J2071,J2072,J2073,J2074,J2075,J2076,J2077,J2078,J2079,J2080,J2081,J2082,J2083,J2084,J2085,J2086,J2087,J2088,J2089)</f>
        <v xml:space="preserve">Electrical power supply and controls cabling for  Zero (0) Humidifier. This includes supply and install of circuit breaker, power supply from MSSB, contactors/relays, isolator at  unit. </v>
      </c>
      <c r="K2091" s="246">
        <f>P2090</f>
        <v>0</v>
      </c>
      <c r="L2091" s="234" t="str">
        <f>CONCATENATE(Q2070,Q2071,Q2072,Q2073,Q2074,Q2075,Q2076,Q2077,Q2078,Q2079,Q2080,Q2081,Q2082,Q2083,Q2084,Q2085,Q2086,Q2087,Q2088,Q2089,)</f>
        <v/>
      </c>
      <c r="M2091" s="166" t="s">
        <v>367</v>
      </c>
      <c r="N2091" s="160" t="str">
        <f>N2069</f>
        <v>Humidifier</v>
      </c>
      <c r="O2091" s="160" t="s">
        <v>365</v>
      </c>
      <c r="P2091" s="171" t="e">
        <f>P2090/M2069</f>
        <v>#DIV/0!</v>
      </c>
      <c r="Q2091" s="161"/>
      <c r="R2091" s="161"/>
      <c r="S2091" s="160"/>
      <c r="T2091" s="161"/>
      <c r="U2091" s="503" t="s">
        <v>366</v>
      </c>
      <c r="V2091" s="503"/>
      <c r="W2091" s="162" t="e">
        <f>W2090/M2069</f>
        <v>#DIV/0!</v>
      </c>
      <c r="X2091" s="163"/>
      <c r="Y2091" s="501" t="s">
        <v>365</v>
      </c>
      <c r="Z2091" s="501"/>
      <c r="AA2091" s="164" t="e">
        <f>AA2090/M2069</f>
        <v>#DIV/0!</v>
      </c>
      <c r="AB2091" s="161"/>
      <c r="AC2091" s="161"/>
      <c r="AD2091" s="161"/>
      <c r="AE2091" s="161"/>
      <c r="AF2091" s="501" t="s">
        <v>365</v>
      </c>
      <c r="AG2091" s="501"/>
      <c r="AH2091" s="164" t="e">
        <f>AH2090/M2069</f>
        <v>#DIV/0!</v>
      </c>
      <c r="AI2091" s="161"/>
      <c r="AJ2091" s="161"/>
      <c r="AK2091" s="161"/>
      <c r="AL2091" s="247"/>
      <c r="AM2091" s="257"/>
      <c r="AN2091" s="236">
        <f>K2091*1.25</f>
        <v>0</v>
      </c>
      <c r="AO2091" s="286"/>
      <c r="AP2091" s="284">
        <f t="shared" si="946"/>
        <v>0</v>
      </c>
      <c r="AQ2091" s="281">
        <f t="shared" si="947"/>
        <v>0</v>
      </c>
      <c r="AR2091" s="284">
        <f t="shared" si="948"/>
        <v>0</v>
      </c>
      <c r="AS2091" s="281">
        <f t="shared" si="949"/>
        <v>0</v>
      </c>
      <c r="AT2091" s="284">
        <f t="shared" si="950"/>
        <v>0</v>
      </c>
      <c r="AU2091" s="117"/>
      <c r="AV2091" s="117"/>
      <c r="AW2091" s="117"/>
      <c r="AX2091" s="117"/>
      <c r="AY2091" s="117"/>
      <c r="AZ2091" s="117"/>
      <c r="BA2091" s="117"/>
      <c r="BB2091" s="117"/>
      <c r="BC2091" s="117"/>
      <c r="BD2091" s="117"/>
      <c r="BE2091" s="117"/>
      <c r="BF2091" s="117"/>
      <c r="BG2091" s="117"/>
      <c r="BH2091" s="117"/>
      <c r="BI2091" s="117"/>
      <c r="BJ2091" s="117"/>
      <c r="BK2091" s="117"/>
      <c r="BL2091" s="117"/>
      <c r="BM2091" s="117"/>
      <c r="BN2091" s="117"/>
      <c r="BO2091" s="117"/>
      <c r="BP2091" s="117"/>
      <c r="BQ2091" s="117"/>
      <c r="BR2091" s="117"/>
      <c r="BS2091" s="117"/>
      <c r="BT2091" s="117"/>
      <c r="BU2091" s="117"/>
      <c r="BV2091" s="117"/>
      <c r="BW2091" s="117"/>
      <c r="BX2091" s="117"/>
      <c r="BY2091" s="117"/>
      <c r="BZ2091" s="117"/>
      <c r="CA2091" s="117"/>
      <c r="CB2091" s="117"/>
      <c r="CC2091" s="117"/>
      <c r="CD2091" s="117"/>
      <c r="CE2091" s="117"/>
      <c r="CF2091" s="117"/>
      <c r="CG2091" s="117"/>
      <c r="CH2091" s="117"/>
      <c r="CI2091" s="117"/>
      <c r="CJ2091" s="117"/>
      <c r="CK2091" s="117"/>
      <c r="CL2091" s="117"/>
      <c r="CM2091" s="117"/>
      <c r="CN2091" s="117"/>
      <c r="CO2091" s="117"/>
      <c r="CP2091" s="117"/>
      <c r="CQ2091" s="117"/>
      <c r="CR2091" s="117"/>
      <c r="CS2091" s="117"/>
    </row>
    <row r="2092" spans="1:97" customFormat="1" ht="30.9" x14ac:dyDescent="0.8">
      <c r="A2092" s="262">
        <f>ROW()</f>
        <v>2092</v>
      </c>
      <c r="B2092" s="114"/>
      <c r="C2092" s="208"/>
      <c r="D2092" s="208"/>
      <c r="E2092" s="208"/>
      <c r="F2092" s="208"/>
      <c r="G2092" s="208"/>
      <c r="H2092" s="208"/>
      <c r="I2092" s="114"/>
      <c r="Q2092" s="32"/>
      <c r="R2092" s="32"/>
      <c r="T2092" s="8"/>
      <c r="W2092" s="32"/>
      <c r="X2092" s="25"/>
      <c r="Z2092" s="68" t="e">
        <f>VLOOKUP(Takeoffs!Y2092,Sheet1!$B$6:$C$124,2,FALSE)</f>
        <v>#N/A</v>
      </c>
      <c r="AA2092" s="68"/>
      <c r="AB2092" s="32"/>
      <c r="AC2092" s="32"/>
      <c r="AD2092" s="32"/>
      <c r="AE2092" s="25"/>
      <c r="AF2092" s="32"/>
      <c r="AG2092" s="68" t="e">
        <f>VLOOKUP(Takeoffs!AF2092,Sheet1!$B$6:$C$124,2,FALSE)</f>
        <v>#N/A</v>
      </c>
      <c r="AH2092" s="68"/>
      <c r="AI2092" s="32"/>
      <c r="AJ2092" s="32"/>
      <c r="AK2092" s="32"/>
      <c r="AL2092" s="25"/>
      <c r="AO2092" s="286"/>
      <c r="AP2092" s="284">
        <f t="shared" si="946"/>
        <v>0</v>
      </c>
      <c r="AQ2092" s="281">
        <f t="shared" si="947"/>
        <v>0</v>
      </c>
      <c r="AR2092" s="284">
        <f t="shared" si="948"/>
        <v>0</v>
      </c>
      <c r="AS2092" s="281">
        <f t="shared" si="949"/>
        <v>0</v>
      </c>
      <c r="AT2092" s="284">
        <f t="shared" si="950"/>
        <v>0</v>
      </c>
    </row>
    <row r="2093" spans="1:97" s="92" customFormat="1" ht="32.25" customHeight="1" x14ac:dyDescent="0.8">
      <c r="A2093" s="262">
        <f>ROW()</f>
        <v>2093</v>
      </c>
      <c r="B2093" s="167"/>
      <c r="C2093" s="214"/>
      <c r="D2093" s="214"/>
      <c r="E2093" s="214"/>
      <c r="F2093" s="214"/>
      <c r="G2093" s="214"/>
      <c r="H2093" s="214"/>
      <c r="I2093" s="167"/>
      <c r="Z2093" s="93"/>
      <c r="AA2093" s="93"/>
      <c r="AG2093" s="93"/>
      <c r="AH2093" s="93"/>
      <c r="AO2093" s="286"/>
      <c r="AP2093" s="284">
        <f t="shared" si="946"/>
        <v>0</v>
      </c>
      <c r="AQ2093" s="281">
        <f t="shared" si="947"/>
        <v>0</v>
      </c>
      <c r="AR2093" s="284">
        <f t="shared" si="948"/>
        <v>0</v>
      </c>
      <c r="AS2093" s="281">
        <f t="shared" si="949"/>
        <v>0</v>
      </c>
      <c r="AT2093" s="284">
        <f t="shared" si="950"/>
        <v>0</v>
      </c>
    </row>
    <row r="2094" spans="1:97" s="2" customFormat="1" ht="193.5" customHeight="1" x14ac:dyDescent="0.8">
      <c r="A2094" s="262">
        <f>ROW()</f>
        <v>2094</v>
      </c>
      <c r="B2094" s="116"/>
      <c r="C2094" s="211"/>
      <c r="D2094" s="211"/>
      <c r="E2094" s="211"/>
      <c r="F2094" s="211"/>
      <c r="G2094" s="211"/>
      <c r="H2094" s="211"/>
      <c r="I2094" s="116"/>
      <c r="K2094" s="2" t="s">
        <v>452</v>
      </c>
      <c r="M2094" s="2" t="s">
        <v>107</v>
      </c>
      <c r="N2094" s="2" t="s">
        <v>108</v>
      </c>
      <c r="O2094" s="2" t="s">
        <v>4</v>
      </c>
      <c r="R2094" s="101" t="s">
        <v>452</v>
      </c>
      <c r="S2094" s="2" t="s">
        <v>0</v>
      </c>
      <c r="T2094" s="9"/>
      <c r="U2094" s="2" t="s">
        <v>287</v>
      </c>
      <c r="V2094" s="2" t="s">
        <v>288</v>
      </c>
      <c r="W2094" s="2" t="s">
        <v>291</v>
      </c>
      <c r="X2094" s="58"/>
      <c r="Y2094" s="2" t="s">
        <v>289</v>
      </c>
      <c r="Z2094" s="2" t="s">
        <v>354</v>
      </c>
      <c r="AA2094" s="2" t="s">
        <v>355</v>
      </c>
      <c r="AB2094" s="2" t="s">
        <v>317</v>
      </c>
      <c r="AC2094" s="2" t="s">
        <v>318</v>
      </c>
      <c r="AD2094" s="2" t="s">
        <v>316</v>
      </c>
      <c r="AE2094" s="58"/>
      <c r="AF2094" s="2" t="s">
        <v>293</v>
      </c>
      <c r="AG2094" s="2" t="s">
        <v>354</v>
      </c>
      <c r="AH2094" s="2" t="s">
        <v>355</v>
      </c>
      <c r="AI2094" s="2" t="s">
        <v>296</v>
      </c>
      <c r="AJ2094" s="2" t="s">
        <v>294</v>
      </c>
      <c r="AK2094" s="2" t="s">
        <v>295</v>
      </c>
      <c r="AL2094" s="58"/>
      <c r="AO2094" s="288"/>
      <c r="AP2094" s="284">
        <f t="shared" si="946"/>
        <v>0</v>
      </c>
      <c r="AQ2094" s="281">
        <f t="shared" si="947"/>
        <v>0</v>
      </c>
      <c r="AR2094" s="284">
        <f t="shared" si="948"/>
        <v>0</v>
      </c>
      <c r="AS2094" s="281">
        <f t="shared" si="949"/>
        <v>0</v>
      </c>
      <c r="AT2094" s="284">
        <f t="shared" si="950"/>
        <v>0</v>
      </c>
    </row>
    <row r="2095" spans="1:97" s="32" customFormat="1" ht="41.25" customHeight="1" x14ac:dyDescent="0.8">
      <c r="A2095" s="262">
        <f>ROW()</f>
        <v>2095</v>
      </c>
      <c r="B2095" s="114"/>
      <c r="C2095" s="208"/>
      <c r="D2095" s="208"/>
      <c r="E2095" s="208"/>
      <c r="F2095" s="208"/>
      <c r="G2095" s="208"/>
      <c r="H2095" s="208"/>
      <c r="I2095" s="114"/>
      <c r="L2095" s="16" t="s">
        <v>370</v>
      </c>
      <c r="M2095" s="94">
        <f>ROUND(SUM(AI210:AI1628)/1000,1)</f>
        <v>0</v>
      </c>
      <c r="N2095" s="27" t="s">
        <v>396</v>
      </c>
      <c r="O2095" s="12" t="s">
        <v>374</v>
      </c>
      <c r="P2095" s="12"/>
      <c r="Q2095" s="12"/>
      <c r="R2095" s="12"/>
      <c r="S2095" s="28"/>
      <c r="T2095" s="10"/>
      <c r="U2095" s="12" t="s">
        <v>292</v>
      </c>
      <c r="V2095" s="28">
        <f>S2095</f>
        <v>0</v>
      </c>
      <c r="W2095" s="28">
        <f>VLOOKUP(U2095,Sheet1!$B$6:$C$45,2,FALSE)*V2095</f>
        <v>0</v>
      </c>
      <c r="X2095" s="59"/>
      <c r="Y2095" s="12" t="s">
        <v>292</v>
      </c>
      <c r="Z2095" s="68">
        <f>VLOOKUP(Takeoffs!Y2095,Sheet1!$B$6:$C$124,2,FALSE)</f>
        <v>0</v>
      </c>
      <c r="AA2095" s="68">
        <f>Z2095*AB2095</f>
        <v>0</v>
      </c>
      <c r="AB2095" s="63">
        <f>AD2095*AC2095</f>
        <v>0</v>
      </c>
      <c r="AC2095" s="28">
        <f>S2095</f>
        <v>0</v>
      </c>
      <c r="AD2095" s="61">
        <v>1</v>
      </c>
      <c r="AE2095" s="59"/>
      <c r="AF2095" s="12" t="s">
        <v>292</v>
      </c>
      <c r="AG2095" s="68">
        <f>VLOOKUP(Takeoffs!AF2095,Sheet1!$B$6:$C$124,2,FALSE)</f>
        <v>0</v>
      </c>
      <c r="AH2095" s="68">
        <f>AG2095*AI2095</f>
        <v>0</v>
      </c>
      <c r="AI2095" s="63">
        <f>AK2095*AJ2095</f>
        <v>0</v>
      </c>
      <c r="AJ2095" s="28">
        <f>S2095</f>
        <v>0</v>
      </c>
      <c r="AK2095" s="61">
        <v>1</v>
      </c>
      <c r="AL2095" s="59"/>
      <c r="AO2095" s="286"/>
      <c r="AP2095" s="284">
        <f t="shared" si="946"/>
        <v>0</v>
      </c>
      <c r="AQ2095" s="281">
        <f t="shared" si="947"/>
        <v>0</v>
      </c>
      <c r="AR2095" s="284">
        <f t="shared" si="948"/>
        <v>0</v>
      </c>
      <c r="AS2095" s="281">
        <f t="shared" si="949"/>
        <v>0</v>
      </c>
      <c r="AT2095" s="284">
        <f t="shared" si="950"/>
        <v>0</v>
      </c>
    </row>
    <row r="2096" spans="1:97" s="32" customFormat="1" ht="30.9" x14ac:dyDescent="0.8">
      <c r="A2096" s="262">
        <f>ROW()</f>
        <v>2096</v>
      </c>
      <c r="B2096" s="114"/>
      <c r="C2096" s="208"/>
      <c r="D2096" s="208"/>
      <c r="E2096" s="208"/>
      <c r="F2096" s="208"/>
      <c r="G2096" s="208"/>
      <c r="H2096" s="208"/>
      <c r="I2096" s="114"/>
      <c r="J2096" s="32" t="str">
        <f>IF(COUNTBLANK(Q2096)&gt;0,"",CONCATENATE("Coordination Note: - ",P2096,": Please refer to our exclusions relating to ",Q2096))</f>
        <v/>
      </c>
      <c r="K2096" s="32" t="str">
        <f>IF(COUNTBLANK(R2096)&gt;0,"",CONCATENATE(R2096," for ",N2095))</f>
        <v/>
      </c>
      <c r="M2096" s="117">
        <f>SUM(AI210:AI1628)</f>
        <v>15</v>
      </c>
      <c r="N2096" s="15" t="s">
        <v>113</v>
      </c>
      <c r="O2096" s="12" t="s">
        <v>429</v>
      </c>
      <c r="P2096" s="12"/>
      <c r="Q2096" s="12"/>
      <c r="R2096" s="12"/>
      <c r="S2096" s="12">
        <f>I2119</f>
        <v>0</v>
      </c>
      <c r="T2096" s="11"/>
      <c r="U2096" s="12" t="s">
        <v>433</v>
      </c>
      <c r="V2096" s="28">
        <f t="shared" ref="V2096:V2115" si="961">S2096</f>
        <v>0</v>
      </c>
      <c r="W2096" s="28">
        <f>VLOOKUP(U2096,Sheet1!$B$6:$C$45,2,FALSE)*V2096</f>
        <v>0</v>
      </c>
      <c r="X2096" s="59"/>
      <c r="Y2096" s="12" t="s">
        <v>292</v>
      </c>
      <c r="Z2096" s="68">
        <f>VLOOKUP(Takeoffs!Y2096,Sheet1!$B$6:$C$124,2,FALSE)</f>
        <v>0</v>
      </c>
      <c r="AA2096" s="68">
        <f t="shared" ref="AA2096:AA2103" si="962">Z2096*AB2096</f>
        <v>0</v>
      </c>
      <c r="AB2096" s="63">
        <f t="shared" ref="AB2096:AB2103" si="963">AD2096*AC2096</f>
        <v>0</v>
      </c>
      <c r="AC2096" s="28">
        <f>S2096</f>
        <v>0</v>
      </c>
      <c r="AD2096" s="61">
        <v>1</v>
      </c>
      <c r="AE2096" s="75"/>
      <c r="AF2096" s="12" t="s">
        <v>432</v>
      </c>
      <c r="AG2096" s="68">
        <f>VLOOKUP(Takeoffs!AF2096,Sheet1!$B$6:$C$124,2,FALSE)</f>
        <v>117</v>
      </c>
      <c r="AH2096" s="68">
        <f t="shared" ref="AH2096:AH2105" si="964">AG2096*AI2096</f>
        <v>0</v>
      </c>
      <c r="AI2096" s="63">
        <f t="shared" ref="AI2096:AI2106" si="965">AK2096*AJ2096</f>
        <v>0</v>
      </c>
      <c r="AJ2096" s="28">
        <f t="shared" ref="AJ2096:AJ2106" si="966">S2096</f>
        <v>0</v>
      </c>
      <c r="AK2096" s="61">
        <v>1</v>
      </c>
      <c r="AL2096" s="59"/>
      <c r="AO2096" s="286"/>
      <c r="AP2096" s="284">
        <f t="shared" si="946"/>
        <v>0</v>
      </c>
      <c r="AQ2096" s="281">
        <f t="shared" si="947"/>
        <v>0</v>
      </c>
      <c r="AR2096" s="284">
        <f t="shared" si="948"/>
        <v>0</v>
      </c>
      <c r="AS2096" s="281">
        <f t="shared" si="949"/>
        <v>0</v>
      </c>
      <c r="AT2096" s="284">
        <f t="shared" si="950"/>
        <v>0</v>
      </c>
    </row>
    <row r="2097" spans="1:46" s="32" customFormat="1" ht="30.9" x14ac:dyDescent="0.8">
      <c r="A2097" s="262">
        <f>ROW()</f>
        <v>2097</v>
      </c>
      <c r="B2097" s="114"/>
      <c r="C2097" s="208"/>
      <c r="D2097" s="208"/>
      <c r="E2097" s="208"/>
      <c r="F2097" s="208"/>
      <c r="G2097" s="208"/>
      <c r="H2097" s="208"/>
      <c r="I2097" s="114"/>
      <c r="J2097" s="32" t="str">
        <f t="shared" ref="J2097:J2115" si="967">IF(COUNTBLANK(Q2097)&gt;0,"",CONCATENATE("Coordination Note: - ",P2097,": Please refer to our exclusions relating to ",Q2097))</f>
        <v/>
      </c>
      <c r="K2097" s="32" t="str">
        <f>IF(COUNTBLANK(R2097)&gt;0,"",CONCATENATE(R2097," for ",N2095))</f>
        <v/>
      </c>
      <c r="M2097" s="38"/>
      <c r="N2097" s="15" t="s">
        <v>114</v>
      </c>
      <c r="O2097" s="12" t="s">
        <v>371</v>
      </c>
      <c r="P2097" s="12"/>
      <c r="Q2097" s="12"/>
      <c r="R2097" s="12"/>
      <c r="S2097" s="12">
        <f>I2120</f>
        <v>0</v>
      </c>
      <c r="T2097" s="11"/>
      <c r="U2097" s="12" t="s">
        <v>434</v>
      </c>
      <c r="V2097" s="28">
        <f t="shared" si="961"/>
        <v>0</v>
      </c>
      <c r="W2097" s="28">
        <f>VLOOKUP(U2097,Sheet1!$B$6:$C$45,2,FALSE)*V2097</f>
        <v>0</v>
      </c>
      <c r="X2097" s="59"/>
      <c r="Y2097" s="12" t="s">
        <v>292</v>
      </c>
      <c r="Z2097" s="68">
        <f>VLOOKUP(Takeoffs!Y2097,Sheet1!$B$6:$C$124,2,FALSE)</f>
        <v>0</v>
      </c>
      <c r="AA2097" s="68">
        <f t="shared" si="962"/>
        <v>0</v>
      </c>
      <c r="AB2097" s="63">
        <f t="shared" si="963"/>
        <v>0</v>
      </c>
      <c r="AC2097" s="28">
        <f>S2097</f>
        <v>0</v>
      </c>
      <c r="AD2097" s="61">
        <v>1</v>
      </c>
      <c r="AE2097" s="75"/>
      <c r="AF2097" s="12" t="s">
        <v>430</v>
      </c>
      <c r="AG2097" s="68">
        <f>VLOOKUP(Takeoffs!AF2097,Sheet1!$B$6:$C$124,2,FALSE)</f>
        <v>21.599999999999998</v>
      </c>
      <c r="AH2097" s="68">
        <f t="shared" si="964"/>
        <v>0</v>
      </c>
      <c r="AI2097" s="63">
        <f t="shared" si="965"/>
        <v>0</v>
      </c>
      <c r="AJ2097" s="28">
        <f t="shared" si="966"/>
        <v>0</v>
      </c>
      <c r="AK2097" s="61">
        <v>1</v>
      </c>
      <c r="AL2097" s="59"/>
      <c r="AO2097" s="286"/>
      <c r="AP2097" s="284">
        <f t="shared" si="946"/>
        <v>0</v>
      </c>
      <c r="AQ2097" s="281">
        <f t="shared" si="947"/>
        <v>0</v>
      </c>
      <c r="AR2097" s="284">
        <f t="shared" si="948"/>
        <v>0</v>
      </c>
      <c r="AS2097" s="281">
        <f t="shared" si="949"/>
        <v>0</v>
      </c>
      <c r="AT2097" s="284">
        <f t="shared" si="950"/>
        <v>0</v>
      </c>
    </row>
    <row r="2098" spans="1:46" s="32" customFormat="1" ht="30.9" x14ac:dyDescent="0.8">
      <c r="A2098" s="262">
        <f>ROW()</f>
        <v>2098</v>
      </c>
      <c r="B2098" s="114"/>
      <c r="C2098" s="208"/>
      <c r="D2098" s="208"/>
      <c r="E2098" s="208"/>
      <c r="F2098" s="208"/>
      <c r="G2098" s="208"/>
      <c r="H2098" s="208"/>
      <c r="I2098" s="114"/>
      <c r="J2098" s="32" t="str">
        <f t="shared" si="967"/>
        <v/>
      </c>
      <c r="K2098" s="32" t="str">
        <f>IF(COUNTBLANK(R2098)&gt;0,"",CONCATENATE(R2098," for ",N2095))</f>
        <v/>
      </c>
      <c r="M2098" s="38"/>
      <c r="N2098" s="15" t="s">
        <v>115</v>
      </c>
      <c r="O2098" s="12" t="s">
        <v>437</v>
      </c>
      <c r="P2098" s="12"/>
      <c r="Q2098" s="12"/>
      <c r="R2098" s="17"/>
      <c r="S2098" s="68">
        <f>M2096-S2096-S2097</f>
        <v>15</v>
      </c>
      <c r="T2098" s="11"/>
      <c r="U2098" s="12" t="s">
        <v>292</v>
      </c>
      <c r="V2098" s="28">
        <f t="shared" si="961"/>
        <v>15</v>
      </c>
      <c r="W2098" s="28">
        <f>VLOOKUP(U2098,Sheet1!$B$6:$C$45,2,FALSE)*V2098</f>
        <v>0</v>
      </c>
      <c r="X2098" s="59"/>
      <c r="Y2098" s="12" t="s">
        <v>292</v>
      </c>
      <c r="Z2098" s="68">
        <f>VLOOKUP(Takeoffs!Y2098,Sheet1!$B$6:$C$124,2,FALSE)</f>
        <v>0</v>
      </c>
      <c r="AA2098" s="68">
        <f t="shared" si="962"/>
        <v>0</v>
      </c>
      <c r="AB2098" s="63">
        <f t="shared" si="963"/>
        <v>15</v>
      </c>
      <c r="AC2098" s="28">
        <f t="shared" ref="AC2098:AC2115" si="968">S2098</f>
        <v>15</v>
      </c>
      <c r="AD2098" s="61">
        <v>1</v>
      </c>
      <c r="AE2098" s="75"/>
      <c r="AF2098" s="12" t="s">
        <v>436</v>
      </c>
      <c r="AG2098" s="68">
        <f>VLOOKUP(Takeoffs!AF2098,Sheet1!$B$6:$C$124,2,FALSE)</f>
        <v>1.2</v>
      </c>
      <c r="AH2098" s="68">
        <f t="shared" si="964"/>
        <v>18</v>
      </c>
      <c r="AI2098" s="63">
        <f t="shared" si="965"/>
        <v>15</v>
      </c>
      <c r="AJ2098" s="28">
        <f t="shared" si="966"/>
        <v>15</v>
      </c>
      <c r="AK2098" s="61">
        <v>1</v>
      </c>
      <c r="AL2098" s="59"/>
      <c r="AO2098" s="286"/>
      <c r="AP2098" s="284">
        <f t="shared" si="946"/>
        <v>0</v>
      </c>
      <c r="AQ2098" s="281">
        <f t="shared" si="947"/>
        <v>0</v>
      </c>
      <c r="AR2098" s="284">
        <f t="shared" si="948"/>
        <v>0</v>
      </c>
      <c r="AS2098" s="281">
        <f t="shared" si="949"/>
        <v>0</v>
      </c>
      <c r="AT2098" s="284">
        <f t="shared" si="950"/>
        <v>0</v>
      </c>
    </row>
    <row r="2099" spans="1:46" s="32" customFormat="1" ht="30.9" x14ac:dyDescent="0.8">
      <c r="A2099" s="262">
        <f>ROW()</f>
        <v>2099</v>
      </c>
      <c r="B2099" s="114"/>
      <c r="C2099" s="208"/>
      <c r="D2099" s="208"/>
      <c r="E2099" s="208"/>
      <c r="F2099" s="208"/>
      <c r="G2099" s="208"/>
      <c r="H2099" s="208"/>
      <c r="I2099" s="114"/>
      <c r="J2099" s="32" t="str">
        <f t="shared" si="967"/>
        <v/>
      </c>
      <c r="K2099" s="32" t="str">
        <f>IF(COUNTBLANK(R2099)&gt;0,"",CONCATENATE(R2099," for ",N2095))</f>
        <v/>
      </c>
      <c r="M2099" s="38"/>
      <c r="N2099" s="15" t="s">
        <v>116</v>
      </c>
      <c r="O2099" s="12"/>
      <c r="P2099" s="12"/>
      <c r="Q2099" s="12"/>
      <c r="R2099" s="12"/>
      <c r="S2099" s="28"/>
      <c r="T2099" s="11"/>
      <c r="U2099" s="12" t="s">
        <v>292</v>
      </c>
      <c r="V2099" s="28">
        <f t="shared" si="961"/>
        <v>0</v>
      </c>
      <c r="W2099" s="28">
        <f>VLOOKUP(U2099,Sheet1!$B$6:$C$45,2,FALSE)*V2099</f>
        <v>0</v>
      </c>
      <c r="X2099" s="59"/>
      <c r="Y2099" s="12" t="s">
        <v>292</v>
      </c>
      <c r="Z2099" s="68">
        <f>VLOOKUP(Takeoffs!Y2099,Sheet1!$B$6:$C$124,2,FALSE)</f>
        <v>0</v>
      </c>
      <c r="AA2099" s="68">
        <f t="shared" si="962"/>
        <v>0</v>
      </c>
      <c r="AB2099" s="63">
        <f t="shared" si="963"/>
        <v>0</v>
      </c>
      <c r="AC2099" s="28">
        <f t="shared" si="968"/>
        <v>0</v>
      </c>
      <c r="AD2099" s="61">
        <v>1</v>
      </c>
      <c r="AE2099" s="75"/>
      <c r="AF2099" s="12" t="s">
        <v>292</v>
      </c>
      <c r="AG2099" s="68">
        <f>VLOOKUP(Takeoffs!AF2099,Sheet1!$B$6:$C$124,2,FALSE)</f>
        <v>0</v>
      </c>
      <c r="AH2099" s="68">
        <f t="shared" si="964"/>
        <v>0</v>
      </c>
      <c r="AI2099" s="63">
        <f t="shared" si="965"/>
        <v>0</v>
      </c>
      <c r="AJ2099" s="28">
        <f t="shared" si="966"/>
        <v>0</v>
      </c>
      <c r="AK2099" s="61"/>
      <c r="AL2099" s="59"/>
      <c r="AO2099" s="286"/>
      <c r="AP2099" s="284">
        <f t="shared" si="946"/>
        <v>0</v>
      </c>
      <c r="AQ2099" s="281">
        <f t="shared" si="947"/>
        <v>0</v>
      </c>
      <c r="AR2099" s="284">
        <f t="shared" si="948"/>
        <v>0</v>
      </c>
      <c r="AS2099" s="281">
        <f t="shared" si="949"/>
        <v>0</v>
      </c>
      <c r="AT2099" s="284">
        <f t="shared" si="950"/>
        <v>0</v>
      </c>
    </row>
    <row r="2100" spans="1:46" s="32" customFormat="1" ht="30.9" x14ac:dyDescent="0.8">
      <c r="A2100" s="262">
        <f>ROW()</f>
        <v>2100</v>
      </c>
      <c r="B2100" s="114"/>
      <c r="C2100" s="208"/>
      <c r="D2100" s="208"/>
      <c r="E2100" s="208"/>
      <c r="F2100" s="208"/>
      <c r="G2100" s="208"/>
      <c r="H2100" s="208"/>
      <c r="I2100" s="114"/>
      <c r="J2100" s="32" t="str">
        <f t="shared" si="967"/>
        <v/>
      </c>
      <c r="K2100" s="32" t="str">
        <f>IF(COUNTBLANK(R2100)&gt;0,"",CONCATENATE(R2100," for ",N2095))</f>
        <v/>
      </c>
      <c r="M2100" s="38"/>
      <c r="N2100" s="15" t="s">
        <v>117</v>
      </c>
      <c r="O2100" s="12" t="s">
        <v>397</v>
      </c>
      <c r="P2100" s="12"/>
      <c r="Q2100" s="12"/>
      <c r="R2100" s="12"/>
      <c r="S2100" s="28">
        <f>M2095*1000</f>
        <v>0</v>
      </c>
      <c r="T2100" s="11"/>
      <c r="U2100" s="12" t="s">
        <v>292</v>
      </c>
      <c r="V2100" s="28">
        <f t="shared" si="961"/>
        <v>0</v>
      </c>
      <c r="W2100" s="28">
        <f>VLOOKUP(U2100,Sheet1!$B$6:$C$45,2,FALSE)*V2100</f>
        <v>0</v>
      </c>
      <c r="X2100" s="59"/>
      <c r="Y2100" s="73" t="s">
        <v>439</v>
      </c>
      <c r="Z2100" s="68">
        <f>VLOOKUP(Takeoffs!Y2100,Sheet1!$B$6:$C$124,2,FALSE)</f>
        <v>0.6</v>
      </c>
      <c r="AA2100" s="68">
        <f t="shared" si="962"/>
        <v>0</v>
      </c>
      <c r="AB2100" s="63">
        <f t="shared" si="963"/>
        <v>0</v>
      </c>
      <c r="AC2100" s="28">
        <f t="shared" si="968"/>
        <v>0</v>
      </c>
      <c r="AD2100" s="61">
        <v>1</v>
      </c>
      <c r="AE2100" s="75"/>
      <c r="AF2100" s="12" t="s">
        <v>292</v>
      </c>
      <c r="AG2100" s="68">
        <f>VLOOKUP(Takeoffs!AF2100,Sheet1!$B$6:$C$124,2,FALSE)</f>
        <v>0</v>
      </c>
      <c r="AH2100" s="68">
        <f t="shared" si="964"/>
        <v>0</v>
      </c>
      <c r="AI2100" s="63">
        <f t="shared" si="965"/>
        <v>0</v>
      </c>
      <c r="AJ2100" s="28">
        <f t="shared" si="966"/>
        <v>0</v>
      </c>
      <c r="AK2100" s="61"/>
      <c r="AL2100" s="59"/>
      <c r="AO2100" s="286"/>
      <c r="AP2100" s="284">
        <f t="shared" si="946"/>
        <v>0</v>
      </c>
      <c r="AQ2100" s="281">
        <f t="shared" si="947"/>
        <v>0</v>
      </c>
      <c r="AR2100" s="284">
        <f t="shared" si="948"/>
        <v>0</v>
      </c>
      <c r="AS2100" s="281">
        <f t="shared" si="949"/>
        <v>0</v>
      </c>
      <c r="AT2100" s="284">
        <f t="shared" si="950"/>
        <v>0</v>
      </c>
    </row>
    <row r="2101" spans="1:46" s="32" customFormat="1" ht="30.9" x14ac:dyDescent="0.8">
      <c r="A2101" s="262">
        <f>ROW()</f>
        <v>2101</v>
      </c>
      <c r="B2101" s="114"/>
      <c r="C2101" s="208"/>
      <c r="D2101" s="208"/>
      <c r="E2101" s="208"/>
      <c r="F2101" s="208"/>
      <c r="G2101" s="208"/>
      <c r="H2101" s="208"/>
      <c r="I2101" s="114"/>
      <c r="J2101" s="32" t="str">
        <f t="shared" si="967"/>
        <v/>
      </c>
      <c r="K2101" s="32" t="str">
        <f>IF(COUNTBLANK(R2101)&gt;0,"",CONCATENATE(R2101," for ",N2095))</f>
        <v/>
      </c>
      <c r="M2101" s="38"/>
      <c r="N2101" s="15" t="s">
        <v>118</v>
      </c>
      <c r="O2101" s="12"/>
      <c r="P2101" s="12"/>
      <c r="Q2101" s="12"/>
      <c r="R2101" s="12"/>
      <c r="S2101" s="28"/>
      <c r="T2101" s="11"/>
      <c r="U2101" s="12" t="s">
        <v>292</v>
      </c>
      <c r="V2101" s="28">
        <f t="shared" si="961"/>
        <v>0</v>
      </c>
      <c r="W2101" s="28">
        <f>VLOOKUP(U2101,Sheet1!$B$6:$C$45,2,FALSE)*V2101</f>
        <v>0</v>
      </c>
      <c r="X2101" s="59"/>
      <c r="Y2101" s="12" t="s">
        <v>292</v>
      </c>
      <c r="Z2101" s="68">
        <f>VLOOKUP(Takeoffs!Y2101,Sheet1!$B$6:$C$124,2,FALSE)</f>
        <v>0</v>
      </c>
      <c r="AA2101" s="68">
        <f t="shared" si="962"/>
        <v>0</v>
      </c>
      <c r="AB2101" s="63">
        <f t="shared" si="963"/>
        <v>0</v>
      </c>
      <c r="AC2101" s="28">
        <f t="shared" si="968"/>
        <v>0</v>
      </c>
      <c r="AD2101" s="61">
        <v>1</v>
      </c>
      <c r="AE2101" s="75"/>
      <c r="AF2101" s="12" t="s">
        <v>292</v>
      </c>
      <c r="AG2101" s="68">
        <f>VLOOKUP(Takeoffs!AF2101,Sheet1!$B$6:$C$124,2,FALSE)</f>
        <v>0</v>
      </c>
      <c r="AH2101" s="68">
        <f t="shared" si="964"/>
        <v>0</v>
      </c>
      <c r="AI2101" s="63">
        <f t="shared" si="965"/>
        <v>0</v>
      </c>
      <c r="AJ2101" s="28">
        <f t="shared" si="966"/>
        <v>0</v>
      </c>
      <c r="AK2101" s="61"/>
      <c r="AL2101" s="59"/>
      <c r="AO2101" s="286"/>
      <c r="AP2101" s="284">
        <f t="shared" si="946"/>
        <v>0</v>
      </c>
      <c r="AQ2101" s="281">
        <f t="shared" si="947"/>
        <v>0</v>
      </c>
      <c r="AR2101" s="284">
        <f t="shared" si="948"/>
        <v>0</v>
      </c>
      <c r="AS2101" s="281">
        <f t="shared" si="949"/>
        <v>0</v>
      </c>
      <c r="AT2101" s="284">
        <f t="shared" si="950"/>
        <v>0</v>
      </c>
    </row>
    <row r="2102" spans="1:46" s="32" customFormat="1" ht="30.9" x14ac:dyDescent="0.8">
      <c r="A2102" s="262">
        <f>ROW()</f>
        <v>2102</v>
      </c>
      <c r="B2102" s="114"/>
      <c r="C2102" s="208"/>
      <c r="D2102" s="208"/>
      <c r="E2102" s="208"/>
      <c r="F2102" s="208"/>
      <c r="G2102" s="208"/>
      <c r="H2102" s="208"/>
      <c r="I2102" s="114"/>
      <c r="J2102" s="32" t="str">
        <f t="shared" si="967"/>
        <v/>
      </c>
      <c r="K2102" s="32" t="str">
        <f>IF(COUNTBLANK(R2102)&gt;0,"",CONCATENATE(R2102," for ",N2095))</f>
        <v/>
      </c>
      <c r="N2102" s="15" t="s">
        <v>119</v>
      </c>
      <c r="O2102" s="12"/>
      <c r="P2102" s="12"/>
      <c r="Q2102" s="12"/>
      <c r="R2102" s="12"/>
      <c r="S2102" s="28"/>
      <c r="T2102" s="11"/>
      <c r="U2102" s="12" t="s">
        <v>292</v>
      </c>
      <c r="V2102" s="28">
        <f t="shared" si="961"/>
        <v>0</v>
      </c>
      <c r="W2102" s="28">
        <f>VLOOKUP(U2102,Sheet1!$B$6:$C$45,2,FALSE)*V2102</f>
        <v>0</v>
      </c>
      <c r="X2102" s="59"/>
      <c r="Y2102" s="12" t="s">
        <v>292</v>
      </c>
      <c r="Z2102" s="68">
        <f>VLOOKUP(Takeoffs!Y2102,Sheet1!$B$6:$C$124,2,FALSE)</f>
        <v>0</v>
      </c>
      <c r="AA2102" s="68">
        <f t="shared" si="962"/>
        <v>0</v>
      </c>
      <c r="AB2102" s="63">
        <f t="shared" si="963"/>
        <v>0</v>
      </c>
      <c r="AC2102" s="28">
        <f t="shared" si="968"/>
        <v>0</v>
      </c>
      <c r="AD2102" s="61">
        <v>1</v>
      </c>
      <c r="AE2102" s="59"/>
      <c r="AF2102" s="12" t="s">
        <v>292</v>
      </c>
      <c r="AG2102" s="68">
        <f>VLOOKUP(Takeoffs!AF2102,Sheet1!$B$6:$C$124,2,FALSE)</f>
        <v>0</v>
      </c>
      <c r="AH2102" s="68">
        <f t="shared" si="964"/>
        <v>0</v>
      </c>
      <c r="AI2102" s="63">
        <f t="shared" si="965"/>
        <v>0</v>
      </c>
      <c r="AJ2102" s="28">
        <f t="shared" si="966"/>
        <v>0</v>
      </c>
      <c r="AK2102" s="61"/>
      <c r="AL2102" s="59"/>
      <c r="AO2102" s="286"/>
      <c r="AP2102" s="284">
        <f t="shared" si="946"/>
        <v>0</v>
      </c>
      <c r="AQ2102" s="281">
        <f t="shared" si="947"/>
        <v>0</v>
      </c>
      <c r="AR2102" s="284">
        <f t="shared" si="948"/>
        <v>0</v>
      </c>
      <c r="AS2102" s="281">
        <f t="shared" si="949"/>
        <v>0</v>
      </c>
      <c r="AT2102" s="284">
        <f t="shared" si="950"/>
        <v>0</v>
      </c>
    </row>
    <row r="2103" spans="1:46" s="32" customFormat="1" ht="30.9" x14ac:dyDescent="0.8">
      <c r="A2103" s="262">
        <f>ROW()</f>
        <v>2103</v>
      </c>
      <c r="B2103" s="114"/>
      <c r="C2103" s="208"/>
      <c r="D2103" s="208"/>
      <c r="E2103" s="208"/>
      <c r="F2103" s="208"/>
      <c r="G2103" s="208"/>
      <c r="H2103" s="208"/>
      <c r="I2103" s="114"/>
      <c r="J2103" s="32" t="str">
        <f t="shared" si="967"/>
        <v/>
      </c>
      <c r="K2103" s="32" t="str">
        <f>IF(COUNTBLANK(R2103)&gt;0,"",CONCATENATE(R2103," for ",N2095))</f>
        <v/>
      </c>
      <c r="N2103" s="15" t="s">
        <v>120</v>
      </c>
      <c r="O2103" s="12"/>
      <c r="P2103" s="12"/>
      <c r="Q2103" s="12"/>
      <c r="R2103" s="12"/>
      <c r="S2103" s="28"/>
      <c r="T2103" s="11"/>
      <c r="U2103" s="12" t="s">
        <v>292</v>
      </c>
      <c r="V2103" s="28">
        <f t="shared" si="961"/>
        <v>0</v>
      </c>
      <c r="W2103" s="28">
        <f>VLOOKUP(U2103,Sheet1!$B$6:$C$45,2,FALSE)*V2103</f>
        <v>0</v>
      </c>
      <c r="X2103" s="59"/>
      <c r="Y2103" s="12" t="s">
        <v>292</v>
      </c>
      <c r="Z2103" s="68">
        <f>VLOOKUP(Takeoffs!Y2103,Sheet1!$B$6:$C$124,2,FALSE)</f>
        <v>0</v>
      </c>
      <c r="AA2103" s="68">
        <f t="shared" si="962"/>
        <v>0</v>
      </c>
      <c r="AB2103" s="63">
        <f t="shared" si="963"/>
        <v>0</v>
      </c>
      <c r="AC2103" s="28">
        <f t="shared" si="968"/>
        <v>0</v>
      </c>
      <c r="AD2103" s="61">
        <v>1</v>
      </c>
      <c r="AE2103" s="59"/>
      <c r="AF2103" s="12" t="s">
        <v>292</v>
      </c>
      <c r="AG2103" s="68">
        <f>VLOOKUP(Takeoffs!AF2103,Sheet1!$B$6:$C$124,2,FALSE)</f>
        <v>0</v>
      </c>
      <c r="AH2103" s="68">
        <f t="shared" si="964"/>
        <v>0</v>
      </c>
      <c r="AI2103" s="63">
        <f t="shared" si="965"/>
        <v>0</v>
      </c>
      <c r="AJ2103" s="28">
        <f t="shared" si="966"/>
        <v>0</v>
      </c>
      <c r="AK2103" s="61"/>
      <c r="AL2103" s="59"/>
      <c r="AO2103" s="286"/>
      <c r="AP2103" s="284">
        <f t="shared" si="946"/>
        <v>0</v>
      </c>
      <c r="AQ2103" s="281">
        <f t="shared" si="947"/>
        <v>0</v>
      </c>
      <c r="AR2103" s="284">
        <f t="shared" si="948"/>
        <v>0</v>
      </c>
      <c r="AS2103" s="281">
        <f t="shared" si="949"/>
        <v>0</v>
      </c>
      <c r="AT2103" s="284">
        <f t="shared" si="950"/>
        <v>0</v>
      </c>
    </row>
    <row r="2104" spans="1:46" s="32" customFormat="1" ht="30.9" x14ac:dyDescent="0.8">
      <c r="A2104" s="262">
        <f>ROW()</f>
        <v>2104</v>
      </c>
      <c r="B2104" s="114"/>
      <c r="C2104" s="208"/>
      <c r="D2104" s="208"/>
      <c r="E2104" s="208"/>
      <c r="F2104" s="208"/>
      <c r="G2104" s="208"/>
      <c r="H2104" s="208"/>
      <c r="I2104" s="114"/>
      <c r="J2104" s="32" t="str">
        <f t="shared" si="967"/>
        <v/>
      </c>
      <c r="K2104" s="32" t="str">
        <f>IF(COUNTBLANK(R2104)&gt;0,"",CONCATENATE(R2104," for ",N2095))</f>
        <v/>
      </c>
      <c r="N2104" s="15" t="s">
        <v>121</v>
      </c>
      <c r="O2104" s="12"/>
      <c r="P2104" s="12"/>
      <c r="Q2104" s="12"/>
      <c r="R2104" s="12"/>
      <c r="S2104" s="28"/>
      <c r="T2104" s="11"/>
      <c r="U2104" s="12" t="s">
        <v>292</v>
      </c>
      <c r="V2104" s="28">
        <f t="shared" si="961"/>
        <v>0</v>
      </c>
      <c r="W2104" s="28">
        <f>VLOOKUP(U2104,Sheet1!$B$6:$C$45,2,FALSE)*V2104</f>
        <v>0</v>
      </c>
      <c r="X2104" s="59"/>
      <c r="Y2104" s="12" t="s">
        <v>292</v>
      </c>
      <c r="Z2104" s="68">
        <f>VLOOKUP(Takeoffs!Y2104,Sheet1!$B$6:$C$124,2,FALSE)</f>
        <v>0</v>
      </c>
      <c r="AA2104" s="68">
        <f t="shared" ref="AA2104:AA2115" si="969">Z2104*AB2104</f>
        <v>0</v>
      </c>
      <c r="AB2104" s="63">
        <f t="shared" ref="AB2104:AB2115" si="970">AD2104*AC2104</f>
        <v>0</v>
      </c>
      <c r="AC2104" s="28">
        <f t="shared" si="968"/>
        <v>0</v>
      </c>
      <c r="AD2104" s="61">
        <v>1</v>
      </c>
      <c r="AE2104" s="59"/>
      <c r="AF2104" s="12" t="s">
        <v>292</v>
      </c>
      <c r="AG2104" s="68">
        <f>VLOOKUP(Takeoffs!AF2104,Sheet1!$B$6:$C$124,2,FALSE)</f>
        <v>0</v>
      </c>
      <c r="AH2104" s="68">
        <f t="shared" si="964"/>
        <v>0</v>
      </c>
      <c r="AI2104" s="63">
        <f t="shared" si="965"/>
        <v>0</v>
      </c>
      <c r="AJ2104" s="28">
        <f t="shared" si="966"/>
        <v>0</v>
      </c>
      <c r="AK2104" s="61"/>
      <c r="AL2104" s="59"/>
      <c r="AO2104" s="286"/>
      <c r="AP2104" s="284">
        <f t="shared" si="946"/>
        <v>0</v>
      </c>
      <c r="AQ2104" s="281">
        <f t="shared" si="947"/>
        <v>0</v>
      </c>
      <c r="AR2104" s="284">
        <f t="shared" si="948"/>
        <v>0</v>
      </c>
      <c r="AS2104" s="281">
        <f t="shared" si="949"/>
        <v>0</v>
      </c>
      <c r="AT2104" s="284">
        <f t="shared" si="950"/>
        <v>0</v>
      </c>
    </row>
    <row r="2105" spans="1:46" s="32" customFormat="1" ht="30.9" x14ac:dyDescent="0.8">
      <c r="A2105" s="262">
        <f>ROW()</f>
        <v>2105</v>
      </c>
      <c r="B2105" s="114"/>
      <c r="C2105" s="208"/>
      <c r="D2105" s="208"/>
      <c r="E2105" s="208"/>
      <c r="F2105" s="208"/>
      <c r="G2105" s="208"/>
      <c r="H2105" s="208"/>
      <c r="I2105" s="114"/>
      <c r="J2105" s="32" t="str">
        <f t="shared" si="967"/>
        <v/>
      </c>
      <c r="K2105" s="32" t="str">
        <f>IF(COUNTBLANK(R2105)&gt;0,"",CONCATENATE(R2105," for ",N2095))</f>
        <v/>
      </c>
      <c r="N2105" s="15" t="s">
        <v>122</v>
      </c>
      <c r="O2105" s="12"/>
      <c r="P2105" s="12"/>
      <c r="Q2105" s="12"/>
      <c r="R2105" s="12"/>
      <c r="S2105" s="28"/>
      <c r="T2105" s="11"/>
      <c r="U2105" s="12" t="s">
        <v>292</v>
      </c>
      <c r="V2105" s="28">
        <f t="shared" si="961"/>
        <v>0</v>
      </c>
      <c r="W2105" s="28">
        <f>VLOOKUP(U2105,Sheet1!$B$6:$C$45,2,FALSE)*V2105</f>
        <v>0</v>
      </c>
      <c r="X2105" s="59"/>
      <c r="Y2105" s="12" t="s">
        <v>292</v>
      </c>
      <c r="Z2105" s="68">
        <f>VLOOKUP(Takeoffs!Y2105,Sheet1!$B$6:$C$124,2,FALSE)</f>
        <v>0</v>
      </c>
      <c r="AA2105" s="68">
        <f t="shared" si="969"/>
        <v>0</v>
      </c>
      <c r="AB2105" s="63">
        <f t="shared" si="970"/>
        <v>0</v>
      </c>
      <c r="AC2105" s="28">
        <f t="shared" si="968"/>
        <v>0</v>
      </c>
      <c r="AD2105" s="61">
        <v>1</v>
      </c>
      <c r="AE2105" s="59"/>
      <c r="AF2105" s="12" t="s">
        <v>292</v>
      </c>
      <c r="AG2105" s="68">
        <f>VLOOKUP(Takeoffs!AF2105,Sheet1!$B$6:$C$124,2,FALSE)</f>
        <v>0</v>
      </c>
      <c r="AH2105" s="68">
        <f t="shared" si="964"/>
        <v>0</v>
      </c>
      <c r="AI2105" s="63">
        <f t="shared" si="965"/>
        <v>0</v>
      </c>
      <c r="AJ2105" s="28">
        <f t="shared" si="966"/>
        <v>0</v>
      </c>
      <c r="AK2105" s="61"/>
      <c r="AL2105" s="59"/>
      <c r="AO2105" s="286"/>
      <c r="AP2105" s="284">
        <f t="shared" si="946"/>
        <v>0</v>
      </c>
      <c r="AQ2105" s="281">
        <f t="shared" si="947"/>
        <v>0</v>
      </c>
      <c r="AR2105" s="284">
        <f t="shared" si="948"/>
        <v>0</v>
      </c>
      <c r="AS2105" s="281">
        <f t="shared" si="949"/>
        <v>0</v>
      </c>
      <c r="AT2105" s="284">
        <f t="shared" si="950"/>
        <v>0</v>
      </c>
    </row>
    <row r="2106" spans="1:46" s="32" customFormat="1" ht="30.9" x14ac:dyDescent="0.8">
      <c r="A2106" s="262">
        <f>ROW()</f>
        <v>2106</v>
      </c>
      <c r="B2106" s="114"/>
      <c r="C2106" s="208"/>
      <c r="D2106" s="208"/>
      <c r="E2106" s="208"/>
      <c r="F2106" s="208"/>
      <c r="G2106" s="208"/>
      <c r="H2106" s="208"/>
      <c r="I2106" s="114"/>
      <c r="J2106" s="32" t="str">
        <f t="shared" si="967"/>
        <v/>
      </c>
      <c r="K2106" s="32" t="str">
        <f>IF(COUNTBLANK(R2106)&gt;0,"",CONCATENATE(R2106," for ",N2095))</f>
        <v/>
      </c>
      <c r="N2106" s="15" t="s">
        <v>123</v>
      </c>
      <c r="O2106" s="12"/>
      <c r="P2106" s="12"/>
      <c r="Q2106" s="12"/>
      <c r="R2106" s="12"/>
      <c r="S2106" s="28"/>
      <c r="T2106" s="11"/>
      <c r="U2106" s="12" t="s">
        <v>292</v>
      </c>
      <c r="V2106" s="28">
        <f t="shared" si="961"/>
        <v>0</v>
      </c>
      <c r="W2106" s="28">
        <f>VLOOKUP(U2106,Sheet1!$B$6:$C$45,2,FALSE)*V2106</f>
        <v>0</v>
      </c>
      <c r="X2106" s="59"/>
      <c r="Y2106" s="12" t="s">
        <v>292</v>
      </c>
      <c r="Z2106" s="68">
        <f>VLOOKUP(Takeoffs!Y2106,Sheet1!$B$6:$C$124,2,FALSE)</f>
        <v>0</v>
      </c>
      <c r="AA2106" s="68">
        <f t="shared" si="969"/>
        <v>0</v>
      </c>
      <c r="AB2106" s="63">
        <f t="shared" si="970"/>
        <v>0</v>
      </c>
      <c r="AC2106" s="28">
        <f t="shared" si="968"/>
        <v>0</v>
      </c>
      <c r="AD2106" s="61">
        <v>1</v>
      </c>
      <c r="AE2106" s="59"/>
      <c r="AF2106" s="12" t="s">
        <v>292</v>
      </c>
      <c r="AG2106" s="68">
        <f>VLOOKUP(Takeoffs!AF2106,Sheet1!$B$6:$C$124,2,FALSE)</f>
        <v>0</v>
      </c>
      <c r="AH2106" s="68">
        <f t="shared" ref="AH2106:AH2115" si="971">AG2106*AI2106</f>
        <v>0</v>
      </c>
      <c r="AI2106" s="63">
        <f t="shared" si="965"/>
        <v>0</v>
      </c>
      <c r="AJ2106" s="28">
        <f t="shared" si="966"/>
        <v>0</v>
      </c>
      <c r="AK2106" s="61"/>
      <c r="AL2106" s="59"/>
      <c r="AO2106" s="286"/>
      <c r="AP2106" s="284">
        <f t="shared" si="946"/>
        <v>0</v>
      </c>
      <c r="AQ2106" s="281">
        <f t="shared" si="947"/>
        <v>0</v>
      </c>
      <c r="AR2106" s="284">
        <f t="shared" si="948"/>
        <v>0</v>
      </c>
      <c r="AS2106" s="281">
        <f t="shared" si="949"/>
        <v>0</v>
      </c>
      <c r="AT2106" s="284">
        <f t="shared" si="950"/>
        <v>0</v>
      </c>
    </row>
    <row r="2107" spans="1:46" s="32" customFormat="1" ht="30.9" x14ac:dyDescent="0.8">
      <c r="A2107" s="262">
        <f>ROW()</f>
        <v>2107</v>
      </c>
      <c r="B2107" s="114"/>
      <c r="C2107" s="208"/>
      <c r="D2107" s="208"/>
      <c r="E2107" s="208"/>
      <c r="F2107" s="208"/>
      <c r="G2107" s="208"/>
      <c r="H2107" s="208"/>
      <c r="I2107" s="114"/>
      <c r="J2107" s="32" t="str">
        <f t="shared" si="967"/>
        <v/>
      </c>
      <c r="K2107" s="32" t="str">
        <f>IF(COUNTBLANK(R2107)&gt;0,"",CONCATENATE(R2107," for ",N2095))</f>
        <v/>
      </c>
      <c r="N2107" s="15" t="s">
        <v>124</v>
      </c>
      <c r="O2107" s="12"/>
      <c r="P2107" s="12"/>
      <c r="Q2107" s="12"/>
      <c r="R2107" s="12"/>
      <c r="S2107" s="28"/>
      <c r="T2107" s="11"/>
      <c r="U2107" s="12" t="s">
        <v>292</v>
      </c>
      <c r="V2107" s="28">
        <f t="shared" si="961"/>
        <v>0</v>
      </c>
      <c r="W2107" s="28">
        <f>VLOOKUP(U2107,Sheet1!$B$6:$C$45,2,FALSE)*V2107</f>
        <v>0</v>
      </c>
      <c r="X2107" s="59"/>
      <c r="Y2107" s="12" t="s">
        <v>292</v>
      </c>
      <c r="Z2107" s="68">
        <f>VLOOKUP(Takeoffs!Y2107,Sheet1!$B$6:$C$124,2,FALSE)</f>
        <v>0</v>
      </c>
      <c r="AA2107" s="68">
        <f t="shared" si="969"/>
        <v>0</v>
      </c>
      <c r="AB2107" s="63">
        <f t="shared" si="970"/>
        <v>0</v>
      </c>
      <c r="AC2107" s="28">
        <f t="shared" si="968"/>
        <v>0</v>
      </c>
      <c r="AD2107" s="61">
        <v>1</v>
      </c>
      <c r="AE2107" s="59"/>
      <c r="AF2107" s="12" t="s">
        <v>292</v>
      </c>
      <c r="AG2107" s="68">
        <f>VLOOKUP(Takeoffs!AF2107,Sheet1!$B$6:$C$124,2,FALSE)</f>
        <v>0</v>
      </c>
      <c r="AH2107" s="68">
        <f t="shared" si="971"/>
        <v>0</v>
      </c>
      <c r="AI2107" s="63">
        <f t="shared" ref="AI2107:AI2115" si="972">AK2107*AJ2107</f>
        <v>0</v>
      </c>
      <c r="AJ2107" s="28">
        <f t="shared" ref="AJ2107:AJ2115" si="973">S2107</f>
        <v>0</v>
      </c>
      <c r="AK2107" s="61"/>
      <c r="AL2107" s="59"/>
      <c r="AO2107" s="286"/>
      <c r="AP2107" s="284">
        <f t="shared" si="946"/>
        <v>0</v>
      </c>
      <c r="AQ2107" s="281">
        <f t="shared" si="947"/>
        <v>0</v>
      </c>
      <c r="AR2107" s="284">
        <f t="shared" si="948"/>
        <v>0</v>
      </c>
      <c r="AS2107" s="281">
        <f t="shared" si="949"/>
        <v>0</v>
      </c>
      <c r="AT2107" s="284">
        <f t="shared" si="950"/>
        <v>0</v>
      </c>
    </row>
    <row r="2108" spans="1:46" s="32" customFormat="1" ht="30.9" x14ac:dyDescent="0.8">
      <c r="A2108" s="262">
        <f>ROW()</f>
        <v>2108</v>
      </c>
      <c r="B2108" s="114"/>
      <c r="C2108" s="208"/>
      <c r="D2108" s="208"/>
      <c r="E2108" s="208"/>
      <c r="F2108" s="208"/>
      <c r="G2108" s="208"/>
      <c r="H2108" s="208"/>
      <c r="I2108" s="114"/>
      <c r="J2108" s="32" t="str">
        <f t="shared" si="967"/>
        <v/>
      </c>
      <c r="K2108" s="32" t="str">
        <f>IF(COUNTBLANK(R2108)&gt;0,"",CONCATENATE(R2108," for ",N2095))</f>
        <v/>
      </c>
      <c r="N2108" s="15" t="s">
        <v>125</v>
      </c>
      <c r="O2108" s="12"/>
      <c r="P2108" s="12"/>
      <c r="Q2108" s="12"/>
      <c r="R2108" s="12"/>
      <c r="S2108" s="28"/>
      <c r="T2108" s="11"/>
      <c r="U2108" s="12" t="s">
        <v>292</v>
      </c>
      <c r="V2108" s="28">
        <f t="shared" si="961"/>
        <v>0</v>
      </c>
      <c r="W2108" s="28">
        <f>VLOOKUP(U2108,Sheet1!$B$6:$C$45,2,FALSE)*V2108</f>
        <v>0</v>
      </c>
      <c r="X2108" s="59"/>
      <c r="Y2108" s="12" t="s">
        <v>292</v>
      </c>
      <c r="Z2108" s="68">
        <f>VLOOKUP(Takeoffs!Y2108,Sheet1!$B$6:$C$124,2,FALSE)</f>
        <v>0</v>
      </c>
      <c r="AA2108" s="68">
        <f t="shared" si="969"/>
        <v>0</v>
      </c>
      <c r="AB2108" s="63">
        <f t="shared" si="970"/>
        <v>0</v>
      </c>
      <c r="AC2108" s="28">
        <f t="shared" si="968"/>
        <v>0</v>
      </c>
      <c r="AD2108" s="61">
        <v>1</v>
      </c>
      <c r="AE2108" s="59"/>
      <c r="AF2108" s="12" t="s">
        <v>292</v>
      </c>
      <c r="AG2108" s="68">
        <f>VLOOKUP(Takeoffs!AF2108,Sheet1!$B$6:$C$124,2,FALSE)</f>
        <v>0</v>
      </c>
      <c r="AH2108" s="68">
        <f t="shared" si="971"/>
        <v>0</v>
      </c>
      <c r="AI2108" s="63">
        <f t="shared" si="972"/>
        <v>0</v>
      </c>
      <c r="AJ2108" s="28">
        <f t="shared" si="973"/>
        <v>0</v>
      </c>
      <c r="AK2108" s="61"/>
      <c r="AL2108" s="59"/>
      <c r="AO2108" s="286"/>
      <c r="AP2108" s="284">
        <f t="shared" si="946"/>
        <v>0</v>
      </c>
      <c r="AQ2108" s="281">
        <f t="shared" si="947"/>
        <v>0</v>
      </c>
      <c r="AR2108" s="284">
        <f t="shared" si="948"/>
        <v>0</v>
      </c>
      <c r="AS2108" s="281">
        <f t="shared" si="949"/>
        <v>0</v>
      </c>
      <c r="AT2108" s="284">
        <f t="shared" si="950"/>
        <v>0</v>
      </c>
    </row>
    <row r="2109" spans="1:46" s="32" customFormat="1" ht="30.9" x14ac:dyDescent="0.8">
      <c r="A2109" s="262">
        <f>ROW()</f>
        <v>2109</v>
      </c>
      <c r="B2109" s="114"/>
      <c r="C2109" s="208"/>
      <c r="D2109" s="208"/>
      <c r="E2109" s="208"/>
      <c r="F2109" s="208"/>
      <c r="G2109" s="208"/>
      <c r="H2109" s="208"/>
      <c r="I2109" s="114"/>
      <c r="J2109" s="32" t="str">
        <f t="shared" si="967"/>
        <v/>
      </c>
      <c r="K2109" s="32" t="str">
        <f>IF(COUNTBLANK(R2109)&gt;0,"",CONCATENATE(R2109," for ",N2095))</f>
        <v/>
      </c>
      <c r="N2109" s="15" t="s">
        <v>126</v>
      </c>
      <c r="O2109" s="12"/>
      <c r="P2109" s="12"/>
      <c r="Q2109" s="12"/>
      <c r="R2109" s="12"/>
      <c r="S2109" s="28"/>
      <c r="T2109" s="11"/>
      <c r="U2109" s="12" t="s">
        <v>292</v>
      </c>
      <c r="V2109" s="28">
        <f t="shared" si="961"/>
        <v>0</v>
      </c>
      <c r="W2109" s="28">
        <f>VLOOKUP(U2109,Sheet1!$B$6:$C$45,2,FALSE)*V2109</f>
        <v>0</v>
      </c>
      <c r="X2109" s="59"/>
      <c r="Y2109" s="12" t="s">
        <v>292</v>
      </c>
      <c r="Z2109" s="68">
        <f>VLOOKUP(Takeoffs!Y2109,Sheet1!$B$6:$C$124,2,FALSE)</f>
        <v>0</v>
      </c>
      <c r="AA2109" s="68">
        <f t="shared" si="969"/>
        <v>0</v>
      </c>
      <c r="AB2109" s="63">
        <f t="shared" si="970"/>
        <v>0</v>
      </c>
      <c r="AC2109" s="28">
        <f t="shared" si="968"/>
        <v>0</v>
      </c>
      <c r="AD2109" s="61">
        <v>1</v>
      </c>
      <c r="AE2109" s="59"/>
      <c r="AF2109" s="12" t="s">
        <v>292</v>
      </c>
      <c r="AG2109" s="68">
        <f>VLOOKUP(Takeoffs!AF2109,Sheet1!$B$6:$C$124,2,FALSE)</f>
        <v>0</v>
      </c>
      <c r="AH2109" s="68">
        <f t="shared" si="971"/>
        <v>0</v>
      </c>
      <c r="AI2109" s="63">
        <f t="shared" si="972"/>
        <v>0</v>
      </c>
      <c r="AJ2109" s="28">
        <f t="shared" si="973"/>
        <v>0</v>
      </c>
      <c r="AK2109" s="61">
        <f t="shared" ref="AK2109:AK2115" si="974">T2109</f>
        <v>0</v>
      </c>
      <c r="AL2109" s="59"/>
      <c r="AO2109" s="286"/>
      <c r="AP2109" s="284">
        <f t="shared" si="946"/>
        <v>0</v>
      </c>
      <c r="AQ2109" s="281">
        <f t="shared" si="947"/>
        <v>0</v>
      </c>
      <c r="AR2109" s="284">
        <f t="shared" si="948"/>
        <v>0</v>
      </c>
      <c r="AS2109" s="281">
        <f t="shared" si="949"/>
        <v>0</v>
      </c>
      <c r="AT2109" s="284">
        <f t="shared" si="950"/>
        <v>0</v>
      </c>
    </row>
    <row r="2110" spans="1:46" s="32" customFormat="1" ht="30.9" x14ac:dyDescent="0.8">
      <c r="A2110" s="262">
        <f>ROW()</f>
        <v>2110</v>
      </c>
      <c r="B2110" s="114"/>
      <c r="C2110" s="208"/>
      <c r="D2110" s="208"/>
      <c r="E2110" s="208"/>
      <c r="F2110" s="208"/>
      <c r="G2110" s="208"/>
      <c r="H2110" s="208"/>
      <c r="I2110" s="114"/>
      <c r="J2110" s="114" t="str">
        <f t="shared" si="967"/>
        <v/>
      </c>
      <c r="K2110" s="32" t="str">
        <f>IF(COUNTBLANK(R2110)&gt;0,"",CONCATENATE(R2110," for ",N2095))</f>
        <v/>
      </c>
      <c r="N2110" s="15" t="s">
        <v>127</v>
      </c>
      <c r="O2110" s="12"/>
      <c r="P2110" s="12"/>
      <c r="Q2110" s="12"/>
      <c r="R2110" s="12"/>
      <c r="S2110" s="28"/>
      <c r="T2110" s="11"/>
      <c r="U2110" s="12" t="s">
        <v>292</v>
      </c>
      <c r="V2110" s="28">
        <f t="shared" si="961"/>
        <v>0</v>
      </c>
      <c r="W2110" s="28">
        <f>VLOOKUP(U2110,Sheet1!$B$6:$C$45,2,FALSE)*V2110</f>
        <v>0</v>
      </c>
      <c r="X2110" s="59"/>
      <c r="Y2110" s="12" t="s">
        <v>292</v>
      </c>
      <c r="Z2110" s="68">
        <f>VLOOKUP(Takeoffs!Y2110,Sheet1!$B$6:$C$124,2,FALSE)</f>
        <v>0</v>
      </c>
      <c r="AA2110" s="68">
        <f t="shared" si="969"/>
        <v>0</v>
      </c>
      <c r="AB2110" s="63">
        <f t="shared" si="970"/>
        <v>0</v>
      </c>
      <c r="AC2110" s="28">
        <f t="shared" si="968"/>
        <v>0</v>
      </c>
      <c r="AD2110" s="61">
        <v>1</v>
      </c>
      <c r="AE2110" s="59"/>
      <c r="AF2110" s="12" t="s">
        <v>292</v>
      </c>
      <c r="AG2110" s="68">
        <f>VLOOKUP(Takeoffs!AF2110,Sheet1!$B$6:$C$124,2,FALSE)</f>
        <v>0</v>
      </c>
      <c r="AH2110" s="68">
        <f t="shared" si="971"/>
        <v>0</v>
      </c>
      <c r="AI2110" s="63">
        <f t="shared" si="972"/>
        <v>0</v>
      </c>
      <c r="AJ2110" s="28">
        <f t="shared" si="973"/>
        <v>0</v>
      </c>
      <c r="AK2110" s="61">
        <f t="shared" si="974"/>
        <v>0</v>
      </c>
      <c r="AL2110" s="59"/>
      <c r="AO2110" s="286"/>
      <c r="AP2110" s="284">
        <f t="shared" si="946"/>
        <v>0</v>
      </c>
      <c r="AQ2110" s="281">
        <f t="shared" si="947"/>
        <v>0</v>
      </c>
      <c r="AR2110" s="284">
        <f t="shared" si="948"/>
        <v>0</v>
      </c>
      <c r="AS2110" s="281">
        <f t="shared" si="949"/>
        <v>0</v>
      </c>
      <c r="AT2110" s="284">
        <f t="shared" si="950"/>
        <v>0</v>
      </c>
    </row>
    <row r="2111" spans="1:46" s="32" customFormat="1" ht="30.9" x14ac:dyDescent="0.8">
      <c r="A2111" s="262">
        <f>ROW()</f>
        <v>2111</v>
      </c>
      <c r="B2111" s="114"/>
      <c r="C2111" s="208"/>
      <c r="D2111" s="208"/>
      <c r="E2111" s="208"/>
      <c r="F2111" s="208"/>
      <c r="G2111" s="208"/>
      <c r="H2111" s="208"/>
      <c r="I2111" s="114"/>
      <c r="J2111" s="32" t="str">
        <f t="shared" si="967"/>
        <v/>
      </c>
      <c r="K2111" s="32" t="str">
        <f>IF(COUNTBLANK(R2111)&gt;0,"",CONCATENATE(R2111," for ",N2095))</f>
        <v/>
      </c>
      <c r="N2111" s="15" t="s">
        <v>128</v>
      </c>
      <c r="O2111" s="12"/>
      <c r="P2111" s="12"/>
      <c r="Q2111" s="12"/>
      <c r="R2111" s="12"/>
      <c r="S2111" s="28"/>
      <c r="T2111" s="11"/>
      <c r="U2111" s="12" t="s">
        <v>292</v>
      </c>
      <c r="V2111" s="28">
        <f t="shared" si="961"/>
        <v>0</v>
      </c>
      <c r="W2111" s="28">
        <f>VLOOKUP(U2111,Sheet1!$B$6:$C$45,2,FALSE)*V2111</f>
        <v>0</v>
      </c>
      <c r="X2111" s="59"/>
      <c r="Y2111" s="12" t="s">
        <v>292</v>
      </c>
      <c r="Z2111" s="68">
        <f>VLOOKUP(Takeoffs!Y2111,Sheet1!$B$6:$C$124,2,FALSE)</f>
        <v>0</v>
      </c>
      <c r="AA2111" s="68">
        <f t="shared" si="969"/>
        <v>0</v>
      </c>
      <c r="AB2111" s="63">
        <f t="shared" si="970"/>
        <v>0</v>
      </c>
      <c r="AC2111" s="28">
        <f t="shared" si="968"/>
        <v>0</v>
      </c>
      <c r="AD2111" s="61">
        <v>1</v>
      </c>
      <c r="AE2111" s="59"/>
      <c r="AF2111" s="12" t="s">
        <v>292</v>
      </c>
      <c r="AG2111" s="68">
        <f>VLOOKUP(Takeoffs!AF2111,Sheet1!$B$6:$C$124,2,FALSE)</f>
        <v>0</v>
      </c>
      <c r="AH2111" s="68">
        <f t="shared" si="971"/>
        <v>0</v>
      </c>
      <c r="AI2111" s="63">
        <f t="shared" si="972"/>
        <v>0</v>
      </c>
      <c r="AJ2111" s="28">
        <f t="shared" si="973"/>
        <v>0</v>
      </c>
      <c r="AK2111" s="61">
        <f t="shared" si="974"/>
        <v>0</v>
      </c>
      <c r="AL2111" s="59"/>
      <c r="AO2111" s="286"/>
      <c r="AP2111" s="284">
        <f t="shared" si="946"/>
        <v>0</v>
      </c>
      <c r="AQ2111" s="281">
        <f t="shared" si="947"/>
        <v>0</v>
      </c>
      <c r="AR2111" s="284">
        <f t="shared" si="948"/>
        <v>0</v>
      </c>
      <c r="AS2111" s="281">
        <f t="shared" si="949"/>
        <v>0</v>
      </c>
      <c r="AT2111" s="284">
        <f t="shared" si="950"/>
        <v>0</v>
      </c>
    </row>
    <row r="2112" spans="1:46" s="32" customFormat="1" ht="30.9" x14ac:dyDescent="0.8">
      <c r="A2112" s="262">
        <f>ROW()</f>
        <v>2112</v>
      </c>
      <c r="B2112" s="114"/>
      <c r="C2112" s="208"/>
      <c r="D2112" s="208"/>
      <c r="E2112" s="208"/>
      <c r="F2112" s="208"/>
      <c r="G2112" s="208"/>
      <c r="H2112" s="208"/>
      <c r="I2112" s="114"/>
      <c r="J2112" s="32" t="str">
        <f t="shared" si="967"/>
        <v/>
      </c>
      <c r="K2112" s="32" t="str">
        <f>IF(COUNTBLANK(R2112)&gt;0,"",CONCATENATE(R2112," for ",N2095))</f>
        <v/>
      </c>
      <c r="N2112" s="15" t="s">
        <v>129</v>
      </c>
      <c r="O2112" s="12"/>
      <c r="P2112" s="12"/>
      <c r="Q2112" s="12"/>
      <c r="R2112" s="12"/>
      <c r="S2112" s="28"/>
      <c r="T2112" s="11"/>
      <c r="U2112" s="12" t="s">
        <v>292</v>
      </c>
      <c r="V2112" s="28">
        <f t="shared" si="961"/>
        <v>0</v>
      </c>
      <c r="W2112" s="28">
        <f>VLOOKUP(U2112,Sheet1!$B$6:$C$45,2,FALSE)*V2112</f>
        <v>0</v>
      </c>
      <c r="X2112" s="59"/>
      <c r="Y2112" s="12" t="s">
        <v>292</v>
      </c>
      <c r="Z2112" s="68">
        <f>VLOOKUP(Takeoffs!Y2112,Sheet1!$B$6:$C$124,2,FALSE)</f>
        <v>0</v>
      </c>
      <c r="AA2112" s="68">
        <f t="shared" si="969"/>
        <v>0</v>
      </c>
      <c r="AB2112" s="63">
        <f t="shared" si="970"/>
        <v>0</v>
      </c>
      <c r="AC2112" s="28">
        <f t="shared" si="968"/>
        <v>0</v>
      </c>
      <c r="AD2112" s="61">
        <v>1</v>
      </c>
      <c r="AE2112" s="59"/>
      <c r="AF2112" s="12" t="s">
        <v>292</v>
      </c>
      <c r="AG2112" s="68">
        <f>VLOOKUP(Takeoffs!AF2112,Sheet1!$B$6:$C$124,2,FALSE)</f>
        <v>0</v>
      </c>
      <c r="AH2112" s="68">
        <f t="shared" si="971"/>
        <v>0</v>
      </c>
      <c r="AI2112" s="63">
        <f t="shared" si="972"/>
        <v>0</v>
      </c>
      <c r="AJ2112" s="28">
        <f t="shared" si="973"/>
        <v>0</v>
      </c>
      <c r="AK2112" s="61">
        <f t="shared" si="974"/>
        <v>0</v>
      </c>
      <c r="AL2112" s="59"/>
      <c r="AO2112" s="286"/>
      <c r="AP2112" s="284">
        <f t="shared" si="946"/>
        <v>0</v>
      </c>
      <c r="AQ2112" s="281">
        <f t="shared" si="947"/>
        <v>0</v>
      </c>
      <c r="AR2112" s="284">
        <f t="shared" si="948"/>
        <v>0</v>
      </c>
      <c r="AS2112" s="281">
        <f t="shared" si="949"/>
        <v>0</v>
      </c>
      <c r="AT2112" s="284">
        <f t="shared" si="950"/>
        <v>0</v>
      </c>
    </row>
    <row r="2113" spans="1:97" s="32" customFormat="1" ht="30.9" x14ac:dyDescent="0.8">
      <c r="A2113" s="262">
        <f>ROW()</f>
        <v>2113</v>
      </c>
      <c r="B2113" s="114"/>
      <c r="C2113" s="208"/>
      <c r="D2113" s="208"/>
      <c r="E2113" s="208"/>
      <c r="F2113" s="208"/>
      <c r="G2113" s="208"/>
      <c r="H2113" s="208"/>
      <c r="I2113" s="114"/>
      <c r="J2113" s="32" t="str">
        <f t="shared" si="967"/>
        <v/>
      </c>
      <c r="K2113" s="32" t="str">
        <f>IF(COUNTBLANK(R2113)&gt;0,"",CONCATENATE(R2113," for ",N2095))</f>
        <v/>
      </c>
      <c r="N2113" s="15" t="s">
        <v>130</v>
      </c>
      <c r="O2113" s="12"/>
      <c r="P2113" s="12"/>
      <c r="Q2113" s="12"/>
      <c r="R2113" s="12"/>
      <c r="S2113" s="28"/>
      <c r="T2113" s="11"/>
      <c r="U2113" s="12" t="s">
        <v>292</v>
      </c>
      <c r="V2113" s="28">
        <f t="shared" si="961"/>
        <v>0</v>
      </c>
      <c r="W2113" s="28">
        <f>VLOOKUP(U2113,Sheet1!$B$6:$C$45,2,FALSE)*V2113</f>
        <v>0</v>
      </c>
      <c r="X2113" s="59"/>
      <c r="Y2113" s="12" t="s">
        <v>292</v>
      </c>
      <c r="Z2113" s="68">
        <f>VLOOKUP(Takeoffs!Y2113,Sheet1!$B$6:$C$124,2,FALSE)</f>
        <v>0</v>
      </c>
      <c r="AA2113" s="68">
        <f t="shared" si="969"/>
        <v>0</v>
      </c>
      <c r="AB2113" s="63">
        <f t="shared" si="970"/>
        <v>0</v>
      </c>
      <c r="AC2113" s="28">
        <f t="shared" si="968"/>
        <v>0</v>
      </c>
      <c r="AD2113" s="61">
        <v>1</v>
      </c>
      <c r="AE2113" s="59"/>
      <c r="AF2113" s="12" t="s">
        <v>292</v>
      </c>
      <c r="AG2113" s="68">
        <f>VLOOKUP(Takeoffs!AF2113,Sheet1!$B$6:$C$124,2,FALSE)</f>
        <v>0</v>
      </c>
      <c r="AH2113" s="68">
        <f t="shared" si="971"/>
        <v>0</v>
      </c>
      <c r="AI2113" s="63">
        <f t="shared" si="972"/>
        <v>0</v>
      </c>
      <c r="AJ2113" s="28">
        <f t="shared" si="973"/>
        <v>0</v>
      </c>
      <c r="AK2113" s="61">
        <f t="shared" si="974"/>
        <v>0</v>
      </c>
      <c r="AL2113" s="59"/>
      <c r="AO2113" s="286"/>
      <c r="AP2113" s="284">
        <f t="shared" si="946"/>
        <v>0</v>
      </c>
      <c r="AQ2113" s="281">
        <f t="shared" si="947"/>
        <v>0</v>
      </c>
      <c r="AR2113" s="284">
        <f t="shared" si="948"/>
        <v>0</v>
      </c>
      <c r="AS2113" s="281">
        <f t="shared" si="949"/>
        <v>0</v>
      </c>
      <c r="AT2113" s="284">
        <f t="shared" si="950"/>
        <v>0</v>
      </c>
    </row>
    <row r="2114" spans="1:97" s="32" customFormat="1" ht="30.9" x14ac:dyDescent="0.8">
      <c r="A2114" s="262">
        <f>ROW()</f>
        <v>2114</v>
      </c>
      <c r="B2114" s="114"/>
      <c r="C2114" s="208"/>
      <c r="D2114" s="208"/>
      <c r="E2114" s="208"/>
      <c r="F2114" s="208"/>
      <c r="G2114" s="208"/>
      <c r="H2114" s="208"/>
      <c r="I2114" s="114"/>
      <c r="J2114" s="32" t="str">
        <f t="shared" si="967"/>
        <v/>
      </c>
      <c r="K2114" s="32" t="str">
        <f>IF(COUNTBLANK(R2114)&gt;0,"",CONCATENATE(R2114," for ",N2095))</f>
        <v/>
      </c>
      <c r="N2114" s="15" t="s">
        <v>131</v>
      </c>
      <c r="O2114" s="12"/>
      <c r="P2114" s="12"/>
      <c r="Q2114" s="12"/>
      <c r="R2114" s="12"/>
      <c r="S2114" s="28"/>
      <c r="T2114" s="11"/>
      <c r="U2114" s="12" t="s">
        <v>292</v>
      </c>
      <c r="V2114" s="28">
        <f t="shared" si="961"/>
        <v>0</v>
      </c>
      <c r="W2114" s="28">
        <f>VLOOKUP(U2114,Sheet1!$B$6:$C$45,2,FALSE)*V2114</f>
        <v>0</v>
      </c>
      <c r="X2114" s="59"/>
      <c r="Y2114" s="12" t="s">
        <v>292</v>
      </c>
      <c r="Z2114" s="68">
        <f>VLOOKUP(Takeoffs!Y2114,Sheet1!$B$6:$C$124,2,FALSE)</f>
        <v>0</v>
      </c>
      <c r="AA2114" s="68">
        <f t="shared" si="969"/>
        <v>0</v>
      </c>
      <c r="AB2114" s="63">
        <f t="shared" si="970"/>
        <v>0</v>
      </c>
      <c r="AC2114" s="28">
        <f t="shared" si="968"/>
        <v>0</v>
      </c>
      <c r="AD2114" s="61">
        <v>1</v>
      </c>
      <c r="AE2114" s="59"/>
      <c r="AF2114" s="12" t="s">
        <v>292</v>
      </c>
      <c r="AG2114" s="68">
        <f>VLOOKUP(Takeoffs!AF2114,Sheet1!$B$6:$C$124,2,FALSE)</f>
        <v>0</v>
      </c>
      <c r="AH2114" s="68">
        <f t="shared" si="971"/>
        <v>0</v>
      </c>
      <c r="AI2114" s="63">
        <f t="shared" si="972"/>
        <v>0</v>
      </c>
      <c r="AJ2114" s="28">
        <f t="shared" si="973"/>
        <v>0</v>
      </c>
      <c r="AK2114" s="61">
        <f t="shared" si="974"/>
        <v>0</v>
      </c>
      <c r="AL2114" s="59"/>
      <c r="AO2114" s="286"/>
      <c r="AP2114" s="284">
        <f t="shared" si="946"/>
        <v>0</v>
      </c>
      <c r="AQ2114" s="281">
        <f t="shared" si="947"/>
        <v>0</v>
      </c>
      <c r="AR2114" s="284">
        <f t="shared" si="948"/>
        <v>0</v>
      </c>
      <c r="AS2114" s="281">
        <f t="shared" si="949"/>
        <v>0</v>
      </c>
      <c r="AT2114" s="284">
        <f t="shared" si="950"/>
        <v>0</v>
      </c>
    </row>
    <row r="2115" spans="1:97" s="32" customFormat="1" ht="30.9" x14ac:dyDescent="0.8">
      <c r="A2115" s="262">
        <f>ROW()</f>
        <v>2115</v>
      </c>
      <c r="B2115" s="114"/>
      <c r="C2115" s="208"/>
      <c r="D2115" s="208"/>
      <c r="E2115" s="208"/>
      <c r="F2115" s="208"/>
      <c r="G2115" s="208"/>
      <c r="H2115" s="208"/>
      <c r="I2115" s="114"/>
      <c r="J2115" s="32" t="str">
        <f t="shared" si="967"/>
        <v/>
      </c>
      <c r="K2115" s="32" t="str">
        <f>IF(COUNTBLANK(R2115)&gt;0,"",CONCATENATE(R2115," for ",N2095))</f>
        <v/>
      </c>
      <c r="N2115" s="15" t="s">
        <v>132</v>
      </c>
      <c r="O2115" s="12"/>
      <c r="P2115" s="12"/>
      <c r="Q2115" s="12"/>
      <c r="R2115" s="12"/>
      <c r="S2115" s="28"/>
      <c r="T2115" s="11"/>
      <c r="U2115" s="12" t="s">
        <v>292</v>
      </c>
      <c r="V2115" s="28">
        <f t="shared" si="961"/>
        <v>0</v>
      </c>
      <c r="W2115" s="28">
        <f>VLOOKUP(U2115,Sheet1!$B$6:$C$45,2,FALSE)*V2115</f>
        <v>0</v>
      </c>
      <c r="X2115" s="59"/>
      <c r="Y2115" s="12" t="s">
        <v>292</v>
      </c>
      <c r="Z2115" s="68">
        <f>VLOOKUP(Takeoffs!Y2115,Sheet1!$B$6:$C$124,2,FALSE)</f>
        <v>0</v>
      </c>
      <c r="AA2115" s="68">
        <f t="shared" si="969"/>
        <v>0</v>
      </c>
      <c r="AB2115" s="63">
        <f t="shared" si="970"/>
        <v>0</v>
      </c>
      <c r="AC2115" s="28">
        <f t="shared" si="968"/>
        <v>0</v>
      </c>
      <c r="AD2115" s="61">
        <v>1</v>
      </c>
      <c r="AE2115" s="59"/>
      <c r="AF2115" s="12" t="s">
        <v>292</v>
      </c>
      <c r="AG2115" s="68">
        <f>VLOOKUP(Takeoffs!AF2115,Sheet1!$B$6:$C$124,2,FALSE)</f>
        <v>0</v>
      </c>
      <c r="AH2115" s="68">
        <f t="shared" si="971"/>
        <v>0</v>
      </c>
      <c r="AI2115" s="63">
        <f t="shared" si="972"/>
        <v>0</v>
      </c>
      <c r="AJ2115" s="28">
        <f t="shared" si="973"/>
        <v>0</v>
      </c>
      <c r="AK2115" s="61">
        <f t="shared" si="974"/>
        <v>0</v>
      </c>
      <c r="AL2115" s="59"/>
      <c r="AO2115" s="286"/>
      <c r="AP2115" s="284">
        <f t="shared" si="946"/>
        <v>0</v>
      </c>
      <c r="AQ2115" s="281">
        <f t="shared" si="947"/>
        <v>0</v>
      </c>
      <c r="AR2115" s="284">
        <f t="shared" si="948"/>
        <v>0</v>
      </c>
      <c r="AS2115" s="281">
        <f t="shared" si="949"/>
        <v>0</v>
      </c>
      <c r="AT2115" s="284">
        <f t="shared" si="950"/>
        <v>0</v>
      </c>
    </row>
    <row r="2116" spans="1:97" s="21" customFormat="1" ht="32.25" customHeight="1" x14ac:dyDescent="0.8">
      <c r="A2116" s="262">
        <f>ROW()</f>
        <v>2116</v>
      </c>
      <c r="B2116" s="128"/>
      <c r="C2116" s="212"/>
      <c r="D2116" s="212"/>
      <c r="E2116" s="212"/>
      <c r="F2116" s="212"/>
      <c r="G2116" s="212"/>
      <c r="H2116" s="212"/>
      <c r="I2116" s="128"/>
      <c r="N2116" s="22"/>
      <c r="O2116" s="76" t="s">
        <v>357</v>
      </c>
      <c r="P2116" s="100">
        <f>V2116+AA2116+AH2116</f>
        <v>18</v>
      </c>
      <c r="Q2116" s="77"/>
      <c r="R2116" s="77"/>
      <c r="S2116" s="76"/>
      <c r="T2116" s="78"/>
      <c r="U2116" s="79" t="s">
        <v>351</v>
      </c>
      <c r="V2116" s="78">
        <f>W2116*80</f>
        <v>0</v>
      </c>
      <c r="W2116" s="80">
        <f>SUM(W2095:W2115)</f>
        <v>0</v>
      </c>
      <c r="X2116" s="81"/>
      <c r="Y2116" s="78" t="s">
        <v>352</v>
      </c>
      <c r="Z2116" s="2"/>
      <c r="AA2116" s="2">
        <f>SUM(AA2095:AA2115)</f>
        <v>0</v>
      </c>
      <c r="AB2116" s="71"/>
      <c r="AC2116" s="71"/>
      <c r="AD2116" s="71"/>
      <c r="AE2116" s="71"/>
      <c r="AF2116" s="78" t="s">
        <v>356</v>
      </c>
      <c r="AG2116" s="2"/>
      <c r="AH2116" s="2">
        <f>SUM(AH2095:AH2115)</f>
        <v>18</v>
      </c>
      <c r="AI2116" s="71"/>
      <c r="AJ2116" s="71"/>
      <c r="AK2116" s="71"/>
      <c r="AL2116" s="71"/>
      <c r="AM2116" s="150">
        <f>P2116</f>
        <v>18</v>
      </c>
      <c r="AO2116" s="286"/>
      <c r="AP2116" s="284">
        <f t="shared" si="946"/>
        <v>0</v>
      </c>
      <c r="AQ2116" s="281">
        <f>V2116</f>
        <v>0</v>
      </c>
      <c r="AR2116" s="284">
        <f t="shared" si="948"/>
        <v>0</v>
      </c>
      <c r="AS2116" s="281">
        <f t="shared" si="949"/>
        <v>0</v>
      </c>
      <c r="AT2116" s="284">
        <f t="shared" si="950"/>
        <v>0</v>
      </c>
    </row>
    <row r="2117" spans="1:97" s="261" customFormat="1" ht="92.6" x14ac:dyDescent="1.2">
      <c r="A2117" s="262">
        <f>ROW()</f>
        <v>2117</v>
      </c>
      <c r="B2117" s="261" t="s">
        <v>491</v>
      </c>
      <c r="D2117" s="261" t="str">
        <f>IF(B2117="Shopping List",IF(ISNUMBER(SEARCH("MSSB",C2117)),"MSSB",IF(ISNUMBER(SEARCH("local",C2117)),"LOCAL","")))</f>
        <v/>
      </c>
      <c r="I2117" s="272" t="s">
        <v>695</v>
      </c>
      <c r="J2117" s="261" t="s">
        <v>624</v>
      </c>
      <c r="L2117" s="261" t="str">
        <f>J2117</f>
        <v>Cable Support &amp; Miscellaneous</v>
      </c>
      <c r="AN2117" s="261">
        <f>K2117*1.25</f>
        <v>0</v>
      </c>
      <c r="AO2117" s="289"/>
      <c r="AP2117" s="284">
        <f t="shared" si="946"/>
        <v>0</v>
      </c>
      <c r="AQ2117" s="281">
        <f t="shared" si="947"/>
        <v>0</v>
      </c>
      <c r="AR2117" s="284">
        <f t="shared" si="948"/>
        <v>0</v>
      </c>
      <c r="AS2117" s="281">
        <f t="shared" si="949"/>
        <v>0</v>
      </c>
      <c r="AT2117" s="284">
        <f t="shared" si="950"/>
        <v>0</v>
      </c>
    </row>
    <row r="2118" spans="1:97" s="234" customFormat="1" ht="219.75" customHeight="1" thickBot="1" x14ac:dyDescent="1.25">
      <c r="A2118" s="262">
        <f>ROW()</f>
        <v>2118</v>
      </c>
      <c r="B2118" s="234" t="s">
        <v>491</v>
      </c>
      <c r="C2118" s="217"/>
      <c r="D2118" s="260" t="s">
        <v>677</v>
      </c>
      <c r="E2118" s="238"/>
      <c r="F2118" s="217"/>
      <c r="G2118" s="217"/>
      <c r="H2118" s="245"/>
      <c r="I2118" s="273" t="s">
        <v>695</v>
      </c>
      <c r="J2118" s="241" t="str">
        <f>CONCATENATE(O2095," ",L2095," (",M2095,") ",N2095,". This includes a combination of ",O2096,O2097,O2098,O2099,O2100,O2101,O2102,O2103,O2104,O2105,O2106,O2107,O2108,O2109,O2110,O2111,O2112,O2113,O2114,O2115,)</f>
        <v>Supply and install appropriate cabling support/fixings for an estimated  (0) kilometres of cabling required throughout this project. This includes a combination of cable ladder tray, cable tray, catenary, conduit and miscellaneous hardware. Support systems will be chosen on a case-by-case basis by our licensed electricians in compliance with AS3000 and design specification.</v>
      </c>
      <c r="K2118" s="251">
        <f>P2116</f>
        <v>18</v>
      </c>
      <c r="L2118" s="235"/>
      <c r="M2118" s="91" t="s">
        <v>367</v>
      </c>
      <c r="N2118" s="83" t="str">
        <f>N2095</f>
        <v>kilometres of cabling required throughout this project</v>
      </c>
      <c r="O2118" s="185" t="s">
        <v>438</v>
      </c>
      <c r="P2118" s="202" t="e">
        <f>P2116/(M2095*1000)</f>
        <v>#DIV/0!</v>
      </c>
      <c r="Q2118" s="196"/>
      <c r="R2118" s="188"/>
      <c r="S2118" s="83"/>
      <c r="T2118" s="84"/>
      <c r="U2118" s="503"/>
      <c r="V2118" s="503"/>
      <c r="W2118" s="85"/>
      <c r="X2118" s="86"/>
      <c r="Y2118" s="501"/>
      <c r="Z2118" s="501"/>
      <c r="AA2118" s="87"/>
      <c r="AB2118" s="84"/>
      <c r="AC2118" s="84"/>
      <c r="AD2118" s="84"/>
      <c r="AE2118" s="84"/>
      <c r="AF2118" s="501" t="s">
        <v>365</v>
      </c>
      <c r="AG2118" s="501"/>
      <c r="AH2118" s="87" t="e">
        <f>AH2116/(M2095*1000)</f>
        <v>#DIV/0!</v>
      </c>
      <c r="AI2118" s="84"/>
      <c r="AJ2118" s="84"/>
      <c r="AK2118" s="84"/>
      <c r="AL2118" s="247"/>
      <c r="AM2118" s="257"/>
      <c r="AN2118" s="230">
        <f>K2118*1.25</f>
        <v>22.5</v>
      </c>
      <c r="AO2118" s="286"/>
      <c r="AP2118" s="284">
        <f>K2118</f>
        <v>18</v>
      </c>
      <c r="AQ2118" s="281"/>
      <c r="AR2118" s="284"/>
      <c r="AS2118" s="281"/>
      <c r="AT2118" s="284"/>
      <c r="AU2118" s="117"/>
      <c r="AV2118" s="117"/>
      <c r="AW2118" s="117"/>
      <c r="AX2118" s="117"/>
      <c r="AY2118" s="117"/>
      <c r="AZ2118" s="117"/>
      <c r="BA2118" s="117"/>
      <c r="BB2118" s="117"/>
      <c r="BC2118" s="117"/>
      <c r="BD2118" s="117"/>
      <c r="BE2118" s="117"/>
      <c r="BF2118" s="117"/>
      <c r="BG2118" s="117"/>
      <c r="BH2118" s="117"/>
      <c r="BI2118" s="117"/>
      <c r="BJ2118" s="117"/>
      <c r="BK2118" s="117"/>
      <c r="BL2118" s="117"/>
      <c r="BM2118" s="117"/>
      <c r="BN2118" s="117"/>
      <c r="BO2118" s="117"/>
      <c r="BP2118" s="117"/>
      <c r="BQ2118" s="117"/>
      <c r="BR2118" s="117"/>
      <c r="BS2118" s="117"/>
      <c r="BT2118" s="117"/>
      <c r="BU2118" s="117"/>
      <c r="BV2118" s="117"/>
      <c r="BW2118" s="117"/>
      <c r="BX2118" s="117"/>
      <c r="BY2118" s="117"/>
      <c r="BZ2118" s="117"/>
      <c r="CA2118" s="117"/>
      <c r="CB2118" s="117"/>
      <c r="CC2118" s="117"/>
      <c r="CD2118" s="117"/>
      <c r="CE2118" s="117"/>
      <c r="CF2118" s="117"/>
      <c r="CG2118" s="117"/>
      <c r="CH2118" s="117"/>
      <c r="CI2118" s="117"/>
      <c r="CJ2118" s="117"/>
      <c r="CK2118" s="117"/>
      <c r="CL2118" s="117"/>
      <c r="CM2118" s="117"/>
      <c r="CN2118" s="117"/>
      <c r="CO2118" s="117"/>
      <c r="CP2118" s="117"/>
      <c r="CQ2118" s="117"/>
      <c r="CR2118" s="117"/>
      <c r="CS2118" s="117"/>
    </row>
    <row r="2119" spans="1:97" s="265" customFormat="1" x14ac:dyDescent="0.8">
      <c r="A2119" s="262">
        <f>ROW()</f>
        <v>2119</v>
      </c>
      <c r="B2119" s="268" t="s">
        <v>681</v>
      </c>
      <c r="C2119" s="266" t="s">
        <v>683</v>
      </c>
      <c r="D2119" s="260" t="s">
        <v>677</v>
      </c>
      <c r="E2119" s="266"/>
      <c r="F2119" s="266"/>
      <c r="G2119" s="266"/>
      <c r="H2119" s="266"/>
      <c r="I2119" s="271"/>
      <c r="Z2119" s="267" t="e">
        <f>VLOOKUP(Takeoffs!Y2119,Sheet1!$B$6:$C$124,2,FALSE)</f>
        <v>#N/A</v>
      </c>
      <c r="AA2119" s="267"/>
      <c r="AG2119" s="267" t="e">
        <f>VLOOKUP(Takeoffs!AF2119,Sheet1!$B$6:$C$124,2,FALSE)</f>
        <v>#N/A</v>
      </c>
      <c r="AH2119" s="267"/>
      <c r="AO2119" s="286"/>
      <c r="AP2119" s="284">
        <f t="shared" ref="AP2119:AP2153" si="975">IF(I2119&gt;0,P2119,0)</f>
        <v>0</v>
      </c>
      <c r="AQ2119" s="281">
        <f t="shared" ref="AQ2119:AQ2153" si="976">IF(I2119&gt;0,W2119,0)</f>
        <v>0</v>
      </c>
      <c r="AR2119" s="284">
        <f t="shared" ref="AR2119:AR2153" si="977">IF(I2119&gt;0,AA2119,0)</f>
        <v>0</v>
      </c>
      <c r="AS2119" s="281">
        <f t="shared" ref="AS2119:AS2153" si="978">IF(I2119&gt;0,AH2119,0)</f>
        <v>0</v>
      </c>
      <c r="AT2119" s="284">
        <f t="shared" ref="AT2119:AT2153" si="979">IF(I2119&gt;0,AP2119-(AQ2119+AR2119+AS2119),0)</f>
        <v>0</v>
      </c>
    </row>
    <row r="2120" spans="1:97" s="265" customFormat="1" x14ac:dyDescent="0.8">
      <c r="A2120" s="262">
        <f>ROW()</f>
        <v>2120</v>
      </c>
      <c r="B2120" s="268" t="s">
        <v>681</v>
      </c>
      <c r="C2120" s="266" t="s">
        <v>682</v>
      </c>
      <c r="D2120" s="260" t="s">
        <v>677</v>
      </c>
      <c r="E2120" s="266"/>
      <c r="F2120" s="266"/>
      <c r="G2120" s="266"/>
      <c r="H2120" s="266"/>
      <c r="I2120" s="271"/>
      <c r="Z2120" s="267"/>
      <c r="AA2120" s="267"/>
      <c r="AG2120" s="267"/>
      <c r="AH2120" s="267"/>
      <c r="AO2120" s="286"/>
      <c r="AP2120" s="284">
        <f t="shared" si="975"/>
        <v>0</v>
      </c>
      <c r="AQ2120" s="281">
        <f t="shared" si="976"/>
        <v>0</v>
      </c>
      <c r="AR2120" s="284">
        <f t="shared" si="977"/>
        <v>0</v>
      </c>
      <c r="AS2120" s="281">
        <f t="shared" si="978"/>
        <v>0</v>
      </c>
      <c r="AT2120" s="284">
        <f t="shared" si="979"/>
        <v>0</v>
      </c>
    </row>
    <row r="2121" spans="1:97" s="138" customFormat="1" x14ac:dyDescent="0.8">
      <c r="A2121" s="262">
        <f>ROW()</f>
        <v>2121</v>
      </c>
      <c r="C2121" s="215"/>
      <c r="D2121" s="215"/>
      <c r="E2121" s="215"/>
      <c r="F2121" s="215"/>
      <c r="G2121" s="215"/>
      <c r="H2121" s="215"/>
      <c r="I2121" s="271">
        <v>40</v>
      </c>
      <c r="X2121" s="25"/>
      <c r="Z2121" s="146"/>
      <c r="AA2121" s="146"/>
      <c r="AE2121" s="25"/>
      <c r="AG2121" s="146"/>
      <c r="AH2121" s="146"/>
      <c r="AL2121" s="25"/>
      <c r="AO2121" s="286"/>
      <c r="AP2121" s="284">
        <f t="shared" si="975"/>
        <v>0</v>
      </c>
      <c r="AQ2121" s="281">
        <f t="shared" si="976"/>
        <v>0</v>
      </c>
      <c r="AR2121" s="284">
        <f t="shared" si="977"/>
        <v>0</v>
      </c>
      <c r="AS2121" s="281">
        <f t="shared" si="978"/>
        <v>0</v>
      </c>
      <c r="AT2121" s="284">
        <f t="shared" si="979"/>
        <v>0</v>
      </c>
    </row>
    <row r="2122" spans="1:97" s="32" customFormat="1" ht="30.9" x14ac:dyDescent="0.8">
      <c r="A2122" s="262">
        <f>ROW()</f>
        <v>2122</v>
      </c>
      <c r="B2122" s="114"/>
      <c r="C2122" s="208"/>
      <c r="D2122" s="208"/>
      <c r="E2122" s="208"/>
      <c r="F2122" s="208"/>
      <c r="G2122" s="208"/>
      <c r="H2122" s="208"/>
      <c r="I2122" s="138"/>
      <c r="T2122" s="8"/>
      <c r="X2122" s="25"/>
      <c r="Z2122" s="68" t="e">
        <f>VLOOKUP(Takeoffs!Y2122,Sheet1!$B$6:$C$124,2,FALSE)</f>
        <v>#N/A</v>
      </c>
      <c r="AA2122" s="68"/>
      <c r="AE2122" s="25"/>
      <c r="AG2122" s="68" t="e">
        <f>VLOOKUP(Takeoffs!AF2122,Sheet1!$B$6:$C$124,2,FALSE)</f>
        <v>#N/A</v>
      </c>
      <c r="AH2122" s="68"/>
      <c r="AL2122" s="25"/>
      <c r="AO2122" s="286"/>
      <c r="AP2122" s="284">
        <f t="shared" si="975"/>
        <v>0</v>
      </c>
      <c r="AQ2122" s="281">
        <f t="shared" si="976"/>
        <v>0</v>
      </c>
      <c r="AR2122" s="284">
        <f t="shared" si="977"/>
        <v>0</v>
      </c>
      <c r="AS2122" s="281">
        <f t="shared" si="978"/>
        <v>0</v>
      </c>
      <c r="AT2122" s="284">
        <f t="shared" si="979"/>
        <v>0</v>
      </c>
    </row>
    <row r="2123" spans="1:97" s="1" customFormat="1" ht="233.25" customHeight="1" x14ac:dyDescent="0.8">
      <c r="A2123" s="262">
        <f>ROW()</f>
        <v>2123</v>
      </c>
      <c r="B2123" s="115"/>
      <c r="C2123" s="216"/>
      <c r="D2123" s="216"/>
      <c r="E2123" s="216"/>
      <c r="F2123" s="216"/>
      <c r="G2123" s="216"/>
      <c r="H2123" s="216"/>
      <c r="I2123" s="114"/>
      <c r="X2123" s="25"/>
      <c r="Z2123" s="68" t="e">
        <f>VLOOKUP(Takeoffs!Y2123,Sheet1!$B$6:$C$124,2,FALSE)</f>
        <v>#N/A</v>
      </c>
      <c r="AA2123" s="68"/>
      <c r="AE2123" s="25"/>
      <c r="AG2123" s="68" t="e">
        <f>VLOOKUP(Takeoffs!AF2123,Sheet1!$B$6:$C$124,2,FALSE)</f>
        <v>#N/A</v>
      </c>
      <c r="AH2123" s="68"/>
      <c r="AL2123" s="25"/>
      <c r="AO2123" s="286"/>
      <c r="AP2123" s="284">
        <f t="shared" si="975"/>
        <v>0</v>
      </c>
      <c r="AQ2123" s="281">
        <f t="shared" si="976"/>
        <v>0</v>
      </c>
      <c r="AR2123" s="284">
        <f t="shared" si="977"/>
        <v>0</v>
      </c>
      <c r="AS2123" s="281">
        <f t="shared" si="978"/>
        <v>0</v>
      </c>
      <c r="AT2123" s="284">
        <f t="shared" si="979"/>
        <v>0</v>
      </c>
    </row>
    <row r="2124" spans="1:97" s="2" customFormat="1" ht="62.25" customHeight="1" x14ac:dyDescent="0.8">
      <c r="A2124" s="262">
        <f>ROW()</f>
        <v>2124</v>
      </c>
      <c r="B2124" s="116"/>
      <c r="C2124" s="211"/>
      <c r="D2124" s="211"/>
      <c r="E2124" s="211"/>
      <c r="F2124" s="211"/>
      <c r="G2124" s="211"/>
      <c r="H2124" s="211"/>
      <c r="I2124" s="115"/>
      <c r="M2124" s="2" t="s">
        <v>107</v>
      </c>
      <c r="N2124" s="2" t="s">
        <v>108</v>
      </c>
      <c r="O2124" s="2" t="s">
        <v>4</v>
      </c>
      <c r="P2124" s="2" t="s">
        <v>5</v>
      </c>
      <c r="S2124" s="2" t="s">
        <v>0</v>
      </c>
      <c r="T2124" s="9"/>
      <c r="U2124" s="2" t="s">
        <v>109</v>
      </c>
      <c r="V2124" s="2" t="s">
        <v>110</v>
      </c>
      <c r="X2124" s="58"/>
      <c r="Y2124" s="2" t="s">
        <v>111</v>
      </c>
      <c r="Z2124" s="68" t="e">
        <f>VLOOKUP(Takeoffs!Y2124,Sheet1!$B$6:$C$124,2,FALSE)</f>
        <v>#N/A</v>
      </c>
      <c r="AA2124" s="68"/>
      <c r="AE2124" s="58"/>
      <c r="AF2124" s="2" t="s">
        <v>111</v>
      </c>
      <c r="AG2124" s="68" t="e">
        <f>VLOOKUP(Takeoffs!AF2124,Sheet1!$B$6:$C$124,2,FALSE)</f>
        <v>#N/A</v>
      </c>
      <c r="AH2124" s="68"/>
      <c r="AL2124" s="58"/>
      <c r="AO2124" s="288"/>
      <c r="AP2124" s="284">
        <f t="shared" si="975"/>
        <v>0</v>
      </c>
      <c r="AQ2124" s="281">
        <f t="shared" si="976"/>
        <v>0</v>
      </c>
      <c r="AR2124" s="284">
        <f t="shared" si="977"/>
        <v>0</v>
      </c>
      <c r="AS2124" s="281">
        <f t="shared" si="978"/>
        <v>0</v>
      </c>
      <c r="AT2124" s="284">
        <f t="shared" si="979"/>
        <v>0</v>
      </c>
    </row>
    <row r="2125" spans="1:97" customFormat="1" ht="179.25" customHeight="1" x14ac:dyDescent="0.8">
      <c r="A2125" s="262">
        <f>ROW()</f>
        <v>2125</v>
      </c>
      <c r="B2125" s="114"/>
      <c r="C2125" s="208"/>
      <c r="D2125" s="208"/>
      <c r="E2125" s="208"/>
      <c r="F2125" s="208"/>
      <c r="G2125" s="208"/>
      <c r="H2125" s="208"/>
      <c r="I2125" s="116"/>
      <c r="J2125" s="29" t="str">
        <f>CONCATENATE(O2125," ",L2125, " (",M2125,") ",N2125,". Each includes supply and install of ",O2126,O2127,O2128,O2129,O2130,O2131,O2132,O2133,O2134,O2135,O2136,O2137,O2138,O2139,O2140,O2141,O2142,O2143,O2144,O2145,)</f>
        <v>Electrical power supply and controls cabling to fifty (50) VRF cassettes. Each includes supply and install of controls cabling, power cabling and conduit fom outdoor unit and local power isolator.Each sytem includes install only of  proprietory controller and install only of branch connector boxes interconnect cabling.</v>
      </c>
      <c r="L2125" s="16" t="str">
        <f>VLOOKUP(M2125,Sheet2!$D$2:$E$1024,2,FALSE)</f>
        <v>fifty</v>
      </c>
      <c r="M2125" s="12">
        <v>50</v>
      </c>
      <c r="N2125" s="27" t="s">
        <v>220</v>
      </c>
      <c r="O2125" s="12" t="s">
        <v>138</v>
      </c>
      <c r="P2125" s="12"/>
      <c r="Q2125" s="12"/>
      <c r="R2125" s="12"/>
      <c r="S2125" s="28"/>
      <c r="T2125" s="10"/>
      <c r="U2125" s="12"/>
      <c r="V2125" s="14" t="e">
        <f>U2125*#REF!</f>
        <v>#REF!</v>
      </c>
      <c r="W2125" s="14"/>
      <c r="X2125" s="26"/>
      <c r="Y2125" s="13"/>
      <c r="Z2125" s="68" t="e">
        <f>VLOOKUP(Takeoffs!Y2125,Sheet1!$B$6:$C$124,2,FALSE)</f>
        <v>#N/A</v>
      </c>
      <c r="AA2125" s="68"/>
      <c r="AB2125" s="18"/>
      <c r="AC2125" s="18"/>
      <c r="AD2125" s="18"/>
      <c r="AE2125" s="60"/>
      <c r="AF2125" s="13"/>
      <c r="AG2125" s="68" t="e">
        <f>VLOOKUP(Takeoffs!AF2125,Sheet1!$B$6:$C$124,2,FALSE)</f>
        <v>#N/A</v>
      </c>
      <c r="AH2125" s="68"/>
      <c r="AI2125" s="18"/>
      <c r="AJ2125" s="18"/>
      <c r="AK2125" s="18"/>
      <c r="AL2125" s="60"/>
      <c r="AO2125" s="286"/>
      <c r="AP2125" s="284">
        <f t="shared" si="975"/>
        <v>0</v>
      </c>
      <c r="AQ2125" s="281">
        <f t="shared" si="976"/>
        <v>0</v>
      </c>
      <c r="AR2125" s="284">
        <f t="shared" si="977"/>
        <v>0</v>
      </c>
      <c r="AS2125" s="281">
        <f t="shared" si="978"/>
        <v>0</v>
      </c>
      <c r="AT2125" s="284">
        <f t="shared" si="979"/>
        <v>0</v>
      </c>
    </row>
    <row r="2126" spans="1:97" customFormat="1" ht="30.9" x14ac:dyDescent="0.8">
      <c r="A2126" s="262">
        <f>ROW()</f>
        <v>2126</v>
      </c>
      <c r="B2126" s="114"/>
      <c r="C2126" s="208"/>
      <c r="D2126" s="208"/>
      <c r="E2126" s="208"/>
      <c r="F2126" s="208"/>
      <c r="G2126" s="208"/>
      <c r="H2126" s="208"/>
      <c r="I2126" s="114"/>
      <c r="M2126" s="3"/>
      <c r="N2126" s="15" t="s">
        <v>113</v>
      </c>
      <c r="O2126" s="12" t="s">
        <v>140</v>
      </c>
      <c r="P2126" s="12"/>
      <c r="Q2126" s="12"/>
      <c r="R2126" s="12"/>
      <c r="S2126" s="28">
        <f>M2125</f>
        <v>50</v>
      </c>
      <c r="T2126" s="11"/>
      <c r="U2126" s="12"/>
      <c r="V2126" s="14" t="e">
        <f>U2126*#REF!</f>
        <v>#REF!</v>
      </c>
      <c r="W2126" s="14"/>
      <c r="X2126" s="26"/>
      <c r="Y2126" s="13"/>
      <c r="Z2126" s="68" t="e">
        <f>VLOOKUP(Takeoffs!Y2126,Sheet1!$B$6:$C$124,2,FALSE)</f>
        <v>#N/A</v>
      </c>
      <c r="AA2126" s="68"/>
      <c r="AB2126" s="18"/>
      <c r="AC2126" s="18"/>
      <c r="AD2126" s="18"/>
      <c r="AE2126" s="60"/>
      <c r="AF2126" s="13"/>
      <c r="AG2126" s="68" t="e">
        <f>VLOOKUP(Takeoffs!AF2126,Sheet1!$B$6:$C$124,2,FALSE)</f>
        <v>#N/A</v>
      </c>
      <c r="AH2126" s="68"/>
      <c r="AI2126" s="18"/>
      <c r="AJ2126" s="18"/>
      <c r="AK2126" s="18"/>
      <c r="AL2126" s="60"/>
      <c r="AO2126" s="286"/>
      <c r="AP2126" s="284">
        <f t="shared" si="975"/>
        <v>0</v>
      </c>
      <c r="AQ2126" s="281">
        <f t="shared" si="976"/>
        <v>0</v>
      </c>
      <c r="AR2126" s="284">
        <f t="shared" si="977"/>
        <v>0</v>
      </c>
      <c r="AS2126" s="281">
        <f t="shared" si="978"/>
        <v>0</v>
      </c>
      <c r="AT2126" s="284">
        <f t="shared" si="979"/>
        <v>0</v>
      </c>
    </row>
    <row r="2127" spans="1:97" customFormat="1" ht="30.9" x14ac:dyDescent="0.8">
      <c r="A2127" s="262">
        <f>ROW()</f>
        <v>2127</v>
      </c>
      <c r="B2127" s="114"/>
      <c r="C2127" s="208"/>
      <c r="D2127" s="208"/>
      <c r="E2127" s="208"/>
      <c r="F2127" s="208"/>
      <c r="G2127" s="208"/>
      <c r="H2127" s="208"/>
      <c r="I2127" s="114"/>
      <c r="M2127" s="3"/>
      <c r="N2127" s="15" t="s">
        <v>114</v>
      </c>
      <c r="O2127" s="12" t="s">
        <v>143</v>
      </c>
      <c r="P2127" s="12"/>
      <c r="Q2127" s="12"/>
      <c r="R2127" s="12"/>
      <c r="S2127" s="28">
        <f>M2125</f>
        <v>50</v>
      </c>
      <c r="T2127" s="11"/>
      <c r="U2127" s="12"/>
      <c r="V2127" s="14" t="e">
        <f>U2127*#REF!</f>
        <v>#REF!</v>
      </c>
      <c r="W2127" s="14"/>
      <c r="X2127" s="26"/>
      <c r="Y2127" s="13"/>
      <c r="Z2127" s="68" t="e">
        <f>VLOOKUP(Takeoffs!Y2127,Sheet1!$B$6:$C$124,2,FALSE)</f>
        <v>#N/A</v>
      </c>
      <c r="AA2127" s="68"/>
      <c r="AB2127" s="18"/>
      <c r="AC2127" s="18"/>
      <c r="AD2127" s="18"/>
      <c r="AE2127" s="60"/>
      <c r="AF2127" s="13"/>
      <c r="AG2127" s="68" t="e">
        <f>VLOOKUP(Takeoffs!AF2127,Sheet1!$B$6:$C$124,2,FALSE)</f>
        <v>#N/A</v>
      </c>
      <c r="AH2127" s="68"/>
      <c r="AI2127" s="18"/>
      <c r="AJ2127" s="18"/>
      <c r="AK2127" s="18"/>
      <c r="AL2127" s="60"/>
      <c r="AO2127" s="286"/>
      <c r="AP2127" s="284">
        <f t="shared" si="975"/>
        <v>0</v>
      </c>
      <c r="AQ2127" s="281">
        <f t="shared" si="976"/>
        <v>0</v>
      </c>
      <c r="AR2127" s="284">
        <f t="shared" si="977"/>
        <v>0</v>
      </c>
      <c r="AS2127" s="281">
        <f t="shared" si="978"/>
        <v>0</v>
      </c>
      <c r="AT2127" s="284">
        <f t="shared" si="979"/>
        <v>0</v>
      </c>
    </row>
    <row r="2128" spans="1:97" customFormat="1" ht="30.9" x14ac:dyDescent="0.8">
      <c r="A2128" s="262">
        <f>ROW()</f>
        <v>2128</v>
      </c>
      <c r="B2128" s="114"/>
      <c r="C2128" s="208"/>
      <c r="D2128" s="208"/>
      <c r="E2128" s="208"/>
      <c r="F2128" s="208"/>
      <c r="G2128" s="208"/>
      <c r="H2128" s="208"/>
      <c r="I2128" s="114"/>
      <c r="M2128" s="3"/>
      <c r="N2128" s="15" t="s">
        <v>115</v>
      </c>
      <c r="O2128" s="12" t="s">
        <v>141</v>
      </c>
      <c r="P2128" s="12"/>
      <c r="Q2128" s="12"/>
      <c r="R2128" s="12"/>
      <c r="S2128" s="28">
        <f>M2125</f>
        <v>50</v>
      </c>
      <c r="T2128" s="11"/>
      <c r="U2128" s="12"/>
      <c r="V2128" s="14" t="e">
        <f>U2128*#REF!</f>
        <v>#REF!</v>
      </c>
      <c r="W2128" s="14"/>
      <c r="X2128" s="26"/>
      <c r="Y2128" s="13"/>
      <c r="Z2128" s="68" t="e">
        <f>VLOOKUP(Takeoffs!Y2128,Sheet1!$B$6:$C$124,2,FALSE)</f>
        <v>#N/A</v>
      </c>
      <c r="AA2128" s="68"/>
      <c r="AB2128" s="18"/>
      <c r="AC2128" s="18"/>
      <c r="AD2128" s="18"/>
      <c r="AE2128" s="60"/>
      <c r="AF2128" s="13"/>
      <c r="AG2128" s="68" t="e">
        <f>VLOOKUP(Takeoffs!AF2128,Sheet1!$B$6:$C$124,2,FALSE)</f>
        <v>#N/A</v>
      </c>
      <c r="AH2128" s="68"/>
      <c r="AI2128" s="18"/>
      <c r="AJ2128" s="18"/>
      <c r="AK2128" s="18"/>
      <c r="AL2128" s="60"/>
      <c r="AO2128" s="286"/>
      <c r="AP2128" s="284">
        <f t="shared" si="975"/>
        <v>0</v>
      </c>
      <c r="AQ2128" s="281">
        <f t="shared" si="976"/>
        <v>0</v>
      </c>
      <c r="AR2128" s="284">
        <f t="shared" si="977"/>
        <v>0</v>
      </c>
      <c r="AS2128" s="281">
        <f t="shared" si="978"/>
        <v>0</v>
      </c>
      <c r="AT2128" s="284">
        <f t="shared" si="979"/>
        <v>0</v>
      </c>
    </row>
    <row r="2129" spans="1:46" customFormat="1" ht="30.9" x14ac:dyDescent="0.8">
      <c r="A2129" s="262">
        <f>ROW()</f>
        <v>2129</v>
      </c>
      <c r="B2129" s="114"/>
      <c r="C2129" s="208"/>
      <c r="D2129" s="208"/>
      <c r="E2129" s="208"/>
      <c r="F2129" s="208"/>
      <c r="G2129" s="208"/>
      <c r="H2129" s="208"/>
      <c r="I2129" s="114"/>
      <c r="M2129" s="3"/>
      <c r="N2129" s="15" t="s">
        <v>116</v>
      </c>
      <c r="O2129" s="12" t="s">
        <v>144</v>
      </c>
      <c r="P2129" s="12"/>
      <c r="Q2129" s="12"/>
      <c r="R2129" s="12"/>
      <c r="S2129" s="28">
        <f>M2125</f>
        <v>50</v>
      </c>
      <c r="T2129" s="11"/>
      <c r="U2129" s="12"/>
      <c r="V2129" s="14" t="e">
        <f>U2129*#REF!</f>
        <v>#REF!</v>
      </c>
      <c r="W2129" s="14"/>
      <c r="X2129" s="26"/>
      <c r="Y2129" s="13"/>
      <c r="Z2129" s="68" t="e">
        <f>VLOOKUP(Takeoffs!Y2129,Sheet1!$B$6:$C$124,2,FALSE)</f>
        <v>#N/A</v>
      </c>
      <c r="AA2129" s="68"/>
      <c r="AB2129" s="18"/>
      <c r="AC2129" s="18"/>
      <c r="AD2129" s="18"/>
      <c r="AE2129" s="60"/>
      <c r="AF2129" s="13"/>
      <c r="AG2129" s="68" t="e">
        <f>VLOOKUP(Takeoffs!AF2129,Sheet1!$B$6:$C$124,2,FALSE)</f>
        <v>#N/A</v>
      </c>
      <c r="AH2129" s="68"/>
      <c r="AI2129" s="18"/>
      <c r="AJ2129" s="18"/>
      <c r="AK2129" s="18"/>
      <c r="AL2129" s="60"/>
      <c r="AO2129" s="286"/>
      <c r="AP2129" s="284">
        <f t="shared" si="975"/>
        <v>0</v>
      </c>
      <c r="AQ2129" s="281">
        <f t="shared" si="976"/>
        <v>0</v>
      </c>
      <c r="AR2129" s="284">
        <f t="shared" si="977"/>
        <v>0</v>
      </c>
      <c r="AS2129" s="281">
        <f t="shared" si="978"/>
        <v>0</v>
      </c>
      <c r="AT2129" s="284">
        <f t="shared" si="979"/>
        <v>0</v>
      </c>
    </row>
    <row r="2130" spans="1:46" customFormat="1" ht="30.9" x14ac:dyDescent="0.8">
      <c r="A2130" s="262">
        <f>ROW()</f>
        <v>2130</v>
      </c>
      <c r="B2130" s="114"/>
      <c r="C2130" s="208"/>
      <c r="D2130" s="208"/>
      <c r="E2130" s="208"/>
      <c r="F2130" s="208"/>
      <c r="G2130" s="208"/>
      <c r="H2130" s="208"/>
      <c r="I2130" s="114"/>
      <c r="M2130" s="3"/>
      <c r="N2130" s="15" t="s">
        <v>117</v>
      </c>
      <c r="O2130" s="12" t="s">
        <v>142</v>
      </c>
      <c r="P2130" s="12"/>
      <c r="Q2130" s="12"/>
      <c r="R2130" s="12"/>
      <c r="S2130" s="28">
        <f>M2125</f>
        <v>50</v>
      </c>
      <c r="T2130" s="11"/>
      <c r="U2130" s="12"/>
      <c r="V2130" s="14" t="e">
        <f>U2130*#REF!</f>
        <v>#REF!</v>
      </c>
      <c r="W2130" s="14"/>
      <c r="X2130" s="26"/>
      <c r="Y2130" s="13"/>
      <c r="Z2130" s="68" t="e">
        <f>VLOOKUP(Takeoffs!Y2130,Sheet1!$B$6:$C$124,2,FALSE)</f>
        <v>#N/A</v>
      </c>
      <c r="AA2130" s="68"/>
      <c r="AB2130" s="18"/>
      <c r="AC2130" s="18"/>
      <c r="AD2130" s="18"/>
      <c r="AE2130" s="60"/>
      <c r="AF2130" s="13"/>
      <c r="AG2130" s="68" t="e">
        <f>VLOOKUP(Takeoffs!AF2130,Sheet1!$B$6:$C$124,2,FALSE)</f>
        <v>#N/A</v>
      </c>
      <c r="AH2130" s="68"/>
      <c r="AI2130" s="18"/>
      <c r="AJ2130" s="18"/>
      <c r="AK2130" s="18"/>
      <c r="AL2130" s="60"/>
      <c r="AO2130" s="286"/>
      <c r="AP2130" s="284">
        <f t="shared" si="975"/>
        <v>0</v>
      </c>
      <c r="AQ2130" s="281">
        <f t="shared" si="976"/>
        <v>0</v>
      </c>
      <c r="AR2130" s="284">
        <f t="shared" si="977"/>
        <v>0</v>
      </c>
      <c r="AS2130" s="281">
        <f t="shared" si="978"/>
        <v>0</v>
      </c>
      <c r="AT2130" s="284">
        <f t="shared" si="979"/>
        <v>0</v>
      </c>
    </row>
    <row r="2131" spans="1:46" customFormat="1" ht="30.9" x14ac:dyDescent="0.8">
      <c r="A2131" s="262">
        <f>ROW()</f>
        <v>2131</v>
      </c>
      <c r="B2131" s="114"/>
      <c r="C2131" s="208"/>
      <c r="D2131" s="208"/>
      <c r="E2131" s="208"/>
      <c r="F2131" s="208"/>
      <c r="G2131" s="208"/>
      <c r="H2131" s="208"/>
      <c r="I2131" s="114"/>
      <c r="M2131" s="3"/>
      <c r="N2131" s="15" t="s">
        <v>118</v>
      </c>
      <c r="O2131" s="12"/>
      <c r="P2131" s="12"/>
      <c r="Q2131" s="12"/>
      <c r="R2131" s="12"/>
      <c r="S2131" s="28">
        <f>M2125</f>
        <v>50</v>
      </c>
      <c r="T2131" s="11"/>
      <c r="U2131" s="12"/>
      <c r="V2131" s="14" t="e">
        <f>U2131*#REF!</f>
        <v>#REF!</v>
      </c>
      <c r="W2131" s="14"/>
      <c r="X2131" s="26"/>
      <c r="Y2131" s="13"/>
      <c r="Z2131" s="68" t="e">
        <f>VLOOKUP(Takeoffs!Y2131,Sheet1!$B$6:$C$124,2,FALSE)</f>
        <v>#N/A</v>
      </c>
      <c r="AA2131" s="68"/>
      <c r="AB2131" s="18"/>
      <c r="AC2131" s="18"/>
      <c r="AD2131" s="18"/>
      <c r="AE2131" s="60"/>
      <c r="AF2131" s="13"/>
      <c r="AG2131" s="68" t="e">
        <f>VLOOKUP(Takeoffs!AF2131,Sheet1!$B$6:$C$124,2,FALSE)</f>
        <v>#N/A</v>
      </c>
      <c r="AH2131" s="68"/>
      <c r="AI2131" s="18"/>
      <c r="AJ2131" s="18"/>
      <c r="AK2131" s="18"/>
      <c r="AL2131" s="60"/>
      <c r="AO2131" s="286"/>
      <c r="AP2131" s="284">
        <f t="shared" si="975"/>
        <v>0</v>
      </c>
      <c r="AQ2131" s="281">
        <f t="shared" si="976"/>
        <v>0</v>
      </c>
      <c r="AR2131" s="284">
        <f t="shared" si="977"/>
        <v>0</v>
      </c>
      <c r="AS2131" s="281">
        <f t="shared" si="978"/>
        <v>0</v>
      </c>
      <c r="AT2131" s="284">
        <f t="shared" si="979"/>
        <v>0</v>
      </c>
    </row>
    <row r="2132" spans="1:46" customFormat="1" ht="30.9" x14ac:dyDescent="0.8">
      <c r="A2132" s="262">
        <f>ROW()</f>
        <v>2132</v>
      </c>
      <c r="B2132" s="114"/>
      <c r="C2132" s="208"/>
      <c r="D2132" s="208"/>
      <c r="E2132" s="208"/>
      <c r="F2132" s="208"/>
      <c r="G2132" s="208"/>
      <c r="H2132" s="208"/>
      <c r="I2132" s="114"/>
      <c r="N2132" s="15" t="s">
        <v>119</v>
      </c>
      <c r="O2132" s="12"/>
      <c r="P2132" s="12"/>
      <c r="Q2132" s="12"/>
      <c r="R2132" s="12"/>
      <c r="S2132" s="28">
        <f>M2125</f>
        <v>50</v>
      </c>
      <c r="T2132" s="11"/>
      <c r="U2132" s="12"/>
      <c r="V2132" s="14" t="e">
        <f>U2132*#REF!</f>
        <v>#REF!</v>
      </c>
      <c r="W2132" s="14"/>
      <c r="X2132" s="26"/>
      <c r="Y2132" s="13"/>
      <c r="Z2132" s="68" t="e">
        <f>VLOOKUP(Takeoffs!Y2132,Sheet1!$B$6:$C$124,2,FALSE)</f>
        <v>#N/A</v>
      </c>
      <c r="AA2132" s="68"/>
      <c r="AB2132" s="18"/>
      <c r="AC2132" s="18"/>
      <c r="AD2132" s="18"/>
      <c r="AE2132" s="60"/>
      <c r="AF2132" s="13"/>
      <c r="AG2132" s="68" t="e">
        <f>VLOOKUP(Takeoffs!AF2132,Sheet1!$B$6:$C$124,2,FALSE)</f>
        <v>#N/A</v>
      </c>
      <c r="AH2132" s="68"/>
      <c r="AI2132" s="18"/>
      <c r="AJ2132" s="18"/>
      <c r="AK2132" s="18"/>
      <c r="AL2132" s="60"/>
      <c r="AO2132" s="286"/>
      <c r="AP2132" s="284">
        <f t="shared" si="975"/>
        <v>0</v>
      </c>
      <c r="AQ2132" s="281">
        <f t="shared" si="976"/>
        <v>0</v>
      </c>
      <c r="AR2132" s="284">
        <f t="shared" si="977"/>
        <v>0</v>
      </c>
      <c r="AS2132" s="281">
        <f t="shared" si="978"/>
        <v>0</v>
      </c>
      <c r="AT2132" s="284">
        <f t="shared" si="979"/>
        <v>0</v>
      </c>
    </row>
    <row r="2133" spans="1:46" customFormat="1" ht="30.9" x14ac:dyDescent="0.8">
      <c r="A2133" s="262">
        <f>ROW()</f>
        <v>2133</v>
      </c>
      <c r="B2133" s="114"/>
      <c r="C2133" s="208"/>
      <c r="D2133" s="208"/>
      <c r="E2133" s="208"/>
      <c r="F2133" s="208"/>
      <c r="G2133" s="208"/>
      <c r="H2133" s="208"/>
      <c r="I2133" s="114"/>
      <c r="N2133" s="15" t="s">
        <v>120</v>
      </c>
      <c r="O2133" s="12"/>
      <c r="P2133" s="12"/>
      <c r="Q2133" s="12"/>
      <c r="R2133" s="12"/>
      <c r="S2133" s="28">
        <f>M2125</f>
        <v>50</v>
      </c>
      <c r="T2133" s="11"/>
      <c r="U2133" s="12"/>
      <c r="V2133" s="14" t="e">
        <f>U2133*#REF!</f>
        <v>#REF!</v>
      </c>
      <c r="W2133" s="14"/>
      <c r="X2133" s="26"/>
      <c r="Y2133" s="13"/>
      <c r="Z2133" s="68" t="e">
        <f>VLOOKUP(Takeoffs!Y2133,Sheet1!$B$6:$C$124,2,FALSE)</f>
        <v>#N/A</v>
      </c>
      <c r="AA2133" s="68"/>
      <c r="AB2133" s="18"/>
      <c r="AC2133" s="18"/>
      <c r="AD2133" s="18"/>
      <c r="AE2133" s="60"/>
      <c r="AF2133" s="13"/>
      <c r="AG2133" s="68" t="e">
        <f>VLOOKUP(Takeoffs!AF2133,Sheet1!$B$6:$C$124,2,FALSE)</f>
        <v>#N/A</v>
      </c>
      <c r="AH2133" s="68"/>
      <c r="AI2133" s="18"/>
      <c r="AJ2133" s="18"/>
      <c r="AK2133" s="18"/>
      <c r="AL2133" s="60"/>
      <c r="AO2133" s="286"/>
      <c r="AP2133" s="284">
        <f t="shared" si="975"/>
        <v>0</v>
      </c>
      <c r="AQ2133" s="281">
        <f t="shared" si="976"/>
        <v>0</v>
      </c>
      <c r="AR2133" s="284">
        <f t="shared" si="977"/>
        <v>0</v>
      </c>
      <c r="AS2133" s="281">
        <f t="shared" si="978"/>
        <v>0</v>
      </c>
      <c r="AT2133" s="284">
        <f t="shared" si="979"/>
        <v>0</v>
      </c>
    </row>
    <row r="2134" spans="1:46" customFormat="1" ht="30.9" x14ac:dyDescent="0.8">
      <c r="A2134" s="262">
        <f>ROW()</f>
        <v>2134</v>
      </c>
      <c r="B2134" s="114"/>
      <c r="C2134" s="208"/>
      <c r="D2134" s="208"/>
      <c r="E2134" s="208"/>
      <c r="F2134" s="208"/>
      <c r="G2134" s="208"/>
      <c r="H2134" s="208"/>
      <c r="I2134" s="114"/>
      <c r="N2134" s="15" t="s">
        <v>121</v>
      </c>
      <c r="O2134" s="12"/>
      <c r="P2134" s="12"/>
      <c r="Q2134" s="12"/>
      <c r="R2134" s="12"/>
      <c r="S2134" s="28">
        <f>M2125</f>
        <v>50</v>
      </c>
      <c r="T2134" s="11"/>
      <c r="U2134" s="12"/>
      <c r="V2134" s="14" t="e">
        <f>U2134*#REF!</f>
        <v>#REF!</v>
      </c>
      <c r="W2134" s="14"/>
      <c r="X2134" s="26"/>
      <c r="Y2134" s="13"/>
      <c r="Z2134" s="68" t="e">
        <f>VLOOKUP(Takeoffs!Y2134,Sheet1!$B$6:$C$124,2,FALSE)</f>
        <v>#N/A</v>
      </c>
      <c r="AA2134" s="68"/>
      <c r="AB2134" s="18"/>
      <c r="AC2134" s="18"/>
      <c r="AD2134" s="18"/>
      <c r="AE2134" s="60"/>
      <c r="AF2134" s="13"/>
      <c r="AG2134" s="68" t="e">
        <f>VLOOKUP(Takeoffs!AF2134,Sheet1!$B$6:$C$124,2,FALSE)</f>
        <v>#N/A</v>
      </c>
      <c r="AH2134" s="68"/>
      <c r="AI2134" s="18"/>
      <c r="AJ2134" s="18"/>
      <c r="AK2134" s="18"/>
      <c r="AL2134" s="60"/>
      <c r="AO2134" s="286"/>
      <c r="AP2134" s="284">
        <f t="shared" si="975"/>
        <v>0</v>
      </c>
      <c r="AQ2134" s="281">
        <f t="shared" si="976"/>
        <v>0</v>
      </c>
      <c r="AR2134" s="284">
        <f t="shared" si="977"/>
        <v>0</v>
      </c>
      <c r="AS2134" s="281">
        <f t="shared" si="978"/>
        <v>0</v>
      </c>
      <c r="AT2134" s="284">
        <f t="shared" si="979"/>
        <v>0</v>
      </c>
    </row>
    <row r="2135" spans="1:46" customFormat="1" ht="30.9" x14ac:dyDescent="0.8">
      <c r="A2135" s="262">
        <f>ROW()</f>
        <v>2135</v>
      </c>
      <c r="B2135" s="114"/>
      <c r="C2135" s="208"/>
      <c r="D2135" s="208"/>
      <c r="E2135" s="208"/>
      <c r="F2135" s="208"/>
      <c r="G2135" s="208"/>
      <c r="H2135" s="208"/>
      <c r="I2135" s="114"/>
      <c r="N2135" s="15" t="s">
        <v>122</v>
      </c>
      <c r="O2135" s="12"/>
      <c r="P2135" s="12"/>
      <c r="Q2135" s="12"/>
      <c r="R2135" s="12"/>
      <c r="S2135" s="28">
        <f>M2125</f>
        <v>50</v>
      </c>
      <c r="T2135" s="11"/>
      <c r="U2135" s="12"/>
      <c r="V2135" s="14" t="e">
        <f>U2135*#REF!</f>
        <v>#REF!</v>
      </c>
      <c r="W2135" s="14"/>
      <c r="X2135" s="26"/>
      <c r="Y2135" s="13"/>
      <c r="Z2135" s="68" t="e">
        <f>VLOOKUP(Takeoffs!Y2135,Sheet1!$B$6:$C$124,2,FALSE)</f>
        <v>#N/A</v>
      </c>
      <c r="AA2135" s="68"/>
      <c r="AB2135" s="18"/>
      <c r="AC2135" s="18"/>
      <c r="AD2135" s="18"/>
      <c r="AE2135" s="60"/>
      <c r="AF2135" s="13"/>
      <c r="AG2135" s="68" t="e">
        <f>VLOOKUP(Takeoffs!AF2135,Sheet1!$B$6:$C$124,2,FALSE)</f>
        <v>#N/A</v>
      </c>
      <c r="AH2135" s="68"/>
      <c r="AI2135" s="18"/>
      <c r="AJ2135" s="18"/>
      <c r="AK2135" s="18"/>
      <c r="AL2135" s="60"/>
      <c r="AO2135" s="286"/>
      <c r="AP2135" s="284">
        <f t="shared" si="975"/>
        <v>0</v>
      </c>
      <c r="AQ2135" s="281">
        <f t="shared" si="976"/>
        <v>0</v>
      </c>
      <c r="AR2135" s="284">
        <f t="shared" si="977"/>
        <v>0</v>
      </c>
      <c r="AS2135" s="281">
        <f t="shared" si="978"/>
        <v>0</v>
      </c>
      <c r="AT2135" s="284">
        <f t="shared" si="979"/>
        <v>0</v>
      </c>
    </row>
    <row r="2136" spans="1:46" customFormat="1" ht="30.9" x14ac:dyDescent="0.8">
      <c r="A2136" s="262">
        <f>ROW()</f>
        <v>2136</v>
      </c>
      <c r="B2136" s="114"/>
      <c r="C2136" s="208"/>
      <c r="D2136" s="208"/>
      <c r="E2136" s="208"/>
      <c r="F2136" s="208"/>
      <c r="G2136" s="208"/>
      <c r="H2136" s="208"/>
      <c r="I2136" s="114"/>
      <c r="N2136" s="15" t="s">
        <v>123</v>
      </c>
      <c r="O2136" s="12"/>
      <c r="P2136" s="12"/>
      <c r="Q2136" s="12"/>
      <c r="R2136" s="12"/>
      <c r="S2136" s="28">
        <f>M2125</f>
        <v>50</v>
      </c>
      <c r="T2136" s="11"/>
      <c r="U2136" s="12"/>
      <c r="V2136" s="14" t="e">
        <f>U2136*#REF!</f>
        <v>#REF!</v>
      </c>
      <c r="W2136" s="14"/>
      <c r="X2136" s="26"/>
      <c r="Y2136" s="13"/>
      <c r="Z2136" s="68" t="e">
        <f>VLOOKUP(Takeoffs!Y2136,Sheet1!$B$6:$C$124,2,FALSE)</f>
        <v>#N/A</v>
      </c>
      <c r="AA2136" s="68"/>
      <c r="AB2136" s="18"/>
      <c r="AC2136" s="18"/>
      <c r="AD2136" s="18"/>
      <c r="AE2136" s="60"/>
      <c r="AF2136" s="13"/>
      <c r="AG2136" s="68" t="e">
        <f>VLOOKUP(Takeoffs!AF2136,Sheet1!$B$6:$C$124,2,FALSE)</f>
        <v>#N/A</v>
      </c>
      <c r="AH2136" s="68"/>
      <c r="AI2136" s="18"/>
      <c r="AJ2136" s="18"/>
      <c r="AK2136" s="18"/>
      <c r="AL2136" s="60"/>
      <c r="AO2136" s="286"/>
      <c r="AP2136" s="284">
        <f t="shared" si="975"/>
        <v>0</v>
      </c>
      <c r="AQ2136" s="281">
        <f t="shared" si="976"/>
        <v>0</v>
      </c>
      <c r="AR2136" s="284">
        <f t="shared" si="977"/>
        <v>0</v>
      </c>
      <c r="AS2136" s="281">
        <f t="shared" si="978"/>
        <v>0</v>
      </c>
      <c r="AT2136" s="284">
        <f t="shared" si="979"/>
        <v>0</v>
      </c>
    </row>
    <row r="2137" spans="1:46" customFormat="1" ht="30.9" x14ac:dyDescent="0.8">
      <c r="A2137" s="262">
        <f>ROW()</f>
        <v>2137</v>
      </c>
      <c r="B2137" s="114"/>
      <c r="C2137" s="208"/>
      <c r="D2137" s="208"/>
      <c r="E2137" s="208"/>
      <c r="F2137" s="208"/>
      <c r="G2137" s="208"/>
      <c r="H2137" s="208"/>
      <c r="I2137" s="114"/>
      <c r="N2137" s="15" t="s">
        <v>124</v>
      </c>
      <c r="O2137" s="12"/>
      <c r="P2137" s="12"/>
      <c r="Q2137" s="12"/>
      <c r="R2137" s="12"/>
      <c r="S2137" s="28">
        <f>M2125</f>
        <v>50</v>
      </c>
      <c r="T2137" s="11"/>
      <c r="U2137" s="12"/>
      <c r="V2137" s="14" t="e">
        <f>U2137*#REF!</f>
        <v>#REF!</v>
      </c>
      <c r="W2137" s="14"/>
      <c r="X2137" s="26"/>
      <c r="Y2137" s="13"/>
      <c r="Z2137" s="68" t="e">
        <f>VLOOKUP(Takeoffs!Y2137,Sheet1!$B$6:$C$124,2,FALSE)</f>
        <v>#N/A</v>
      </c>
      <c r="AA2137" s="68"/>
      <c r="AB2137" s="18"/>
      <c r="AC2137" s="18"/>
      <c r="AD2137" s="18"/>
      <c r="AE2137" s="60"/>
      <c r="AF2137" s="13"/>
      <c r="AG2137" s="68" t="e">
        <f>VLOOKUP(Takeoffs!AF2137,Sheet1!$B$6:$C$124,2,FALSE)</f>
        <v>#N/A</v>
      </c>
      <c r="AH2137" s="68"/>
      <c r="AI2137" s="18"/>
      <c r="AJ2137" s="18"/>
      <c r="AK2137" s="18"/>
      <c r="AL2137" s="60"/>
      <c r="AO2137" s="286"/>
      <c r="AP2137" s="284">
        <f t="shared" si="975"/>
        <v>0</v>
      </c>
      <c r="AQ2137" s="281">
        <f t="shared" si="976"/>
        <v>0</v>
      </c>
      <c r="AR2137" s="284">
        <f t="shared" si="977"/>
        <v>0</v>
      </c>
      <c r="AS2137" s="281">
        <f t="shared" si="978"/>
        <v>0</v>
      </c>
      <c r="AT2137" s="284">
        <f t="shared" si="979"/>
        <v>0</v>
      </c>
    </row>
    <row r="2138" spans="1:46" customFormat="1" ht="30.9" x14ac:dyDescent="0.8">
      <c r="A2138" s="262">
        <f>ROW()</f>
        <v>2138</v>
      </c>
      <c r="B2138" s="114"/>
      <c r="C2138" s="208"/>
      <c r="D2138" s="208"/>
      <c r="E2138" s="208"/>
      <c r="F2138" s="208"/>
      <c r="G2138" s="208"/>
      <c r="H2138" s="208"/>
      <c r="I2138" s="114"/>
      <c r="N2138" s="15" t="s">
        <v>125</v>
      </c>
      <c r="O2138" s="12"/>
      <c r="P2138" s="12"/>
      <c r="Q2138" s="12"/>
      <c r="R2138" s="12"/>
      <c r="S2138" s="28">
        <f>M2125</f>
        <v>50</v>
      </c>
      <c r="T2138" s="11"/>
      <c r="U2138" s="12"/>
      <c r="V2138" s="14" t="e">
        <f>U2138*#REF!</f>
        <v>#REF!</v>
      </c>
      <c r="W2138" s="14"/>
      <c r="X2138" s="26"/>
      <c r="Y2138" s="13"/>
      <c r="Z2138" s="68" t="e">
        <f>VLOOKUP(Takeoffs!Y2138,Sheet1!$B$6:$C$124,2,FALSE)</f>
        <v>#N/A</v>
      </c>
      <c r="AA2138" s="68"/>
      <c r="AB2138" s="18"/>
      <c r="AC2138" s="18"/>
      <c r="AD2138" s="18"/>
      <c r="AE2138" s="60"/>
      <c r="AF2138" s="13"/>
      <c r="AG2138" s="68" t="e">
        <f>VLOOKUP(Takeoffs!AF2138,Sheet1!$B$6:$C$124,2,FALSE)</f>
        <v>#N/A</v>
      </c>
      <c r="AH2138" s="68"/>
      <c r="AI2138" s="18"/>
      <c r="AJ2138" s="18"/>
      <c r="AK2138" s="18"/>
      <c r="AL2138" s="60"/>
      <c r="AO2138" s="286"/>
      <c r="AP2138" s="284">
        <f t="shared" si="975"/>
        <v>0</v>
      </c>
      <c r="AQ2138" s="281">
        <f t="shared" si="976"/>
        <v>0</v>
      </c>
      <c r="AR2138" s="284">
        <f t="shared" si="977"/>
        <v>0</v>
      </c>
      <c r="AS2138" s="281">
        <f t="shared" si="978"/>
        <v>0</v>
      </c>
      <c r="AT2138" s="284">
        <f t="shared" si="979"/>
        <v>0</v>
      </c>
    </row>
    <row r="2139" spans="1:46" customFormat="1" ht="30.9" x14ac:dyDescent="0.8">
      <c r="A2139" s="262">
        <f>ROW()</f>
        <v>2139</v>
      </c>
      <c r="B2139" s="114"/>
      <c r="C2139" s="208"/>
      <c r="D2139" s="208"/>
      <c r="E2139" s="208"/>
      <c r="F2139" s="208"/>
      <c r="G2139" s="208"/>
      <c r="H2139" s="208"/>
      <c r="I2139" s="114"/>
      <c r="N2139" s="15" t="s">
        <v>126</v>
      </c>
      <c r="O2139" s="12"/>
      <c r="P2139" s="12"/>
      <c r="Q2139" s="12"/>
      <c r="R2139" s="12"/>
      <c r="S2139" s="28">
        <f>M2125</f>
        <v>50</v>
      </c>
      <c r="T2139" s="11"/>
      <c r="U2139" s="12"/>
      <c r="V2139" s="14" t="e">
        <f>U2139*#REF!</f>
        <v>#REF!</v>
      </c>
      <c r="W2139" s="14"/>
      <c r="X2139" s="26"/>
      <c r="Y2139" s="13"/>
      <c r="Z2139" s="68" t="e">
        <f>VLOOKUP(Takeoffs!Y2139,Sheet1!$B$6:$C$124,2,FALSE)</f>
        <v>#N/A</v>
      </c>
      <c r="AA2139" s="68"/>
      <c r="AB2139" s="18"/>
      <c r="AC2139" s="18"/>
      <c r="AD2139" s="18"/>
      <c r="AE2139" s="60"/>
      <c r="AF2139" s="13"/>
      <c r="AG2139" s="68" t="e">
        <f>VLOOKUP(Takeoffs!AF2139,Sheet1!$B$6:$C$124,2,FALSE)</f>
        <v>#N/A</v>
      </c>
      <c r="AH2139" s="68"/>
      <c r="AI2139" s="18"/>
      <c r="AJ2139" s="18"/>
      <c r="AK2139" s="18"/>
      <c r="AL2139" s="60"/>
      <c r="AO2139" s="286"/>
      <c r="AP2139" s="284">
        <f t="shared" si="975"/>
        <v>0</v>
      </c>
      <c r="AQ2139" s="281">
        <f t="shared" si="976"/>
        <v>0</v>
      </c>
      <c r="AR2139" s="284">
        <f t="shared" si="977"/>
        <v>0</v>
      </c>
      <c r="AS2139" s="281">
        <f t="shared" si="978"/>
        <v>0</v>
      </c>
      <c r="AT2139" s="284">
        <f t="shared" si="979"/>
        <v>0</v>
      </c>
    </row>
    <row r="2140" spans="1:46" customFormat="1" ht="30.9" x14ac:dyDescent="0.8">
      <c r="A2140" s="262">
        <f>ROW()</f>
        <v>2140</v>
      </c>
      <c r="B2140" s="114"/>
      <c r="C2140" s="208"/>
      <c r="D2140" s="208"/>
      <c r="E2140" s="208"/>
      <c r="F2140" s="208"/>
      <c r="G2140" s="208"/>
      <c r="H2140" s="208"/>
      <c r="I2140" s="114"/>
      <c r="N2140" s="15" t="s">
        <v>127</v>
      </c>
      <c r="O2140" s="12"/>
      <c r="P2140" s="12"/>
      <c r="Q2140" s="12"/>
      <c r="R2140" s="12"/>
      <c r="S2140" s="28">
        <f>M2125</f>
        <v>50</v>
      </c>
      <c r="T2140" s="11"/>
      <c r="U2140" s="12"/>
      <c r="V2140" s="14" t="e">
        <f>U2140*#REF!</f>
        <v>#REF!</v>
      </c>
      <c r="W2140" s="14"/>
      <c r="X2140" s="26"/>
      <c r="Y2140" s="13"/>
      <c r="Z2140" s="68" t="e">
        <f>VLOOKUP(Takeoffs!Y2140,Sheet1!$B$6:$C$124,2,FALSE)</f>
        <v>#N/A</v>
      </c>
      <c r="AA2140" s="68"/>
      <c r="AB2140" s="18"/>
      <c r="AC2140" s="18"/>
      <c r="AD2140" s="18"/>
      <c r="AE2140" s="60"/>
      <c r="AF2140" s="13"/>
      <c r="AG2140" s="68" t="e">
        <f>VLOOKUP(Takeoffs!AF2140,Sheet1!$B$6:$C$124,2,FALSE)</f>
        <v>#N/A</v>
      </c>
      <c r="AH2140" s="68"/>
      <c r="AI2140" s="18"/>
      <c r="AJ2140" s="18"/>
      <c r="AK2140" s="18"/>
      <c r="AL2140" s="60"/>
      <c r="AO2140" s="286"/>
      <c r="AP2140" s="284">
        <f t="shared" si="975"/>
        <v>0</v>
      </c>
      <c r="AQ2140" s="281">
        <f t="shared" si="976"/>
        <v>0</v>
      </c>
      <c r="AR2140" s="284">
        <f t="shared" si="977"/>
        <v>0</v>
      </c>
      <c r="AS2140" s="281">
        <f t="shared" si="978"/>
        <v>0</v>
      </c>
      <c r="AT2140" s="284">
        <f t="shared" si="979"/>
        <v>0</v>
      </c>
    </row>
    <row r="2141" spans="1:46" customFormat="1" ht="30.9" x14ac:dyDescent="0.8">
      <c r="A2141" s="262">
        <f>ROW()</f>
        <v>2141</v>
      </c>
      <c r="B2141" s="114"/>
      <c r="C2141" s="208"/>
      <c r="D2141" s="208"/>
      <c r="E2141" s="208"/>
      <c r="F2141" s="208"/>
      <c r="G2141" s="208"/>
      <c r="H2141" s="208"/>
      <c r="I2141" s="114"/>
      <c r="N2141" s="15" t="s">
        <v>128</v>
      </c>
      <c r="O2141" s="12"/>
      <c r="P2141" s="12"/>
      <c r="Q2141" s="12"/>
      <c r="R2141" s="12"/>
      <c r="S2141" s="28">
        <f>M2125</f>
        <v>50</v>
      </c>
      <c r="T2141" s="11"/>
      <c r="U2141" s="12"/>
      <c r="V2141" s="14" t="e">
        <f>U2141*#REF!</f>
        <v>#REF!</v>
      </c>
      <c r="W2141" s="14"/>
      <c r="X2141" s="26"/>
      <c r="Y2141" s="13"/>
      <c r="Z2141" s="68" t="e">
        <f>VLOOKUP(Takeoffs!Y2141,Sheet1!$B$6:$C$124,2,FALSE)</f>
        <v>#N/A</v>
      </c>
      <c r="AA2141" s="68"/>
      <c r="AB2141" s="18"/>
      <c r="AC2141" s="18"/>
      <c r="AD2141" s="18"/>
      <c r="AE2141" s="60"/>
      <c r="AF2141" s="13"/>
      <c r="AG2141" s="68" t="e">
        <f>VLOOKUP(Takeoffs!AF2141,Sheet1!$B$6:$C$124,2,FALSE)</f>
        <v>#N/A</v>
      </c>
      <c r="AH2141" s="68"/>
      <c r="AI2141" s="18"/>
      <c r="AJ2141" s="18"/>
      <c r="AK2141" s="18"/>
      <c r="AL2141" s="60"/>
      <c r="AO2141" s="286"/>
      <c r="AP2141" s="284">
        <f t="shared" si="975"/>
        <v>0</v>
      </c>
      <c r="AQ2141" s="281">
        <f t="shared" si="976"/>
        <v>0</v>
      </c>
      <c r="AR2141" s="284">
        <f t="shared" si="977"/>
        <v>0</v>
      </c>
      <c r="AS2141" s="281">
        <f t="shared" si="978"/>
        <v>0</v>
      </c>
      <c r="AT2141" s="284">
        <f t="shared" si="979"/>
        <v>0</v>
      </c>
    </row>
    <row r="2142" spans="1:46" customFormat="1" ht="30.9" x14ac:dyDescent="0.8">
      <c r="A2142" s="262">
        <f>ROW()</f>
        <v>2142</v>
      </c>
      <c r="B2142" s="114"/>
      <c r="C2142" s="208"/>
      <c r="D2142" s="208"/>
      <c r="E2142" s="208"/>
      <c r="F2142" s="208"/>
      <c r="G2142" s="208"/>
      <c r="H2142" s="208"/>
      <c r="I2142" s="114"/>
      <c r="N2142" s="15" t="s">
        <v>129</v>
      </c>
      <c r="O2142" s="12"/>
      <c r="P2142" s="12"/>
      <c r="Q2142" s="12"/>
      <c r="R2142" s="12"/>
      <c r="S2142" s="28">
        <f>M2125</f>
        <v>50</v>
      </c>
      <c r="T2142" s="11"/>
      <c r="U2142" s="12"/>
      <c r="V2142" s="14" t="e">
        <f>U2142*#REF!</f>
        <v>#REF!</v>
      </c>
      <c r="W2142" s="14"/>
      <c r="X2142" s="26"/>
      <c r="Y2142" s="13"/>
      <c r="Z2142" s="68" t="e">
        <f>VLOOKUP(Takeoffs!Y2142,Sheet1!$B$6:$C$124,2,FALSE)</f>
        <v>#N/A</v>
      </c>
      <c r="AA2142" s="68"/>
      <c r="AB2142" s="18"/>
      <c r="AC2142" s="18"/>
      <c r="AD2142" s="18"/>
      <c r="AE2142" s="60"/>
      <c r="AF2142" s="13"/>
      <c r="AG2142" s="68" t="e">
        <f>VLOOKUP(Takeoffs!AF2142,Sheet1!$B$6:$C$124,2,FALSE)</f>
        <v>#N/A</v>
      </c>
      <c r="AH2142" s="68"/>
      <c r="AI2142" s="18"/>
      <c r="AJ2142" s="18"/>
      <c r="AK2142" s="18"/>
      <c r="AL2142" s="60"/>
      <c r="AO2142" s="286"/>
      <c r="AP2142" s="284">
        <f t="shared" si="975"/>
        <v>0</v>
      </c>
      <c r="AQ2142" s="281">
        <f t="shared" si="976"/>
        <v>0</v>
      </c>
      <c r="AR2142" s="284">
        <f t="shared" si="977"/>
        <v>0</v>
      </c>
      <c r="AS2142" s="281">
        <f t="shared" si="978"/>
        <v>0</v>
      </c>
      <c r="AT2142" s="284">
        <f t="shared" si="979"/>
        <v>0</v>
      </c>
    </row>
    <row r="2143" spans="1:46" customFormat="1" ht="30.9" x14ac:dyDescent="0.8">
      <c r="A2143" s="262">
        <f>ROW()</f>
        <v>2143</v>
      </c>
      <c r="B2143" s="114"/>
      <c r="C2143" s="208"/>
      <c r="D2143" s="208"/>
      <c r="E2143" s="208"/>
      <c r="F2143" s="208"/>
      <c r="G2143" s="208"/>
      <c r="H2143" s="208"/>
      <c r="I2143" s="114"/>
      <c r="N2143" s="15" t="s">
        <v>130</v>
      </c>
      <c r="O2143" s="12"/>
      <c r="P2143" s="12"/>
      <c r="Q2143" s="12"/>
      <c r="R2143" s="12"/>
      <c r="S2143" s="28">
        <f>M2125</f>
        <v>50</v>
      </c>
      <c r="T2143" s="11"/>
      <c r="U2143" s="12"/>
      <c r="V2143" s="14" t="e">
        <f>U2143*#REF!</f>
        <v>#REF!</v>
      </c>
      <c r="W2143" s="14"/>
      <c r="X2143" s="26"/>
      <c r="Y2143" s="13"/>
      <c r="Z2143" s="68" t="e">
        <f>VLOOKUP(Takeoffs!Y2143,Sheet1!$B$6:$C$124,2,FALSE)</f>
        <v>#N/A</v>
      </c>
      <c r="AA2143" s="68"/>
      <c r="AB2143" s="18"/>
      <c r="AC2143" s="18"/>
      <c r="AD2143" s="18"/>
      <c r="AE2143" s="60"/>
      <c r="AF2143" s="13"/>
      <c r="AG2143" s="68" t="e">
        <f>VLOOKUP(Takeoffs!AF2143,Sheet1!$B$6:$C$124,2,FALSE)</f>
        <v>#N/A</v>
      </c>
      <c r="AH2143" s="68"/>
      <c r="AI2143" s="18"/>
      <c r="AJ2143" s="18"/>
      <c r="AK2143" s="18"/>
      <c r="AL2143" s="60"/>
      <c r="AO2143" s="286"/>
      <c r="AP2143" s="284">
        <f t="shared" si="975"/>
        <v>0</v>
      </c>
      <c r="AQ2143" s="281">
        <f t="shared" si="976"/>
        <v>0</v>
      </c>
      <c r="AR2143" s="284">
        <f t="shared" si="977"/>
        <v>0</v>
      </c>
      <c r="AS2143" s="281">
        <f t="shared" si="978"/>
        <v>0</v>
      </c>
      <c r="AT2143" s="284">
        <f t="shared" si="979"/>
        <v>0</v>
      </c>
    </row>
    <row r="2144" spans="1:46" customFormat="1" ht="30.9" x14ac:dyDescent="0.8">
      <c r="A2144" s="262">
        <f>ROW()</f>
        <v>2144</v>
      </c>
      <c r="B2144" s="114"/>
      <c r="C2144" s="208"/>
      <c r="D2144" s="208"/>
      <c r="E2144" s="208"/>
      <c r="F2144" s="208"/>
      <c r="G2144" s="208"/>
      <c r="H2144" s="208"/>
      <c r="I2144" s="114"/>
      <c r="N2144" s="15" t="s">
        <v>131</v>
      </c>
      <c r="O2144" s="12"/>
      <c r="P2144" s="12"/>
      <c r="Q2144" s="12"/>
      <c r="R2144" s="12"/>
      <c r="S2144" s="28">
        <f>M2125</f>
        <v>50</v>
      </c>
      <c r="T2144" s="11"/>
      <c r="U2144" s="12"/>
      <c r="V2144" s="14" t="e">
        <f>U2144*#REF!</f>
        <v>#REF!</v>
      </c>
      <c r="W2144" s="14"/>
      <c r="X2144" s="26"/>
      <c r="Y2144" s="13"/>
      <c r="Z2144" s="68" t="e">
        <f>VLOOKUP(Takeoffs!Y2144,Sheet1!$B$6:$C$124,2,FALSE)</f>
        <v>#N/A</v>
      </c>
      <c r="AA2144" s="68"/>
      <c r="AB2144" s="18"/>
      <c r="AC2144" s="18"/>
      <c r="AD2144" s="18"/>
      <c r="AE2144" s="60"/>
      <c r="AF2144" s="13"/>
      <c r="AG2144" s="68" t="e">
        <f>VLOOKUP(Takeoffs!AF2144,Sheet1!$B$6:$C$124,2,FALSE)</f>
        <v>#N/A</v>
      </c>
      <c r="AH2144" s="68"/>
      <c r="AI2144" s="18"/>
      <c r="AJ2144" s="18"/>
      <c r="AK2144" s="18"/>
      <c r="AL2144" s="60"/>
      <c r="AO2144" s="286"/>
      <c r="AP2144" s="284">
        <f t="shared" si="975"/>
        <v>0</v>
      </c>
      <c r="AQ2144" s="281">
        <f t="shared" si="976"/>
        <v>0</v>
      </c>
      <c r="AR2144" s="284">
        <f t="shared" si="977"/>
        <v>0</v>
      </c>
      <c r="AS2144" s="281">
        <f t="shared" si="978"/>
        <v>0</v>
      </c>
      <c r="AT2144" s="284">
        <f t="shared" si="979"/>
        <v>0</v>
      </c>
    </row>
    <row r="2145" spans="1:46" customFormat="1" ht="30.9" x14ac:dyDescent="0.8">
      <c r="A2145" s="262">
        <f>ROW()</f>
        <v>2145</v>
      </c>
      <c r="B2145" s="114"/>
      <c r="C2145" s="208"/>
      <c r="D2145" s="208"/>
      <c r="E2145" s="208"/>
      <c r="F2145" s="208"/>
      <c r="G2145" s="208"/>
      <c r="H2145" s="208"/>
      <c r="I2145" s="114"/>
      <c r="N2145" s="15" t="s">
        <v>132</v>
      </c>
      <c r="O2145" s="12"/>
      <c r="P2145" s="12"/>
      <c r="Q2145" s="12"/>
      <c r="R2145" s="12"/>
      <c r="S2145" s="28">
        <f>M2125</f>
        <v>50</v>
      </c>
      <c r="T2145" s="11"/>
      <c r="U2145" s="12"/>
      <c r="V2145" s="14" t="e">
        <f>U2145*#REF!</f>
        <v>#REF!</v>
      </c>
      <c r="W2145" s="14"/>
      <c r="X2145" s="26"/>
      <c r="Y2145" s="13"/>
      <c r="Z2145" s="68" t="e">
        <f>VLOOKUP(Takeoffs!Y2145,Sheet1!$B$6:$C$124,2,FALSE)</f>
        <v>#N/A</v>
      </c>
      <c r="AA2145" s="68"/>
      <c r="AB2145" s="18"/>
      <c r="AC2145" s="18"/>
      <c r="AD2145" s="18"/>
      <c r="AE2145" s="60"/>
      <c r="AF2145" s="13"/>
      <c r="AG2145" s="68" t="e">
        <f>VLOOKUP(Takeoffs!AF2145,Sheet1!$B$6:$C$124,2,FALSE)</f>
        <v>#N/A</v>
      </c>
      <c r="AH2145" s="68"/>
      <c r="AI2145" s="18"/>
      <c r="AJ2145" s="18"/>
      <c r="AK2145" s="18"/>
      <c r="AL2145" s="60"/>
      <c r="AO2145" s="286"/>
      <c r="AP2145" s="284">
        <f t="shared" si="975"/>
        <v>0</v>
      </c>
      <c r="AQ2145" s="281">
        <f t="shared" si="976"/>
        <v>0</v>
      </c>
      <c r="AR2145" s="284">
        <f t="shared" si="977"/>
        <v>0</v>
      </c>
      <c r="AS2145" s="281">
        <f t="shared" si="978"/>
        <v>0</v>
      </c>
      <c r="AT2145" s="284">
        <f t="shared" si="979"/>
        <v>0</v>
      </c>
    </row>
    <row r="2146" spans="1:46" s="21" customFormat="1" ht="33.75" customHeight="1" x14ac:dyDescent="0.8">
      <c r="A2146" s="262">
        <f>ROW()</f>
        <v>2146</v>
      </c>
      <c r="B2146" s="128"/>
      <c r="C2146" s="212"/>
      <c r="D2146" s="212"/>
      <c r="E2146" s="212"/>
      <c r="F2146" s="212"/>
      <c r="G2146" s="212"/>
      <c r="H2146" s="212"/>
      <c r="I2146" s="114"/>
      <c r="N2146" s="22"/>
      <c r="O2146" s="23"/>
      <c r="P2146" s="23"/>
      <c r="Q2146" s="23"/>
      <c r="R2146" s="23"/>
      <c r="S2146" s="23"/>
      <c r="T2146" s="24"/>
      <c r="U2146" s="23"/>
      <c r="V2146" s="24"/>
      <c r="W2146" s="24"/>
      <c r="X2146" s="26"/>
      <c r="Y2146" s="24"/>
      <c r="Z2146" s="68" t="e">
        <f>VLOOKUP(Takeoffs!Y2146,Sheet1!$B$6:$C$124,2,FALSE)</f>
        <v>#N/A</v>
      </c>
      <c r="AA2146" s="68"/>
      <c r="AB2146" s="31"/>
      <c r="AC2146" s="31"/>
      <c r="AD2146" s="31"/>
      <c r="AE2146" s="60"/>
      <c r="AF2146" s="24"/>
      <c r="AG2146" s="68" t="e">
        <f>VLOOKUP(Takeoffs!AF2146,Sheet1!$B$6:$C$124,2,FALSE)</f>
        <v>#N/A</v>
      </c>
      <c r="AH2146" s="68"/>
      <c r="AI2146" s="31"/>
      <c r="AJ2146" s="31"/>
      <c r="AK2146" s="31"/>
      <c r="AL2146" s="60"/>
      <c r="AO2146" s="286"/>
      <c r="AP2146" s="284">
        <f t="shared" si="975"/>
        <v>0</v>
      </c>
      <c r="AQ2146" s="281">
        <f t="shared" si="976"/>
        <v>0</v>
      </c>
      <c r="AR2146" s="284">
        <f t="shared" si="977"/>
        <v>0</v>
      </c>
      <c r="AS2146" s="281">
        <f t="shared" si="978"/>
        <v>0</v>
      </c>
      <c r="AT2146" s="284">
        <f t="shared" si="979"/>
        <v>0</v>
      </c>
    </row>
    <row r="2147" spans="1:46" customFormat="1" ht="30.9" x14ac:dyDescent="0.8">
      <c r="A2147" s="262">
        <f>ROW()</f>
        <v>2147</v>
      </c>
      <c r="B2147" s="114"/>
      <c r="C2147" s="208"/>
      <c r="D2147" s="208"/>
      <c r="E2147" s="208"/>
      <c r="F2147" s="208"/>
      <c r="G2147" s="208"/>
      <c r="H2147" s="208"/>
      <c r="I2147" s="128"/>
      <c r="Q2147" s="32"/>
      <c r="R2147" s="32"/>
      <c r="T2147" s="8"/>
      <c r="W2147" s="32"/>
      <c r="X2147" s="25"/>
      <c r="Z2147" s="68" t="e">
        <f>VLOOKUP(Takeoffs!Y2147,Sheet1!$B$6:$C$124,2,FALSE)</f>
        <v>#N/A</v>
      </c>
      <c r="AA2147" s="68"/>
      <c r="AB2147" s="32"/>
      <c r="AC2147" s="32"/>
      <c r="AD2147" s="32"/>
      <c r="AE2147" s="25"/>
      <c r="AF2147" s="32"/>
      <c r="AG2147" s="68" t="e">
        <f>VLOOKUP(Takeoffs!AF2147,Sheet1!$B$6:$C$124,2,FALSE)</f>
        <v>#N/A</v>
      </c>
      <c r="AH2147" s="68"/>
      <c r="AI2147" s="32"/>
      <c r="AJ2147" s="32"/>
      <c r="AK2147" s="32"/>
      <c r="AL2147" s="25"/>
      <c r="AO2147" s="286"/>
      <c r="AP2147" s="284">
        <f t="shared" si="975"/>
        <v>0</v>
      </c>
      <c r="AQ2147" s="281">
        <f t="shared" si="976"/>
        <v>0</v>
      </c>
      <c r="AR2147" s="284">
        <f t="shared" si="977"/>
        <v>0</v>
      </c>
      <c r="AS2147" s="281">
        <f t="shared" si="978"/>
        <v>0</v>
      </c>
      <c r="AT2147" s="284">
        <f t="shared" si="979"/>
        <v>0</v>
      </c>
    </row>
    <row r="2148" spans="1:46" customFormat="1" ht="30.9" x14ac:dyDescent="0.8">
      <c r="A2148" s="262">
        <f>ROW()</f>
        <v>2148</v>
      </c>
      <c r="B2148" s="114"/>
      <c r="C2148" s="208"/>
      <c r="D2148" s="208"/>
      <c r="E2148" s="208"/>
      <c r="F2148" s="208"/>
      <c r="G2148" s="208"/>
      <c r="H2148" s="208"/>
      <c r="I2148" s="114"/>
      <c r="Q2148" s="32"/>
      <c r="R2148" s="32"/>
      <c r="T2148" s="8"/>
      <c r="W2148" s="32"/>
      <c r="X2148" s="25"/>
      <c r="Z2148" s="68" t="e">
        <f>VLOOKUP(Takeoffs!Y2148,Sheet1!$B$6:$C$124,2,FALSE)</f>
        <v>#N/A</v>
      </c>
      <c r="AA2148" s="68"/>
      <c r="AB2148" s="32"/>
      <c r="AC2148" s="32"/>
      <c r="AD2148" s="32"/>
      <c r="AE2148" s="25"/>
      <c r="AF2148" s="32"/>
      <c r="AG2148" s="68" t="e">
        <f>VLOOKUP(Takeoffs!AF2148,Sheet1!$B$6:$C$124,2,FALSE)</f>
        <v>#N/A</v>
      </c>
      <c r="AH2148" s="68"/>
      <c r="AI2148" s="32"/>
      <c r="AJ2148" s="32"/>
      <c r="AK2148" s="32"/>
      <c r="AL2148" s="25"/>
      <c r="AO2148" s="286"/>
      <c r="AP2148" s="284">
        <f t="shared" si="975"/>
        <v>0</v>
      </c>
      <c r="AQ2148" s="281">
        <f t="shared" si="976"/>
        <v>0</v>
      </c>
      <c r="AR2148" s="284">
        <f t="shared" si="977"/>
        <v>0</v>
      </c>
      <c r="AS2148" s="281">
        <f t="shared" si="978"/>
        <v>0</v>
      </c>
      <c r="AT2148" s="284">
        <f t="shared" si="979"/>
        <v>0</v>
      </c>
    </row>
    <row r="2149" spans="1:46" s="2" customFormat="1" ht="62.25" customHeight="1" x14ac:dyDescent="0.8">
      <c r="A2149" s="262">
        <f>ROW()</f>
        <v>2149</v>
      </c>
      <c r="B2149" s="116"/>
      <c r="C2149" s="211"/>
      <c r="D2149" s="211"/>
      <c r="E2149" s="211"/>
      <c r="F2149" s="211"/>
      <c r="G2149" s="211"/>
      <c r="H2149" s="211"/>
      <c r="I2149" s="114"/>
      <c r="M2149" s="2" t="s">
        <v>107</v>
      </c>
      <c r="N2149" s="2" t="s">
        <v>108</v>
      </c>
      <c r="O2149" s="2" t="s">
        <v>4</v>
      </c>
      <c r="P2149" s="2" t="s">
        <v>5</v>
      </c>
      <c r="S2149" s="2" t="s">
        <v>0</v>
      </c>
      <c r="T2149" s="9"/>
      <c r="U2149" s="2" t="s">
        <v>109</v>
      </c>
      <c r="V2149" s="2" t="s">
        <v>110</v>
      </c>
      <c r="X2149" s="58"/>
      <c r="Y2149" s="2" t="s">
        <v>111</v>
      </c>
      <c r="Z2149" s="68" t="e">
        <f>VLOOKUP(Takeoffs!Y2149,Sheet1!$B$6:$C$124,2,FALSE)</f>
        <v>#N/A</v>
      </c>
      <c r="AA2149" s="68"/>
      <c r="AE2149" s="58"/>
      <c r="AF2149" s="2" t="s">
        <v>111</v>
      </c>
      <c r="AG2149" s="68" t="e">
        <f>VLOOKUP(Takeoffs!AF2149,Sheet1!$B$6:$C$124,2,FALSE)</f>
        <v>#N/A</v>
      </c>
      <c r="AH2149" s="68"/>
      <c r="AL2149" s="58"/>
      <c r="AO2149" s="288"/>
      <c r="AP2149" s="284">
        <f t="shared" si="975"/>
        <v>0</v>
      </c>
      <c r="AQ2149" s="281">
        <f t="shared" si="976"/>
        <v>0</v>
      </c>
      <c r="AR2149" s="284">
        <f t="shared" si="977"/>
        <v>0</v>
      </c>
      <c r="AS2149" s="281">
        <f t="shared" si="978"/>
        <v>0</v>
      </c>
      <c r="AT2149" s="284">
        <f t="shared" si="979"/>
        <v>0</v>
      </c>
    </row>
    <row r="2150" spans="1:46" customFormat="1" ht="179.25" customHeight="1" x14ac:dyDescent="0.8">
      <c r="A2150" s="262">
        <f>ROW()</f>
        <v>2150</v>
      </c>
      <c r="B2150" s="114"/>
      <c r="C2150" s="208"/>
      <c r="D2150" s="208"/>
      <c r="E2150" s="208"/>
      <c r="F2150" s="208"/>
      <c r="G2150" s="208"/>
      <c r="H2150" s="208"/>
      <c r="I2150" s="116"/>
      <c r="J2150" s="29" t="str">
        <f>CONCATENATE(O2150," ",L2150, " (",M2150,") ",N2150,". Each includes supply and install of ",O2151,O2152,O2153,O2154,O2155,O2156,O2157,O2158,O2159,O2160,O2161,O2162,O2163,O2164,O2165,O2166,O2167,O2168,O2169,O2170,)</f>
        <v>Electrical power supply and controls cabling to one hundred and thirty (130) Ducted VRF fan coil units. Each includes supply and install of controls cabling, power cabling and conduit fom outdoor unit and local power isolator.Each sytem includes install only of  proprietory controller and install only of branch connector boxes interconnect cabling.</v>
      </c>
      <c r="L2150" s="16" t="str">
        <f>VLOOKUP(M2150,Sheet2!$D$2:$E$1024,2,FALSE)</f>
        <v>one hundred and thirty</v>
      </c>
      <c r="M2150" s="12">
        <v>130</v>
      </c>
      <c r="N2150" s="27" t="s">
        <v>137</v>
      </c>
      <c r="O2150" s="12" t="s">
        <v>138</v>
      </c>
      <c r="P2150" s="12"/>
      <c r="Q2150" s="12"/>
      <c r="R2150" s="12"/>
      <c r="S2150" s="28"/>
      <c r="T2150" s="10"/>
      <c r="U2150" s="12"/>
      <c r="V2150" s="14" t="e">
        <f>U2150*#REF!</f>
        <v>#REF!</v>
      </c>
      <c r="W2150" s="14"/>
      <c r="X2150" s="26"/>
      <c r="Y2150" s="13"/>
      <c r="Z2150" s="68" t="e">
        <f>VLOOKUP(Takeoffs!Y2150,Sheet1!$B$6:$C$124,2,FALSE)</f>
        <v>#N/A</v>
      </c>
      <c r="AA2150" s="68"/>
      <c r="AB2150" s="18"/>
      <c r="AC2150" s="18"/>
      <c r="AD2150" s="18"/>
      <c r="AE2150" s="60"/>
      <c r="AF2150" s="13"/>
      <c r="AG2150" s="68" t="e">
        <f>VLOOKUP(Takeoffs!AF2150,Sheet1!$B$6:$C$124,2,FALSE)</f>
        <v>#N/A</v>
      </c>
      <c r="AH2150" s="68"/>
      <c r="AI2150" s="18"/>
      <c r="AJ2150" s="18"/>
      <c r="AK2150" s="18"/>
      <c r="AL2150" s="60"/>
      <c r="AO2150" s="286"/>
      <c r="AP2150" s="284">
        <f t="shared" si="975"/>
        <v>0</v>
      </c>
      <c r="AQ2150" s="281">
        <f t="shared" si="976"/>
        <v>0</v>
      </c>
      <c r="AR2150" s="284">
        <f t="shared" si="977"/>
        <v>0</v>
      </c>
      <c r="AS2150" s="281">
        <f t="shared" si="978"/>
        <v>0</v>
      </c>
      <c r="AT2150" s="284">
        <f t="shared" si="979"/>
        <v>0</v>
      </c>
    </row>
    <row r="2151" spans="1:46" customFormat="1" ht="30.9" x14ac:dyDescent="0.8">
      <c r="A2151" s="262">
        <f>ROW()</f>
        <v>2151</v>
      </c>
      <c r="B2151" s="114"/>
      <c r="C2151" s="208"/>
      <c r="D2151" s="208"/>
      <c r="E2151" s="208"/>
      <c r="F2151" s="208"/>
      <c r="G2151" s="208"/>
      <c r="H2151" s="208"/>
      <c r="I2151" s="114"/>
      <c r="M2151" s="3"/>
      <c r="N2151" s="15" t="s">
        <v>113</v>
      </c>
      <c r="O2151" s="12" t="s">
        <v>140</v>
      </c>
      <c r="P2151" s="12"/>
      <c r="Q2151" s="12"/>
      <c r="R2151" s="12"/>
      <c r="S2151" s="28">
        <f>M2150</f>
        <v>130</v>
      </c>
      <c r="T2151" s="11"/>
      <c r="U2151" s="12"/>
      <c r="V2151" s="14" t="e">
        <f>U2151*#REF!</f>
        <v>#REF!</v>
      </c>
      <c r="W2151" s="14"/>
      <c r="X2151" s="26"/>
      <c r="Y2151" s="13"/>
      <c r="Z2151" s="68" t="e">
        <f>VLOOKUP(Takeoffs!Y2151,Sheet1!$B$6:$C$124,2,FALSE)</f>
        <v>#N/A</v>
      </c>
      <c r="AA2151" s="68"/>
      <c r="AB2151" s="18"/>
      <c r="AC2151" s="18"/>
      <c r="AD2151" s="18"/>
      <c r="AE2151" s="60"/>
      <c r="AF2151" s="13"/>
      <c r="AG2151" s="68" t="e">
        <f>VLOOKUP(Takeoffs!AF2151,Sheet1!$B$6:$C$124,2,FALSE)</f>
        <v>#N/A</v>
      </c>
      <c r="AH2151" s="68"/>
      <c r="AI2151" s="18"/>
      <c r="AJ2151" s="18"/>
      <c r="AK2151" s="18"/>
      <c r="AL2151" s="60"/>
      <c r="AO2151" s="286"/>
      <c r="AP2151" s="284">
        <f t="shared" si="975"/>
        <v>0</v>
      </c>
      <c r="AQ2151" s="281">
        <f t="shared" si="976"/>
        <v>0</v>
      </c>
      <c r="AR2151" s="284">
        <f t="shared" si="977"/>
        <v>0</v>
      </c>
      <c r="AS2151" s="281">
        <f t="shared" si="978"/>
        <v>0</v>
      </c>
      <c r="AT2151" s="284">
        <f t="shared" si="979"/>
        <v>0</v>
      </c>
    </row>
    <row r="2152" spans="1:46" customFormat="1" ht="30.9" x14ac:dyDescent="0.8">
      <c r="A2152" s="262">
        <f>ROW()</f>
        <v>2152</v>
      </c>
      <c r="B2152" s="114"/>
      <c r="C2152" s="208"/>
      <c r="D2152" s="208"/>
      <c r="E2152" s="208"/>
      <c r="F2152" s="208"/>
      <c r="G2152" s="208"/>
      <c r="H2152" s="208"/>
      <c r="I2152" s="114"/>
      <c r="M2152" s="3"/>
      <c r="N2152" s="15" t="s">
        <v>114</v>
      </c>
      <c r="O2152" s="12" t="s">
        <v>143</v>
      </c>
      <c r="P2152" s="12"/>
      <c r="Q2152" s="12"/>
      <c r="R2152" s="12"/>
      <c r="S2152" s="28">
        <f>M2150</f>
        <v>130</v>
      </c>
      <c r="T2152" s="11"/>
      <c r="U2152" s="12"/>
      <c r="V2152" s="14" t="e">
        <f>U2152*#REF!</f>
        <v>#REF!</v>
      </c>
      <c r="W2152" s="14"/>
      <c r="X2152" s="26"/>
      <c r="Y2152" s="13"/>
      <c r="Z2152" s="68" t="e">
        <f>VLOOKUP(Takeoffs!Y2152,Sheet1!$B$6:$C$124,2,FALSE)</f>
        <v>#N/A</v>
      </c>
      <c r="AA2152" s="68"/>
      <c r="AB2152" s="18"/>
      <c r="AC2152" s="18"/>
      <c r="AD2152" s="18"/>
      <c r="AE2152" s="60"/>
      <c r="AF2152" s="13"/>
      <c r="AG2152" s="68" t="e">
        <f>VLOOKUP(Takeoffs!AF2152,Sheet1!$B$6:$C$124,2,FALSE)</f>
        <v>#N/A</v>
      </c>
      <c r="AH2152" s="68"/>
      <c r="AI2152" s="18"/>
      <c r="AJ2152" s="18"/>
      <c r="AK2152" s="18"/>
      <c r="AL2152" s="60"/>
      <c r="AO2152" s="286"/>
      <c r="AP2152" s="284">
        <f t="shared" si="975"/>
        <v>0</v>
      </c>
      <c r="AQ2152" s="281">
        <f t="shared" si="976"/>
        <v>0</v>
      </c>
      <c r="AR2152" s="284">
        <f t="shared" si="977"/>
        <v>0</v>
      </c>
      <c r="AS2152" s="281">
        <f t="shared" si="978"/>
        <v>0</v>
      </c>
      <c r="AT2152" s="284">
        <f t="shared" si="979"/>
        <v>0</v>
      </c>
    </row>
    <row r="2153" spans="1:46" customFormat="1" ht="30.9" x14ac:dyDescent="0.8">
      <c r="A2153" s="262">
        <f>ROW()</f>
        <v>2153</v>
      </c>
      <c r="B2153" s="114"/>
      <c r="C2153" s="208"/>
      <c r="D2153" s="208"/>
      <c r="E2153" s="208"/>
      <c r="F2153" s="208"/>
      <c r="G2153" s="208"/>
      <c r="H2153" s="208"/>
      <c r="I2153" s="114"/>
      <c r="M2153" s="3"/>
      <c r="N2153" s="15" t="s">
        <v>115</v>
      </c>
      <c r="O2153" s="12" t="s">
        <v>141</v>
      </c>
      <c r="P2153" s="12"/>
      <c r="Q2153" s="12"/>
      <c r="R2153" s="12"/>
      <c r="S2153" s="28">
        <f>M2150</f>
        <v>130</v>
      </c>
      <c r="T2153" s="11"/>
      <c r="U2153" s="12"/>
      <c r="V2153" s="14" t="e">
        <f>U2153*#REF!</f>
        <v>#REF!</v>
      </c>
      <c r="W2153" s="14"/>
      <c r="X2153" s="26"/>
      <c r="Y2153" s="13"/>
      <c r="Z2153" s="68" t="e">
        <f>VLOOKUP(Takeoffs!Y2153,Sheet1!$B$6:$C$124,2,FALSE)</f>
        <v>#N/A</v>
      </c>
      <c r="AA2153" s="68"/>
      <c r="AB2153" s="18"/>
      <c r="AC2153" s="18"/>
      <c r="AD2153" s="18"/>
      <c r="AE2153" s="60"/>
      <c r="AF2153" s="13"/>
      <c r="AG2153" s="68" t="e">
        <f>VLOOKUP(Takeoffs!AF2153,Sheet1!$B$6:$C$124,2,FALSE)</f>
        <v>#N/A</v>
      </c>
      <c r="AH2153" s="68"/>
      <c r="AI2153" s="18"/>
      <c r="AJ2153" s="18"/>
      <c r="AK2153" s="18"/>
      <c r="AL2153" s="60"/>
      <c r="AO2153" s="286"/>
      <c r="AP2153" s="284">
        <f t="shared" si="975"/>
        <v>0</v>
      </c>
      <c r="AQ2153" s="281">
        <f t="shared" si="976"/>
        <v>0</v>
      </c>
      <c r="AR2153" s="284">
        <f t="shared" si="977"/>
        <v>0</v>
      </c>
      <c r="AS2153" s="281">
        <f t="shared" si="978"/>
        <v>0</v>
      </c>
      <c r="AT2153" s="284">
        <f t="shared" si="979"/>
        <v>0</v>
      </c>
    </row>
    <row r="2154" spans="1:46" customFormat="1" ht="30.9" x14ac:dyDescent="0.8">
      <c r="A2154" s="262">
        <f>ROW()</f>
        <v>2154</v>
      </c>
      <c r="B2154" s="114"/>
      <c r="C2154" s="208"/>
      <c r="D2154" s="208"/>
      <c r="E2154" s="208"/>
      <c r="F2154" s="208"/>
      <c r="G2154" s="208"/>
      <c r="H2154" s="208"/>
      <c r="I2154" s="114"/>
      <c r="M2154" s="3"/>
      <c r="N2154" s="15" t="s">
        <v>116</v>
      </c>
      <c r="O2154" s="12" t="s">
        <v>144</v>
      </c>
      <c r="P2154" s="12"/>
      <c r="Q2154" s="12"/>
      <c r="R2154" s="12"/>
      <c r="S2154" s="28">
        <f>M2150</f>
        <v>130</v>
      </c>
      <c r="T2154" s="11"/>
      <c r="U2154" s="12"/>
      <c r="V2154" s="14" t="e">
        <f>U2154*#REF!</f>
        <v>#REF!</v>
      </c>
      <c r="W2154" s="14"/>
      <c r="X2154" s="26"/>
      <c r="Y2154" s="13"/>
      <c r="Z2154" s="68" t="e">
        <f>VLOOKUP(Takeoffs!Y2154,Sheet1!$B$6:$C$124,2,FALSE)</f>
        <v>#N/A</v>
      </c>
      <c r="AA2154" s="68"/>
      <c r="AB2154" s="18"/>
      <c r="AC2154" s="18"/>
      <c r="AD2154" s="18"/>
      <c r="AE2154" s="60"/>
      <c r="AF2154" s="13"/>
      <c r="AG2154" s="68" t="e">
        <f>VLOOKUP(Takeoffs!AF2154,Sheet1!$B$6:$C$124,2,FALSE)</f>
        <v>#N/A</v>
      </c>
      <c r="AH2154" s="68"/>
      <c r="AI2154" s="18"/>
      <c r="AJ2154" s="18"/>
      <c r="AK2154" s="18"/>
      <c r="AL2154" s="60"/>
      <c r="AO2154" s="286"/>
      <c r="AP2154" s="284">
        <f t="shared" ref="AP2154:AP2217" si="980">IF(I2154&gt;0,P2154,0)</f>
        <v>0</v>
      </c>
      <c r="AQ2154" s="281">
        <f t="shared" ref="AQ2154:AQ2217" si="981">IF(I2154&gt;0,W2154,0)</f>
        <v>0</v>
      </c>
      <c r="AR2154" s="284">
        <f t="shared" ref="AR2154:AR2217" si="982">IF(I2154&gt;0,AA2154,0)</f>
        <v>0</v>
      </c>
      <c r="AS2154" s="281">
        <f t="shared" ref="AS2154:AS2217" si="983">IF(I2154&gt;0,AH2154,0)</f>
        <v>0</v>
      </c>
      <c r="AT2154" s="284">
        <f t="shared" ref="AT2154:AT2217" si="984">IF(I2154&gt;0,AP2154-(AQ2154+AR2154+AS2154),0)</f>
        <v>0</v>
      </c>
    </row>
    <row r="2155" spans="1:46" customFormat="1" ht="30.9" x14ac:dyDescent="0.8">
      <c r="A2155" s="262">
        <f>ROW()</f>
        <v>2155</v>
      </c>
      <c r="B2155" s="114"/>
      <c r="C2155" s="208"/>
      <c r="D2155" s="208"/>
      <c r="E2155" s="208"/>
      <c r="F2155" s="208"/>
      <c r="G2155" s="208"/>
      <c r="H2155" s="208"/>
      <c r="I2155" s="114"/>
      <c r="M2155" s="3"/>
      <c r="N2155" s="15" t="s">
        <v>117</v>
      </c>
      <c r="O2155" s="12" t="s">
        <v>142</v>
      </c>
      <c r="P2155" s="12"/>
      <c r="Q2155" s="12"/>
      <c r="R2155" s="12"/>
      <c r="S2155" s="28">
        <f>M2150</f>
        <v>130</v>
      </c>
      <c r="T2155" s="11"/>
      <c r="U2155" s="12"/>
      <c r="V2155" s="14" t="e">
        <f>U2155*#REF!</f>
        <v>#REF!</v>
      </c>
      <c r="W2155" s="14"/>
      <c r="X2155" s="26"/>
      <c r="Y2155" s="13"/>
      <c r="Z2155" s="68" t="e">
        <f>VLOOKUP(Takeoffs!Y2155,Sheet1!$B$6:$C$124,2,FALSE)</f>
        <v>#N/A</v>
      </c>
      <c r="AA2155" s="68"/>
      <c r="AB2155" s="18"/>
      <c r="AC2155" s="18"/>
      <c r="AD2155" s="18"/>
      <c r="AE2155" s="60"/>
      <c r="AF2155" s="13"/>
      <c r="AG2155" s="68" t="e">
        <f>VLOOKUP(Takeoffs!AF2155,Sheet1!$B$6:$C$124,2,FALSE)</f>
        <v>#N/A</v>
      </c>
      <c r="AH2155" s="68"/>
      <c r="AI2155" s="18"/>
      <c r="AJ2155" s="18"/>
      <c r="AK2155" s="18"/>
      <c r="AL2155" s="60"/>
      <c r="AO2155" s="286"/>
      <c r="AP2155" s="284">
        <f t="shared" si="980"/>
        <v>0</v>
      </c>
      <c r="AQ2155" s="281">
        <f t="shared" si="981"/>
        <v>0</v>
      </c>
      <c r="AR2155" s="284">
        <f t="shared" si="982"/>
        <v>0</v>
      </c>
      <c r="AS2155" s="281">
        <f t="shared" si="983"/>
        <v>0</v>
      </c>
      <c r="AT2155" s="284">
        <f t="shared" si="984"/>
        <v>0</v>
      </c>
    </row>
    <row r="2156" spans="1:46" customFormat="1" ht="30.9" x14ac:dyDescent="0.8">
      <c r="A2156" s="262">
        <f>ROW()</f>
        <v>2156</v>
      </c>
      <c r="B2156" s="114"/>
      <c r="C2156" s="208"/>
      <c r="D2156" s="208"/>
      <c r="E2156" s="208"/>
      <c r="F2156" s="208"/>
      <c r="G2156" s="208"/>
      <c r="H2156" s="208"/>
      <c r="I2156" s="114"/>
      <c r="M2156" s="3"/>
      <c r="N2156" s="15" t="s">
        <v>118</v>
      </c>
      <c r="O2156" s="12"/>
      <c r="P2156" s="12"/>
      <c r="Q2156" s="12"/>
      <c r="R2156" s="12"/>
      <c r="S2156" s="28">
        <f>M2150</f>
        <v>130</v>
      </c>
      <c r="T2156" s="11"/>
      <c r="U2156" s="12"/>
      <c r="V2156" s="14" t="e">
        <f>U2156*#REF!</f>
        <v>#REF!</v>
      </c>
      <c r="W2156" s="14"/>
      <c r="X2156" s="26"/>
      <c r="Y2156" s="13"/>
      <c r="Z2156" s="68" t="e">
        <f>VLOOKUP(Takeoffs!Y2156,Sheet1!$B$6:$C$124,2,FALSE)</f>
        <v>#N/A</v>
      </c>
      <c r="AA2156" s="68"/>
      <c r="AB2156" s="18"/>
      <c r="AC2156" s="18"/>
      <c r="AD2156" s="18"/>
      <c r="AE2156" s="60"/>
      <c r="AF2156" s="13"/>
      <c r="AG2156" s="68" t="e">
        <f>VLOOKUP(Takeoffs!AF2156,Sheet1!$B$6:$C$124,2,FALSE)</f>
        <v>#N/A</v>
      </c>
      <c r="AH2156" s="68"/>
      <c r="AI2156" s="18"/>
      <c r="AJ2156" s="18"/>
      <c r="AK2156" s="18"/>
      <c r="AL2156" s="60"/>
      <c r="AO2156" s="286"/>
      <c r="AP2156" s="284">
        <f t="shared" si="980"/>
        <v>0</v>
      </c>
      <c r="AQ2156" s="281">
        <f t="shared" si="981"/>
        <v>0</v>
      </c>
      <c r="AR2156" s="284">
        <f t="shared" si="982"/>
        <v>0</v>
      </c>
      <c r="AS2156" s="281">
        <f t="shared" si="983"/>
        <v>0</v>
      </c>
      <c r="AT2156" s="284">
        <f t="shared" si="984"/>
        <v>0</v>
      </c>
    </row>
    <row r="2157" spans="1:46" customFormat="1" ht="30.9" x14ac:dyDescent="0.8">
      <c r="A2157" s="262">
        <f>ROW()</f>
        <v>2157</v>
      </c>
      <c r="B2157" s="114"/>
      <c r="C2157" s="208"/>
      <c r="D2157" s="208"/>
      <c r="E2157" s="208"/>
      <c r="F2157" s="208"/>
      <c r="G2157" s="208"/>
      <c r="H2157" s="208"/>
      <c r="I2157" s="114"/>
      <c r="N2157" s="15" t="s">
        <v>119</v>
      </c>
      <c r="O2157" s="12"/>
      <c r="P2157" s="12"/>
      <c r="Q2157" s="12"/>
      <c r="R2157" s="12"/>
      <c r="S2157" s="28">
        <f>M2150</f>
        <v>130</v>
      </c>
      <c r="T2157" s="11"/>
      <c r="U2157" s="12"/>
      <c r="V2157" s="14" t="e">
        <f>U2157*#REF!</f>
        <v>#REF!</v>
      </c>
      <c r="W2157" s="14"/>
      <c r="X2157" s="26"/>
      <c r="Y2157" s="13"/>
      <c r="Z2157" s="68" t="e">
        <f>VLOOKUP(Takeoffs!Y2157,Sheet1!$B$6:$C$124,2,FALSE)</f>
        <v>#N/A</v>
      </c>
      <c r="AA2157" s="68"/>
      <c r="AB2157" s="18"/>
      <c r="AC2157" s="18"/>
      <c r="AD2157" s="18"/>
      <c r="AE2157" s="60"/>
      <c r="AF2157" s="13"/>
      <c r="AG2157" s="68" t="e">
        <f>VLOOKUP(Takeoffs!AF2157,Sheet1!$B$6:$C$124,2,FALSE)</f>
        <v>#N/A</v>
      </c>
      <c r="AH2157" s="68"/>
      <c r="AI2157" s="18"/>
      <c r="AJ2157" s="18"/>
      <c r="AK2157" s="18"/>
      <c r="AL2157" s="60"/>
      <c r="AO2157" s="286"/>
      <c r="AP2157" s="284">
        <f t="shared" si="980"/>
        <v>0</v>
      </c>
      <c r="AQ2157" s="281">
        <f t="shared" si="981"/>
        <v>0</v>
      </c>
      <c r="AR2157" s="284">
        <f t="shared" si="982"/>
        <v>0</v>
      </c>
      <c r="AS2157" s="281">
        <f t="shared" si="983"/>
        <v>0</v>
      </c>
      <c r="AT2157" s="284">
        <f t="shared" si="984"/>
        <v>0</v>
      </c>
    </row>
    <row r="2158" spans="1:46" customFormat="1" ht="30.9" x14ac:dyDescent="0.8">
      <c r="A2158" s="262">
        <f>ROW()</f>
        <v>2158</v>
      </c>
      <c r="B2158" s="114"/>
      <c r="C2158" s="208"/>
      <c r="D2158" s="208"/>
      <c r="E2158" s="208"/>
      <c r="F2158" s="208"/>
      <c r="G2158" s="208"/>
      <c r="H2158" s="208"/>
      <c r="I2158" s="114"/>
      <c r="N2158" s="15" t="s">
        <v>120</v>
      </c>
      <c r="O2158" s="12"/>
      <c r="P2158" s="12"/>
      <c r="Q2158" s="12"/>
      <c r="R2158" s="12"/>
      <c r="S2158" s="28">
        <f>M2150</f>
        <v>130</v>
      </c>
      <c r="T2158" s="11"/>
      <c r="U2158" s="12"/>
      <c r="V2158" s="14" t="e">
        <f>U2158*#REF!</f>
        <v>#REF!</v>
      </c>
      <c r="W2158" s="14"/>
      <c r="X2158" s="26"/>
      <c r="Y2158" s="13"/>
      <c r="Z2158" s="68" t="e">
        <f>VLOOKUP(Takeoffs!Y2158,Sheet1!$B$6:$C$124,2,FALSE)</f>
        <v>#N/A</v>
      </c>
      <c r="AA2158" s="68"/>
      <c r="AB2158" s="18"/>
      <c r="AC2158" s="18"/>
      <c r="AD2158" s="18"/>
      <c r="AE2158" s="60"/>
      <c r="AF2158" s="13"/>
      <c r="AG2158" s="68" t="e">
        <f>VLOOKUP(Takeoffs!AF2158,Sheet1!$B$6:$C$124,2,FALSE)</f>
        <v>#N/A</v>
      </c>
      <c r="AH2158" s="68"/>
      <c r="AI2158" s="18"/>
      <c r="AJ2158" s="18"/>
      <c r="AK2158" s="18"/>
      <c r="AL2158" s="60"/>
      <c r="AO2158" s="286"/>
      <c r="AP2158" s="284">
        <f t="shared" si="980"/>
        <v>0</v>
      </c>
      <c r="AQ2158" s="281">
        <f t="shared" si="981"/>
        <v>0</v>
      </c>
      <c r="AR2158" s="284">
        <f t="shared" si="982"/>
        <v>0</v>
      </c>
      <c r="AS2158" s="281">
        <f t="shared" si="983"/>
        <v>0</v>
      </c>
      <c r="AT2158" s="284">
        <f t="shared" si="984"/>
        <v>0</v>
      </c>
    </row>
    <row r="2159" spans="1:46" customFormat="1" ht="30.9" x14ac:dyDescent="0.8">
      <c r="A2159" s="262">
        <f>ROW()</f>
        <v>2159</v>
      </c>
      <c r="B2159" s="114"/>
      <c r="C2159" s="208"/>
      <c r="D2159" s="208"/>
      <c r="E2159" s="208"/>
      <c r="F2159" s="208"/>
      <c r="G2159" s="208"/>
      <c r="H2159" s="208"/>
      <c r="I2159" s="114"/>
      <c r="N2159" s="15" t="s">
        <v>121</v>
      </c>
      <c r="O2159" s="12"/>
      <c r="P2159" s="12"/>
      <c r="Q2159" s="12"/>
      <c r="R2159" s="12"/>
      <c r="S2159" s="28">
        <f>M2150</f>
        <v>130</v>
      </c>
      <c r="T2159" s="11"/>
      <c r="U2159" s="12"/>
      <c r="V2159" s="14" t="e">
        <f>U2159*#REF!</f>
        <v>#REF!</v>
      </c>
      <c r="W2159" s="14"/>
      <c r="X2159" s="26"/>
      <c r="Y2159" s="13"/>
      <c r="Z2159" s="68" t="e">
        <f>VLOOKUP(Takeoffs!Y2159,Sheet1!$B$6:$C$124,2,FALSE)</f>
        <v>#N/A</v>
      </c>
      <c r="AA2159" s="68"/>
      <c r="AB2159" s="18"/>
      <c r="AC2159" s="18"/>
      <c r="AD2159" s="18"/>
      <c r="AE2159" s="60"/>
      <c r="AF2159" s="13"/>
      <c r="AG2159" s="68" t="e">
        <f>VLOOKUP(Takeoffs!AF2159,Sheet1!$B$6:$C$124,2,FALSE)</f>
        <v>#N/A</v>
      </c>
      <c r="AH2159" s="68"/>
      <c r="AI2159" s="18"/>
      <c r="AJ2159" s="18"/>
      <c r="AK2159" s="18"/>
      <c r="AL2159" s="60"/>
      <c r="AO2159" s="286"/>
      <c r="AP2159" s="284">
        <f t="shared" si="980"/>
        <v>0</v>
      </c>
      <c r="AQ2159" s="281">
        <f t="shared" si="981"/>
        <v>0</v>
      </c>
      <c r="AR2159" s="284">
        <f t="shared" si="982"/>
        <v>0</v>
      </c>
      <c r="AS2159" s="281">
        <f t="shared" si="983"/>
        <v>0</v>
      </c>
      <c r="AT2159" s="284">
        <f t="shared" si="984"/>
        <v>0</v>
      </c>
    </row>
    <row r="2160" spans="1:46" customFormat="1" ht="30.9" x14ac:dyDescent="0.8">
      <c r="A2160" s="262">
        <f>ROW()</f>
        <v>2160</v>
      </c>
      <c r="B2160" s="114"/>
      <c r="C2160" s="208"/>
      <c r="D2160" s="208"/>
      <c r="E2160" s="208"/>
      <c r="F2160" s="208"/>
      <c r="G2160" s="208"/>
      <c r="H2160" s="208"/>
      <c r="I2160" s="114"/>
      <c r="N2160" s="15" t="s">
        <v>122</v>
      </c>
      <c r="O2160" s="12"/>
      <c r="P2160" s="12"/>
      <c r="Q2160" s="12"/>
      <c r="R2160" s="12"/>
      <c r="S2160" s="28">
        <f>M2150</f>
        <v>130</v>
      </c>
      <c r="T2160" s="11"/>
      <c r="U2160" s="12"/>
      <c r="V2160" s="14" t="e">
        <f>U2160*#REF!</f>
        <v>#REF!</v>
      </c>
      <c r="W2160" s="14"/>
      <c r="X2160" s="26"/>
      <c r="Y2160" s="13"/>
      <c r="Z2160" s="68" t="e">
        <f>VLOOKUP(Takeoffs!Y2160,Sheet1!$B$6:$C$124,2,FALSE)</f>
        <v>#N/A</v>
      </c>
      <c r="AA2160" s="68"/>
      <c r="AB2160" s="18"/>
      <c r="AC2160" s="18"/>
      <c r="AD2160" s="18"/>
      <c r="AE2160" s="60"/>
      <c r="AF2160" s="13"/>
      <c r="AG2160" s="68" t="e">
        <f>VLOOKUP(Takeoffs!AF2160,Sheet1!$B$6:$C$124,2,FALSE)</f>
        <v>#N/A</v>
      </c>
      <c r="AH2160" s="68"/>
      <c r="AI2160" s="18"/>
      <c r="AJ2160" s="18"/>
      <c r="AK2160" s="18"/>
      <c r="AL2160" s="60"/>
      <c r="AO2160" s="286"/>
      <c r="AP2160" s="284">
        <f t="shared" si="980"/>
        <v>0</v>
      </c>
      <c r="AQ2160" s="281">
        <f t="shared" si="981"/>
        <v>0</v>
      </c>
      <c r="AR2160" s="284">
        <f t="shared" si="982"/>
        <v>0</v>
      </c>
      <c r="AS2160" s="281">
        <f t="shared" si="983"/>
        <v>0</v>
      </c>
      <c r="AT2160" s="284">
        <f t="shared" si="984"/>
        <v>0</v>
      </c>
    </row>
    <row r="2161" spans="1:46" customFormat="1" ht="30.9" x14ac:dyDescent="0.8">
      <c r="A2161" s="262">
        <f>ROW()</f>
        <v>2161</v>
      </c>
      <c r="B2161" s="114"/>
      <c r="C2161" s="208"/>
      <c r="D2161" s="208"/>
      <c r="E2161" s="208"/>
      <c r="F2161" s="208"/>
      <c r="G2161" s="208"/>
      <c r="H2161" s="208"/>
      <c r="I2161" s="114"/>
      <c r="N2161" s="15" t="s">
        <v>123</v>
      </c>
      <c r="O2161" s="12"/>
      <c r="P2161" s="12"/>
      <c r="Q2161" s="12"/>
      <c r="R2161" s="12"/>
      <c r="S2161" s="28">
        <f>M2150</f>
        <v>130</v>
      </c>
      <c r="T2161" s="11"/>
      <c r="U2161" s="12"/>
      <c r="V2161" s="14" t="e">
        <f>U2161*#REF!</f>
        <v>#REF!</v>
      </c>
      <c r="W2161" s="14"/>
      <c r="X2161" s="26"/>
      <c r="Y2161" s="13"/>
      <c r="Z2161" s="68" t="e">
        <f>VLOOKUP(Takeoffs!Y2161,Sheet1!$B$6:$C$124,2,FALSE)</f>
        <v>#N/A</v>
      </c>
      <c r="AA2161" s="68"/>
      <c r="AB2161" s="18"/>
      <c r="AC2161" s="18"/>
      <c r="AD2161" s="18"/>
      <c r="AE2161" s="60"/>
      <c r="AF2161" s="13"/>
      <c r="AG2161" s="68" t="e">
        <f>VLOOKUP(Takeoffs!AF2161,Sheet1!$B$6:$C$124,2,FALSE)</f>
        <v>#N/A</v>
      </c>
      <c r="AH2161" s="68"/>
      <c r="AI2161" s="18"/>
      <c r="AJ2161" s="18"/>
      <c r="AK2161" s="18"/>
      <c r="AL2161" s="60"/>
      <c r="AO2161" s="286"/>
      <c r="AP2161" s="284">
        <f t="shared" si="980"/>
        <v>0</v>
      </c>
      <c r="AQ2161" s="281">
        <f t="shared" si="981"/>
        <v>0</v>
      </c>
      <c r="AR2161" s="284">
        <f t="shared" si="982"/>
        <v>0</v>
      </c>
      <c r="AS2161" s="281">
        <f t="shared" si="983"/>
        <v>0</v>
      </c>
      <c r="AT2161" s="284">
        <f t="shared" si="984"/>
        <v>0</v>
      </c>
    </row>
    <row r="2162" spans="1:46" customFormat="1" ht="30.9" x14ac:dyDescent="0.8">
      <c r="A2162" s="262">
        <f>ROW()</f>
        <v>2162</v>
      </c>
      <c r="B2162" s="114"/>
      <c r="C2162" s="208"/>
      <c r="D2162" s="208"/>
      <c r="E2162" s="208"/>
      <c r="F2162" s="208"/>
      <c r="G2162" s="208"/>
      <c r="H2162" s="208"/>
      <c r="I2162" s="114"/>
      <c r="N2162" s="15" t="s">
        <v>124</v>
      </c>
      <c r="O2162" s="12"/>
      <c r="P2162" s="12"/>
      <c r="Q2162" s="12"/>
      <c r="R2162" s="12"/>
      <c r="S2162" s="28">
        <f>M2150</f>
        <v>130</v>
      </c>
      <c r="T2162" s="11"/>
      <c r="U2162" s="12"/>
      <c r="V2162" s="14" t="e">
        <f>U2162*#REF!</f>
        <v>#REF!</v>
      </c>
      <c r="W2162" s="14"/>
      <c r="X2162" s="26"/>
      <c r="Y2162" s="13"/>
      <c r="Z2162" s="68" t="e">
        <f>VLOOKUP(Takeoffs!Y2162,Sheet1!$B$6:$C$124,2,FALSE)</f>
        <v>#N/A</v>
      </c>
      <c r="AA2162" s="68"/>
      <c r="AB2162" s="18"/>
      <c r="AC2162" s="18"/>
      <c r="AD2162" s="18"/>
      <c r="AE2162" s="60"/>
      <c r="AF2162" s="13"/>
      <c r="AG2162" s="68" t="e">
        <f>VLOOKUP(Takeoffs!AF2162,Sheet1!$B$6:$C$124,2,FALSE)</f>
        <v>#N/A</v>
      </c>
      <c r="AH2162" s="68"/>
      <c r="AI2162" s="18"/>
      <c r="AJ2162" s="18"/>
      <c r="AK2162" s="18"/>
      <c r="AL2162" s="60"/>
      <c r="AO2162" s="286"/>
      <c r="AP2162" s="284">
        <f t="shared" si="980"/>
        <v>0</v>
      </c>
      <c r="AQ2162" s="281">
        <f t="shared" si="981"/>
        <v>0</v>
      </c>
      <c r="AR2162" s="284">
        <f t="shared" si="982"/>
        <v>0</v>
      </c>
      <c r="AS2162" s="281">
        <f t="shared" si="983"/>
        <v>0</v>
      </c>
      <c r="AT2162" s="284">
        <f t="shared" si="984"/>
        <v>0</v>
      </c>
    </row>
    <row r="2163" spans="1:46" customFormat="1" ht="30.9" x14ac:dyDescent="0.8">
      <c r="A2163" s="262">
        <f>ROW()</f>
        <v>2163</v>
      </c>
      <c r="B2163" s="114"/>
      <c r="C2163" s="208"/>
      <c r="D2163" s="208"/>
      <c r="E2163" s="208"/>
      <c r="F2163" s="208"/>
      <c r="G2163" s="208"/>
      <c r="H2163" s="208"/>
      <c r="I2163" s="114"/>
      <c r="N2163" s="15" t="s">
        <v>125</v>
      </c>
      <c r="O2163" s="12"/>
      <c r="P2163" s="12"/>
      <c r="Q2163" s="12"/>
      <c r="R2163" s="12"/>
      <c r="S2163" s="28">
        <f>M2150</f>
        <v>130</v>
      </c>
      <c r="T2163" s="11"/>
      <c r="U2163" s="12"/>
      <c r="V2163" s="14" t="e">
        <f>U2163*#REF!</f>
        <v>#REF!</v>
      </c>
      <c r="W2163" s="14"/>
      <c r="X2163" s="26"/>
      <c r="Y2163" s="13"/>
      <c r="Z2163" s="68" t="e">
        <f>VLOOKUP(Takeoffs!Y2163,Sheet1!$B$6:$C$124,2,FALSE)</f>
        <v>#N/A</v>
      </c>
      <c r="AA2163" s="68"/>
      <c r="AB2163" s="18"/>
      <c r="AC2163" s="18"/>
      <c r="AD2163" s="18"/>
      <c r="AE2163" s="60"/>
      <c r="AF2163" s="13"/>
      <c r="AG2163" s="68" t="e">
        <f>VLOOKUP(Takeoffs!AF2163,Sheet1!$B$6:$C$124,2,FALSE)</f>
        <v>#N/A</v>
      </c>
      <c r="AH2163" s="68"/>
      <c r="AI2163" s="18"/>
      <c r="AJ2163" s="18"/>
      <c r="AK2163" s="18"/>
      <c r="AL2163" s="60"/>
      <c r="AO2163" s="286"/>
      <c r="AP2163" s="284">
        <f t="shared" si="980"/>
        <v>0</v>
      </c>
      <c r="AQ2163" s="281">
        <f t="shared" si="981"/>
        <v>0</v>
      </c>
      <c r="AR2163" s="284">
        <f t="shared" si="982"/>
        <v>0</v>
      </c>
      <c r="AS2163" s="281">
        <f t="shared" si="983"/>
        <v>0</v>
      </c>
      <c r="AT2163" s="284">
        <f t="shared" si="984"/>
        <v>0</v>
      </c>
    </row>
    <row r="2164" spans="1:46" customFormat="1" ht="30.9" x14ac:dyDescent="0.8">
      <c r="A2164" s="262">
        <f>ROW()</f>
        <v>2164</v>
      </c>
      <c r="B2164" s="114"/>
      <c r="C2164" s="208"/>
      <c r="D2164" s="208"/>
      <c r="E2164" s="208"/>
      <c r="F2164" s="208"/>
      <c r="G2164" s="208"/>
      <c r="H2164" s="208"/>
      <c r="I2164" s="114"/>
      <c r="N2164" s="15" t="s">
        <v>126</v>
      </c>
      <c r="O2164" s="12"/>
      <c r="P2164" s="12"/>
      <c r="Q2164" s="12"/>
      <c r="R2164" s="12"/>
      <c r="S2164" s="28">
        <f>M2150</f>
        <v>130</v>
      </c>
      <c r="T2164" s="11"/>
      <c r="U2164" s="12"/>
      <c r="V2164" s="14" t="e">
        <f>U2164*#REF!</f>
        <v>#REF!</v>
      </c>
      <c r="W2164" s="14"/>
      <c r="X2164" s="26"/>
      <c r="Y2164" s="13"/>
      <c r="Z2164" s="68" t="e">
        <f>VLOOKUP(Takeoffs!Y2164,Sheet1!$B$6:$C$124,2,FALSE)</f>
        <v>#N/A</v>
      </c>
      <c r="AA2164" s="68"/>
      <c r="AB2164" s="18"/>
      <c r="AC2164" s="18"/>
      <c r="AD2164" s="18"/>
      <c r="AE2164" s="60"/>
      <c r="AF2164" s="13"/>
      <c r="AG2164" s="68" t="e">
        <f>VLOOKUP(Takeoffs!AF2164,Sheet1!$B$6:$C$124,2,FALSE)</f>
        <v>#N/A</v>
      </c>
      <c r="AH2164" s="68"/>
      <c r="AI2164" s="18"/>
      <c r="AJ2164" s="18"/>
      <c r="AK2164" s="18"/>
      <c r="AL2164" s="60"/>
      <c r="AO2164" s="286"/>
      <c r="AP2164" s="284">
        <f t="shared" si="980"/>
        <v>0</v>
      </c>
      <c r="AQ2164" s="281">
        <f t="shared" si="981"/>
        <v>0</v>
      </c>
      <c r="AR2164" s="284">
        <f t="shared" si="982"/>
        <v>0</v>
      </c>
      <c r="AS2164" s="281">
        <f t="shared" si="983"/>
        <v>0</v>
      </c>
      <c r="AT2164" s="284">
        <f t="shared" si="984"/>
        <v>0</v>
      </c>
    </row>
    <row r="2165" spans="1:46" customFormat="1" ht="30.9" x14ac:dyDescent="0.8">
      <c r="A2165" s="262">
        <f>ROW()</f>
        <v>2165</v>
      </c>
      <c r="B2165" s="114"/>
      <c r="C2165" s="208"/>
      <c r="D2165" s="208"/>
      <c r="E2165" s="208"/>
      <c r="F2165" s="208"/>
      <c r="G2165" s="208"/>
      <c r="H2165" s="208"/>
      <c r="I2165" s="114"/>
      <c r="N2165" s="15" t="s">
        <v>127</v>
      </c>
      <c r="O2165" s="12"/>
      <c r="P2165" s="12"/>
      <c r="Q2165" s="12"/>
      <c r="R2165" s="12"/>
      <c r="S2165" s="28">
        <f>M2150</f>
        <v>130</v>
      </c>
      <c r="T2165" s="11"/>
      <c r="U2165" s="12"/>
      <c r="V2165" s="14" t="e">
        <f>U2165*#REF!</f>
        <v>#REF!</v>
      </c>
      <c r="W2165" s="14"/>
      <c r="X2165" s="26"/>
      <c r="Y2165" s="13"/>
      <c r="Z2165" s="68" t="e">
        <f>VLOOKUP(Takeoffs!Y2165,Sheet1!$B$6:$C$124,2,FALSE)</f>
        <v>#N/A</v>
      </c>
      <c r="AA2165" s="68"/>
      <c r="AB2165" s="18"/>
      <c r="AC2165" s="18"/>
      <c r="AD2165" s="18"/>
      <c r="AE2165" s="60"/>
      <c r="AF2165" s="13"/>
      <c r="AG2165" s="68" t="e">
        <f>VLOOKUP(Takeoffs!AF2165,Sheet1!$B$6:$C$124,2,FALSE)</f>
        <v>#N/A</v>
      </c>
      <c r="AH2165" s="68"/>
      <c r="AI2165" s="18"/>
      <c r="AJ2165" s="18"/>
      <c r="AK2165" s="18"/>
      <c r="AL2165" s="60"/>
      <c r="AO2165" s="286"/>
      <c r="AP2165" s="284">
        <f t="shared" si="980"/>
        <v>0</v>
      </c>
      <c r="AQ2165" s="281">
        <f t="shared" si="981"/>
        <v>0</v>
      </c>
      <c r="AR2165" s="284">
        <f t="shared" si="982"/>
        <v>0</v>
      </c>
      <c r="AS2165" s="281">
        <f t="shared" si="983"/>
        <v>0</v>
      </c>
      <c r="AT2165" s="284">
        <f t="shared" si="984"/>
        <v>0</v>
      </c>
    </row>
    <row r="2166" spans="1:46" customFormat="1" ht="30.9" x14ac:dyDescent="0.8">
      <c r="A2166" s="262">
        <f>ROW()</f>
        <v>2166</v>
      </c>
      <c r="B2166" s="114"/>
      <c r="C2166" s="208"/>
      <c r="D2166" s="208"/>
      <c r="E2166" s="208"/>
      <c r="F2166" s="208"/>
      <c r="G2166" s="208"/>
      <c r="H2166" s="208"/>
      <c r="I2166" s="114"/>
      <c r="N2166" s="15" t="s">
        <v>128</v>
      </c>
      <c r="O2166" s="12"/>
      <c r="P2166" s="12"/>
      <c r="Q2166" s="12"/>
      <c r="R2166" s="12"/>
      <c r="S2166" s="28">
        <f>M2150</f>
        <v>130</v>
      </c>
      <c r="T2166" s="11"/>
      <c r="U2166" s="12"/>
      <c r="V2166" s="14" t="e">
        <f>U2166*#REF!</f>
        <v>#REF!</v>
      </c>
      <c r="W2166" s="14"/>
      <c r="X2166" s="26"/>
      <c r="Y2166" s="13"/>
      <c r="Z2166" s="68" t="e">
        <f>VLOOKUP(Takeoffs!Y2166,Sheet1!$B$6:$C$124,2,FALSE)</f>
        <v>#N/A</v>
      </c>
      <c r="AA2166" s="68"/>
      <c r="AB2166" s="18"/>
      <c r="AC2166" s="18"/>
      <c r="AD2166" s="18"/>
      <c r="AE2166" s="60"/>
      <c r="AF2166" s="13"/>
      <c r="AG2166" s="68" t="e">
        <f>VLOOKUP(Takeoffs!AF2166,Sheet1!$B$6:$C$124,2,FALSE)</f>
        <v>#N/A</v>
      </c>
      <c r="AH2166" s="68"/>
      <c r="AI2166" s="18"/>
      <c r="AJ2166" s="18"/>
      <c r="AK2166" s="18"/>
      <c r="AL2166" s="60"/>
      <c r="AO2166" s="286"/>
      <c r="AP2166" s="284">
        <f t="shared" si="980"/>
        <v>0</v>
      </c>
      <c r="AQ2166" s="281">
        <f t="shared" si="981"/>
        <v>0</v>
      </c>
      <c r="AR2166" s="284">
        <f t="shared" si="982"/>
        <v>0</v>
      </c>
      <c r="AS2166" s="281">
        <f t="shared" si="983"/>
        <v>0</v>
      </c>
      <c r="AT2166" s="284">
        <f t="shared" si="984"/>
        <v>0</v>
      </c>
    </row>
    <row r="2167" spans="1:46" customFormat="1" ht="30.9" x14ac:dyDescent="0.8">
      <c r="A2167" s="262">
        <f>ROW()</f>
        <v>2167</v>
      </c>
      <c r="B2167" s="114"/>
      <c r="C2167" s="208"/>
      <c r="D2167" s="208"/>
      <c r="E2167" s="208"/>
      <c r="F2167" s="208"/>
      <c r="G2167" s="208"/>
      <c r="H2167" s="208"/>
      <c r="I2167" s="114"/>
      <c r="N2167" s="15" t="s">
        <v>129</v>
      </c>
      <c r="O2167" s="12"/>
      <c r="P2167" s="12"/>
      <c r="Q2167" s="12"/>
      <c r="R2167" s="12"/>
      <c r="S2167" s="28">
        <f>M2150</f>
        <v>130</v>
      </c>
      <c r="T2167" s="11"/>
      <c r="U2167" s="12"/>
      <c r="V2167" s="14" t="e">
        <f>U2167*#REF!</f>
        <v>#REF!</v>
      </c>
      <c r="W2167" s="14"/>
      <c r="X2167" s="26"/>
      <c r="Y2167" s="13"/>
      <c r="Z2167" s="68" t="e">
        <f>VLOOKUP(Takeoffs!Y2167,Sheet1!$B$6:$C$124,2,FALSE)</f>
        <v>#N/A</v>
      </c>
      <c r="AA2167" s="68"/>
      <c r="AB2167" s="18"/>
      <c r="AC2167" s="18"/>
      <c r="AD2167" s="18"/>
      <c r="AE2167" s="60"/>
      <c r="AF2167" s="13"/>
      <c r="AG2167" s="68" t="e">
        <f>VLOOKUP(Takeoffs!AF2167,Sheet1!$B$6:$C$124,2,FALSE)</f>
        <v>#N/A</v>
      </c>
      <c r="AH2167" s="68"/>
      <c r="AI2167" s="18"/>
      <c r="AJ2167" s="18"/>
      <c r="AK2167" s="18"/>
      <c r="AL2167" s="60"/>
      <c r="AO2167" s="286"/>
      <c r="AP2167" s="284">
        <f t="shared" si="980"/>
        <v>0</v>
      </c>
      <c r="AQ2167" s="281">
        <f t="shared" si="981"/>
        <v>0</v>
      </c>
      <c r="AR2167" s="284">
        <f t="shared" si="982"/>
        <v>0</v>
      </c>
      <c r="AS2167" s="281">
        <f t="shared" si="983"/>
        <v>0</v>
      </c>
      <c r="AT2167" s="284">
        <f t="shared" si="984"/>
        <v>0</v>
      </c>
    </row>
    <row r="2168" spans="1:46" customFormat="1" ht="30.9" x14ac:dyDescent="0.8">
      <c r="A2168" s="262">
        <f>ROW()</f>
        <v>2168</v>
      </c>
      <c r="B2168" s="114"/>
      <c r="C2168" s="208"/>
      <c r="D2168" s="208"/>
      <c r="E2168" s="208"/>
      <c r="F2168" s="208"/>
      <c r="G2168" s="208"/>
      <c r="H2168" s="208"/>
      <c r="I2168" s="114"/>
      <c r="N2168" s="15" t="s">
        <v>130</v>
      </c>
      <c r="O2168" s="12"/>
      <c r="P2168" s="12"/>
      <c r="Q2168" s="12"/>
      <c r="R2168" s="12"/>
      <c r="S2168" s="28">
        <f>M2150</f>
        <v>130</v>
      </c>
      <c r="T2168" s="11"/>
      <c r="U2168" s="12"/>
      <c r="V2168" s="14" t="e">
        <f>U2168*#REF!</f>
        <v>#REF!</v>
      </c>
      <c r="W2168" s="14"/>
      <c r="X2168" s="26"/>
      <c r="Y2168" s="13"/>
      <c r="Z2168" s="68" t="e">
        <f>VLOOKUP(Takeoffs!Y2168,Sheet1!$B$6:$C$124,2,FALSE)</f>
        <v>#N/A</v>
      </c>
      <c r="AA2168" s="68"/>
      <c r="AB2168" s="18"/>
      <c r="AC2168" s="18"/>
      <c r="AD2168" s="18"/>
      <c r="AE2168" s="60"/>
      <c r="AF2168" s="13"/>
      <c r="AG2168" s="68" t="e">
        <f>VLOOKUP(Takeoffs!AF2168,Sheet1!$B$6:$C$124,2,FALSE)</f>
        <v>#N/A</v>
      </c>
      <c r="AH2168" s="68"/>
      <c r="AI2168" s="18"/>
      <c r="AJ2168" s="18"/>
      <c r="AK2168" s="18"/>
      <c r="AL2168" s="60"/>
      <c r="AO2168" s="286"/>
      <c r="AP2168" s="284">
        <f t="shared" si="980"/>
        <v>0</v>
      </c>
      <c r="AQ2168" s="281">
        <f t="shared" si="981"/>
        <v>0</v>
      </c>
      <c r="AR2168" s="284">
        <f t="shared" si="982"/>
        <v>0</v>
      </c>
      <c r="AS2168" s="281">
        <f t="shared" si="983"/>
        <v>0</v>
      </c>
      <c r="AT2168" s="284">
        <f t="shared" si="984"/>
        <v>0</v>
      </c>
    </row>
    <row r="2169" spans="1:46" customFormat="1" ht="30.9" x14ac:dyDescent="0.8">
      <c r="A2169" s="262">
        <f>ROW()</f>
        <v>2169</v>
      </c>
      <c r="B2169" s="114"/>
      <c r="C2169" s="208"/>
      <c r="D2169" s="208"/>
      <c r="E2169" s="208"/>
      <c r="F2169" s="208"/>
      <c r="G2169" s="208"/>
      <c r="H2169" s="208"/>
      <c r="I2169" s="114"/>
      <c r="N2169" s="15" t="s">
        <v>131</v>
      </c>
      <c r="O2169" s="12"/>
      <c r="P2169" s="12"/>
      <c r="Q2169" s="12"/>
      <c r="R2169" s="12"/>
      <c r="S2169" s="28">
        <f>M2150</f>
        <v>130</v>
      </c>
      <c r="T2169" s="11"/>
      <c r="U2169" s="12"/>
      <c r="V2169" s="14" t="e">
        <f>U2169*#REF!</f>
        <v>#REF!</v>
      </c>
      <c r="W2169" s="14"/>
      <c r="X2169" s="26"/>
      <c r="Y2169" s="13"/>
      <c r="Z2169" s="68" t="e">
        <f>VLOOKUP(Takeoffs!Y2169,Sheet1!$B$6:$C$124,2,FALSE)</f>
        <v>#N/A</v>
      </c>
      <c r="AA2169" s="68"/>
      <c r="AB2169" s="18"/>
      <c r="AC2169" s="18"/>
      <c r="AD2169" s="18"/>
      <c r="AE2169" s="60"/>
      <c r="AF2169" s="13"/>
      <c r="AG2169" s="68" t="e">
        <f>VLOOKUP(Takeoffs!AF2169,Sheet1!$B$6:$C$124,2,FALSE)</f>
        <v>#N/A</v>
      </c>
      <c r="AH2169" s="68"/>
      <c r="AI2169" s="18"/>
      <c r="AJ2169" s="18"/>
      <c r="AK2169" s="18"/>
      <c r="AL2169" s="60"/>
      <c r="AO2169" s="286"/>
      <c r="AP2169" s="284">
        <f t="shared" si="980"/>
        <v>0</v>
      </c>
      <c r="AQ2169" s="281">
        <f t="shared" si="981"/>
        <v>0</v>
      </c>
      <c r="AR2169" s="284">
        <f t="shared" si="982"/>
        <v>0</v>
      </c>
      <c r="AS2169" s="281">
        <f t="shared" si="983"/>
        <v>0</v>
      </c>
      <c r="AT2169" s="284">
        <f t="shared" si="984"/>
        <v>0</v>
      </c>
    </row>
    <row r="2170" spans="1:46" customFormat="1" ht="30.9" x14ac:dyDescent="0.8">
      <c r="A2170" s="262">
        <f>ROW()</f>
        <v>2170</v>
      </c>
      <c r="B2170" s="114"/>
      <c r="C2170" s="208"/>
      <c r="D2170" s="208"/>
      <c r="E2170" s="208"/>
      <c r="F2170" s="208"/>
      <c r="G2170" s="208"/>
      <c r="H2170" s="208"/>
      <c r="I2170" s="114"/>
      <c r="N2170" s="15" t="s">
        <v>132</v>
      </c>
      <c r="O2170" s="12"/>
      <c r="P2170" s="12"/>
      <c r="Q2170" s="12"/>
      <c r="R2170" s="12"/>
      <c r="S2170" s="28">
        <f>M2150</f>
        <v>130</v>
      </c>
      <c r="T2170" s="11"/>
      <c r="U2170" s="12"/>
      <c r="V2170" s="14" t="e">
        <f>U2170*#REF!</f>
        <v>#REF!</v>
      </c>
      <c r="W2170" s="14"/>
      <c r="X2170" s="26"/>
      <c r="Y2170" s="13"/>
      <c r="Z2170" s="68" t="e">
        <f>VLOOKUP(Takeoffs!Y2170,Sheet1!$B$6:$C$124,2,FALSE)</f>
        <v>#N/A</v>
      </c>
      <c r="AA2170" s="68"/>
      <c r="AB2170" s="18"/>
      <c r="AC2170" s="18"/>
      <c r="AD2170" s="18"/>
      <c r="AE2170" s="60"/>
      <c r="AF2170" s="13"/>
      <c r="AG2170" s="68" t="e">
        <f>VLOOKUP(Takeoffs!AF2170,Sheet1!$B$6:$C$124,2,FALSE)</f>
        <v>#N/A</v>
      </c>
      <c r="AH2170" s="68"/>
      <c r="AI2170" s="18"/>
      <c r="AJ2170" s="18"/>
      <c r="AK2170" s="18"/>
      <c r="AL2170" s="60"/>
      <c r="AO2170" s="286"/>
      <c r="AP2170" s="284">
        <f t="shared" si="980"/>
        <v>0</v>
      </c>
      <c r="AQ2170" s="281">
        <f t="shared" si="981"/>
        <v>0</v>
      </c>
      <c r="AR2170" s="284">
        <f t="shared" si="982"/>
        <v>0</v>
      </c>
      <c r="AS2170" s="281">
        <f t="shared" si="983"/>
        <v>0</v>
      </c>
      <c r="AT2170" s="284">
        <f t="shared" si="984"/>
        <v>0</v>
      </c>
    </row>
    <row r="2171" spans="1:46" s="21" customFormat="1" ht="33.75" customHeight="1" x14ac:dyDescent="0.8">
      <c r="A2171" s="262">
        <f>ROW()</f>
        <v>2171</v>
      </c>
      <c r="B2171" s="128"/>
      <c r="C2171" s="212"/>
      <c r="D2171" s="212"/>
      <c r="E2171" s="212"/>
      <c r="F2171" s="212"/>
      <c r="G2171" s="212"/>
      <c r="H2171" s="212"/>
      <c r="I2171" s="114"/>
      <c r="N2171" s="22"/>
      <c r="O2171" s="23"/>
      <c r="P2171" s="23"/>
      <c r="Q2171" s="23"/>
      <c r="R2171" s="23"/>
      <c r="S2171" s="23"/>
      <c r="T2171" s="24"/>
      <c r="U2171" s="23"/>
      <c r="V2171" s="24"/>
      <c r="W2171" s="24"/>
      <c r="X2171" s="26"/>
      <c r="Y2171" s="24"/>
      <c r="Z2171" s="68" t="e">
        <f>VLOOKUP(Takeoffs!Y2171,Sheet1!$B$6:$C$124,2,FALSE)</f>
        <v>#N/A</v>
      </c>
      <c r="AA2171" s="68"/>
      <c r="AB2171" s="31"/>
      <c r="AC2171" s="31"/>
      <c r="AD2171" s="31"/>
      <c r="AE2171" s="60"/>
      <c r="AF2171" s="24"/>
      <c r="AG2171" s="68" t="e">
        <f>VLOOKUP(Takeoffs!AF2171,Sheet1!$B$6:$C$124,2,FALSE)</f>
        <v>#N/A</v>
      </c>
      <c r="AH2171" s="68"/>
      <c r="AI2171" s="31"/>
      <c r="AJ2171" s="31"/>
      <c r="AK2171" s="31"/>
      <c r="AL2171" s="60"/>
      <c r="AO2171" s="286"/>
      <c r="AP2171" s="284">
        <f t="shared" si="980"/>
        <v>0</v>
      </c>
      <c r="AQ2171" s="281">
        <f t="shared" si="981"/>
        <v>0</v>
      </c>
      <c r="AR2171" s="284">
        <f t="shared" si="982"/>
        <v>0</v>
      </c>
      <c r="AS2171" s="281">
        <f t="shared" si="983"/>
        <v>0</v>
      </c>
      <c r="AT2171" s="284">
        <f t="shared" si="984"/>
        <v>0</v>
      </c>
    </row>
    <row r="2172" spans="1:46" customFormat="1" ht="30.9" x14ac:dyDescent="0.8">
      <c r="A2172" s="262">
        <f t="shared" ref="A2172:A2229" si="985">A2171+1</f>
        <v>2172</v>
      </c>
      <c r="B2172" s="114"/>
      <c r="C2172" s="208"/>
      <c r="D2172" s="208"/>
      <c r="E2172" s="208"/>
      <c r="F2172" s="208"/>
      <c r="G2172" s="208"/>
      <c r="H2172" s="208"/>
      <c r="I2172" s="128"/>
      <c r="Q2172" s="32"/>
      <c r="R2172" s="32"/>
      <c r="T2172" s="8"/>
      <c r="W2172" s="32"/>
      <c r="X2172" s="25"/>
      <c r="Z2172" s="68" t="e">
        <f>VLOOKUP(Takeoffs!Y2172,Sheet1!$B$6:$C$124,2,FALSE)</f>
        <v>#N/A</v>
      </c>
      <c r="AA2172" s="68"/>
      <c r="AB2172" s="32"/>
      <c r="AC2172" s="32"/>
      <c r="AD2172" s="32"/>
      <c r="AE2172" s="25"/>
      <c r="AF2172" s="32"/>
      <c r="AG2172" s="68" t="e">
        <f>VLOOKUP(Takeoffs!AF2172,Sheet1!$B$6:$C$124,2,FALSE)</f>
        <v>#N/A</v>
      </c>
      <c r="AH2172" s="68"/>
      <c r="AI2172" s="32"/>
      <c r="AJ2172" s="32"/>
      <c r="AK2172" s="32"/>
      <c r="AL2172" s="25"/>
      <c r="AO2172" s="286"/>
      <c r="AP2172" s="284">
        <f t="shared" si="980"/>
        <v>0</v>
      </c>
      <c r="AQ2172" s="281">
        <f t="shared" si="981"/>
        <v>0</v>
      </c>
      <c r="AR2172" s="284">
        <f t="shared" si="982"/>
        <v>0</v>
      </c>
      <c r="AS2172" s="281">
        <f t="shared" si="983"/>
        <v>0</v>
      </c>
      <c r="AT2172" s="284">
        <f t="shared" si="984"/>
        <v>0</v>
      </c>
    </row>
    <row r="2173" spans="1:46" customFormat="1" ht="30.9" x14ac:dyDescent="0.8">
      <c r="A2173" s="262">
        <f t="shared" si="985"/>
        <v>2173</v>
      </c>
      <c r="B2173" s="114"/>
      <c r="C2173" s="208"/>
      <c r="D2173" s="208"/>
      <c r="E2173" s="208"/>
      <c r="F2173" s="208"/>
      <c r="G2173" s="208"/>
      <c r="H2173" s="208"/>
      <c r="I2173" s="114"/>
      <c r="Q2173" s="32"/>
      <c r="R2173" s="32"/>
      <c r="T2173" s="8"/>
      <c r="W2173" s="32"/>
      <c r="X2173" s="25"/>
      <c r="Z2173" s="68" t="e">
        <f>VLOOKUP(Takeoffs!Y2173,Sheet1!$B$6:$C$124,2,FALSE)</f>
        <v>#N/A</v>
      </c>
      <c r="AA2173" s="68"/>
      <c r="AB2173" s="32"/>
      <c r="AC2173" s="32"/>
      <c r="AD2173" s="32"/>
      <c r="AE2173" s="25"/>
      <c r="AF2173" s="32"/>
      <c r="AG2173" s="68" t="e">
        <f>VLOOKUP(Takeoffs!AF2173,Sheet1!$B$6:$C$124,2,FALSE)</f>
        <v>#N/A</v>
      </c>
      <c r="AH2173" s="68"/>
      <c r="AI2173" s="32"/>
      <c r="AJ2173" s="32"/>
      <c r="AK2173" s="32"/>
      <c r="AL2173" s="25"/>
      <c r="AO2173" s="286"/>
      <c r="AP2173" s="284">
        <f t="shared" si="980"/>
        <v>0</v>
      </c>
      <c r="AQ2173" s="281">
        <f t="shared" si="981"/>
        <v>0</v>
      </c>
      <c r="AR2173" s="284">
        <f t="shared" si="982"/>
        <v>0</v>
      </c>
      <c r="AS2173" s="281">
        <f t="shared" si="983"/>
        <v>0</v>
      </c>
      <c r="AT2173" s="284">
        <f t="shared" si="984"/>
        <v>0</v>
      </c>
    </row>
    <row r="2174" spans="1:46" s="2" customFormat="1" ht="62.25" customHeight="1" x14ac:dyDescent="0.8">
      <c r="A2174" s="262">
        <f t="shared" si="985"/>
        <v>2174</v>
      </c>
      <c r="B2174" s="116"/>
      <c r="C2174" s="211"/>
      <c r="D2174" s="211"/>
      <c r="E2174" s="211"/>
      <c r="F2174" s="211"/>
      <c r="G2174" s="211"/>
      <c r="H2174" s="211"/>
      <c r="I2174" s="114"/>
      <c r="M2174" s="2" t="s">
        <v>107</v>
      </c>
      <c r="N2174" s="2" t="s">
        <v>108</v>
      </c>
      <c r="O2174" s="2" t="s">
        <v>4</v>
      </c>
      <c r="P2174" s="2" t="s">
        <v>5</v>
      </c>
      <c r="S2174" s="2" t="s">
        <v>0</v>
      </c>
      <c r="T2174" s="9"/>
      <c r="U2174" s="2" t="s">
        <v>109</v>
      </c>
      <c r="V2174" s="2" t="s">
        <v>110</v>
      </c>
      <c r="X2174" s="58"/>
      <c r="Y2174" s="2" t="s">
        <v>111</v>
      </c>
      <c r="Z2174" s="68" t="e">
        <f>VLOOKUP(Takeoffs!Y2174,Sheet1!$B$6:$C$124,2,FALSE)</f>
        <v>#N/A</v>
      </c>
      <c r="AA2174" s="68"/>
      <c r="AE2174" s="58"/>
      <c r="AF2174" s="2" t="s">
        <v>111</v>
      </c>
      <c r="AG2174" s="68" t="e">
        <f>VLOOKUP(Takeoffs!AF2174,Sheet1!$B$6:$C$124,2,FALSE)</f>
        <v>#N/A</v>
      </c>
      <c r="AH2174" s="68"/>
      <c r="AL2174" s="58"/>
      <c r="AO2174" s="288"/>
      <c r="AP2174" s="284">
        <f t="shared" si="980"/>
        <v>0</v>
      </c>
      <c r="AQ2174" s="281">
        <f t="shared" si="981"/>
        <v>0</v>
      </c>
      <c r="AR2174" s="284">
        <f t="shared" si="982"/>
        <v>0</v>
      </c>
      <c r="AS2174" s="281">
        <f t="shared" si="983"/>
        <v>0</v>
      </c>
      <c r="AT2174" s="284">
        <f t="shared" si="984"/>
        <v>0</v>
      </c>
    </row>
    <row r="2175" spans="1:46" customFormat="1" ht="179.25" customHeight="1" x14ac:dyDescent="0.8">
      <c r="A2175" s="262">
        <f t="shared" si="985"/>
        <v>2175</v>
      </c>
      <c r="B2175" s="114"/>
      <c r="C2175" s="208"/>
      <c r="D2175" s="208"/>
      <c r="E2175" s="208"/>
      <c r="F2175" s="208"/>
      <c r="G2175" s="208"/>
      <c r="H2175" s="208"/>
      <c r="I2175" s="116"/>
      <c r="J2175" s="30" t="str">
        <f>CONCATENATE(O2175," ",L2175, " (",M2175,") ",N2175,". Each includes supply and install of ",O2176,O2177,O2178,O2179,O2180,O2181,O2182,O2183,O2184,O2185,O2186,O2187,O2188,O2189,O2190,O2191,O2192,O2193,O2194,O2195,)</f>
        <v xml:space="preserve">Electrical power supply and controls cabling to sixty (60) single split systems. Each includes supply and install of interconnect controls and power cabling between indoor and outdoor unit, power cabling and conduit fom MSSB /ILU-DB to outdoor unit and local isolator for outdoor unit. Each sytem includes install only of  proprietory controller </v>
      </c>
      <c r="L2175" s="16" t="str">
        <f>VLOOKUP(M2175,Sheet2!$D$2:$E$1024,2,FALSE)</f>
        <v>sixty</v>
      </c>
      <c r="M2175" s="12">
        <v>60</v>
      </c>
      <c r="N2175" s="27" t="s">
        <v>148</v>
      </c>
      <c r="O2175" s="12" t="s">
        <v>138</v>
      </c>
      <c r="P2175" s="12"/>
      <c r="Q2175" s="12"/>
      <c r="R2175" s="12"/>
      <c r="S2175" s="28"/>
      <c r="T2175" s="10"/>
      <c r="U2175" s="12"/>
      <c r="V2175" s="14" t="e">
        <f>U2175*#REF!</f>
        <v>#REF!</v>
      </c>
      <c r="W2175" s="14"/>
      <c r="X2175" s="26"/>
      <c r="Y2175" s="13"/>
      <c r="Z2175" s="68" t="e">
        <f>VLOOKUP(Takeoffs!Y2175,Sheet1!$B$6:$C$124,2,FALSE)</f>
        <v>#N/A</v>
      </c>
      <c r="AA2175" s="68"/>
      <c r="AB2175" s="18"/>
      <c r="AC2175" s="18"/>
      <c r="AD2175" s="18"/>
      <c r="AE2175" s="60"/>
      <c r="AF2175" s="13"/>
      <c r="AG2175" s="68" t="e">
        <f>VLOOKUP(Takeoffs!AF2175,Sheet1!$B$6:$C$124,2,FALSE)</f>
        <v>#N/A</v>
      </c>
      <c r="AH2175" s="68"/>
      <c r="AI2175" s="18"/>
      <c r="AJ2175" s="18"/>
      <c r="AK2175" s="18"/>
      <c r="AL2175" s="60"/>
      <c r="AO2175" s="286"/>
      <c r="AP2175" s="284">
        <f t="shared" si="980"/>
        <v>0</v>
      </c>
      <c r="AQ2175" s="281">
        <f t="shared" si="981"/>
        <v>0</v>
      </c>
      <c r="AR2175" s="284">
        <f t="shared" si="982"/>
        <v>0</v>
      </c>
      <c r="AS2175" s="281">
        <f t="shared" si="983"/>
        <v>0</v>
      </c>
      <c r="AT2175" s="284">
        <f t="shared" si="984"/>
        <v>0</v>
      </c>
    </row>
    <row r="2176" spans="1:46" customFormat="1" ht="15" customHeight="1" x14ac:dyDescent="0.8">
      <c r="A2176" s="262">
        <f t="shared" si="985"/>
        <v>2176</v>
      </c>
      <c r="B2176" s="114"/>
      <c r="C2176" s="208"/>
      <c r="D2176" s="208"/>
      <c r="E2176" s="208"/>
      <c r="F2176" s="208"/>
      <c r="G2176" s="208"/>
      <c r="H2176" s="208"/>
      <c r="I2176" s="114"/>
      <c r="J2176" s="30"/>
      <c r="M2176" s="3"/>
      <c r="N2176" s="15" t="s">
        <v>113</v>
      </c>
      <c r="O2176" s="12" t="s">
        <v>146</v>
      </c>
      <c r="P2176" s="12"/>
      <c r="Q2176" s="12"/>
      <c r="R2176" s="12"/>
      <c r="S2176" s="28">
        <f>M2175</f>
        <v>60</v>
      </c>
      <c r="T2176" s="11"/>
      <c r="U2176" s="12"/>
      <c r="V2176" s="14" t="e">
        <f>U2176*#REF!</f>
        <v>#REF!</v>
      </c>
      <c r="W2176" s="14"/>
      <c r="X2176" s="26"/>
      <c r="Y2176" s="13"/>
      <c r="Z2176" s="68" t="e">
        <f>VLOOKUP(Takeoffs!Y2176,Sheet1!$B$6:$C$124,2,FALSE)</f>
        <v>#N/A</v>
      </c>
      <c r="AA2176" s="68"/>
      <c r="AB2176" s="18"/>
      <c r="AC2176" s="18"/>
      <c r="AD2176" s="18"/>
      <c r="AE2176" s="60"/>
      <c r="AF2176" s="13"/>
      <c r="AG2176" s="68" t="e">
        <f>VLOOKUP(Takeoffs!AF2176,Sheet1!$B$6:$C$124,2,FALSE)</f>
        <v>#N/A</v>
      </c>
      <c r="AH2176" s="68"/>
      <c r="AI2176" s="18"/>
      <c r="AJ2176" s="18"/>
      <c r="AK2176" s="18"/>
      <c r="AL2176" s="60"/>
      <c r="AO2176" s="286"/>
      <c r="AP2176" s="284">
        <f t="shared" si="980"/>
        <v>0</v>
      </c>
      <c r="AQ2176" s="281">
        <f t="shared" si="981"/>
        <v>0</v>
      </c>
      <c r="AR2176" s="284">
        <f t="shared" si="982"/>
        <v>0</v>
      </c>
      <c r="AS2176" s="281">
        <f t="shared" si="983"/>
        <v>0</v>
      </c>
      <c r="AT2176" s="284">
        <f t="shared" si="984"/>
        <v>0</v>
      </c>
    </row>
    <row r="2177" spans="1:46" customFormat="1" ht="15" customHeight="1" x14ac:dyDescent="0.8">
      <c r="A2177" s="262">
        <f t="shared" si="985"/>
        <v>2177</v>
      </c>
      <c r="B2177" s="114"/>
      <c r="C2177" s="208"/>
      <c r="D2177" s="208"/>
      <c r="E2177" s="208"/>
      <c r="F2177" s="208"/>
      <c r="G2177" s="208"/>
      <c r="H2177" s="208"/>
      <c r="I2177" s="114"/>
      <c r="J2177" s="30"/>
      <c r="M2177" s="3"/>
      <c r="N2177" s="15" t="s">
        <v>114</v>
      </c>
      <c r="O2177" s="12" t="s">
        <v>149</v>
      </c>
      <c r="P2177" s="12"/>
      <c r="Q2177" s="12"/>
      <c r="R2177" s="12"/>
      <c r="S2177" s="28">
        <f>M2175</f>
        <v>60</v>
      </c>
      <c r="T2177" s="11"/>
      <c r="U2177" s="12"/>
      <c r="V2177" s="14" t="e">
        <f>U2177*#REF!</f>
        <v>#REF!</v>
      </c>
      <c r="W2177" s="14"/>
      <c r="X2177" s="26"/>
      <c r="Y2177" s="13"/>
      <c r="Z2177" s="68" t="e">
        <f>VLOOKUP(Takeoffs!Y2177,Sheet1!$B$6:$C$124,2,FALSE)</f>
        <v>#N/A</v>
      </c>
      <c r="AA2177" s="68"/>
      <c r="AB2177" s="18"/>
      <c r="AC2177" s="18"/>
      <c r="AD2177" s="18"/>
      <c r="AE2177" s="60"/>
      <c r="AF2177" s="13"/>
      <c r="AG2177" s="68" t="e">
        <f>VLOOKUP(Takeoffs!AF2177,Sheet1!$B$6:$C$124,2,FALSE)</f>
        <v>#N/A</v>
      </c>
      <c r="AH2177" s="68"/>
      <c r="AI2177" s="18"/>
      <c r="AJ2177" s="18"/>
      <c r="AK2177" s="18"/>
      <c r="AL2177" s="60"/>
      <c r="AO2177" s="286"/>
      <c r="AP2177" s="284">
        <f t="shared" si="980"/>
        <v>0</v>
      </c>
      <c r="AQ2177" s="281">
        <f t="shared" si="981"/>
        <v>0</v>
      </c>
      <c r="AR2177" s="284">
        <f t="shared" si="982"/>
        <v>0</v>
      </c>
      <c r="AS2177" s="281">
        <f t="shared" si="983"/>
        <v>0</v>
      </c>
      <c r="AT2177" s="284">
        <f t="shared" si="984"/>
        <v>0</v>
      </c>
    </row>
    <row r="2178" spans="1:46" customFormat="1" ht="15" customHeight="1" x14ac:dyDescent="0.8">
      <c r="A2178" s="262">
        <f t="shared" si="985"/>
        <v>2178</v>
      </c>
      <c r="B2178" s="114"/>
      <c r="C2178" s="208"/>
      <c r="D2178" s="208"/>
      <c r="E2178" s="208"/>
      <c r="F2178" s="208"/>
      <c r="G2178" s="208"/>
      <c r="H2178" s="208"/>
      <c r="I2178" s="114"/>
      <c r="J2178" s="30"/>
      <c r="M2178" s="3"/>
      <c r="N2178" s="15" t="s">
        <v>115</v>
      </c>
      <c r="O2178" s="12" t="s">
        <v>147</v>
      </c>
      <c r="P2178" s="12"/>
      <c r="Q2178" s="12"/>
      <c r="R2178" s="12"/>
      <c r="S2178" s="28">
        <f>M2175</f>
        <v>60</v>
      </c>
      <c r="T2178" s="11"/>
      <c r="U2178" s="12"/>
      <c r="V2178" s="14" t="e">
        <f>U2178*#REF!</f>
        <v>#REF!</v>
      </c>
      <c r="W2178" s="14"/>
      <c r="X2178" s="26"/>
      <c r="Y2178" s="13"/>
      <c r="Z2178" s="68" t="e">
        <f>VLOOKUP(Takeoffs!Y2178,Sheet1!$B$6:$C$124,2,FALSE)</f>
        <v>#N/A</v>
      </c>
      <c r="AA2178" s="68"/>
      <c r="AB2178" s="18"/>
      <c r="AC2178" s="18"/>
      <c r="AD2178" s="18"/>
      <c r="AE2178" s="60"/>
      <c r="AF2178" s="13"/>
      <c r="AG2178" s="68" t="e">
        <f>VLOOKUP(Takeoffs!AF2178,Sheet1!$B$6:$C$124,2,FALSE)</f>
        <v>#N/A</v>
      </c>
      <c r="AH2178" s="68"/>
      <c r="AI2178" s="18"/>
      <c r="AJ2178" s="18"/>
      <c r="AK2178" s="18"/>
      <c r="AL2178" s="60"/>
      <c r="AO2178" s="286"/>
      <c r="AP2178" s="284">
        <f t="shared" si="980"/>
        <v>0</v>
      </c>
      <c r="AQ2178" s="281">
        <f t="shared" si="981"/>
        <v>0</v>
      </c>
      <c r="AR2178" s="284">
        <f t="shared" si="982"/>
        <v>0</v>
      </c>
      <c r="AS2178" s="281">
        <f t="shared" si="983"/>
        <v>0</v>
      </c>
      <c r="AT2178" s="284">
        <f t="shared" si="984"/>
        <v>0</v>
      </c>
    </row>
    <row r="2179" spans="1:46" customFormat="1" ht="15" customHeight="1" x14ac:dyDescent="0.8">
      <c r="A2179" s="262">
        <f t="shared" si="985"/>
        <v>2179</v>
      </c>
      <c r="B2179" s="114"/>
      <c r="C2179" s="208"/>
      <c r="D2179" s="208"/>
      <c r="E2179" s="208"/>
      <c r="F2179" s="208"/>
      <c r="G2179" s="208"/>
      <c r="H2179" s="208"/>
      <c r="I2179" s="114"/>
      <c r="J2179" s="30"/>
      <c r="M2179" s="3"/>
      <c r="N2179" s="15" t="s">
        <v>116</v>
      </c>
      <c r="O2179" s="12" t="s">
        <v>144</v>
      </c>
      <c r="P2179" s="12"/>
      <c r="Q2179" s="12"/>
      <c r="R2179" s="12"/>
      <c r="S2179" s="28">
        <f>M2175</f>
        <v>60</v>
      </c>
      <c r="T2179" s="11"/>
      <c r="U2179" s="12"/>
      <c r="V2179" s="14" t="e">
        <f>U2179*#REF!</f>
        <v>#REF!</v>
      </c>
      <c r="W2179" s="14"/>
      <c r="X2179" s="26"/>
      <c r="Y2179" s="13"/>
      <c r="Z2179" s="68" t="e">
        <f>VLOOKUP(Takeoffs!Y2179,Sheet1!$B$6:$C$124,2,FALSE)</f>
        <v>#N/A</v>
      </c>
      <c r="AA2179" s="68"/>
      <c r="AB2179" s="18"/>
      <c r="AC2179" s="18"/>
      <c r="AD2179" s="18"/>
      <c r="AE2179" s="60"/>
      <c r="AF2179" s="13"/>
      <c r="AG2179" s="68" t="e">
        <f>VLOOKUP(Takeoffs!AF2179,Sheet1!$B$6:$C$124,2,FALSE)</f>
        <v>#N/A</v>
      </c>
      <c r="AH2179" s="68"/>
      <c r="AI2179" s="18"/>
      <c r="AJ2179" s="18"/>
      <c r="AK2179" s="18"/>
      <c r="AL2179" s="60"/>
      <c r="AO2179" s="286"/>
      <c r="AP2179" s="284">
        <f t="shared" si="980"/>
        <v>0</v>
      </c>
      <c r="AQ2179" s="281">
        <f t="shared" si="981"/>
        <v>0</v>
      </c>
      <c r="AR2179" s="284">
        <f t="shared" si="982"/>
        <v>0</v>
      </c>
      <c r="AS2179" s="281">
        <f t="shared" si="983"/>
        <v>0</v>
      </c>
      <c r="AT2179" s="284">
        <f t="shared" si="984"/>
        <v>0</v>
      </c>
    </row>
    <row r="2180" spans="1:46" customFormat="1" ht="15" customHeight="1" x14ac:dyDescent="0.8">
      <c r="A2180" s="262">
        <f t="shared" si="985"/>
        <v>2180</v>
      </c>
      <c r="B2180" s="114"/>
      <c r="C2180" s="208"/>
      <c r="D2180" s="208"/>
      <c r="E2180" s="208"/>
      <c r="F2180" s="208"/>
      <c r="G2180" s="208"/>
      <c r="H2180" s="208"/>
      <c r="I2180" s="114"/>
      <c r="J2180" s="30"/>
      <c r="M2180" s="3"/>
      <c r="N2180" s="15" t="s">
        <v>117</v>
      </c>
      <c r="O2180" s="12"/>
      <c r="P2180" s="12"/>
      <c r="Q2180" s="12"/>
      <c r="R2180" s="12"/>
      <c r="S2180" s="28">
        <f>M2175</f>
        <v>60</v>
      </c>
      <c r="T2180" s="11"/>
      <c r="U2180" s="12"/>
      <c r="V2180" s="14" t="e">
        <f>U2180*#REF!</f>
        <v>#REF!</v>
      </c>
      <c r="W2180" s="14"/>
      <c r="X2180" s="26"/>
      <c r="Y2180" s="13"/>
      <c r="Z2180" s="68" t="e">
        <f>VLOOKUP(Takeoffs!Y2180,Sheet1!$B$6:$C$124,2,FALSE)</f>
        <v>#N/A</v>
      </c>
      <c r="AA2180" s="68"/>
      <c r="AB2180" s="18"/>
      <c r="AC2180" s="18"/>
      <c r="AD2180" s="18"/>
      <c r="AE2180" s="60"/>
      <c r="AF2180" s="13"/>
      <c r="AG2180" s="68" t="e">
        <f>VLOOKUP(Takeoffs!AF2180,Sheet1!$B$6:$C$124,2,FALSE)</f>
        <v>#N/A</v>
      </c>
      <c r="AH2180" s="68"/>
      <c r="AI2180" s="18"/>
      <c r="AJ2180" s="18"/>
      <c r="AK2180" s="18"/>
      <c r="AL2180" s="60"/>
      <c r="AO2180" s="286"/>
      <c r="AP2180" s="284">
        <f t="shared" si="980"/>
        <v>0</v>
      </c>
      <c r="AQ2180" s="281">
        <f t="shared" si="981"/>
        <v>0</v>
      </c>
      <c r="AR2180" s="284">
        <f t="shared" si="982"/>
        <v>0</v>
      </c>
      <c r="AS2180" s="281">
        <f t="shared" si="983"/>
        <v>0</v>
      </c>
      <c r="AT2180" s="284">
        <f t="shared" si="984"/>
        <v>0</v>
      </c>
    </row>
    <row r="2181" spans="1:46" customFormat="1" ht="15" customHeight="1" x14ac:dyDescent="0.8">
      <c r="A2181" s="262">
        <f t="shared" si="985"/>
        <v>2181</v>
      </c>
      <c r="B2181" s="114"/>
      <c r="C2181" s="208"/>
      <c r="D2181" s="208"/>
      <c r="E2181" s="208"/>
      <c r="F2181" s="208"/>
      <c r="G2181" s="208"/>
      <c r="H2181" s="208"/>
      <c r="I2181" s="114"/>
      <c r="J2181" s="30"/>
      <c r="M2181" s="3"/>
      <c r="N2181" s="15" t="s">
        <v>118</v>
      </c>
      <c r="O2181" s="12"/>
      <c r="P2181" s="12"/>
      <c r="Q2181" s="12"/>
      <c r="R2181" s="12"/>
      <c r="S2181" s="28">
        <f>M2175</f>
        <v>60</v>
      </c>
      <c r="T2181" s="11"/>
      <c r="U2181" s="12"/>
      <c r="V2181" s="14" t="e">
        <f>U2181*#REF!</f>
        <v>#REF!</v>
      </c>
      <c r="W2181" s="14"/>
      <c r="X2181" s="26"/>
      <c r="Y2181" s="13"/>
      <c r="Z2181" s="68" t="e">
        <f>VLOOKUP(Takeoffs!Y2181,Sheet1!$B$6:$C$124,2,FALSE)</f>
        <v>#N/A</v>
      </c>
      <c r="AA2181" s="68"/>
      <c r="AB2181" s="18"/>
      <c r="AC2181" s="18"/>
      <c r="AD2181" s="18"/>
      <c r="AE2181" s="60"/>
      <c r="AF2181" s="13"/>
      <c r="AG2181" s="68" t="e">
        <f>VLOOKUP(Takeoffs!AF2181,Sheet1!$B$6:$C$124,2,FALSE)</f>
        <v>#N/A</v>
      </c>
      <c r="AH2181" s="68"/>
      <c r="AI2181" s="18"/>
      <c r="AJ2181" s="18"/>
      <c r="AK2181" s="18"/>
      <c r="AL2181" s="60"/>
      <c r="AO2181" s="286"/>
      <c r="AP2181" s="284">
        <f t="shared" si="980"/>
        <v>0</v>
      </c>
      <c r="AQ2181" s="281">
        <f t="shared" si="981"/>
        <v>0</v>
      </c>
      <c r="AR2181" s="284">
        <f t="shared" si="982"/>
        <v>0</v>
      </c>
      <c r="AS2181" s="281">
        <f t="shared" si="983"/>
        <v>0</v>
      </c>
      <c r="AT2181" s="284">
        <f t="shared" si="984"/>
        <v>0</v>
      </c>
    </row>
    <row r="2182" spans="1:46" customFormat="1" ht="15" customHeight="1" x14ac:dyDescent="0.8">
      <c r="A2182" s="262">
        <f t="shared" si="985"/>
        <v>2182</v>
      </c>
      <c r="B2182" s="114"/>
      <c r="C2182" s="208"/>
      <c r="D2182" s="208"/>
      <c r="E2182" s="208"/>
      <c r="F2182" s="208"/>
      <c r="G2182" s="208"/>
      <c r="H2182" s="208"/>
      <c r="I2182" s="114"/>
      <c r="J2182" s="30"/>
      <c r="N2182" s="15" t="s">
        <v>119</v>
      </c>
      <c r="O2182" s="12"/>
      <c r="P2182" s="12"/>
      <c r="Q2182" s="12"/>
      <c r="R2182" s="12"/>
      <c r="S2182" s="28">
        <f>M2175</f>
        <v>60</v>
      </c>
      <c r="T2182" s="11"/>
      <c r="U2182" s="12"/>
      <c r="V2182" s="14" t="e">
        <f>U2182*#REF!</f>
        <v>#REF!</v>
      </c>
      <c r="W2182" s="14"/>
      <c r="X2182" s="26"/>
      <c r="Y2182" s="13"/>
      <c r="Z2182" s="68" t="e">
        <f>VLOOKUP(Takeoffs!Y2182,Sheet1!$B$6:$C$124,2,FALSE)</f>
        <v>#N/A</v>
      </c>
      <c r="AA2182" s="68"/>
      <c r="AB2182" s="18"/>
      <c r="AC2182" s="18"/>
      <c r="AD2182" s="18"/>
      <c r="AE2182" s="60"/>
      <c r="AF2182" s="13"/>
      <c r="AG2182" s="68" t="e">
        <f>VLOOKUP(Takeoffs!AF2182,Sheet1!$B$6:$C$124,2,FALSE)</f>
        <v>#N/A</v>
      </c>
      <c r="AH2182" s="68"/>
      <c r="AI2182" s="18"/>
      <c r="AJ2182" s="18"/>
      <c r="AK2182" s="18"/>
      <c r="AL2182" s="60"/>
      <c r="AO2182" s="286"/>
      <c r="AP2182" s="284">
        <f t="shared" si="980"/>
        <v>0</v>
      </c>
      <c r="AQ2182" s="281">
        <f t="shared" si="981"/>
        <v>0</v>
      </c>
      <c r="AR2182" s="284">
        <f t="shared" si="982"/>
        <v>0</v>
      </c>
      <c r="AS2182" s="281">
        <f t="shared" si="983"/>
        <v>0</v>
      </c>
      <c r="AT2182" s="284">
        <f t="shared" si="984"/>
        <v>0</v>
      </c>
    </row>
    <row r="2183" spans="1:46" customFormat="1" ht="15" customHeight="1" x14ac:dyDescent="0.8">
      <c r="A2183" s="262">
        <f t="shared" si="985"/>
        <v>2183</v>
      </c>
      <c r="B2183" s="114"/>
      <c r="C2183" s="208"/>
      <c r="D2183" s="208"/>
      <c r="E2183" s="208"/>
      <c r="F2183" s="208"/>
      <c r="G2183" s="208"/>
      <c r="H2183" s="208"/>
      <c r="I2183" s="114"/>
      <c r="J2183" s="30"/>
      <c r="N2183" s="15" t="s">
        <v>120</v>
      </c>
      <c r="O2183" s="12"/>
      <c r="P2183" s="12"/>
      <c r="Q2183" s="12"/>
      <c r="R2183" s="12"/>
      <c r="S2183" s="28">
        <f>M2175</f>
        <v>60</v>
      </c>
      <c r="T2183" s="11"/>
      <c r="U2183" s="12"/>
      <c r="V2183" s="14" t="e">
        <f>U2183*#REF!</f>
        <v>#REF!</v>
      </c>
      <c r="W2183" s="14"/>
      <c r="X2183" s="26"/>
      <c r="Y2183" s="13"/>
      <c r="Z2183" s="68" t="e">
        <f>VLOOKUP(Takeoffs!Y2183,Sheet1!$B$6:$C$124,2,FALSE)</f>
        <v>#N/A</v>
      </c>
      <c r="AA2183" s="68"/>
      <c r="AB2183" s="18"/>
      <c r="AC2183" s="18"/>
      <c r="AD2183" s="18"/>
      <c r="AE2183" s="60"/>
      <c r="AF2183" s="13"/>
      <c r="AG2183" s="68" t="e">
        <f>VLOOKUP(Takeoffs!AF2183,Sheet1!$B$6:$C$124,2,FALSE)</f>
        <v>#N/A</v>
      </c>
      <c r="AH2183" s="68"/>
      <c r="AI2183" s="18"/>
      <c r="AJ2183" s="18"/>
      <c r="AK2183" s="18"/>
      <c r="AL2183" s="60"/>
      <c r="AO2183" s="286"/>
      <c r="AP2183" s="284">
        <f t="shared" si="980"/>
        <v>0</v>
      </c>
      <c r="AQ2183" s="281">
        <f t="shared" si="981"/>
        <v>0</v>
      </c>
      <c r="AR2183" s="284">
        <f t="shared" si="982"/>
        <v>0</v>
      </c>
      <c r="AS2183" s="281">
        <f t="shared" si="983"/>
        <v>0</v>
      </c>
      <c r="AT2183" s="284">
        <f t="shared" si="984"/>
        <v>0</v>
      </c>
    </row>
    <row r="2184" spans="1:46" customFormat="1" ht="15" customHeight="1" x14ac:dyDescent="0.8">
      <c r="A2184" s="262">
        <f t="shared" si="985"/>
        <v>2184</v>
      </c>
      <c r="B2184" s="114"/>
      <c r="C2184" s="208"/>
      <c r="D2184" s="208"/>
      <c r="E2184" s="208"/>
      <c r="F2184" s="208"/>
      <c r="G2184" s="208"/>
      <c r="H2184" s="208"/>
      <c r="I2184" s="114"/>
      <c r="J2184" s="30"/>
      <c r="N2184" s="15" t="s">
        <v>121</v>
      </c>
      <c r="O2184" s="12"/>
      <c r="P2184" s="12"/>
      <c r="Q2184" s="12"/>
      <c r="R2184" s="12"/>
      <c r="S2184" s="28">
        <f>M2175</f>
        <v>60</v>
      </c>
      <c r="T2184" s="11"/>
      <c r="U2184" s="12"/>
      <c r="V2184" s="14" t="e">
        <f>U2184*#REF!</f>
        <v>#REF!</v>
      </c>
      <c r="W2184" s="14"/>
      <c r="X2184" s="26"/>
      <c r="Y2184" s="13"/>
      <c r="Z2184" s="68" t="e">
        <f>VLOOKUP(Takeoffs!Y2184,Sheet1!$B$6:$C$124,2,FALSE)</f>
        <v>#N/A</v>
      </c>
      <c r="AA2184" s="68"/>
      <c r="AB2184" s="18"/>
      <c r="AC2184" s="18"/>
      <c r="AD2184" s="18"/>
      <c r="AE2184" s="60"/>
      <c r="AF2184" s="13"/>
      <c r="AG2184" s="68" t="e">
        <f>VLOOKUP(Takeoffs!AF2184,Sheet1!$B$6:$C$124,2,FALSE)</f>
        <v>#N/A</v>
      </c>
      <c r="AH2184" s="68"/>
      <c r="AI2184" s="18"/>
      <c r="AJ2184" s="18"/>
      <c r="AK2184" s="18"/>
      <c r="AL2184" s="60"/>
      <c r="AO2184" s="286"/>
      <c r="AP2184" s="284">
        <f t="shared" si="980"/>
        <v>0</v>
      </c>
      <c r="AQ2184" s="281">
        <f t="shared" si="981"/>
        <v>0</v>
      </c>
      <c r="AR2184" s="284">
        <f t="shared" si="982"/>
        <v>0</v>
      </c>
      <c r="AS2184" s="281">
        <f t="shared" si="983"/>
        <v>0</v>
      </c>
      <c r="AT2184" s="284">
        <f t="shared" si="984"/>
        <v>0</v>
      </c>
    </row>
    <row r="2185" spans="1:46" customFormat="1" ht="15" customHeight="1" x14ac:dyDescent="0.8">
      <c r="A2185" s="262">
        <f t="shared" si="985"/>
        <v>2185</v>
      </c>
      <c r="B2185" s="114"/>
      <c r="C2185" s="208"/>
      <c r="D2185" s="208"/>
      <c r="E2185" s="208"/>
      <c r="F2185" s="208"/>
      <c r="G2185" s="208"/>
      <c r="H2185" s="208"/>
      <c r="I2185" s="114"/>
      <c r="J2185" s="30"/>
      <c r="N2185" s="15" t="s">
        <v>122</v>
      </c>
      <c r="O2185" s="12"/>
      <c r="P2185" s="12"/>
      <c r="Q2185" s="12"/>
      <c r="R2185" s="12"/>
      <c r="S2185" s="28">
        <f>M2175</f>
        <v>60</v>
      </c>
      <c r="T2185" s="11"/>
      <c r="U2185" s="12"/>
      <c r="V2185" s="14" t="e">
        <f>U2185*#REF!</f>
        <v>#REF!</v>
      </c>
      <c r="W2185" s="14"/>
      <c r="X2185" s="26"/>
      <c r="Y2185" s="13"/>
      <c r="Z2185" s="68" t="e">
        <f>VLOOKUP(Takeoffs!Y2185,Sheet1!$B$6:$C$124,2,FALSE)</f>
        <v>#N/A</v>
      </c>
      <c r="AA2185" s="68"/>
      <c r="AB2185" s="18"/>
      <c r="AC2185" s="18"/>
      <c r="AD2185" s="18"/>
      <c r="AE2185" s="60"/>
      <c r="AF2185" s="13"/>
      <c r="AG2185" s="68" t="e">
        <f>VLOOKUP(Takeoffs!AF2185,Sheet1!$B$6:$C$124,2,FALSE)</f>
        <v>#N/A</v>
      </c>
      <c r="AH2185" s="68"/>
      <c r="AI2185" s="18"/>
      <c r="AJ2185" s="18"/>
      <c r="AK2185" s="18"/>
      <c r="AL2185" s="60"/>
      <c r="AO2185" s="286"/>
      <c r="AP2185" s="284">
        <f t="shared" si="980"/>
        <v>0</v>
      </c>
      <c r="AQ2185" s="281">
        <f t="shared" si="981"/>
        <v>0</v>
      </c>
      <c r="AR2185" s="284">
        <f t="shared" si="982"/>
        <v>0</v>
      </c>
      <c r="AS2185" s="281">
        <f t="shared" si="983"/>
        <v>0</v>
      </c>
      <c r="AT2185" s="284">
        <f t="shared" si="984"/>
        <v>0</v>
      </c>
    </row>
    <row r="2186" spans="1:46" customFormat="1" ht="15" customHeight="1" x14ac:dyDescent="0.8">
      <c r="A2186" s="262">
        <f t="shared" si="985"/>
        <v>2186</v>
      </c>
      <c r="B2186" s="114"/>
      <c r="C2186" s="208"/>
      <c r="D2186" s="208"/>
      <c r="E2186" s="208"/>
      <c r="F2186" s="208"/>
      <c r="G2186" s="208"/>
      <c r="H2186" s="208"/>
      <c r="I2186" s="114"/>
      <c r="J2186" s="30"/>
      <c r="N2186" s="15" t="s">
        <v>123</v>
      </c>
      <c r="O2186" s="12"/>
      <c r="P2186" s="12"/>
      <c r="Q2186" s="12"/>
      <c r="R2186" s="12"/>
      <c r="S2186" s="28">
        <f>M2175</f>
        <v>60</v>
      </c>
      <c r="T2186" s="11"/>
      <c r="U2186" s="12"/>
      <c r="V2186" s="14" t="e">
        <f>U2186*#REF!</f>
        <v>#REF!</v>
      </c>
      <c r="W2186" s="14"/>
      <c r="X2186" s="26"/>
      <c r="Y2186" s="13"/>
      <c r="Z2186" s="68" t="e">
        <f>VLOOKUP(Takeoffs!Y2186,Sheet1!$B$6:$C$124,2,FALSE)</f>
        <v>#N/A</v>
      </c>
      <c r="AA2186" s="68"/>
      <c r="AB2186" s="18"/>
      <c r="AC2186" s="18"/>
      <c r="AD2186" s="18"/>
      <c r="AE2186" s="60"/>
      <c r="AF2186" s="13"/>
      <c r="AG2186" s="68" t="e">
        <f>VLOOKUP(Takeoffs!AF2186,Sheet1!$B$6:$C$124,2,FALSE)</f>
        <v>#N/A</v>
      </c>
      <c r="AH2186" s="68"/>
      <c r="AI2186" s="18"/>
      <c r="AJ2186" s="18"/>
      <c r="AK2186" s="18"/>
      <c r="AL2186" s="60"/>
      <c r="AO2186" s="286"/>
      <c r="AP2186" s="284">
        <f t="shared" si="980"/>
        <v>0</v>
      </c>
      <c r="AQ2186" s="281">
        <f t="shared" si="981"/>
        <v>0</v>
      </c>
      <c r="AR2186" s="284">
        <f t="shared" si="982"/>
        <v>0</v>
      </c>
      <c r="AS2186" s="281">
        <f t="shared" si="983"/>
        <v>0</v>
      </c>
      <c r="AT2186" s="284">
        <f t="shared" si="984"/>
        <v>0</v>
      </c>
    </row>
    <row r="2187" spans="1:46" customFormat="1" ht="15" customHeight="1" x14ac:dyDescent="0.8">
      <c r="A2187" s="262">
        <f t="shared" si="985"/>
        <v>2187</v>
      </c>
      <c r="B2187" s="114"/>
      <c r="C2187" s="208"/>
      <c r="D2187" s="208"/>
      <c r="E2187" s="208"/>
      <c r="F2187" s="208"/>
      <c r="G2187" s="208"/>
      <c r="H2187" s="208"/>
      <c r="I2187" s="114"/>
      <c r="J2187" s="30"/>
      <c r="N2187" s="15" t="s">
        <v>124</v>
      </c>
      <c r="O2187" s="12"/>
      <c r="P2187" s="12"/>
      <c r="Q2187" s="12"/>
      <c r="R2187" s="12"/>
      <c r="S2187" s="28">
        <f>M2175</f>
        <v>60</v>
      </c>
      <c r="T2187" s="11"/>
      <c r="U2187" s="12"/>
      <c r="V2187" s="14" t="e">
        <f>U2187*#REF!</f>
        <v>#REF!</v>
      </c>
      <c r="W2187" s="14"/>
      <c r="X2187" s="26"/>
      <c r="Y2187" s="13"/>
      <c r="Z2187" s="68" t="e">
        <f>VLOOKUP(Takeoffs!Y2187,Sheet1!$B$6:$C$124,2,FALSE)</f>
        <v>#N/A</v>
      </c>
      <c r="AA2187" s="68"/>
      <c r="AB2187" s="18"/>
      <c r="AC2187" s="18"/>
      <c r="AD2187" s="18"/>
      <c r="AE2187" s="60"/>
      <c r="AF2187" s="13"/>
      <c r="AG2187" s="68" t="e">
        <f>VLOOKUP(Takeoffs!AF2187,Sheet1!$B$6:$C$124,2,FALSE)</f>
        <v>#N/A</v>
      </c>
      <c r="AH2187" s="68"/>
      <c r="AI2187" s="18"/>
      <c r="AJ2187" s="18"/>
      <c r="AK2187" s="18"/>
      <c r="AL2187" s="60"/>
      <c r="AO2187" s="286"/>
      <c r="AP2187" s="284">
        <f t="shared" si="980"/>
        <v>0</v>
      </c>
      <c r="AQ2187" s="281">
        <f t="shared" si="981"/>
        <v>0</v>
      </c>
      <c r="AR2187" s="284">
        <f t="shared" si="982"/>
        <v>0</v>
      </c>
      <c r="AS2187" s="281">
        <f t="shared" si="983"/>
        <v>0</v>
      </c>
      <c r="AT2187" s="284">
        <f t="shared" si="984"/>
        <v>0</v>
      </c>
    </row>
    <row r="2188" spans="1:46" customFormat="1" ht="15" customHeight="1" x14ac:dyDescent="0.8">
      <c r="A2188" s="262">
        <f t="shared" si="985"/>
        <v>2188</v>
      </c>
      <c r="B2188" s="114"/>
      <c r="C2188" s="208"/>
      <c r="D2188" s="208"/>
      <c r="E2188" s="208"/>
      <c r="F2188" s="208"/>
      <c r="G2188" s="208"/>
      <c r="H2188" s="208"/>
      <c r="I2188" s="114"/>
      <c r="J2188" s="30"/>
      <c r="N2188" s="15" t="s">
        <v>125</v>
      </c>
      <c r="O2188" s="12"/>
      <c r="P2188" s="12"/>
      <c r="Q2188" s="12"/>
      <c r="R2188" s="12"/>
      <c r="S2188" s="28">
        <f>M2175</f>
        <v>60</v>
      </c>
      <c r="T2188" s="11"/>
      <c r="U2188" s="12"/>
      <c r="V2188" s="14" t="e">
        <f>U2188*#REF!</f>
        <v>#REF!</v>
      </c>
      <c r="W2188" s="14"/>
      <c r="X2188" s="26"/>
      <c r="Y2188" s="13"/>
      <c r="Z2188" s="68" t="e">
        <f>VLOOKUP(Takeoffs!Y2188,Sheet1!$B$6:$C$124,2,FALSE)</f>
        <v>#N/A</v>
      </c>
      <c r="AA2188" s="68"/>
      <c r="AB2188" s="18"/>
      <c r="AC2188" s="18"/>
      <c r="AD2188" s="18"/>
      <c r="AE2188" s="60"/>
      <c r="AF2188" s="13"/>
      <c r="AG2188" s="68" t="e">
        <f>VLOOKUP(Takeoffs!AF2188,Sheet1!$B$6:$C$124,2,FALSE)</f>
        <v>#N/A</v>
      </c>
      <c r="AH2188" s="68"/>
      <c r="AI2188" s="18"/>
      <c r="AJ2188" s="18"/>
      <c r="AK2188" s="18"/>
      <c r="AL2188" s="60"/>
      <c r="AO2188" s="286"/>
      <c r="AP2188" s="284">
        <f t="shared" si="980"/>
        <v>0</v>
      </c>
      <c r="AQ2188" s="281">
        <f t="shared" si="981"/>
        <v>0</v>
      </c>
      <c r="AR2188" s="284">
        <f t="shared" si="982"/>
        <v>0</v>
      </c>
      <c r="AS2188" s="281">
        <f t="shared" si="983"/>
        <v>0</v>
      </c>
      <c r="AT2188" s="284">
        <f t="shared" si="984"/>
        <v>0</v>
      </c>
    </row>
    <row r="2189" spans="1:46" customFormat="1" ht="15" customHeight="1" x14ac:dyDescent="0.8">
      <c r="A2189" s="262">
        <f t="shared" si="985"/>
        <v>2189</v>
      </c>
      <c r="B2189" s="114"/>
      <c r="C2189" s="208"/>
      <c r="D2189" s="208"/>
      <c r="E2189" s="208"/>
      <c r="F2189" s="208"/>
      <c r="G2189" s="208"/>
      <c r="H2189" s="208"/>
      <c r="I2189" s="114"/>
      <c r="J2189" s="30"/>
      <c r="N2189" s="15" t="s">
        <v>126</v>
      </c>
      <c r="O2189" s="12"/>
      <c r="P2189" s="12"/>
      <c r="Q2189" s="12"/>
      <c r="R2189" s="12"/>
      <c r="S2189" s="28">
        <f>M2175</f>
        <v>60</v>
      </c>
      <c r="T2189" s="11"/>
      <c r="U2189" s="12"/>
      <c r="V2189" s="14" t="e">
        <f>U2189*#REF!</f>
        <v>#REF!</v>
      </c>
      <c r="W2189" s="14"/>
      <c r="X2189" s="26"/>
      <c r="Y2189" s="13"/>
      <c r="Z2189" s="68" t="e">
        <f>VLOOKUP(Takeoffs!Y2189,Sheet1!$B$6:$C$124,2,FALSE)</f>
        <v>#N/A</v>
      </c>
      <c r="AA2189" s="68"/>
      <c r="AB2189" s="18"/>
      <c r="AC2189" s="18"/>
      <c r="AD2189" s="18"/>
      <c r="AE2189" s="60"/>
      <c r="AF2189" s="13"/>
      <c r="AG2189" s="68" t="e">
        <f>VLOOKUP(Takeoffs!AF2189,Sheet1!$B$6:$C$124,2,FALSE)</f>
        <v>#N/A</v>
      </c>
      <c r="AH2189" s="68"/>
      <c r="AI2189" s="18"/>
      <c r="AJ2189" s="18"/>
      <c r="AK2189" s="18"/>
      <c r="AL2189" s="60"/>
      <c r="AO2189" s="286"/>
      <c r="AP2189" s="284">
        <f t="shared" si="980"/>
        <v>0</v>
      </c>
      <c r="AQ2189" s="281">
        <f t="shared" si="981"/>
        <v>0</v>
      </c>
      <c r="AR2189" s="284">
        <f t="shared" si="982"/>
        <v>0</v>
      </c>
      <c r="AS2189" s="281">
        <f t="shared" si="983"/>
        <v>0</v>
      </c>
      <c r="AT2189" s="284">
        <f t="shared" si="984"/>
        <v>0</v>
      </c>
    </row>
    <row r="2190" spans="1:46" customFormat="1" ht="15" customHeight="1" x14ac:dyDescent="0.8">
      <c r="A2190" s="262">
        <f t="shared" si="985"/>
        <v>2190</v>
      </c>
      <c r="B2190" s="114"/>
      <c r="C2190" s="208"/>
      <c r="D2190" s="208"/>
      <c r="E2190" s="208"/>
      <c r="F2190" s="208"/>
      <c r="G2190" s="208"/>
      <c r="H2190" s="208"/>
      <c r="I2190" s="114"/>
      <c r="J2190" s="30"/>
      <c r="N2190" s="15" t="s">
        <v>127</v>
      </c>
      <c r="O2190" s="12"/>
      <c r="P2190" s="12"/>
      <c r="Q2190" s="12"/>
      <c r="R2190" s="12"/>
      <c r="S2190" s="28">
        <f>M2175</f>
        <v>60</v>
      </c>
      <c r="T2190" s="11"/>
      <c r="U2190" s="12"/>
      <c r="V2190" s="14" t="e">
        <f>U2190*#REF!</f>
        <v>#REF!</v>
      </c>
      <c r="W2190" s="14"/>
      <c r="X2190" s="26"/>
      <c r="Y2190" s="13"/>
      <c r="Z2190" s="68" t="e">
        <f>VLOOKUP(Takeoffs!Y2190,Sheet1!$B$6:$C$124,2,FALSE)</f>
        <v>#N/A</v>
      </c>
      <c r="AA2190" s="68"/>
      <c r="AB2190" s="18"/>
      <c r="AC2190" s="18"/>
      <c r="AD2190" s="18"/>
      <c r="AE2190" s="60"/>
      <c r="AF2190" s="13"/>
      <c r="AG2190" s="68" t="e">
        <f>VLOOKUP(Takeoffs!AF2190,Sheet1!$B$6:$C$124,2,FALSE)</f>
        <v>#N/A</v>
      </c>
      <c r="AH2190" s="68"/>
      <c r="AI2190" s="18"/>
      <c r="AJ2190" s="18"/>
      <c r="AK2190" s="18"/>
      <c r="AL2190" s="60"/>
      <c r="AO2190" s="286"/>
      <c r="AP2190" s="284">
        <f t="shared" si="980"/>
        <v>0</v>
      </c>
      <c r="AQ2190" s="281">
        <f t="shared" si="981"/>
        <v>0</v>
      </c>
      <c r="AR2190" s="284">
        <f t="shared" si="982"/>
        <v>0</v>
      </c>
      <c r="AS2190" s="281">
        <f t="shared" si="983"/>
        <v>0</v>
      </c>
      <c r="AT2190" s="284">
        <f t="shared" si="984"/>
        <v>0</v>
      </c>
    </row>
    <row r="2191" spans="1:46" customFormat="1" ht="15" customHeight="1" x14ac:dyDescent="0.8">
      <c r="A2191" s="262">
        <f t="shared" si="985"/>
        <v>2191</v>
      </c>
      <c r="B2191" s="114"/>
      <c r="C2191" s="208"/>
      <c r="D2191" s="208"/>
      <c r="E2191" s="208"/>
      <c r="F2191" s="208"/>
      <c r="G2191" s="208"/>
      <c r="H2191" s="208"/>
      <c r="I2191" s="114"/>
      <c r="J2191" s="30"/>
      <c r="N2191" s="15" t="s">
        <v>128</v>
      </c>
      <c r="O2191" s="12"/>
      <c r="P2191" s="12"/>
      <c r="Q2191" s="12"/>
      <c r="R2191" s="12"/>
      <c r="S2191" s="28">
        <f>M2175</f>
        <v>60</v>
      </c>
      <c r="T2191" s="11"/>
      <c r="U2191" s="12"/>
      <c r="V2191" s="14" t="e">
        <f>U2191*#REF!</f>
        <v>#REF!</v>
      </c>
      <c r="W2191" s="14"/>
      <c r="X2191" s="26"/>
      <c r="Y2191" s="13"/>
      <c r="Z2191" s="68" t="e">
        <f>VLOOKUP(Takeoffs!Y2191,Sheet1!$B$6:$C$124,2,FALSE)</f>
        <v>#N/A</v>
      </c>
      <c r="AA2191" s="68"/>
      <c r="AB2191" s="18"/>
      <c r="AC2191" s="18"/>
      <c r="AD2191" s="18"/>
      <c r="AE2191" s="60"/>
      <c r="AF2191" s="13"/>
      <c r="AG2191" s="68" t="e">
        <f>VLOOKUP(Takeoffs!AF2191,Sheet1!$B$6:$C$124,2,FALSE)</f>
        <v>#N/A</v>
      </c>
      <c r="AH2191" s="68"/>
      <c r="AI2191" s="18"/>
      <c r="AJ2191" s="18"/>
      <c r="AK2191" s="18"/>
      <c r="AL2191" s="60"/>
      <c r="AO2191" s="286"/>
      <c r="AP2191" s="284">
        <f t="shared" si="980"/>
        <v>0</v>
      </c>
      <c r="AQ2191" s="281">
        <f t="shared" si="981"/>
        <v>0</v>
      </c>
      <c r="AR2191" s="284">
        <f t="shared" si="982"/>
        <v>0</v>
      </c>
      <c r="AS2191" s="281">
        <f t="shared" si="983"/>
        <v>0</v>
      </c>
      <c r="AT2191" s="284">
        <f t="shared" si="984"/>
        <v>0</v>
      </c>
    </row>
    <row r="2192" spans="1:46" customFormat="1" ht="15" customHeight="1" x14ac:dyDescent="0.8">
      <c r="A2192" s="262">
        <f t="shared" si="985"/>
        <v>2192</v>
      </c>
      <c r="B2192" s="114"/>
      <c r="C2192" s="208"/>
      <c r="D2192" s="208"/>
      <c r="E2192" s="208"/>
      <c r="F2192" s="208"/>
      <c r="G2192" s="208"/>
      <c r="H2192" s="208"/>
      <c r="I2192" s="114"/>
      <c r="J2192" s="30"/>
      <c r="N2192" s="15" t="s">
        <v>129</v>
      </c>
      <c r="O2192" s="12"/>
      <c r="P2192" s="12"/>
      <c r="Q2192" s="12"/>
      <c r="R2192" s="12"/>
      <c r="S2192" s="28">
        <f>M2175</f>
        <v>60</v>
      </c>
      <c r="T2192" s="11"/>
      <c r="U2192" s="12"/>
      <c r="V2192" s="14" t="e">
        <f>U2192*#REF!</f>
        <v>#REF!</v>
      </c>
      <c r="W2192" s="14"/>
      <c r="X2192" s="26"/>
      <c r="Y2192" s="13"/>
      <c r="Z2192" s="68" t="e">
        <f>VLOOKUP(Takeoffs!Y2192,Sheet1!$B$6:$C$124,2,FALSE)</f>
        <v>#N/A</v>
      </c>
      <c r="AA2192" s="68"/>
      <c r="AB2192" s="18"/>
      <c r="AC2192" s="18"/>
      <c r="AD2192" s="18"/>
      <c r="AE2192" s="60"/>
      <c r="AF2192" s="13"/>
      <c r="AG2192" s="68" t="e">
        <f>VLOOKUP(Takeoffs!AF2192,Sheet1!$B$6:$C$124,2,FALSE)</f>
        <v>#N/A</v>
      </c>
      <c r="AH2192" s="68"/>
      <c r="AI2192" s="18"/>
      <c r="AJ2192" s="18"/>
      <c r="AK2192" s="18"/>
      <c r="AL2192" s="60"/>
      <c r="AO2192" s="286"/>
      <c r="AP2192" s="284">
        <f t="shared" si="980"/>
        <v>0</v>
      </c>
      <c r="AQ2192" s="281">
        <f t="shared" si="981"/>
        <v>0</v>
      </c>
      <c r="AR2192" s="284">
        <f t="shared" si="982"/>
        <v>0</v>
      </c>
      <c r="AS2192" s="281">
        <f t="shared" si="983"/>
        <v>0</v>
      </c>
      <c r="AT2192" s="284">
        <f t="shared" si="984"/>
        <v>0</v>
      </c>
    </row>
    <row r="2193" spans="1:46" customFormat="1" ht="15" customHeight="1" x14ac:dyDescent="0.8">
      <c r="A2193" s="262">
        <f t="shared" si="985"/>
        <v>2193</v>
      </c>
      <c r="B2193" s="114"/>
      <c r="C2193" s="208"/>
      <c r="D2193" s="208"/>
      <c r="E2193" s="208"/>
      <c r="F2193" s="208"/>
      <c r="G2193" s="208"/>
      <c r="H2193" s="208"/>
      <c r="I2193" s="114"/>
      <c r="J2193" s="30"/>
      <c r="N2193" s="15" t="s">
        <v>130</v>
      </c>
      <c r="O2193" s="12"/>
      <c r="P2193" s="12"/>
      <c r="Q2193" s="12"/>
      <c r="R2193" s="12"/>
      <c r="S2193" s="28">
        <f>M2175</f>
        <v>60</v>
      </c>
      <c r="T2193" s="11"/>
      <c r="U2193" s="12"/>
      <c r="V2193" s="14" t="e">
        <f>U2193*#REF!</f>
        <v>#REF!</v>
      </c>
      <c r="W2193" s="14"/>
      <c r="X2193" s="26"/>
      <c r="Y2193" s="13"/>
      <c r="Z2193" s="68" t="e">
        <f>VLOOKUP(Takeoffs!Y2193,Sheet1!$B$6:$C$124,2,FALSE)</f>
        <v>#N/A</v>
      </c>
      <c r="AA2193" s="68"/>
      <c r="AB2193" s="18"/>
      <c r="AC2193" s="18"/>
      <c r="AD2193" s="18"/>
      <c r="AE2193" s="60"/>
      <c r="AF2193" s="13"/>
      <c r="AG2193" s="68" t="e">
        <f>VLOOKUP(Takeoffs!AF2193,Sheet1!$B$6:$C$124,2,FALSE)</f>
        <v>#N/A</v>
      </c>
      <c r="AH2193" s="68"/>
      <c r="AI2193" s="18"/>
      <c r="AJ2193" s="18"/>
      <c r="AK2193" s="18"/>
      <c r="AL2193" s="60"/>
      <c r="AO2193" s="286"/>
      <c r="AP2193" s="284">
        <f t="shared" si="980"/>
        <v>0</v>
      </c>
      <c r="AQ2193" s="281">
        <f t="shared" si="981"/>
        <v>0</v>
      </c>
      <c r="AR2193" s="284">
        <f t="shared" si="982"/>
        <v>0</v>
      </c>
      <c r="AS2193" s="281">
        <f t="shared" si="983"/>
        <v>0</v>
      </c>
      <c r="AT2193" s="284">
        <f t="shared" si="984"/>
        <v>0</v>
      </c>
    </row>
    <row r="2194" spans="1:46" customFormat="1" ht="15" customHeight="1" x14ac:dyDescent="0.8">
      <c r="A2194" s="262">
        <f t="shared" si="985"/>
        <v>2194</v>
      </c>
      <c r="B2194" s="114"/>
      <c r="C2194" s="208"/>
      <c r="D2194" s="208"/>
      <c r="E2194" s="208"/>
      <c r="F2194" s="208"/>
      <c r="G2194" s="208"/>
      <c r="H2194" s="208"/>
      <c r="I2194" s="114"/>
      <c r="J2194" s="30"/>
      <c r="N2194" s="15" t="s">
        <v>131</v>
      </c>
      <c r="O2194" s="12"/>
      <c r="P2194" s="12"/>
      <c r="Q2194" s="12"/>
      <c r="R2194" s="12"/>
      <c r="S2194" s="28">
        <f>M2175</f>
        <v>60</v>
      </c>
      <c r="T2194" s="11"/>
      <c r="U2194" s="12"/>
      <c r="V2194" s="14" t="e">
        <f>U2194*#REF!</f>
        <v>#REF!</v>
      </c>
      <c r="W2194" s="14"/>
      <c r="X2194" s="26"/>
      <c r="Y2194" s="13"/>
      <c r="Z2194" s="68" t="e">
        <f>VLOOKUP(Takeoffs!Y2194,Sheet1!$B$6:$C$124,2,FALSE)</f>
        <v>#N/A</v>
      </c>
      <c r="AA2194" s="68"/>
      <c r="AB2194" s="18"/>
      <c r="AC2194" s="18"/>
      <c r="AD2194" s="18"/>
      <c r="AE2194" s="60"/>
      <c r="AF2194" s="13"/>
      <c r="AG2194" s="68" t="e">
        <f>VLOOKUP(Takeoffs!AF2194,Sheet1!$B$6:$C$124,2,FALSE)</f>
        <v>#N/A</v>
      </c>
      <c r="AH2194" s="68"/>
      <c r="AI2194" s="18"/>
      <c r="AJ2194" s="18"/>
      <c r="AK2194" s="18"/>
      <c r="AL2194" s="60"/>
      <c r="AO2194" s="286"/>
      <c r="AP2194" s="284">
        <f t="shared" si="980"/>
        <v>0</v>
      </c>
      <c r="AQ2194" s="281">
        <f t="shared" si="981"/>
        <v>0</v>
      </c>
      <c r="AR2194" s="284">
        <f t="shared" si="982"/>
        <v>0</v>
      </c>
      <c r="AS2194" s="281">
        <f t="shared" si="983"/>
        <v>0</v>
      </c>
      <c r="AT2194" s="284">
        <f t="shared" si="984"/>
        <v>0</v>
      </c>
    </row>
    <row r="2195" spans="1:46" customFormat="1" ht="15" customHeight="1" x14ac:dyDescent="0.8">
      <c r="A2195" s="262">
        <f t="shared" si="985"/>
        <v>2195</v>
      </c>
      <c r="B2195" s="114"/>
      <c r="C2195" s="208"/>
      <c r="D2195" s="208"/>
      <c r="E2195" s="208"/>
      <c r="F2195" s="208"/>
      <c r="G2195" s="208"/>
      <c r="H2195" s="208"/>
      <c r="I2195" s="114"/>
      <c r="J2195" s="30"/>
      <c r="N2195" s="15" t="s">
        <v>132</v>
      </c>
      <c r="O2195" s="12"/>
      <c r="P2195" s="12"/>
      <c r="Q2195" s="12"/>
      <c r="R2195" s="12"/>
      <c r="S2195" s="28">
        <f>M2175</f>
        <v>60</v>
      </c>
      <c r="T2195" s="11"/>
      <c r="U2195" s="12"/>
      <c r="V2195" s="14" t="e">
        <f>U2195*#REF!</f>
        <v>#REF!</v>
      </c>
      <c r="W2195" s="14"/>
      <c r="X2195" s="26"/>
      <c r="Y2195" s="13"/>
      <c r="Z2195" s="68" t="e">
        <f>VLOOKUP(Takeoffs!Y2195,Sheet1!$B$6:$C$124,2,FALSE)</f>
        <v>#N/A</v>
      </c>
      <c r="AA2195" s="68"/>
      <c r="AB2195" s="18"/>
      <c r="AC2195" s="18"/>
      <c r="AD2195" s="18"/>
      <c r="AE2195" s="60"/>
      <c r="AF2195" s="13"/>
      <c r="AG2195" s="68" t="e">
        <f>VLOOKUP(Takeoffs!AF2195,Sheet1!$B$6:$C$124,2,FALSE)</f>
        <v>#N/A</v>
      </c>
      <c r="AH2195" s="68"/>
      <c r="AI2195" s="18"/>
      <c r="AJ2195" s="18"/>
      <c r="AK2195" s="18"/>
      <c r="AL2195" s="60"/>
      <c r="AO2195" s="286"/>
      <c r="AP2195" s="284">
        <f t="shared" si="980"/>
        <v>0</v>
      </c>
      <c r="AQ2195" s="281">
        <f t="shared" si="981"/>
        <v>0</v>
      </c>
      <c r="AR2195" s="284">
        <f t="shared" si="982"/>
        <v>0</v>
      </c>
      <c r="AS2195" s="281">
        <f t="shared" si="983"/>
        <v>0</v>
      </c>
      <c r="AT2195" s="284">
        <f t="shared" si="984"/>
        <v>0</v>
      </c>
    </row>
    <row r="2196" spans="1:46" s="21" customFormat="1" ht="33.75" customHeight="1" x14ac:dyDescent="0.8">
      <c r="A2196" s="262">
        <f t="shared" si="985"/>
        <v>2196</v>
      </c>
      <c r="B2196" s="128"/>
      <c r="C2196" s="212"/>
      <c r="D2196" s="212"/>
      <c r="E2196" s="212"/>
      <c r="F2196" s="212"/>
      <c r="G2196" s="212"/>
      <c r="H2196" s="212"/>
      <c r="I2196" s="114"/>
      <c r="N2196" s="22"/>
      <c r="O2196" s="23"/>
      <c r="P2196" s="23"/>
      <c r="Q2196" s="23"/>
      <c r="R2196" s="23"/>
      <c r="S2196" s="23"/>
      <c r="T2196" s="24"/>
      <c r="U2196" s="23"/>
      <c r="V2196" s="24"/>
      <c r="W2196" s="24"/>
      <c r="X2196" s="26"/>
      <c r="Y2196" s="24"/>
      <c r="Z2196" s="68" t="e">
        <f>VLOOKUP(Takeoffs!Y2196,Sheet1!$B$6:$C$124,2,FALSE)</f>
        <v>#N/A</v>
      </c>
      <c r="AA2196" s="68"/>
      <c r="AB2196" s="31"/>
      <c r="AC2196" s="31"/>
      <c r="AD2196" s="31"/>
      <c r="AE2196" s="60"/>
      <c r="AF2196" s="24"/>
      <c r="AG2196" s="68" t="e">
        <f>VLOOKUP(Takeoffs!AF2196,Sheet1!$B$6:$C$124,2,FALSE)</f>
        <v>#N/A</v>
      </c>
      <c r="AH2196" s="68"/>
      <c r="AI2196" s="31"/>
      <c r="AJ2196" s="31"/>
      <c r="AK2196" s="31"/>
      <c r="AL2196" s="60"/>
      <c r="AO2196" s="286"/>
      <c r="AP2196" s="284">
        <f t="shared" si="980"/>
        <v>0</v>
      </c>
      <c r="AQ2196" s="281">
        <f t="shared" si="981"/>
        <v>0</v>
      </c>
      <c r="AR2196" s="284">
        <f t="shared" si="982"/>
        <v>0</v>
      </c>
      <c r="AS2196" s="281">
        <f t="shared" si="983"/>
        <v>0</v>
      </c>
      <c r="AT2196" s="284">
        <f t="shared" si="984"/>
        <v>0</v>
      </c>
    </row>
    <row r="2197" spans="1:46" customFormat="1" ht="30.9" x14ac:dyDescent="0.8">
      <c r="A2197" s="262">
        <f t="shared" si="985"/>
        <v>2197</v>
      </c>
      <c r="B2197" s="114"/>
      <c r="C2197" s="208"/>
      <c r="D2197" s="208"/>
      <c r="E2197" s="208"/>
      <c r="F2197" s="208"/>
      <c r="G2197" s="208"/>
      <c r="H2197" s="208"/>
      <c r="I2197" s="128"/>
      <c r="Q2197" s="32"/>
      <c r="R2197" s="32"/>
      <c r="T2197" s="8"/>
      <c r="W2197" s="32"/>
      <c r="X2197" s="25"/>
      <c r="Z2197" s="68" t="e">
        <f>VLOOKUP(Takeoffs!Y2197,Sheet1!$B$6:$C$124,2,FALSE)</f>
        <v>#N/A</v>
      </c>
      <c r="AA2197" s="68"/>
      <c r="AB2197" s="32"/>
      <c r="AC2197" s="32"/>
      <c r="AD2197" s="32"/>
      <c r="AE2197" s="25"/>
      <c r="AF2197" s="32"/>
      <c r="AG2197" s="68" t="e">
        <f>VLOOKUP(Takeoffs!AF2197,Sheet1!$B$6:$C$124,2,FALSE)</f>
        <v>#N/A</v>
      </c>
      <c r="AH2197" s="68"/>
      <c r="AI2197" s="32"/>
      <c r="AJ2197" s="32"/>
      <c r="AK2197" s="32"/>
      <c r="AL2197" s="25"/>
      <c r="AO2197" s="286"/>
      <c r="AP2197" s="284">
        <f t="shared" si="980"/>
        <v>0</v>
      </c>
      <c r="AQ2197" s="281">
        <f t="shared" si="981"/>
        <v>0</v>
      </c>
      <c r="AR2197" s="284">
        <f t="shared" si="982"/>
        <v>0</v>
      </c>
      <c r="AS2197" s="281">
        <f t="shared" si="983"/>
        <v>0</v>
      </c>
      <c r="AT2197" s="284">
        <f t="shared" si="984"/>
        <v>0</v>
      </c>
    </row>
    <row r="2198" spans="1:46" customFormat="1" ht="30.9" x14ac:dyDescent="0.8">
      <c r="A2198" s="262">
        <f t="shared" si="985"/>
        <v>2198</v>
      </c>
      <c r="B2198" s="114"/>
      <c r="C2198" s="208"/>
      <c r="D2198" s="208"/>
      <c r="E2198" s="208"/>
      <c r="F2198" s="208"/>
      <c r="G2198" s="208"/>
      <c r="H2198" s="208"/>
      <c r="I2198" s="114"/>
      <c r="Q2198" s="32"/>
      <c r="R2198" s="32"/>
      <c r="T2198" s="8"/>
      <c r="W2198" s="32"/>
      <c r="X2198" s="25"/>
      <c r="Z2198" s="68" t="e">
        <f>VLOOKUP(Takeoffs!Y2198,Sheet1!$B$6:$C$124,2,FALSE)</f>
        <v>#N/A</v>
      </c>
      <c r="AA2198" s="68"/>
      <c r="AB2198" s="32"/>
      <c r="AC2198" s="32"/>
      <c r="AD2198" s="32"/>
      <c r="AE2198" s="25"/>
      <c r="AF2198" s="32"/>
      <c r="AG2198" s="68" t="e">
        <f>VLOOKUP(Takeoffs!AF2198,Sheet1!$B$6:$C$124,2,FALSE)</f>
        <v>#N/A</v>
      </c>
      <c r="AH2198" s="68"/>
      <c r="AI2198" s="32"/>
      <c r="AJ2198" s="32"/>
      <c r="AK2198" s="32"/>
      <c r="AL2198" s="25"/>
      <c r="AO2198" s="286"/>
      <c r="AP2198" s="284">
        <f t="shared" si="980"/>
        <v>0</v>
      </c>
      <c r="AQ2198" s="281">
        <f t="shared" si="981"/>
        <v>0</v>
      </c>
      <c r="AR2198" s="284">
        <f t="shared" si="982"/>
        <v>0</v>
      </c>
      <c r="AS2198" s="281">
        <f t="shared" si="983"/>
        <v>0</v>
      </c>
      <c r="AT2198" s="284">
        <f t="shared" si="984"/>
        <v>0</v>
      </c>
    </row>
    <row r="2199" spans="1:46" customFormat="1" ht="30.9" x14ac:dyDescent="0.8">
      <c r="A2199" s="262">
        <f t="shared" si="985"/>
        <v>2199</v>
      </c>
      <c r="B2199" s="114"/>
      <c r="C2199" s="208"/>
      <c r="D2199" s="208"/>
      <c r="E2199" s="208"/>
      <c r="F2199" s="208"/>
      <c r="G2199" s="208"/>
      <c r="H2199" s="208"/>
      <c r="I2199" s="114"/>
      <c r="Q2199" s="32"/>
      <c r="R2199" s="32"/>
      <c r="T2199" s="8"/>
      <c r="W2199" s="32"/>
      <c r="X2199" s="25"/>
      <c r="Z2199" s="68" t="e">
        <f>VLOOKUP(Takeoffs!Y2199,Sheet1!$B$6:$C$124,2,FALSE)</f>
        <v>#N/A</v>
      </c>
      <c r="AA2199" s="68"/>
      <c r="AB2199" s="32"/>
      <c r="AC2199" s="32"/>
      <c r="AD2199" s="32"/>
      <c r="AE2199" s="25"/>
      <c r="AF2199" s="32"/>
      <c r="AG2199" s="68" t="e">
        <f>VLOOKUP(Takeoffs!AF2199,Sheet1!$B$6:$C$124,2,FALSE)</f>
        <v>#N/A</v>
      </c>
      <c r="AH2199" s="68"/>
      <c r="AI2199" s="32"/>
      <c r="AJ2199" s="32"/>
      <c r="AK2199" s="32"/>
      <c r="AL2199" s="25"/>
      <c r="AO2199" s="286"/>
      <c r="AP2199" s="284">
        <f t="shared" si="980"/>
        <v>0</v>
      </c>
      <c r="AQ2199" s="281">
        <f t="shared" si="981"/>
        <v>0</v>
      </c>
      <c r="AR2199" s="284">
        <f t="shared" si="982"/>
        <v>0</v>
      </c>
      <c r="AS2199" s="281">
        <f t="shared" si="983"/>
        <v>0</v>
      </c>
      <c r="AT2199" s="284">
        <f t="shared" si="984"/>
        <v>0</v>
      </c>
    </row>
    <row r="2200" spans="1:46" customFormat="1" ht="30.9" x14ac:dyDescent="0.8">
      <c r="A2200" s="262">
        <f t="shared" si="985"/>
        <v>2200</v>
      </c>
      <c r="B2200" s="114"/>
      <c r="C2200" s="208"/>
      <c r="D2200" s="208"/>
      <c r="E2200" s="208"/>
      <c r="F2200" s="208"/>
      <c r="G2200" s="208"/>
      <c r="H2200" s="208"/>
      <c r="I2200" s="114"/>
      <c r="Q2200" s="32"/>
      <c r="R2200" s="32"/>
      <c r="T2200" s="8"/>
      <c r="W2200" s="32"/>
      <c r="X2200" s="25"/>
      <c r="Z2200" s="68" t="e">
        <f>VLOOKUP(Takeoffs!Y2200,Sheet1!$B$6:$C$124,2,FALSE)</f>
        <v>#N/A</v>
      </c>
      <c r="AA2200" s="68"/>
      <c r="AB2200" s="32"/>
      <c r="AC2200" s="32"/>
      <c r="AD2200" s="32"/>
      <c r="AE2200" s="25"/>
      <c r="AF2200" s="32"/>
      <c r="AG2200" s="68" t="e">
        <f>VLOOKUP(Takeoffs!AF2200,Sheet1!$B$6:$C$124,2,FALSE)</f>
        <v>#N/A</v>
      </c>
      <c r="AH2200" s="68"/>
      <c r="AI2200" s="32"/>
      <c r="AJ2200" s="32"/>
      <c r="AK2200" s="32"/>
      <c r="AL2200" s="25"/>
      <c r="AO2200" s="286"/>
      <c r="AP2200" s="284">
        <f t="shared" si="980"/>
        <v>0</v>
      </c>
      <c r="AQ2200" s="281">
        <f t="shared" si="981"/>
        <v>0</v>
      </c>
      <c r="AR2200" s="284">
        <f t="shared" si="982"/>
        <v>0</v>
      </c>
      <c r="AS2200" s="281">
        <f t="shared" si="983"/>
        <v>0</v>
      </c>
      <c r="AT2200" s="284">
        <f t="shared" si="984"/>
        <v>0</v>
      </c>
    </row>
    <row r="2201" spans="1:46" s="2" customFormat="1" ht="62.25" customHeight="1" x14ac:dyDescent="0.8">
      <c r="A2201" s="262">
        <f t="shared" si="985"/>
        <v>2201</v>
      </c>
      <c r="B2201" s="116"/>
      <c r="C2201" s="211"/>
      <c r="D2201" s="211"/>
      <c r="E2201" s="211"/>
      <c r="F2201" s="211"/>
      <c r="G2201" s="211"/>
      <c r="H2201" s="211"/>
      <c r="I2201" s="114"/>
      <c r="M2201" s="2" t="s">
        <v>107</v>
      </c>
      <c r="N2201" s="2" t="s">
        <v>108</v>
      </c>
      <c r="O2201" s="2" t="s">
        <v>4</v>
      </c>
      <c r="P2201" s="2" t="s">
        <v>5</v>
      </c>
      <c r="S2201" s="2" t="s">
        <v>0</v>
      </c>
      <c r="T2201" s="9"/>
      <c r="U2201" s="2" t="s">
        <v>109</v>
      </c>
      <c r="V2201" s="2" t="s">
        <v>110</v>
      </c>
      <c r="X2201" s="58"/>
      <c r="Y2201" s="2" t="s">
        <v>111</v>
      </c>
      <c r="Z2201" s="68" t="e">
        <f>VLOOKUP(Takeoffs!Y2201,Sheet1!$B$6:$C$124,2,FALSE)</f>
        <v>#N/A</v>
      </c>
      <c r="AA2201" s="68"/>
      <c r="AE2201" s="58"/>
      <c r="AF2201" s="2" t="s">
        <v>111</v>
      </c>
      <c r="AG2201" s="68" t="e">
        <f>VLOOKUP(Takeoffs!AF2201,Sheet1!$B$6:$C$124,2,FALSE)</f>
        <v>#N/A</v>
      </c>
      <c r="AH2201" s="68"/>
      <c r="AL2201" s="58"/>
      <c r="AO2201" s="288"/>
      <c r="AP2201" s="284">
        <f t="shared" si="980"/>
        <v>0</v>
      </c>
      <c r="AQ2201" s="281">
        <f t="shared" si="981"/>
        <v>0</v>
      </c>
      <c r="AR2201" s="284">
        <f t="shared" si="982"/>
        <v>0</v>
      </c>
      <c r="AS2201" s="281">
        <f t="shared" si="983"/>
        <v>0</v>
      </c>
      <c r="AT2201" s="284">
        <f t="shared" si="984"/>
        <v>0</v>
      </c>
    </row>
    <row r="2202" spans="1:46" customFormat="1" ht="179.25" customHeight="1" x14ac:dyDescent="0.8">
      <c r="A2202" s="262">
        <f t="shared" si="985"/>
        <v>2202</v>
      </c>
      <c r="B2202" s="114"/>
      <c r="C2202" s="208"/>
      <c r="D2202" s="208"/>
      <c r="E2202" s="208"/>
      <c r="F2202" s="208"/>
      <c r="G2202" s="208"/>
      <c r="H2202" s="208"/>
      <c r="I2202" s="116"/>
      <c r="J2202" s="30" t="str">
        <f>CONCATENATE(O2202," ",L2202, " (",M2202,") ",N2202,". Each includes supply and install of ",O2203,O2204,O2205,O2206,O2207,O2208,O2209,O2210,O2211,O2212,O2213,O2214,O2215,O2216,O2217,O2218,O2219,O2220,O2221,O2222,)</f>
        <v>Electrical power supply for  four (4) continuously running fans. Each includes supply and install of circuit breaker, cabling and conduit fom MSSB and local isolator.</v>
      </c>
      <c r="L2202" s="16" t="str">
        <f>VLOOKUP(M2202,Sheet2!$D$2:$E$1024,2,FALSE)</f>
        <v>four</v>
      </c>
      <c r="M2202" s="12">
        <v>4</v>
      </c>
      <c r="N2202" s="27" t="s">
        <v>150</v>
      </c>
      <c r="O2202" s="12" t="s">
        <v>152</v>
      </c>
      <c r="P2202" s="12"/>
      <c r="Q2202" s="12"/>
      <c r="R2202" s="12"/>
      <c r="S2202" s="28"/>
      <c r="T2202" s="10"/>
      <c r="U2202" s="12"/>
      <c r="V2202" s="14" t="e">
        <f>U2202*#REF!</f>
        <v>#REF!</v>
      </c>
      <c r="W2202" s="14"/>
      <c r="X2202" s="26"/>
      <c r="Y2202" s="13"/>
      <c r="Z2202" s="68" t="e">
        <f>VLOOKUP(Takeoffs!Y2202,Sheet1!$B$6:$C$124,2,FALSE)</f>
        <v>#N/A</v>
      </c>
      <c r="AA2202" s="68"/>
      <c r="AB2202" s="18"/>
      <c r="AC2202" s="18"/>
      <c r="AD2202" s="18"/>
      <c r="AE2202" s="60"/>
      <c r="AF2202" s="13"/>
      <c r="AG2202" s="68" t="e">
        <f>VLOOKUP(Takeoffs!AF2202,Sheet1!$B$6:$C$124,2,FALSE)</f>
        <v>#N/A</v>
      </c>
      <c r="AH2202" s="68"/>
      <c r="AI2202" s="18"/>
      <c r="AJ2202" s="18"/>
      <c r="AK2202" s="18"/>
      <c r="AL2202" s="60"/>
      <c r="AO2202" s="286"/>
      <c r="AP2202" s="284">
        <f t="shared" si="980"/>
        <v>0</v>
      </c>
      <c r="AQ2202" s="281">
        <f t="shared" si="981"/>
        <v>0</v>
      </c>
      <c r="AR2202" s="284">
        <f t="shared" si="982"/>
        <v>0</v>
      </c>
      <c r="AS2202" s="281">
        <f t="shared" si="983"/>
        <v>0</v>
      </c>
      <c r="AT2202" s="284">
        <f t="shared" si="984"/>
        <v>0</v>
      </c>
    </row>
    <row r="2203" spans="1:46" customFormat="1" ht="15" customHeight="1" x14ac:dyDescent="0.8">
      <c r="A2203" s="262">
        <f t="shared" si="985"/>
        <v>2203</v>
      </c>
      <c r="B2203" s="114"/>
      <c r="C2203" s="208"/>
      <c r="D2203" s="208"/>
      <c r="E2203" s="208"/>
      <c r="F2203" s="208"/>
      <c r="G2203" s="208"/>
      <c r="H2203" s="208"/>
      <c r="I2203" s="114"/>
      <c r="J2203" s="30"/>
      <c r="M2203" s="3"/>
      <c r="N2203" s="15" t="s">
        <v>113</v>
      </c>
      <c r="O2203" s="12" t="s">
        <v>151</v>
      </c>
      <c r="P2203" s="12"/>
      <c r="Q2203" s="12"/>
      <c r="R2203" s="12"/>
      <c r="S2203" s="28">
        <f>M2202</f>
        <v>4</v>
      </c>
      <c r="T2203" s="11"/>
      <c r="U2203" s="12"/>
      <c r="V2203" s="14" t="e">
        <f>U2203*#REF!</f>
        <v>#REF!</v>
      </c>
      <c r="W2203" s="14"/>
      <c r="X2203" s="26"/>
      <c r="Y2203" s="13"/>
      <c r="Z2203" s="68" t="e">
        <f>VLOOKUP(Takeoffs!Y2203,Sheet1!$B$6:$C$124,2,FALSE)</f>
        <v>#N/A</v>
      </c>
      <c r="AA2203" s="68"/>
      <c r="AB2203" s="18"/>
      <c r="AC2203" s="18"/>
      <c r="AD2203" s="18"/>
      <c r="AE2203" s="60"/>
      <c r="AF2203" s="13"/>
      <c r="AG2203" s="68" t="e">
        <f>VLOOKUP(Takeoffs!AF2203,Sheet1!$B$6:$C$124,2,FALSE)</f>
        <v>#N/A</v>
      </c>
      <c r="AH2203" s="68"/>
      <c r="AI2203" s="18"/>
      <c r="AJ2203" s="18"/>
      <c r="AK2203" s="18"/>
      <c r="AL2203" s="60"/>
      <c r="AO2203" s="286"/>
      <c r="AP2203" s="284">
        <f t="shared" si="980"/>
        <v>0</v>
      </c>
      <c r="AQ2203" s="281">
        <f t="shared" si="981"/>
        <v>0</v>
      </c>
      <c r="AR2203" s="284">
        <f t="shared" si="982"/>
        <v>0</v>
      </c>
      <c r="AS2203" s="281">
        <f t="shared" si="983"/>
        <v>0</v>
      </c>
      <c r="AT2203" s="284">
        <f t="shared" si="984"/>
        <v>0</v>
      </c>
    </row>
    <row r="2204" spans="1:46" customFormat="1" ht="15" customHeight="1" x14ac:dyDescent="0.8">
      <c r="A2204" s="262">
        <f t="shared" si="985"/>
        <v>2204</v>
      </c>
      <c r="B2204" s="114"/>
      <c r="C2204" s="208"/>
      <c r="D2204" s="208"/>
      <c r="E2204" s="208"/>
      <c r="F2204" s="208"/>
      <c r="G2204" s="208"/>
      <c r="H2204" s="208"/>
      <c r="I2204" s="114"/>
      <c r="J2204" s="30"/>
      <c r="M2204" s="3"/>
      <c r="N2204" s="15" t="s">
        <v>114</v>
      </c>
      <c r="O2204" s="12" t="s">
        <v>136</v>
      </c>
      <c r="P2204" s="12"/>
      <c r="Q2204" s="12"/>
      <c r="R2204" s="12"/>
      <c r="S2204" s="28">
        <f>M2202</f>
        <v>4</v>
      </c>
      <c r="T2204" s="11"/>
      <c r="U2204" s="12"/>
      <c r="V2204" s="14" t="e">
        <f>U2204*#REF!</f>
        <v>#REF!</v>
      </c>
      <c r="W2204" s="14"/>
      <c r="X2204" s="26"/>
      <c r="Y2204" s="13"/>
      <c r="Z2204" s="68" t="e">
        <f>VLOOKUP(Takeoffs!Y2204,Sheet1!$B$6:$C$124,2,FALSE)</f>
        <v>#N/A</v>
      </c>
      <c r="AA2204" s="68"/>
      <c r="AB2204" s="18"/>
      <c r="AC2204" s="18"/>
      <c r="AD2204" s="18"/>
      <c r="AE2204" s="60"/>
      <c r="AF2204" s="13"/>
      <c r="AG2204" s="68" t="e">
        <f>VLOOKUP(Takeoffs!AF2204,Sheet1!$B$6:$C$124,2,FALSE)</f>
        <v>#N/A</v>
      </c>
      <c r="AH2204" s="68"/>
      <c r="AI2204" s="18"/>
      <c r="AJ2204" s="18"/>
      <c r="AK2204" s="18"/>
      <c r="AL2204" s="60"/>
      <c r="AO2204" s="286"/>
      <c r="AP2204" s="284">
        <f t="shared" si="980"/>
        <v>0</v>
      </c>
      <c r="AQ2204" s="281">
        <f t="shared" si="981"/>
        <v>0</v>
      </c>
      <c r="AR2204" s="284">
        <f t="shared" si="982"/>
        <v>0</v>
      </c>
      <c r="AS2204" s="281">
        <f t="shared" si="983"/>
        <v>0</v>
      </c>
      <c r="AT2204" s="284">
        <f t="shared" si="984"/>
        <v>0</v>
      </c>
    </row>
    <row r="2205" spans="1:46" customFormat="1" ht="15" customHeight="1" x14ac:dyDescent="0.8">
      <c r="A2205" s="262">
        <f t="shared" si="985"/>
        <v>2205</v>
      </c>
      <c r="B2205" s="114"/>
      <c r="C2205" s="208"/>
      <c r="D2205" s="208"/>
      <c r="E2205" s="208"/>
      <c r="F2205" s="208"/>
      <c r="G2205" s="208"/>
      <c r="H2205" s="208"/>
      <c r="I2205" s="114"/>
      <c r="J2205" s="30"/>
      <c r="M2205" s="3"/>
      <c r="N2205" s="15" t="s">
        <v>115</v>
      </c>
      <c r="O2205" s="12" t="s">
        <v>135</v>
      </c>
      <c r="P2205" s="12"/>
      <c r="Q2205" s="12"/>
      <c r="R2205" s="12"/>
      <c r="S2205" s="28">
        <f>M2202</f>
        <v>4</v>
      </c>
      <c r="T2205" s="11"/>
      <c r="U2205" s="12"/>
      <c r="V2205" s="14" t="e">
        <f>U2205*#REF!</f>
        <v>#REF!</v>
      </c>
      <c r="W2205" s="14"/>
      <c r="X2205" s="26"/>
      <c r="Y2205" s="13"/>
      <c r="Z2205" s="68" t="e">
        <f>VLOOKUP(Takeoffs!Y2205,Sheet1!$B$6:$C$124,2,FALSE)</f>
        <v>#N/A</v>
      </c>
      <c r="AA2205" s="68"/>
      <c r="AB2205" s="18"/>
      <c r="AC2205" s="18"/>
      <c r="AD2205" s="18"/>
      <c r="AE2205" s="60"/>
      <c r="AF2205" s="13"/>
      <c r="AG2205" s="68" t="e">
        <f>VLOOKUP(Takeoffs!AF2205,Sheet1!$B$6:$C$124,2,FALSE)</f>
        <v>#N/A</v>
      </c>
      <c r="AH2205" s="68"/>
      <c r="AI2205" s="18"/>
      <c r="AJ2205" s="18"/>
      <c r="AK2205" s="18"/>
      <c r="AL2205" s="60"/>
      <c r="AO2205" s="286"/>
      <c r="AP2205" s="284">
        <f t="shared" si="980"/>
        <v>0</v>
      </c>
      <c r="AQ2205" s="281">
        <f t="shared" si="981"/>
        <v>0</v>
      </c>
      <c r="AR2205" s="284">
        <f t="shared" si="982"/>
        <v>0</v>
      </c>
      <c r="AS2205" s="281">
        <f t="shared" si="983"/>
        <v>0</v>
      </c>
      <c r="AT2205" s="284">
        <f t="shared" si="984"/>
        <v>0</v>
      </c>
    </row>
    <row r="2206" spans="1:46" customFormat="1" ht="15" customHeight="1" x14ac:dyDescent="0.8">
      <c r="A2206" s="262">
        <f t="shared" si="985"/>
        <v>2206</v>
      </c>
      <c r="B2206" s="114"/>
      <c r="C2206" s="208"/>
      <c r="D2206" s="208"/>
      <c r="E2206" s="208"/>
      <c r="F2206" s="208"/>
      <c r="G2206" s="208"/>
      <c r="H2206" s="208"/>
      <c r="I2206" s="114"/>
      <c r="J2206" s="30"/>
      <c r="M2206" s="3"/>
      <c r="N2206" s="15" t="s">
        <v>116</v>
      </c>
      <c r="O2206" s="12"/>
      <c r="P2206" s="12"/>
      <c r="Q2206" s="12"/>
      <c r="R2206" s="12"/>
      <c r="S2206" s="28">
        <f>M2202</f>
        <v>4</v>
      </c>
      <c r="T2206" s="11"/>
      <c r="U2206" s="12"/>
      <c r="V2206" s="14" t="e">
        <f>U2206*#REF!</f>
        <v>#REF!</v>
      </c>
      <c r="W2206" s="14"/>
      <c r="X2206" s="26"/>
      <c r="Y2206" s="13"/>
      <c r="Z2206" s="68" t="e">
        <f>VLOOKUP(Takeoffs!Y2206,Sheet1!$B$6:$C$124,2,FALSE)</f>
        <v>#N/A</v>
      </c>
      <c r="AA2206" s="68"/>
      <c r="AB2206" s="18"/>
      <c r="AC2206" s="18"/>
      <c r="AD2206" s="18"/>
      <c r="AE2206" s="60"/>
      <c r="AF2206" s="13"/>
      <c r="AG2206" s="68" t="e">
        <f>VLOOKUP(Takeoffs!AF2206,Sheet1!$B$6:$C$124,2,FALSE)</f>
        <v>#N/A</v>
      </c>
      <c r="AH2206" s="68"/>
      <c r="AI2206" s="18"/>
      <c r="AJ2206" s="18"/>
      <c r="AK2206" s="18"/>
      <c r="AL2206" s="60"/>
      <c r="AO2206" s="286"/>
      <c r="AP2206" s="284">
        <f t="shared" si="980"/>
        <v>0</v>
      </c>
      <c r="AQ2206" s="281">
        <f t="shared" si="981"/>
        <v>0</v>
      </c>
      <c r="AR2206" s="284">
        <f t="shared" si="982"/>
        <v>0</v>
      </c>
      <c r="AS2206" s="281">
        <f t="shared" si="983"/>
        <v>0</v>
      </c>
      <c r="AT2206" s="284">
        <f t="shared" si="984"/>
        <v>0</v>
      </c>
    </row>
    <row r="2207" spans="1:46" customFormat="1" ht="15" customHeight="1" x14ac:dyDescent="0.8">
      <c r="A2207" s="262">
        <f t="shared" si="985"/>
        <v>2207</v>
      </c>
      <c r="B2207" s="114"/>
      <c r="C2207" s="208"/>
      <c r="D2207" s="208"/>
      <c r="E2207" s="208"/>
      <c r="F2207" s="208"/>
      <c r="G2207" s="208"/>
      <c r="H2207" s="208"/>
      <c r="I2207" s="114"/>
      <c r="J2207" s="30"/>
      <c r="M2207" s="3"/>
      <c r="N2207" s="15" t="s">
        <v>117</v>
      </c>
      <c r="O2207" s="12"/>
      <c r="P2207" s="12"/>
      <c r="Q2207" s="12"/>
      <c r="R2207" s="12"/>
      <c r="S2207" s="28">
        <f>M2202</f>
        <v>4</v>
      </c>
      <c r="T2207" s="11"/>
      <c r="U2207" s="12"/>
      <c r="V2207" s="14" t="e">
        <f>U2207*#REF!</f>
        <v>#REF!</v>
      </c>
      <c r="W2207" s="14"/>
      <c r="X2207" s="26"/>
      <c r="Y2207" s="13"/>
      <c r="Z2207" s="68" t="e">
        <f>VLOOKUP(Takeoffs!Y2207,Sheet1!$B$6:$C$124,2,FALSE)</f>
        <v>#N/A</v>
      </c>
      <c r="AA2207" s="68"/>
      <c r="AB2207" s="18"/>
      <c r="AC2207" s="18"/>
      <c r="AD2207" s="18"/>
      <c r="AE2207" s="60"/>
      <c r="AF2207" s="13"/>
      <c r="AG2207" s="68" t="e">
        <f>VLOOKUP(Takeoffs!AF2207,Sheet1!$B$6:$C$124,2,FALSE)</f>
        <v>#N/A</v>
      </c>
      <c r="AH2207" s="68"/>
      <c r="AI2207" s="18"/>
      <c r="AJ2207" s="18"/>
      <c r="AK2207" s="18"/>
      <c r="AL2207" s="60"/>
      <c r="AO2207" s="286"/>
      <c r="AP2207" s="284">
        <f t="shared" si="980"/>
        <v>0</v>
      </c>
      <c r="AQ2207" s="281">
        <f t="shared" si="981"/>
        <v>0</v>
      </c>
      <c r="AR2207" s="284">
        <f t="shared" si="982"/>
        <v>0</v>
      </c>
      <c r="AS2207" s="281">
        <f t="shared" si="983"/>
        <v>0</v>
      </c>
      <c r="AT2207" s="284">
        <f t="shared" si="984"/>
        <v>0</v>
      </c>
    </row>
    <row r="2208" spans="1:46" customFormat="1" ht="15" customHeight="1" x14ac:dyDescent="0.8">
      <c r="A2208" s="262">
        <f t="shared" si="985"/>
        <v>2208</v>
      </c>
      <c r="B2208" s="114"/>
      <c r="C2208" s="208"/>
      <c r="D2208" s="208"/>
      <c r="E2208" s="208"/>
      <c r="F2208" s="208"/>
      <c r="G2208" s="208"/>
      <c r="H2208" s="208"/>
      <c r="I2208" s="114"/>
      <c r="J2208" s="30"/>
      <c r="M2208" s="3"/>
      <c r="N2208" s="15" t="s">
        <v>118</v>
      </c>
      <c r="O2208" s="12"/>
      <c r="P2208" s="12"/>
      <c r="Q2208" s="12"/>
      <c r="R2208" s="12"/>
      <c r="S2208" s="28">
        <f>M2202</f>
        <v>4</v>
      </c>
      <c r="T2208" s="11"/>
      <c r="U2208" s="12"/>
      <c r="V2208" s="14" t="e">
        <f>U2208*#REF!</f>
        <v>#REF!</v>
      </c>
      <c r="W2208" s="14"/>
      <c r="X2208" s="26"/>
      <c r="Y2208" s="13"/>
      <c r="Z2208" s="68" t="e">
        <f>VLOOKUP(Takeoffs!Y2208,Sheet1!$B$6:$C$124,2,FALSE)</f>
        <v>#N/A</v>
      </c>
      <c r="AA2208" s="68"/>
      <c r="AB2208" s="18"/>
      <c r="AC2208" s="18"/>
      <c r="AD2208" s="18"/>
      <c r="AE2208" s="60"/>
      <c r="AF2208" s="13"/>
      <c r="AG2208" s="68" t="e">
        <f>VLOOKUP(Takeoffs!AF2208,Sheet1!$B$6:$C$124,2,FALSE)</f>
        <v>#N/A</v>
      </c>
      <c r="AH2208" s="68"/>
      <c r="AI2208" s="18"/>
      <c r="AJ2208" s="18"/>
      <c r="AK2208" s="18"/>
      <c r="AL2208" s="60"/>
      <c r="AO2208" s="286"/>
      <c r="AP2208" s="284">
        <f t="shared" si="980"/>
        <v>0</v>
      </c>
      <c r="AQ2208" s="281">
        <f t="shared" si="981"/>
        <v>0</v>
      </c>
      <c r="AR2208" s="284">
        <f t="shared" si="982"/>
        <v>0</v>
      </c>
      <c r="AS2208" s="281">
        <f t="shared" si="983"/>
        <v>0</v>
      </c>
      <c r="AT2208" s="284">
        <f t="shared" si="984"/>
        <v>0</v>
      </c>
    </row>
    <row r="2209" spans="1:46" customFormat="1" ht="15" customHeight="1" x14ac:dyDescent="0.8">
      <c r="A2209" s="262">
        <f t="shared" si="985"/>
        <v>2209</v>
      </c>
      <c r="B2209" s="114"/>
      <c r="C2209" s="208"/>
      <c r="D2209" s="208"/>
      <c r="E2209" s="208"/>
      <c r="F2209" s="208"/>
      <c r="G2209" s="208"/>
      <c r="H2209" s="208"/>
      <c r="I2209" s="114"/>
      <c r="J2209" s="30"/>
      <c r="N2209" s="15" t="s">
        <v>119</v>
      </c>
      <c r="O2209" s="12"/>
      <c r="P2209" s="12"/>
      <c r="Q2209" s="12"/>
      <c r="R2209" s="12"/>
      <c r="S2209" s="28">
        <f>M2202</f>
        <v>4</v>
      </c>
      <c r="T2209" s="11"/>
      <c r="U2209" s="12"/>
      <c r="V2209" s="14" t="e">
        <f>U2209*#REF!</f>
        <v>#REF!</v>
      </c>
      <c r="W2209" s="14"/>
      <c r="X2209" s="26"/>
      <c r="Y2209" s="13"/>
      <c r="Z2209" s="68" t="e">
        <f>VLOOKUP(Takeoffs!Y2209,Sheet1!$B$6:$C$124,2,FALSE)</f>
        <v>#N/A</v>
      </c>
      <c r="AA2209" s="68"/>
      <c r="AB2209" s="18"/>
      <c r="AC2209" s="18"/>
      <c r="AD2209" s="18"/>
      <c r="AE2209" s="60"/>
      <c r="AF2209" s="13"/>
      <c r="AG2209" s="68" t="e">
        <f>VLOOKUP(Takeoffs!AF2209,Sheet1!$B$6:$C$124,2,FALSE)</f>
        <v>#N/A</v>
      </c>
      <c r="AH2209" s="68"/>
      <c r="AI2209" s="18"/>
      <c r="AJ2209" s="18"/>
      <c r="AK2209" s="18"/>
      <c r="AL2209" s="60"/>
      <c r="AO2209" s="286"/>
      <c r="AP2209" s="284">
        <f t="shared" si="980"/>
        <v>0</v>
      </c>
      <c r="AQ2209" s="281">
        <f t="shared" si="981"/>
        <v>0</v>
      </c>
      <c r="AR2209" s="284">
        <f t="shared" si="982"/>
        <v>0</v>
      </c>
      <c r="AS2209" s="281">
        <f t="shared" si="983"/>
        <v>0</v>
      </c>
      <c r="AT2209" s="284">
        <f t="shared" si="984"/>
        <v>0</v>
      </c>
    </row>
    <row r="2210" spans="1:46" customFormat="1" ht="15" customHeight="1" x14ac:dyDescent="0.8">
      <c r="A2210" s="262">
        <f t="shared" si="985"/>
        <v>2210</v>
      </c>
      <c r="B2210" s="114"/>
      <c r="C2210" s="208"/>
      <c r="D2210" s="208"/>
      <c r="E2210" s="208"/>
      <c r="F2210" s="208"/>
      <c r="G2210" s="208"/>
      <c r="H2210" s="208"/>
      <c r="I2210" s="114"/>
      <c r="J2210" s="30"/>
      <c r="N2210" s="15" t="s">
        <v>120</v>
      </c>
      <c r="O2210" s="12"/>
      <c r="P2210" s="12"/>
      <c r="Q2210" s="12"/>
      <c r="R2210" s="12"/>
      <c r="S2210" s="28">
        <f>M2202</f>
        <v>4</v>
      </c>
      <c r="T2210" s="11"/>
      <c r="U2210" s="12"/>
      <c r="V2210" s="14" t="e">
        <f>U2210*#REF!</f>
        <v>#REF!</v>
      </c>
      <c r="W2210" s="14"/>
      <c r="X2210" s="26"/>
      <c r="Y2210" s="13"/>
      <c r="Z2210" s="68" t="e">
        <f>VLOOKUP(Takeoffs!Y2210,Sheet1!$B$6:$C$124,2,FALSE)</f>
        <v>#N/A</v>
      </c>
      <c r="AA2210" s="68"/>
      <c r="AB2210" s="18"/>
      <c r="AC2210" s="18"/>
      <c r="AD2210" s="18"/>
      <c r="AE2210" s="60"/>
      <c r="AF2210" s="13"/>
      <c r="AG2210" s="68" t="e">
        <f>VLOOKUP(Takeoffs!AF2210,Sheet1!$B$6:$C$124,2,FALSE)</f>
        <v>#N/A</v>
      </c>
      <c r="AH2210" s="68"/>
      <c r="AI2210" s="18"/>
      <c r="AJ2210" s="18"/>
      <c r="AK2210" s="18"/>
      <c r="AL2210" s="60"/>
      <c r="AO2210" s="286"/>
      <c r="AP2210" s="284">
        <f t="shared" si="980"/>
        <v>0</v>
      </c>
      <c r="AQ2210" s="281">
        <f t="shared" si="981"/>
        <v>0</v>
      </c>
      <c r="AR2210" s="284">
        <f t="shared" si="982"/>
        <v>0</v>
      </c>
      <c r="AS2210" s="281">
        <f t="shared" si="983"/>
        <v>0</v>
      </c>
      <c r="AT2210" s="284">
        <f t="shared" si="984"/>
        <v>0</v>
      </c>
    </row>
    <row r="2211" spans="1:46" customFormat="1" ht="15" customHeight="1" x14ac:dyDescent="0.8">
      <c r="A2211" s="262">
        <f t="shared" si="985"/>
        <v>2211</v>
      </c>
      <c r="B2211" s="114"/>
      <c r="C2211" s="208"/>
      <c r="D2211" s="208"/>
      <c r="E2211" s="208"/>
      <c r="F2211" s="208"/>
      <c r="G2211" s="208"/>
      <c r="H2211" s="208"/>
      <c r="I2211" s="114"/>
      <c r="J2211" s="30"/>
      <c r="N2211" s="15" t="s">
        <v>121</v>
      </c>
      <c r="O2211" s="12"/>
      <c r="P2211" s="12"/>
      <c r="Q2211" s="12"/>
      <c r="R2211" s="12"/>
      <c r="S2211" s="28">
        <f>M2202</f>
        <v>4</v>
      </c>
      <c r="T2211" s="11"/>
      <c r="U2211" s="12"/>
      <c r="V2211" s="14" t="e">
        <f>U2211*#REF!</f>
        <v>#REF!</v>
      </c>
      <c r="W2211" s="14"/>
      <c r="X2211" s="26"/>
      <c r="Y2211" s="13"/>
      <c r="Z2211" s="68" t="e">
        <f>VLOOKUP(Takeoffs!Y2211,Sheet1!$B$6:$C$124,2,FALSE)</f>
        <v>#N/A</v>
      </c>
      <c r="AA2211" s="68"/>
      <c r="AB2211" s="18"/>
      <c r="AC2211" s="18"/>
      <c r="AD2211" s="18"/>
      <c r="AE2211" s="60"/>
      <c r="AF2211" s="13"/>
      <c r="AG2211" s="68" t="e">
        <f>VLOOKUP(Takeoffs!AF2211,Sheet1!$B$6:$C$124,2,FALSE)</f>
        <v>#N/A</v>
      </c>
      <c r="AH2211" s="68"/>
      <c r="AI2211" s="18"/>
      <c r="AJ2211" s="18"/>
      <c r="AK2211" s="18"/>
      <c r="AL2211" s="60"/>
      <c r="AO2211" s="286"/>
      <c r="AP2211" s="284">
        <f t="shared" si="980"/>
        <v>0</v>
      </c>
      <c r="AQ2211" s="281">
        <f t="shared" si="981"/>
        <v>0</v>
      </c>
      <c r="AR2211" s="284">
        <f t="shared" si="982"/>
        <v>0</v>
      </c>
      <c r="AS2211" s="281">
        <f t="shared" si="983"/>
        <v>0</v>
      </c>
      <c r="AT2211" s="284">
        <f t="shared" si="984"/>
        <v>0</v>
      </c>
    </row>
    <row r="2212" spans="1:46" customFormat="1" ht="15" customHeight="1" x14ac:dyDescent="0.8">
      <c r="A2212" s="262">
        <f t="shared" si="985"/>
        <v>2212</v>
      </c>
      <c r="B2212" s="114"/>
      <c r="C2212" s="208"/>
      <c r="D2212" s="208"/>
      <c r="E2212" s="208"/>
      <c r="F2212" s="208"/>
      <c r="G2212" s="208"/>
      <c r="H2212" s="208"/>
      <c r="I2212" s="114"/>
      <c r="J2212" s="30"/>
      <c r="N2212" s="15" t="s">
        <v>122</v>
      </c>
      <c r="O2212" s="12"/>
      <c r="P2212" s="12"/>
      <c r="Q2212" s="12"/>
      <c r="R2212" s="12"/>
      <c r="S2212" s="28">
        <f>M2202</f>
        <v>4</v>
      </c>
      <c r="T2212" s="11"/>
      <c r="U2212" s="12"/>
      <c r="V2212" s="14" t="e">
        <f>U2212*#REF!</f>
        <v>#REF!</v>
      </c>
      <c r="W2212" s="14"/>
      <c r="X2212" s="26"/>
      <c r="Y2212" s="13"/>
      <c r="Z2212" s="68" t="e">
        <f>VLOOKUP(Takeoffs!Y2212,Sheet1!$B$6:$C$124,2,FALSE)</f>
        <v>#N/A</v>
      </c>
      <c r="AA2212" s="68"/>
      <c r="AB2212" s="18"/>
      <c r="AC2212" s="18"/>
      <c r="AD2212" s="18"/>
      <c r="AE2212" s="60"/>
      <c r="AF2212" s="13"/>
      <c r="AG2212" s="68" t="e">
        <f>VLOOKUP(Takeoffs!AF2212,Sheet1!$B$6:$C$124,2,FALSE)</f>
        <v>#N/A</v>
      </c>
      <c r="AH2212" s="68"/>
      <c r="AI2212" s="18"/>
      <c r="AJ2212" s="18"/>
      <c r="AK2212" s="18"/>
      <c r="AL2212" s="60"/>
      <c r="AO2212" s="286"/>
      <c r="AP2212" s="284">
        <f t="shared" si="980"/>
        <v>0</v>
      </c>
      <c r="AQ2212" s="281">
        <f t="shared" si="981"/>
        <v>0</v>
      </c>
      <c r="AR2212" s="284">
        <f t="shared" si="982"/>
        <v>0</v>
      </c>
      <c r="AS2212" s="281">
        <f t="shared" si="983"/>
        <v>0</v>
      </c>
      <c r="AT2212" s="284">
        <f t="shared" si="984"/>
        <v>0</v>
      </c>
    </row>
    <row r="2213" spans="1:46" customFormat="1" ht="15" customHeight="1" x14ac:dyDescent="0.8">
      <c r="A2213" s="262">
        <f t="shared" si="985"/>
        <v>2213</v>
      </c>
      <c r="B2213" s="114"/>
      <c r="C2213" s="208"/>
      <c r="D2213" s="208"/>
      <c r="E2213" s="208"/>
      <c r="F2213" s="208"/>
      <c r="G2213" s="208"/>
      <c r="H2213" s="208"/>
      <c r="I2213" s="114"/>
      <c r="J2213" s="30"/>
      <c r="N2213" s="15" t="s">
        <v>123</v>
      </c>
      <c r="O2213" s="12"/>
      <c r="P2213" s="12"/>
      <c r="Q2213" s="12"/>
      <c r="R2213" s="12"/>
      <c r="S2213" s="28">
        <f>M2202</f>
        <v>4</v>
      </c>
      <c r="T2213" s="11"/>
      <c r="U2213" s="12"/>
      <c r="V2213" s="14" t="e">
        <f>U2213*#REF!</f>
        <v>#REF!</v>
      </c>
      <c r="W2213" s="14"/>
      <c r="X2213" s="26"/>
      <c r="Y2213" s="13"/>
      <c r="Z2213" s="68" t="e">
        <f>VLOOKUP(Takeoffs!Y2213,Sheet1!$B$6:$C$124,2,FALSE)</f>
        <v>#N/A</v>
      </c>
      <c r="AA2213" s="68"/>
      <c r="AB2213" s="18"/>
      <c r="AC2213" s="18"/>
      <c r="AD2213" s="18"/>
      <c r="AE2213" s="60"/>
      <c r="AF2213" s="13"/>
      <c r="AG2213" s="68" t="e">
        <f>VLOOKUP(Takeoffs!AF2213,Sheet1!$B$6:$C$124,2,FALSE)</f>
        <v>#N/A</v>
      </c>
      <c r="AH2213" s="68"/>
      <c r="AI2213" s="18"/>
      <c r="AJ2213" s="18"/>
      <c r="AK2213" s="18"/>
      <c r="AL2213" s="60"/>
      <c r="AO2213" s="286"/>
      <c r="AP2213" s="284">
        <f t="shared" si="980"/>
        <v>0</v>
      </c>
      <c r="AQ2213" s="281">
        <f t="shared" si="981"/>
        <v>0</v>
      </c>
      <c r="AR2213" s="284">
        <f t="shared" si="982"/>
        <v>0</v>
      </c>
      <c r="AS2213" s="281">
        <f t="shared" si="983"/>
        <v>0</v>
      </c>
      <c r="AT2213" s="284">
        <f t="shared" si="984"/>
        <v>0</v>
      </c>
    </row>
    <row r="2214" spans="1:46" customFormat="1" ht="15" customHeight="1" x14ac:dyDescent="0.8">
      <c r="A2214" s="262">
        <f t="shared" si="985"/>
        <v>2214</v>
      </c>
      <c r="B2214" s="114"/>
      <c r="C2214" s="208"/>
      <c r="D2214" s="208"/>
      <c r="E2214" s="208"/>
      <c r="F2214" s="208"/>
      <c r="G2214" s="208"/>
      <c r="H2214" s="208"/>
      <c r="I2214" s="114"/>
      <c r="J2214" s="30"/>
      <c r="N2214" s="15" t="s">
        <v>124</v>
      </c>
      <c r="O2214" s="12"/>
      <c r="P2214" s="12"/>
      <c r="Q2214" s="12"/>
      <c r="R2214" s="12"/>
      <c r="S2214" s="28">
        <f>M2202</f>
        <v>4</v>
      </c>
      <c r="T2214" s="11"/>
      <c r="U2214" s="12"/>
      <c r="V2214" s="14" t="e">
        <f>U2214*#REF!</f>
        <v>#REF!</v>
      </c>
      <c r="W2214" s="14"/>
      <c r="X2214" s="26"/>
      <c r="Y2214" s="13"/>
      <c r="Z2214" s="68" t="e">
        <f>VLOOKUP(Takeoffs!Y2214,Sheet1!$B$6:$C$124,2,FALSE)</f>
        <v>#N/A</v>
      </c>
      <c r="AA2214" s="68"/>
      <c r="AB2214" s="18"/>
      <c r="AC2214" s="18"/>
      <c r="AD2214" s="18"/>
      <c r="AE2214" s="60"/>
      <c r="AF2214" s="13"/>
      <c r="AG2214" s="68" t="e">
        <f>VLOOKUP(Takeoffs!AF2214,Sheet1!$B$6:$C$124,2,FALSE)</f>
        <v>#N/A</v>
      </c>
      <c r="AH2214" s="68"/>
      <c r="AI2214" s="18"/>
      <c r="AJ2214" s="18"/>
      <c r="AK2214" s="18"/>
      <c r="AL2214" s="60"/>
      <c r="AO2214" s="286"/>
      <c r="AP2214" s="284">
        <f t="shared" si="980"/>
        <v>0</v>
      </c>
      <c r="AQ2214" s="281">
        <f t="shared" si="981"/>
        <v>0</v>
      </c>
      <c r="AR2214" s="284">
        <f t="shared" si="982"/>
        <v>0</v>
      </c>
      <c r="AS2214" s="281">
        <f t="shared" si="983"/>
        <v>0</v>
      </c>
      <c r="AT2214" s="284">
        <f t="shared" si="984"/>
        <v>0</v>
      </c>
    </row>
    <row r="2215" spans="1:46" customFormat="1" ht="15" customHeight="1" x14ac:dyDescent="0.8">
      <c r="A2215" s="262">
        <f t="shared" si="985"/>
        <v>2215</v>
      </c>
      <c r="B2215" s="114"/>
      <c r="C2215" s="208"/>
      <c r="D2215" s="208"/>
      <c r="E2215" s="208"/>
      <c r="F2215" s="208"/>
      <c r="G2215" s="208"/>
      <c r="H2215" s="208"/>
      <c r="I2215" s="114"/>
      <c r="J2215" s="30"/>
      <c r="N2215" s="15" t="s">
        <v>125</v>
      </c>
      <c r="O2215" s="12"/>
      <c r="P2215" s="12"/>
      <c r="Q2215" s="12"/>
      <c r="R2215" s="12"/>
      <c r="S2215" s="28">
        <f>M2202</f>
        <v>4</v>
      </c>
      <c r="T2215" s="11"/>
      <c r="U2215" s="12"/>
      <c r="V2215" s="14" t="e">
        <f>U2215*#REF!</f>
        <v>#REF!</v>
      </c>
      <c r="W2215" s="14"/>
      <c r="X2215" s="26"/>
      <c r="Y2215" s="13"/>
      <c r="Z2215" s="68" t="e">
        <f>VLOOKUP(Takeoffs!Y2215,Sheet1!$B$6:$C$124,2,FALSE)</f>
        <v>#N/A</v>
      </c>
      <c r="AA2215" s="68"/>
      <c r="AB2215" s="18"/>
      <c r="AC2215" s="18"/>
      <c r="AD2215" s="18"/>
      <c r="AE2215" s="60"/>
      <c r="AF2215" s="13"/>
      <c r="AG2215" s="68" t="e">
        <f>VLOOKUP(Takeoffs!AF2215,Sheet1!$B$6:$C$124,2,FALSE)</f>
        <v>#N/A</v>
      </c>
      <c r="AH2215" s="68"/>
      <c r="AI2215" s="18"/>
      <c r="AJ2215" s="18"/>
      <c r="AK2215" s="18"/>
      <c r="AL2215" s="60"/>
      <c r="AO2215" s="286"/>
      <c r="AP2215" s="284">
        <f t="shared" si="980"/>
        <v>0</v>
      </c>
      <c r="AQ2215" s="281">
        <f t="shared" si="981"/>
        <v>0</v>
      </c>
      <c r="AR2215" s="284">
        <f t="shared" si="982"/>
        <v>0</v>
      </c>
      <c r="AS2215" s="281">
        <f t="shared" si="983"/>
        <v>0</v>
      </c>
      <c r="AT2215" s="284">
        <f t="shared" si="984"/>
        <v>0</v>
      </c>
    </row>
    <row r="2216" spans="1:46" customFormat="1" ht="15" customHeight="1" x14ac:dyDescent="0.8">
      <c r="A2216" s="262">
        <f t="shared" si="985"/>
        <v>2216</v>
      </c>
      <c r="B2216" s="114"/>
      <c r="C2216" s="208"/>
      <c r="D2216" s="208"/>
      <c r="E2216" s="208"/>
      <c r="F2216" s="208"/>
      <c r="G2216" s="208"/>
      <c r="H2216" s="208"/>
      <c r="I2216" s="114"/>
      <c r="J2216" s="30"/>
      <c r="N2216" s="15" t="s">
        <v>126</v>
      </c>
      <c r="O2216" s="12"/>
      <c r="P2216" s="12"/>
      <c r="Q2216" s="12"/>
      <c r="R2216" s="12"/>
      <c r="S2216" s="28">
        <f>M2202</f>
        <v>4</v>
      </c>
      <c r="T2216" s="11"/>
      <c r="U2216" s="12"/>
      <c r="V2216" s="14" t="e">
        <f>U2216*#REF!</f>
        <v>#REF!</v>
      </c>
      <c r="W2216" s="14"/>
      <c r="X2216" s="26"/>
      <c r="Y2216" s="13"/>
      <c r="Z2216" s="68" t="e">
        <f>VLOOKUP(Takeoffs!Y2216,Sheet1!$B$6:$C$124,2,FALSE)</f>
        <v>#N/A</v>
      </c>
      <c r="AA2216" s="68"/>
      <c r="AB2216" s="18"/>
      <c r="AC2216" s="18"/>
      <c r="AD2216" s="18"/>
      <c r="AE2216" s="60"/>
      <c r="AF2216" s="13"/>
      <c r="AG2216" s="68" t="e">
        <f>VLOOKUP(Takeoffs!AF2216,Sheet1!$B$6:$C$124,2,FALSE)</f>
        <v>#N/A</v>
      </c>
      <c r="AH2216" s="68"/>
      <c r="AI2216" s="18"/>
      <c r="AJ2216" s="18"/>
      <c r="AK2216" s="18"/>
      <c r="AL2216" s="60"/>
      <c r="AO2216" s="286"/>
      <c r="AP2216" s="284">
        <f t="shared" si="980"/>
        <v>0</v>
      </c>
      <c r="AQ2216" s="281">
        <f t="shared" si="981"/>
        <v>0</v>
      </c>
      <c r="AR2216" s="284">
        <f t="shared" si="982"/>
        <v>0</v>
      </c>
      <c r="AS2216" s="281">
        <f t="shared" si="983"/>
        <v>0</v>
      </c>
      <c r="AT2216" s="284">
        <f t="shared" si="984"/>
        <v>0</v>
      </c>
    </row>
    <row r="2217" spans="1:46" customFormat="1" ht="15" customHeight="1" x14ac:dyDescent="0.8">
      <c r="A2217" s="262">
        <f t="shared" si="985"/>
        <v>2217</v>
      </c>
      <c r="B2217" s="114"/>
      <c r="C2217" s="208"/>
      <c r="D2217" s="208"/>
      <c r="E2217" s="208"/>
      <c r="F2217" s="208"/>
      <c r="G2217" s="208"/>
      <c r="H2217" s="208"/>
      <c r="I2217" s="114"/>
      <c r="J2217" s="30"/>
      <c r="N2217" s="15" t="s">
        <v>127</v>
      </c>
      <c r="O2217" s="12"/>
      <c r="P2217" s="12"/>
      <c r="Q2217" s="12"/>
      <c r="R2217" s="12"/>
      <c r="S2217" s="28">
        <f>M2202</f>
        <v>4</v>
      </c>
      <c r="T2217" s="11"/>
      <c r="U2217" s="12"/>
      <c r="V2217" s="14" t="e">
        <f>U2217*#REF!</f>
        <v>#REF!</v>
      </c>
      <c r="W2217" s="14"/>
      <c r="X2217" s="26"/>
      <c r="Y2217" s="13"/>
      <c r="Z2217" s="68" t="e">
        <f>VLOOKUP(Takeoffs!Y2217,Sheet1!$B$6:$C$124,2,FALSE)</f>
        <v>#N/A</v>
      </c>
      <c r="AA2217" s="68"/>
      <c r="AB2217" s="18"/>
      <c r="AC2217" s="18"/>
      <c r="AD2217" s="18"/>
      <c r="AE2217" s="60"/>
      <c r="AF2217" s="13"/>
      <c r="AG2217" s="68" t="e">
        <f>VLOOKUP(Takeoffs!AF2217,Sheet1!$B$6:$C$124,2,FALSE)</f>
        <v>#N/A</v>
      </c>
      <c r="AH2217" s="68"/>
      <c r="AI2217" s="18"/>
      <c r="AJ2217" s="18"/>
      <c r="AK2217" s="18"/>
      <c r="AL2217" s="60"/>
      <c r="AO2217" s="286"/>
      <c r="AP2217" s="284">
        <f t="shared" si="980"/>
        <v>0</v>
      </c>
      <c r="AQ2217" s="281">
        <f t="shared" si="981"/>
        <v>0</v>
      </c>
      <c r="AR2217" s="284">
        <f t="shared" si="982"/>
        <v>0</v>
      </c>
      <c r="AS2217" s="281">
        <f t="shared" si="983"/>
        <v>0</v>
      </c>
      <c r="AT2217" s="284">
        <f t="shared" si="984"/>
        <v>0</v>
      </c>
    </row>
    <row r="2218" spans="1:46" customFormat="1" ht="15" customHeight="1" x14ac:dyDescent="0.8">
      <c r="A2218" s="262">
        <f t="shared" si="985"/>
        <v>2218</v>
      </c>
      <c r="B2218" s="114"/>
      <c r="C2218" s="208"/>
      <c r="D2218" s="208"/>
      <c r="E2218" s="208"/>
      <c r="F2218" s="208"/>
      <c r="G2218" s="208"/>
      <c r="H2218" s="208"/>
      <c r="I2218" s="114"/>
      <c r="J2218" s="30"/>
      <c r="N2218" s="15" t="s">
        <v>128</v>
      </c>
      <c r="O2218" s="12"/>
      <c r="P2218" s="12"/>
      <c r="Q2218" s="12"/>
      <c r="R2218" s="12"/>
      <c r="S2218" s="28">
        <f>M2202</f>
        <v>4</v>
      </c>
      <c r="T2218" s="11"/>
      <c r="U2218" s="12"/>
      <c r="V2218" s="14" t="e">
        <f>U2218*#REF!</f>
        <v>#REF!</v>
      </c>
      <c r="W2218" s="14"/>
      <c r="X2218" s="26"/>
      <c r="Y2218" s="13"/>
      <c r="Z2218" s="68" t="e">
        <f>VLOOKUP(Takeoffs!Y2218,Sheet1!$B$6:$C$124,2,FALSE)</f>
        <v>#N/A</v>
      </c>
      <c r="AA2218" s="68"/>
      <c r="AB2218" s="18"/>
      <c r="AC2218" s="18"/>
      <c r="AD2218" s="18"/>
      <c r="AE2218" s="60"/>
      <c r="AF2218" s="13"/>
      <c r="AG2218" s="68" t="e">
        <f>VLOOKUP(Takeoffs!AF2218,Sheet1!$B$6:$C$124,2,FALSE)</f>
        <v>#N/A</v>
      </c>
      <c r="AH2218" s="68"/>
      <c r="AI2218" s="18"/>
      <c r="AJ2218" s="18"/>
      <c r="AK2218" s="18"/>
      <c r="AL2218" s="60"/>
      <c r="AO2218" s="286"/>
      <c r="AP2218" s="284">
        <f t="shared" ref="AP2218:AP2281" si="986">IF(I2218&gt;0,P2218,0)</f>
        <v>0</v>
      </c>
      <c r="AQ2218" s="281">
        <f t="shared" ref="AQ2218:AQ2281" si="987">IF(I2218&gt;0,W2218,0)</f>
        <v>0</v>
      </c>
      <c r="AR2218" s="284">
        <f t="shared" ref="AR2218:AR2281" si="988">IF(I2218&gt;0,AA2218,0)</f>
        <v>0</v>
      </c>
      <c r="AS2218" s="281">
        <f t="shared" ref="AS2218:AS2281" si="989">IF(I2218&gt;0,AH2218,0)</f>
        <v>0</v>
      </c>
      <c r="AT2218" s="284">
        <f t="shared" ref="AT2218:AT2281" si="990">IF(I2218&gt;0,AP2218-(AQ2218+AR2218+AS2218),0)</f>
        <v>0</v>
      </c>
    </row>
    <row r="2219" spans="1:46" customFormat="1" ht="15" customHeight="1" x14ac:dyDescent="0.8">
      <c r="A2219" s="262">
        <f t="shared" si="985"/>
        <v>2219</v>
      </c>
      <c r="B2219" s="114"/>
      <c r="C2219" s="208"/>
      <c r="D2219" s="208"/>
      <c r="E2219" s="208"/>
      <c r="F2219" s="208"/>
      <c r="G2219" s="208"/>
      <c r="H2219" s="208"/>
      <c r="I2219" s="114"/>
      <c r="J2219" s="30"/>
      <c r="N2219" s="15" t="s">
        <v>129</v>
      </c>
      <c r="O2219" s="12"/>
      <c r="P2219" s="12"/>
      <c r="Q2219" s="12"/>
      <c r="R2219" s="12"/>
      <c r="S2219" s="28">
        <f>M2202</f>
        <v>4</v>
      </c>
      <c r="T2219" s="11"/>
      <c r="U2219" s="12"/>
      <c r="V2219" s="14" t="e">
        <f>U2219*#REF!</f>
        <v>#REF!</v>
      </c>
      <c r="W2219" s="14"/>
      <c r="X2219" s="26"/>
      <c r="Y2219" s="13"/>
      <c r="Z2219" s="68" t="e">
        <f>VLOOKUP(Takeoffs!Y2219,Sheet1!$B$6:$C$124,2,FALSE)</f>
        <v>#N/A</v>
      </c>
      <c r="AA2219" s="68"/>
      <c r="AB2219" s="18"/>
      <c r="AC2219" s="18"/>
      <c r="AD2219" s="18"/>
      <c r="AE2219" s="60"/>
      <c r="AF2219" s="13"/>
      <c r="AG2219" s="68" t="e">
        <f>VLOOKUP(Takeoffs!AF2219,Sheet1!$B$6:$C$124,2,FALSE)</f>
        <v>#N/A</v>
      </c>
      <c r="AH2219" s="68"/>
      <c r="AI2219" s="18"/>
      <c r="AJ2219" s="18"/>
      <c r="AK2219" s="18"/>
      <c r="AL2219" s="60"/>
      <c r="AO2219" s="286"/>
      <c r="AP2219" s="284">
        <f t="shared" si="986"/>
        <v>0</v>
      </c>
      <c r="AQ2219" s="281">
        <f t="shared" si="987"/>
        <v>0</v>
      </c>
      <c r="AR2219" s="284">
        <f t="shared" si="988"/>
        <v>0</v>
      </c>
      <c r="AS2219" s="281">
        <f t="shared" si="989"/>
        <v>0</v>
      </c>
      <c r="AT2219" s="284">
        <f t="shared" si="990"/>
        <v>0</v>
      </c>
    </row>
    <row r="2220" spans="1:46" customFormat="1" ht="15" customHeight="1" x14ac:dyDescent="0.8">
      <c r="A2220" s="262">
        <f t="shared" si="985"/>
        <v>2220</v>
      </c>
      <c r="B2220" s="114"/>
      <c r="C2220" s="208"/>
      <c r="D2220" s="208"/>
      <c r="E2220" s="208"/>
      <c r="F2220" s="208"/>
      <c r="G2220" s="208"/>
      <c r="H2220" s="208"/>
      <c r="I2220" s="114"/>
      <c r="J2220" s="30"/>
      <c r="N2220" s="15" t="s">
        <v>130</v>
      </c>
      <c r="O2220" s="12"/>
      <c r="P2220" s="12"/>
      <c r="Q2220" s="12"/>
      <c r="R2220" s="12"/>
      <c r="S2220" s="28">
        <f>M2202</f>
        <v>4</v>
      </c>
      <c r="T2220" s="11"/>
      <c r="U2220" s="12"/>
      <c r="V2220" s="14" t="e">
        <f>U2220*#REF!</f>
        <v>#REF!</v>
      </c>
      <c r="W2220" s="14"/>
      <c r="X2220" s="26"/>
      <c r="Y2220" s="13"/>
      <c r="Z2220" s="68" t="e">
        <f>VLOOKUP(Takeoffs!Y2220,Sheet1!$B$6:$C$124,2,FALSE)</f>
        <v>#N/A</v>
      </c>
      <c r="AA2220" s="68"/>
      <c r="AB2220" s="18"/>
      <c r="AC2220" s="18"/>
      <c r="AD2220" s="18"/>
      <c r="AE2220" s="60"/>
      <c r="AF2220" s="13"/>
      <c r="AG2220" s="68" t="e">
        <f>VLOOKUP(Takeoffs!AF2220,Sheet1!$B$6:$C$124,2,FALSE)</f>
        <v>#N/A</v>
      </c>
      <c r="AH2220" s="68"/>
      <c r="AI2220" s="18"/>
      <c r="AJ2220" s="18"/>
      <c r="AK2220" s="18"/>
      <c r="AL2220" s="60"/>
      <c r="AO2220" s="286"/>
      <c r="AP2220" s="284">
        <f t="shared" si="986"/>
        <v>0</v>
      </c>
      <c r="AQ2220" s="281">
        <f t="shared" si="987"/>
        <v>0</v>
      </c>
      <c r="AR2220" s="284">
        <f t="shared" si="988"/>
        <v>0</v>
      </c>
      <c r="AS2220" s="281">
        <f t="shared" si="989"/>
        <v>0</v>
      </c>
      <c r="AT2220" s="284">
        <f t="shared" si="990"/>
        <v>0</v>
      </c>
    </row>
    <row r="2221" spans="1:46" customFormat="1" ht="15" customHeight="1" x14ac:dyDescent="0.8">
      <c r="A2221" s="262">
        <f t="shared" si="985"/>
        <v>2221</v>
      </c>
      <c r="B2221" s="114"/>
      <c r="C2221" s="208"/>
      <c r="D2221" s="208"/>
      <c r="E2221" s="208"/>
      <c r="F2221" s="208"/>
      <c r="G2221" s="208"/>
      <c r="H2221" s="208"/>
      <c r="I2221" s="114"/>
      <c r="J2221" s="30"/>
      <c r="N2221" s="15" t="s">
        <v>131</v>
      </c>
      <c r="O2221" s="12"/>
      <c r="P2221" s="12"/>
      <c r="Q2221" s="12"/>
      <c r="R2221" s="12"/>
      <c r="S2221" s="28">
        <f>M2202</f>
        <v>4</v>
      </c>
      <c r="T2221" s="11"/>
      <c r="U2221" s="12"/>
      <c r="V2221" s="14" t="e">
        <f>U2221*#REF!</f>
        <v>#REF!</v>
      </c>
      <c r="W2221" s="14"/>
      <c r="X2221" s="26"/>
      <c r="Y2221" s="13"/>
      <c r="Z2221" s="68" t="e">
        <f>VLOOKUP(Takeoffs!Y2221,Sheet1!$B$6:$C$124,2,FALSE)</f>
        <v>#N/A</v>
      </c>
      <c r="AA2221" s="68"/>
      <c r="AB2221" s="18"/>
      <c r="AC2221" s="18"/>
      <c r="AD2221" s="18"/>
      <c r="AE2221" s="60"/>
      <c r="AF2221" s="13"/>
      <c r="AG2221" s="68" t="e">
        <f>VLOOKUP(Takeoffs!AF2221,Sheet1!$B$6:$C$124,2,FALSE)</f>
        <v>#N/A</v>
      </c>
      <c r="AH2221" s="68"/>
      <c r="AI2221" s="18"/>
      <c r="AJ2221" s="18"/>
      <c r="AK2221" s="18"/>
      <c r="AL2221" s="60"/>
      <c r="AO2221" s="286"/>
      <c r="AP2221" s="284">
        <f t="shared" si="986"/>
        <v>0</v>
      </c>
      <c r="AQ2221" s="281">
        <f t="shared" si="987"/>
        <v>0</v>
      </c>
      <c r="AR2221" s="284">
        <f t="shared" si="988"/>
        <v>0</v>
      </c>
      <c r="AS2221" s="281">
        <f t="shared" si="989"/>
        <v>0</v>
      </c>
      <c r="AT2221" s="284">
        <f t="shared" si="990"/>
        <v>0</v>
      </c>
    </row>
    <row r="2222" spans="1:46" customFormat="1" ht="15" customHeight="1" x14ac:dyDescent="0.8">
      <c r="A2222" s="262">
        <f t="shared" si="985"/>
        <v>2222</v>
      </c>
      <c r="B2222" s="114"/>
      <c r="C2222" s="208"/>
      <c r="D2222" s="208"/>
      <c r="E2222" s="208"/>
      <c r="F2222" s="208"/>
      <c r="G2222" s="208"/>
      <c r="H2222" s="208"/>
      <c r="I2222" s="114"/>
      <c r="J2222" s="30"/>
      <c r="N2222" s="15" t="s">
        <v>132</v>
      </c>
      <c r="O2222" s="12"/>
      <c r="P2222" s="12"/>
      <c r="Q2222" s="12"/>
      <c r="R2222" s="12"/>
      <c r="S2222" s="28">
        <f>M2202</f>
        <v>4</v>
      </c>
      <c r="T2222" s="11"/>
      <c r="U2222" s="12"/>
      <c r="V2222" s="14" t="e">
        <f>U2222*#REF!</f>
        <v>#REF!</v>
      </c>
      <c r="W2222" s="14"/>
      <c r="X2222" s="26"/>
      <c r="Y2222" s="13"/>
      <c r="Z2222" s="68" t="e">
        <f>VLOOKUP(Takeoffs!Y2222,Sheet1!$B$6:$C$124,2,FALSE)</f>
        <v>#N/A</v>
      </c>
      <c r="AA2222" s="68"/>
      <c r="AB2222" s="18"/>
      <c r="AC2222" s="18"/>
      <c r="AD2222" s="18"/>
      <c r="AE2222" s="60"/>
      <c r="AF2222" s="13"/>
      <c r="AG2222" s="68" t="e">
        <f>VLOOKUP(Takeoffs!AF2222,Sheet1!$B$6:$C$124,2,FALSE)</f>
        <v>#N/A</v>
      </c>
      <c r="AH2222" s="68"/>
      <c r="AI2222" s="18"/>
      <c r="AJ2222" s="18"/>
      <c r="AK2222" s="18"/>
      <c r="AL2222" s="60"/>
      <c r="AO2222" s="286"/>
      <c r="AP2222" s="284">
        <f t="shared" si="986"/>
        <v>0</v>
      </c>
      <c r="AQ2222" s="281">
        <f t="shared" si="987"/>
        <v>0</v>
      </c>
      <c r="AR2222" s="284">
        <f t="shared" si="988"/>
        <v>0</v>
      </c>
      <c r="AS2222" s="281">
        <f t="shared" si="989"/>
        <v>0</v>
      </c>
      <c r="AT2222" s="284">
        <f t="shared" si="990"/>
        <v>0</v>
      </c>
    </row>
    <row r="2223" spans="1:46" s="21" customFormat="1" ht="33.75" customHeight="1" x14ac:dyDescent="0.8">
      <c r="A2223" s="262">
        <f t="shared" si="985"/>
        <v>2223</v>
      </c>
      <c r="B2223" s="128"/>
      <c r="C2223" s="212"/>
      <c r="D2223" s="212"/>
      <c r="E2223" s="212"/>
      <c r="F2223" s="212"/>
      <c r="G2223" s="212"/>
      <c r="H2223" s="212"/>
      <c r="I2223" s="114"/>
      <c r="N2223" s="22"/>
      <c r="O2223" s="23"/>
      <c r="P2223" s="23"/>
      <c r="Q2223" s="23"/>
      <c r="R2223" s="23"/>
      <c r="S2223" s="23"/>
      <c r="T2223" s="24"/>
      <c r="U2223" s="23"/>
      <c r="V2223" s="24"/>
      <c r="W2223" s="24"/>
      <c r="X2223" s="26"/>
      <c r="Y2223" s="24"/>
      <c r="Z2223" s="68" t="e">
        <f>VLOOKUP(Takeoffs!Y2223,Sheet1!$B$6:$C$124,2,FALSE)</f>
        <v>#N/A</v>
      </c>
      <c r="AA2223" s="68"/>
      <c r="AB2223" s="31"/>
      <c r="AC2223" s="31"/>
      <c r="AD2223" s="31"/>
      <c r="AE2223" s="60"/>
      <c r="AF2223" s="24"/>
      <c r="AG2223" s="68" t="e">
        <f>VLOOKUP(Takeoffs!AF2223,Sheet1!$B$6:$C$124,2,FALSE)</f>
        <v>#N/A</v>
      </c>
      <c r="AH2223" s="68"/>
      <c r="AI2223" s="31"/>
      <c r="AJ2223" s="31"/>
      <c r="AK2223" s="31"/>
      <c r="AL2223" s="60"/>
      <c r="AO2223" s="286"/>
      <c r="AP2223" s="284">
        <f t="shared" si="986"/>
        <v>0</v>
      </c>
      <c r="AQ2223" s="281">
        <f t="shared" si="987"/>
        <v>0</v>
      </c>
      <c r="AR2223" s="284">
        <f t="shared" si="988"/>
        <v>0</v>
      </c>
      <c r="AS2223" s="281">
        <f t="shared" si="989"/>
        <v>0</v>
      </c>
      <c r="AT2223" s="284">
        <f t="shared" si="990"/>
        <v>0</v>
      </c>
    </row>
    <row r="2224" spans="1:46" customFormat="1" ht="30.9" x14ac:dyDescent="0.8">
      <c r="A2224" s="262">
        <f t="shared" si="985"/>
        <v>2224</v>
      </c>
      <c r="B2224" s="114"/>
      <c r="C2224" s="208"/>
      <c r="D2224" s="208"/>
      <c r="E2224" s="208"/>
      <c r="F2224" s="208"/>
      <c r="G2224" s="208"/>
      <c r="H2224" s="208"/>
      <c r="I2224" s="128"/>
      <c r="Q2224" s="32"/>
      <c r="R2224" s="32"/>
      <c r="T2224" s="8"/>
      <c r="W2224" s="32"/>
      <c r="X2224" s="25"/>
      <c r="Z2224" s="68" t="e">
        <f>VLOOKUP(Takeoffs!Y2224,Sheet1!$B$6:$C$124,2,FALSE)</f>
        <v>#N/A</v>
      </c>
      <c r="AA2224" s="68"/>
      <c r="AB2224" s="32"/>
      <c r="AC2224" s="32"/>
      <c r="AD2224" s="32"/>
      <c r="AE2224" s="25"/>
      <c r="AF2224" s="32"/>
      <c r="AG2224" s="68" t="e">
        <f>VLOOKUP(Takeoffs!AF2224,Sheet1!$B$6:$C$124,2,FALSE)</f>
        <v>#N/A</v>
      </c>
      <c r="AH2224" s="68"/>
      <c r="AI2224" s="32"/>
      <c r="AJ2224" s="32"/>
      <c r="AK2224" s="32"/>
      <c r="AL2224" s="25"/>
      <c r="AO2224" s="286"/>
      <c r="AP2224" s="284">
        <f t="shared" si="986"/>
        <v>0</v>
      </c>
      <c r="AQ2224" s="281">
        <f t="shared" si="987"/>
        <v>0</v>
      </c>
      <c r="AR2224" s="284">
        <f t="shared" si="988"/>
        <v>0</v>
      </c>
      <c r="AS2224" s="281">
        <f t="shared" si="989"/>
        <v>0</v>
      </c>
      <c r="AT2224" s="284">
        <f t="shared" si="990"/>
        <v>0</v>
      </c>
    </row>
    <row r="2225" spans="1:46" customFormat="1" ht="30.9" x14ac:dyDescent="0.8">
      <c r="A2225" s="262">
        <f t="shared" si="985"/>
        <v>2225</v>
      </c>
      <c r="B2225" s="114"/>
      <c r="C2225" s="208"/>
      <c r="D2225" s="208"/>
      <c r="E2225" s="208"/>
      <c r="F2225" s="208"/>
      <c r="G2225" s="208"/>
      <c r="H2225" s="208"/>
      <c r="I2225" s="114"/>
      <c r="Q2225" s="32"/>
      <c r="R2225" s="32"/>
      <c r="T2225" s="8"/>
      <c r="W2225" s="32"/>
      <c r="X2225" s="25"/>
      <c r="Z2225" s="68" t="e">
        <f>VLOOKUP(Takeoffs!Y2225,Sheet1!$B$6:$C$124,2,FALSE)</f>
        <v>#N/A</v>
      </c>
      <c r="AA2225" s="68"/>
      <c r="AB2225" s="32"/>
      <c r="AC2225" s="32"/>
      <c r="AD2225" s="32"/>
      <c r="AE2225" s="25"/>
      <c r="AF2225" s="32"/>
      <c r="AG2225" s="68" t="e">
        <f>VLOOKUP(Takeoffs!AF2225,Sheet1!$B$6:$C$124,2,FALSE)</f>
        <v>#N/A</v>
      </c>
      <c r="AH2225" s="68"/>
      <c r="AI2225" s="32"/>
      <c r="AJ2225" s="32"/>
      <c r="AK2225" s="32"/>
      <c r="AL2225" s="25"/>
      <c r="AO2225" s="286"/>
      <c r="AP2225" s="284">
        <f t="shared" si="986"/>
        <v>0</v>
      </c>
      <c r="AQ2225" s="281">
        <f t="shared" si="987"/>
        <v>0</v>
      </c>
      <c r="AR2225" s="284">
        <f t="shared" si="988"/>
        <v>0</v>
      </c>
      <c r="AS2225" s="281">
        <f t="shared" si="989"/>
        <v>0</v>
      </c>
      <c r="AT2225" s="284">
        <f t="shared" si="990"/>
        <v>0</v>
      </c>
    </row>
    <row r="2226" spans="1:46" s="2" customFormat="1" ht="62.25" customHeight="1" x14ac:dyDescent="0.8">
      <c r="A2226" s="262">
        <f t="shared" si="985"/>
        <v>2226</v>
      </c>
      <c r="B2226" s="116"/>
      <c r="C2226" s="211"/>
      <c r="D2226" s="211"/>
      <c r="E2226" s="211"/>
      <c r="F2226" s="211"/>
      <c r="G2226" s="211"/>
      <c r="H2226" s="211"/>
      <c r="I2226" s="114"/>
      <c r="M2226" s="2" t="s">
        <v>107</v>
      </c>
      <c r="N2226" s="2" t="s">
        <v>108</v>
      </c>
      <c r="O2226" s="2" t="s">
        <v>4</v>
      </c>
      <c r="P2226" s="2" t="s">
        <v>5</v>
      </c>
      <c r="S2226" s="2" t="s">
        <v>0</v>
      </c>
      <c r="T2226" s="9"/>
      <c r="U2226" s="2" t="s">
        <v>109</v>
      </c>
      <c r="V2226" s="2" t="s">
        <v>110</v>
      </c>
      <c r="X2226" s="58"/>
      <c r="Y2226" s="2" t="s">
        <v>111</v>
      </c>
      <c r="Z2226" s="68" t="e">
        <f>VLOOKUP(Takeoffs!Y2226,Sheet1!$B$6:$C$124,2,FALSE)</f>
        <v>#N/A</v>
      </c>
      <c r="AA2226" s="68"/>
      <c r="AE2226" s="58"/>
      <c r="AF2226" s="2" t="s">
        <v>111</v>
      </c>
      <c r="AG2226" s="68" t="e">
        <f>VLOOKUP(Takeoffs!AF2226,Sheet1!$B$6:$C$124,2,FALSE)</f>
        <v>#N/A</v>
      </c>
      <c r="AH2226" s="68"/>
      <c r="AL2226" s="58"/>
      <c r="AO2226" s="288"/>
      <c r="AP2226" s="284">
        <f t="shared" si="986"/>
        <v>0</v>
      </c>
      <c r="AQ2226" s="281">
        <f t="shared" si="987"/>
        <v>0</v>
      </c>
      <c r="AR2226" s="284">
        <f t="shared" si="988"/>
        <v>0</v>
      </c>
      <c r="AS2226" s="281">
        <f t="shared" si="989"/>
        <v>0</v>
      </c>
      <c r="AT2226" s="284">
        <f t="shared" si="990"/>
        <v>0</v>
      </c>
    </row>
    <row r="2227" spans="1:46" customFormat="1" ht="179.25" customHeight="1" x14ac:dyDescent="0.8">
      <c r="A2227" s="262">
        <f t="shared" si="985"/>
        <v>2227</v>
      </c>
      <c r="B2227" s="114"/>
      <c r="C2227" s="208"/>
      <c r="D2227" s="208"/>
      <c r="E2227" s="208"/>
      <c r="F2227" s="208"/>
      <c r="G2227" s="208"/>
      <c r="H2227" s="208"/>
      <c r="I2227" s="116"/>
      <c r="J2227" s="30" t="str">
        <f>CONCATENATE(O2227," ",L2227, " (",M2227,") ",N2227,". Each includes supply and install of ",O2228,O2229,O2230,O2231,O2232,O2233,O2234,O2235,O2236,O2237,O2238,O2239,O2240,O2241,O2242,O2243,O2244,O2245,O2246,O2247,)</f>
        <v>Electrical power supply and controls for  sixteen (16) timeclock controlled fans. Each includes supply and install of circuit breaker, timeclock controller, control contacts, cabling and conduit fom MSSB and local isolator.</v>
      </c>
      <c r="L2227" s="16" t="str">
        <f>VLOOKUP(M2227,Sheet2!$D$2:$E$1024,2,FALSE)</f>
        <v>sixteen</v>
      </c>
      <c r="M2227" s="12">
        <v>16</v>
      </c>
      <c r="N2227" s="27" t="s">
        <v>153</v>
      </c>
      <c r="O2227" s="12" t="s">
        <v>154</v>
      </c>
      <c r="P2227" s="12"/>
      <c r="Q2227" s="12"/>
      <c r="R2227" s="12"/>
      <c r="S2227" s="28"/>
      <c r="T2227" s="10"/>
      <c r="U2227" s="12"/>
      <c r="V2227" s="14" t="e">
        <f>U2227*#REF!</f>
        <v>#REF!</v>
      </c>
      <c r="W2227" s="14"/>
      <c r="X2227" s="26"/>
      <c r="Y2227" s="13"/>
      <c r="Z2227" s="68" t="e">
        <f>VLOOKUP(Takeoffs!Y2227,Sheet1!$B$6:$C$124,2,FALSE)</f>
        <v>#N/A</v>
      </c>
      <c r="AA2227" s="68"/>
      <c r="AB2227" s="18"/>
      <c r="AC2227" s="18"/>
      <c r="AD2227" s="18"/>
      <c r="AE2227" s="60"/>
      <c r="AF2227" s="13"/>
      <c r="AG2227" s="68" t="e">
        <f>VLOOKUP(Takeoffs!AF2227,Sheet1!$B$6:$C$124,2,FALSE)</f>
        <v>#N/A</v>
      </c>
      <c r="AH2227" s="68"/>
      <c r="AI2227" s="18"/>
      <c r="AJ2227" s="18"/>
      <c r="AK2227" s="18"/>
      <c r="AL2227" s="60"/>
      <c r="AO2227" s="286"/>
      <c r="AP2227" s="284">
        <f t="shared" si="986"/>
        <v>0</v>
      </c>
      <c r="AQ2227" s="281">
        <f t="shared" si="987"/>
        <v>0</v>
      </c>
      <c r="AR2227" s="284">
        <f t="shared" si="988"/>
        <v>0</v>
      </c>
      <c r="AS2227" s="281">
        <f t="shared" si="989"/>
        <v>0</v>
      </c>
      <c r="AT2227" s="284">
        <f t="shared" si="990"/>
        <v>0</v>
      </c>
    </row>
    <row r="2228" spans="1:46" customFormat="1" ht="15" customHeight="1" x14ac:dyDescent="0.8">
      <c r="A2228" s="262">
        <f t="shared" si="985"/>
        <v>2228</v>
      </c>
      <c r="B2228" s="114"/>
      <c r="C2228" s="208"/>
      <c r="D2228" s="208"/>
      <c r="E2228" s="208"/>
      <c r="F2228" s="208"/>
      <c r="G2228" s="208"/>
      <c r="H2228" s="208"/>
      <c r="I2228" s="114"/>
      <c r="J2228" s="30"/>
      <c r="M2228" s="3"/>
      <c r="N2228" s="15" t="s">
        <v>113</v>
      </c>
      <c r="O2228" s="12" t="s">
        <v>151</v>
      </c>
      <c r="P2228" s="12"/>
      <c r="Q2228" s="12"/>
      <c r="R2228" s="12"/>
      <c r="S2228" s="28">
        <f>M2227</f>
        <v>16</v>
      </c>
      <c r="T2228" s="11"/>
      <c r="U2228" s="12"/>
      <c r="V2228" s="14" t="e">
        <f>U2228*#REF!</f>
        <v>#REF!</v>
      </c>
      <c r="W2228" s="14"/>
      <c r="X2228" s="26"/>
      <c r="Y2228" s="13"/>
      <c r="Z2228" s="68" t="e">
        <f>VLOOKUP(Takeoffs!Y2228,Sheet1!$B$6:$C$124,2,FALSE)</f>
        <v>#N/A</v>
      </c>
      <c r="AA2228" s="68"/>
      <c r="AB2228" s="18"/>
      <c r="AC2228" s="18"/>
      <c r="AD2228" s="18"/>
      <c r="AE2228" s="60"/>
      <c r="AF2228" s="13"/>
      <c r="AG2228" s="68" t="e">
        <f>VLOOKUP(Takeoffs!AF2228,Sheet1!$B$6:$C$124,2,FALSE)</f>
        <v>#N/A</v>
      </c>
      <c r="AH2228" s="68"/>
      <c r="AI2228" s="18"/>
      <c r="AJ2228" s="18"/>
      <c r="AK2228" s="18"/>
      <c r="AL2228" s="60"/>
      <c r="AO2228" s="286"/>
      <c r="AP2228" s="284">
        <f t="shared" si="986"/>
        <v>0</v>
      </c>
      <c r="AQ2228" s="281">
        <f t="shared" si="987"/>
        <v>0</v>
      </c>
      <c r="AR2228" s="284">
        <f t="shared" si="988"/>
        <v>0</v>
      </c>
      <c r="AS2228" s="281">
        <f t="shared" si="989"/>
        <v>0</v>
      </c>
      <c r="AT2228" s="284">
        <f t="shared" si="990"/>
        <v>0</v>
      </c>
    </row>
    <row r="2229" spans="1:46" customFormat="1" ht="15" customHeight="1" x14ac:dyDescent="0.8">
      <c r="A2229" s="262">
        <f t="shared" si="985"/>
        <v>2229</v>
      </c>
      <c r="B2229" s="114"/>
      <c r="C2229" s="208"/>
      <c r="D2229" s="208"/>
      <c r="E2229" s="208"/>
      <c r="F2229" s="208"/>
      <c r="G2229" s="208"/>
      <c r="H2229" s="208"/>
      <c r="I2229" s="114"/>
      <c r="J2229" s="30"/>
      <c r="M2229" s="3"/>
      <c r="N2229" s="15" t="s">
        <v>114</v>
      </c>
      <c r="O2229" s="12" t="s">
        <v>155</v>
      </c>
      <c r="P2229" s="12"/>
      <c r="Q2229" s="12"/>
      <c r="R2229" s="12"/>
      <c r="S2229" s="28">
        <f>M2227</f>
        <v>16</v>
      </c>
      <c r="T2229" s="11"/>
      <c r="U2229" s="12"/>
      <c r="V2229" s="14" t="e">
        <f>U2229*#REF!</f>
        <v>#REF!</v>
      </c>
      <c r="W2229" s="14"/>
      <c r="X2229" s="26"/>
      <c r="Y2229" s="13"/>
      <c r="Z2229" s="68" t="e">
        <f>VLOOKUP(Takeoffs!Y2229,Sheet1!$B$6:$C$124,2,FALSE)</f>
        <v>#N/A</v>
      </c>
      <c r="AA2229" s="68"/>
      <c r="AB2229" s="18"/>
      <c r="AC2229" s="18"/>
      <c r="AD2229" s="18"/>
      <c r="AE2229" s="60"/>
      <c r="AF2229" s="13"/>
      <c r="AG2229" s="68" t="e">
        <f>VLOOKUP(Takeoffs!AF2229,Sheet1!$B$6:$C$124,2,FALSE)</f>
        <v>#N/A</v>
      </c>
      <c r="AH2229" s="68"/>
      <c r="AI2229" s="18"/>
      <c r="AJ2229" s="18"/>
      <c r="AK2229" s="18"/>
      <c r="AL2229" s="60"/>
      <c r="AO2229" s="286"/>
      <c r="AP2229" s="284">
        <f t="shared" si="986"/>
        <v>0</v>
      </c>
      <c r="AQ2229" s="281">
        <f t="shared" si="987"/>
        <v>0</v>
      </c>
      <c r="AR2229" s="284">
        <f t="shared" si="988"/>
        <v>0</v>
      </c>
      <c r="AS2229" s="281">
        <f t="shared" si="989"/>
        <v>0</v>
      </c>
      <c r="AT2229" s="284">
        <f t="shared" si="990"/>
        <v>0</v>
      </c>
    </row>
    <row r="2230" spans="1:46" customFormat="1" ht="15" customHeight="1" x14ac:dyDescent="0.8">
      <c r="A2230" s="262">
        <f t="shared" ref="A2230:A2293" si="991">A2229+1</f>
        <v>2230</v>
      </c>
      <c r="B2230" s="114"/>
      <c r="C2230" s="208"/>
      <c r="D2230" s="208"/>
      <c r="E2230" s="208"/>
      <c r="F2230" s="208"/>
      <c r="G2230" s="208"/>
      <c r="H2230" s="208"/>
      <c r="I2230" s="114"/>
      <c r="J2230" s="30"/>
      <c r="M2230" s="3"/>
      <c r="N2230" s="15" t="s">
        <v>115</v>
      </c>
      <c r="O2230" s="12" t="s">
        <v>156</v>
      </c>
      <c r="P2230" s="12"/>
      <c r="Q2230" s="12"/>
      <c r="R2230" s="12"/>
      <c r="S2230" s="28">
        <f>M2227</f>
        <v>16</v>
      </c>
      <c r="T2230" s="11"/>
      <c r="U2230" s="12"/>
      <c r="V2230" s="14" t="e">
        <f>U2230*#REF!</f>
        <v>#REF!</v>
      </c>
      <c r="W2230" s="14"/>
      <c r="X2230" s="26"/>
      <c r="Y2230" s="13"/>
      <c r="Z2230" s="68" t="e">
        <f>VLOOKUP(Takeoffs!Y2230,Sheet1!$B$6:$C$124,2,FALSE)</f>
        <v>#N/A</v>
      </c>
      <c r="AA2230" s="68"/>
      <c r="AB2230" s="18"/>
      <c r="AC2230" s="18"/>
      <c r="AD2230" s="18"/>
      <c r="AE2230" s="60"/>
      <c r="AF2230" s="13"/>
      <c r="AG2230" s="68" t="e">
        <f>VLOOKUP(Takeoffs!AF2230,Sheet1!$B$6:$C$124,2,FALSE)</f>
        <v>#N/A</v>
      </c>
      <c r="AH2230" s="68"/>
      <c r="AI2230" s="18"/>
      <c r="AJ2230" s="18"/>
      <c r="AK2230" s="18"/>
      <c r="AL2230" s="60"/>
      <c r="AO2230" s="286"/>
      <c r="AP2230" s="284">
        <f t="shared" si="986"/>
        <v>0</v>
      </c>
      <c r="AQ2230" s="281">
        <f t="shared" si="987"/>
        <v>0</v>
      </c>
      <c r="AR2230" s="284">
        <f t="shared" si="988"/>
        <v>0</v>
      </c>
      <c r="AS2230" s="281">
        <f t="shared" si="989"/>
        <v>0</v>
      </c>
      <c r="AT2230" s="284">
        <f t="shared" si="990"/>
        <v>0</v>
      </c>
    </row>
    <row r="2231" spans="1:46" customFormat="1" ht="15" customHeight="1" x14ac:dyDescent="0.8">
      <c r="A2231" s="262">
        <f t="shared" si="991"/>
        <v>2231</v>
      </c>
      <c r="B2231" s="114"/>
      <c r="C2231" s="208"/>
      <c r="D2231" s="208"/>
      <c r="E2231" s="208"/>
      <c r="F2231" s="208"/>
      <c r="G2231" s="208"/>
      <c r="H2231" s="208"/>
      <c r="I2231" s="114"/>
      <c r="J2231" s="30"/>
      <c r="M2231" s="3"/>
      <c r="N2231" s="15" t="s">
        <v>116</v>
      </c>
      <c r="O2231" s="12" t="s">
        <v>136</v>
      </c>
      <c r="P2231" s="12"/>
      <c r="Q2231" s="12"/>
      <c r="R2231" s="12"/>
      <c r="S2231" s="28">
        <f>M2227</f>
        <v>16</v>
      </c>
      <c r="T2231" s="11"/>
      <c r="U2231" s="12"/>
      <c r="V2231" s="14" t="e">
        <f>U2231*#REF!</f>
        <v>#REF!</v>
      </c>
      <c r="W2231" s="14"/>
      <c r="X2231" s="26"/>
      <c r="Y2231" s="13"/>
      <c r="Z2231" s="68" t="e">
        <f>VLOOKUP(Takeoffs!Y2231,Sheet1!$B$6:$C$124,2,FALSE)</f>
        <v>#N/A</v>
      </c>
      <c r="AA2231" s="68"/>
      <c r="AB2231" s="18"/>
      <c r="AC2231" s="18"/>
      <c r="AD2231" s="18"/>
      <c r="AE2231" s="60"/>
      <c r="AF2231" s="13"/>
      <c r="AG2231" s="68" t="e">
        <f>VLOOKUP(Takeoffs!AF2231,Sheet1!$B$6:$C$124,2,FALSE)</f>
        <v>#N/A</v>
      </c>
      <c r="AH2231" s="68"/>
      <c r="AI2231" s="18"/>
      <c r="AJ2231" s="18"/>
      <c r="AK2231" s="18"/>
      <c r="AL2231" s="60"/>
      <c r="AO2231" s="286"/>
      <c r="AP2231" s="284">
        <f t="shared" si="986"/>
        <v>0</v>
      </c>
      <c r="AQ2231" s="281">
        <f t="shared" si="987"/>
        <v>0</v>
      </c>
      <c r="AR2231" s="284">
        <f t="shared" si="988"/>
        <v>0</v>
      </c>
      <c r="AS2231" s="281">
        <f t="shared" si="989"/>
        <v>0</v>
      </c>
      <c r="AT2231" s="284">
        <f t="shared" si="990"/>
        <v>0</v>
      </c>
    </row>
    <row r="2232" spans="1:46" customFormat="1" ht="15" customHeight="1" x14ac:dyDescent="0.8">
      <c r="A2232" s="262">
        <f t="shared" si="991"/>
        <v>2232</v>
      </c>
      <c r="B2232" s="114"/>
      <c r="C2232" s="208"/>
      <c r="D2232" s="208"/>
      <c r="E2232" s="208"/>
      <c r="F2232" s="208"/>
      <c r="G2232" s="208"/>
      <c r="H2232" s="208"/>
      <c r="I2232" s="114"/>
      <c r="J2232" s="30"/>
      <c r="M2232" s="3"/>
      <c r="N2232" s="15" t="s">
        <v>117</v>
      </c>
      <c r="O2232" s="12" t="s">
        <v>135</v>
      </c>
      <c r="P2232" s="12"/>
      <c r="Q2232" s="12"/>
      <c r="R2232" s="12"/>
      <c r="S2232" s="28">
        <f>M2227</f>
        <v>16</v>
      </c>
      <c r="T2232" s="11"/>
      <c r="U2232" s="12"/>
      <c r="V2232" s="14" t="e">
        <f>U2232*#REF!</f>
        <v>#REF!</v>
      </c>
      <c r="W2232" s="14"/>
      <c r="X2232" s="26"/>
      <c r="Y2232" s="13"/>
      <c r="Z2232" s="68" t="e">
        <f>VLOOKUP(Takeoffs!Y2232,Sheet1!$B$6:$C$124,2,FALSE)</f>
        <v>#N/A</v>
      </c>
      <c r="AA2232" s="68"/>
      <c r="AB2232" s="18"/>
      <c r="AC2232" s="18"/>
      <c r="AD2232" s="18"/>
      <c r="AE2232" s="60"/>
      <c r="AF2232" s="13"/>
      <c r="AG2232" s="68" t="e">
        <f>VLOOKUP(Takeoffs!AF2232,Sheet1!$B$6:$C$124,2,FALSE)</f>
        <v>#N/A</v>
      </c>
      <c r="AH2232" s="68"/>
      <c r="AI2232" s="18"/>
      <c r="AJ2232" s="18"/>
      <c r="AK2232" s="18"/>
      <c r="AL2232" s="60"/>
      <c r="AO2232" s="286"/>
      <c r="AP2232" s="284">
        <f t="shared" si="986"/>
        <v>0</v>
      </c>
      <c r="AQ2232" s="281">
        <f t="shared" si="987"/>
        <v>0</v>
      </c>
      <c r="AR2232" s="284">
        <f t="shared" si="988"/>
        <v>0</v>
      </c>
      <c r="AS2232" s="281">
        <f t="shared" si="989"/>
        <v>0</v>
      </c>
      <c r="AT2232" s="284">
        <f t="shared" si="990"/>
        <v>0</v>
      </c>
    </row>
    <row r="2233" spans="1:46" customFormat="1" ht="15" customHeight="1" x14ac:dyDescent="0.8">
      <c r="A2233" s="262">
        <f t="shared" si="991"/>
        <v>2233</v>
      </c>
      <c r="B2233" s="114"/>
      <c r="C2233" s="208"/>
      <c r="D2233" s="208"/>
      <c r="E2233" s="208"/>
      <c r="F2233" s="208"/>
      <c r="G2233" s="208"/>
      <c r="H2233" s="208"/>
      <c r="I2233" s="114"/>
      <c r="J2233" s="30"/>
      <c r="M2233" s="3"/>
      <c r="N2233" s="15" t="s">
        <v>118</v>
      </c>
      <c r="O2233" s="12"/>
      <c r="P2233" s="12"/>
      <c r="Q2233" s="12"/>
      <c r="R2233" s="12"/>
      <c r="S2233" s="28">
        <f>M2227</f>
        <v>16</v>
      </c>
      <c r="T2233" s="11"/>
      <c r="U2233" s="12"/>
      <c r="V2233" s="14" t="e">
        <f>U2233*#REF!</f>
        <v>#REF!</v>
      </c>
      <c r="W2233" s="14"/>
      <c r="X2233" s="26"/>
      <c r="Y2233" s="13"/>
      <c r="Z2233" s="68" t="e">
        <f>VLOOKUP(Takeoffs!Y2233,Sheet1!$B$6:$C$124,2,FALSE)</f>
        <v>#N/A</v>
      </c>
      <c r="AA2233" s="68"/>
      <c r="AB2233" s="18"/>
      <c r="AC2233" s="18"/>
      <c r="AD2233" s="18"/>
      <c r="AE2233" s="60"/>
      <c r="AF2233" s="13"/>
      <c r="AG2233" s="68" t="e">
        <f>VLOOKUP(Takeoffs!AF2233,Sheet1!$B$6:$C$124,2,FALSE)</f>
        <v>#N/A</v>
      </c>
      <c r="AH2233" s="68"/>
      <c r="AI2233" s="18"/>
      <c r="AJ2233" s="18"/>
      <c r="AK2233" s="18"/>
      <c r="AL2233" s="60"/>
      <c r="AO2233" s="286"/>
      <c r="AP2233" s="284">
        <f t="shared" si="986"/>
        <v>0</v>
      </c>
      <c r="AQ2233" s="281">
        <f t="shared" si="987"/>
        <v>0</v>
      </c>
      <c r="AR2233" s="284">
        <f t="shared" si="988"/>
        <v>0</v>
      </c>
      <c r="AS2233" s="281">
        <f t="shared" si="989"/>
        <v>0</v>
      </c>
      <c r="AT2233" s="284">
        <f t="shared" si="990"/>
        <v>0</v>
      </c>
    </row>
    <row r="2234" spans="1:46" customFormat="1" ht="15" customHeight="1" x14ac:dyDescent="0.8">
      <c r="A2234" s="262">
        <f t="shared" si="991"/>
        <v>2234</v>
      </c>
      <c r="B2234" s="114"/>
      <c r="C2234" s="208"/>
      <c r="D2234" s="208"/>
      <c r="E2234" s="208"/>
      <c r="F2234" s="208"/>
      <c r="G2234" s="208"/>
      <c r="H2234" s="208"/>
      <c r="I2234" s="114"/>
      <c r="J2234" s="30"/>
      <c r="N2234" s="15" t="s">
        <v>119</v>
      </c>
      <c r="O2234" s="12"/>
      <c r="P2234" s="12"/>
      <c r="Q2234" s="12"/>
      <c r="R2234" s="12"/>
      <c r="S2234" s="28">
        <f>M2227</f>
        <v>16</v>
      </c>
      <c r="T2234" s="11"/>
      <c r="U2234" s="12"/>
      <c r="V2234" s="14" t="e">
        <f>U2234*#REF!</f>
        <v>#REF!</v>
      </c>
      <c r="W2234" s="14"/>
      <c r="X2234" s="26"/>
      <c r="Y2234" s="13"/>
      <c r="Z2234" s="68" t="e">
        <f>VLOOKUP(Takeoffs!Y2234,Sheet1!$B$6:$C$124,2,FALSE)</f>
        <v>#N/A</v>
      </c>
      <c r="AA2234" s="68"/>
      <c r="AB2234" s="18"/>
      <c r="AC2234" s="18"/>
      <c r="AD2234" s="18"/>
      <c r="AE2234" s="60"/>
      <c r="AF2234" s="13"/>
      <c r="AG2234" s="68" t="e">
        <f>VLOOKUP(Takeoffs!AF2234,Sheet1!$B$6:$C$124,2,FALSE)</f>
        <v>#N/A</v>
      </c>
      <c r="AH2234" s="68"/>
      <c r="AI2234" s="18"/>
      <c r="AJ2234" s="18"/>
      <c r="AK2234" s="18"/>
      <c r="AL2234" s="60"/>
      <c r="AO2234" s="286"/>
      <c r="AP2234" s="284">
        <f t="shared" si="986"/>
        <v>0</v>
      </c>
      <c r="AQ2234" s="281">
        <f t="shared" si="987"/>
        <v>0</v>
      </c>
      <c r="AR2234" s="284">
        <f t="shared" si="988"/>
        <v>0</v>
      </c>
      <c r="AS2234" s="281">
        <f t="shared" si="989"/>
        <v>0</v>
      </c>
      <c r="AT2234" s="284">
        <f t="shared" si="990"/>
        <v>0</v>
      </c>
    </row>
    <row r="2235" spans="1:46" customFormat="1" ht="15" customHeight="1" x14ac:dyDescent="0.8">
      <c r="A2235" s="262">
        <f t="shared" si="991"/>
        <v>2235</v>
      </c>
      <c r="B2235" s="114"/>
      <c r="C2235" s="208"/>
      <c r="D2235" s="208"/>
      <c r="E2235" s="208"/>
      <c r="F2235" s="208"/>
      <c r="G2235" s="208"/>
      <c r="H2235" s="208"/>
      <c r="I2235" s="114"/>
      <c r="J2235" s="30"/>
      <c r="N2235" s="15" t="s">
        <v>120</v>
      </c>
      <c r="O2235" s="12"/>
      <c r="P2235" s="12"/>
      <c r="Q2235" s="12"/>
      <c r="R2235" s="12"/>
      <c r="S2235" s="28">
        <f>M2227</f>
        <v>16</v>
      </c>
      <c r="T2235" s="11"/>
      <c r="U2235" s="12"/>
      <c r="V2235" s="14" t="e">
        <f>U2235*#REF!</f>
        <v>#REF!</v>
      </c>
      <c r="W2235" s="14"/>
      <c r="X2235" s="26"/>
      <c r="Y2235" s="13"/>
      <c r="Z2235" s="68" t="e">
        <f>VLOOKUP(Takeoffs!Y2235,Sheet1!$B$6:$C$124,2,FALSE)</f>
        <v>#N/A</v>
      </c>
      <c r="AA2235" s="68"/>
      <c r="AB2235" s="18"/>
      <c r="AC2235" s="18"/>
      <c r="AD2235" s="18"/>
      <c r="AE2235" s="60"/>
      <c r="AF2235" s="13"/>
      <c r="AG2235" s="68" t="e">
        <f>VLOOKUP(Takeoffs!AF2235,Sheet1!$B$6:$C$124,2,FALSE)</f>
        <v>#N/A</v>
      </c>
      <c r="AH2235" s="68"/>
      <c r="AI2235" s="18"/>
      <c r="AJ2235" s="18"/>
      <c r="AK2235" s="18"/>
      <c r="AL2235" s="60"/>
      <c r="AO2235" s="286"/>
      <c r="AP2235" s="284">
        <f t="shared" si="986"/>
        <v>0</v>
      </c>
      <c r="AQ2235" s="281">
        <f t="shared" si="987"/>
        <v>0</v>
      </c>
      <c r="AR2235" s="284">
        <f t="shared" si="988"/>
        <v>0</v>
      </c>
      <c r="AS2235" s="281">
        <f t="shared" si="989"/>
        <v>0</v>
      </c>
      <c r="AT2235" s="284">
        <f t="shared" si="990"/>
        <v>0</v>
      </c>
    </row>
    <row r="2236" spans="1:46" customFormat="1" ht="15" customHeight="1" x14ac:dyDescent="0.8">
      <c r="A2236" s="262">
        <f t="shared" si="991"/>
        <v>2236</v>
      </c>
      <c r="B2236" s="114"/>
      <c r="C2236" s="208"/>
      <c r="D2236" s="208"/>
      <c r="E2236" s="208"/>
      <c r="F2236" s="208"/>
      <c r="G2236" s="208"/>
      <c r="H2236" s="208"/>
      <c r="I2236" s="114"/>
      <c r="J2236" s="30"/>
      <c r="N2236" s="15" t="s">
        <v>121</v>
      </c>
      <c r="O2236" s="12"/>
      <c r="P2236" s="12"/>
      <c r="Q2236" s="12"/>
      <c r="R2236" s="12"/>
      <c r="S2236" s="28">
        <f>M2227</f>
        <v>16</v>
      </c>
      <c r="T2236" s="11"/>
      <c r="U2236" s="12"/>
      <c r="V2236" s="14" t="e">
        <f>U2236*#REF!</f>
        <v>#REF!</v>
      </c>
      <c r="W2236" s="14"/>
      <c r="X2236" s="26"/>
      <c r="Y2236" s="13"/>
      <c r="Z2236" s="68" t="e">
        <f>VLOOKUP(Takeoffs!Y2236,Sheet1!$B$6:$C$124,2,FALSE)</f>
        <v>#N/A</v>
      </c>
      <c r="AA2236" s="68"/>
      <c r="AB2236" s="18"/>
      <c r="AC2236" s="18"/>
      <c r="AD2236" s="18"/>
      <c r="AE2236" s="60"/>
      <c r="AF2236" s="13"/>
      <c r="AG2236" s="68" t="e">
        <f>VLOOKUP(Takeoffs!AF2236,Sheet1!$B$6:$C$124,2,FALSE)</f>
        <v>#N/A</v>
      </c>
      <c r="AH2236" s="68"/>
      <c r="AI2236" s="18"/>
      <c r="AJ2236" s="18"/>
      <c r="AK2236" s="18"/>
      <c r="AL2236" s="60"/>
      <c r="AO2236" s="286"/>
      <c r="AP2236" s="284">
        <f t="shared" si="986"/>
        <v>0</v>
      </c>
      <c r="AQ2236" s="281">
        <f t="shared" si="987"/>
        <v>0</v>
      </c>
      <c r="AR2236" s="284">
        <f t="shared" si="988"/>
        <v>0</v>
      </c>
      <c r="AS2236" s="281">
        <f t="shared" si="989"/>
        <v>0</v>
      </c>
      <c r="AT2236" s="284">
        <f t="shared" si="990"/>
        <v>0</v>
      </c>
    </row>
    <row r="2237" spans="1:46" customFormat="1" ht="15" customHeight="1" x14ac:dyDescent="0.8">
      <c r="A2237" s="262">
        <f t="shared" si="991"/>
        <v>2237</v>
      </c>
      <c r="B2237" s="114"/>
      <c r="C2237" s="208"/>
      <c r="D2237" s="208"/>
      <c r="E2237" s="208"/>
      <c r="F2237" s="208"/>
      <c r="G2237" s="208"/>
      <c r="H2237" s="208"/>
      <c r="I2237" s="114"/>
      <c r="J2237" s="30"/>
      <c r="N2237" s="15" t="s">
        <v>122</v>
      </c>
      <c r="O2237" s="12"/>
      <c r="P2237" s="12"/>
      <c r="Q2237" s="12"/>
      <c r="R2237" s="12"/>
      <c r="S2237" s="28">
        <f>M2227</f>
        <v>16</v>
      </c>
      <c r="T2237" s="11"/>
      <c r="U2237" s="12"/>
      <c r="V2237" s="14" t="e">
        <f>U2237*#REF!</f>
        <v>#REF!</v>
      </c>
      <c r="W2237" s="14"/>
      <c r="X2237" s="26"/>
      <c r="Y2237" s="13"/>
      <c r="Z2237" s="68" t="e">
        <f>VLOOKUP(Takeoffs!Y2237,Sheet1!$B$6:$C$124,2,FALSE)</f>
        <v>#N/A</v>
      </c>
      <c r="AA2237" s="68"/>
      <c r="AB2237" s="18"/>
      <c r="AC2237" s="18"/>
      <c r="AD2237" s="18"/>
      <c r="AE2237" s="60"/>
      <c r="AF2237" s="13"/>
      <c r="AG2237" s="68" t="e">
        <f>VLOOKUP(Takeoffs!AF2237,Sheet1!$B$6:$C$124,2,FALSE)</f>
        <v>#N/A</v>
      </c>
      <c r="AH2237" s="68"/>
      <c r="AI2237" s="18"/>
      <c r="AJ2237" s="18"/>
      <c r="AK2237" s="18"/>
      <c r="AL2237" s="60"/>
      <c r="AO2237" s="286"/>
      <c r="AP2237" s="284">
        <f t="shared" si="986"/>
        <v>0</v>
      </c>
      <c r="AQ2237" s="281">
        <f t="shared" si="987"/>
        <v>0</v>
      </c>
      <c r="AR2237" s="284">
        <f t="shared" si="988"/>
        <v>0</v>
      </c>
      <c r="AS2237" s="281">
        <f t="shared" si="989"/>
        <v>0</v>
      </c>
      <c r="AT2237" s="284">
        <f t="shared" si="990"/>
        <v>0</v>
      </c>
    </row>
    <row r="2238" spans="1:46" customFormat="1" ht="15" customHeight="1" x14ac:dyDescent="0.8">
      <c r="A2238" s="262">
        <f t="shared" si="991"/>
        <v>2238</v>
      </c>
      <c r="B2238" s="114"/>
      <c r="C2238" s="208"/>
      <c r="D2238" s="208"/>
      <c r="E2238" s="208"/>
      <c r="F2238" s="208"/>
      <c r="G2238" s="208"/>
      <c r="H2238" s="208"/>
      <c r="I2238" s="114"/>
      <c r="J2238" s="30"/>
      <c r="N2238" s="15" t="s">
        <v>123</v>
      </c>
      <c r="O2238" s="12"/>
      <c r="P2238" s="12"/>
      <c r="Q2238" s="12"/>
      <c r="R2238" s="12"/>
      <c r="S2238" s="28">
        <f>M2227</f>
        <v>16</v>
      </c>
      <c r="T2238" s="11"/>
      <c r="U2238" s="12"/>
      <c r="V2238" s="14" t="e">
        <f>U2238*#REF!</f>
        <v>#REF!</v>
      </c>
      <c r="W2238" s="14"/>
      <c r="X2238" s="26"/>
      <c r="Y2238" s="13"/>
      <c r="Z2238" s="68" t="e">
        <f>VLOOKUP(Takeoffs!Y2238,Sheet1!$B$6:$C$124,2,FALSE)</f>
        <v>#N/A</v>
      </c>
      <c r="AA2238" s="68"/>
      <c r="AB2238" s="18"/>
      <c r="AC2238" s="18"/>
      <c r="AD2238" s="18"/>
      <c r="AE2238" s="60"/>
      <c r="AF2238" s="13"/>
      <c r="AG2238" s="68" t="e">
        <f>VLOOKUP(Takeoffs!AF2238,Sheet1!$B$6:$C$124,2,FALSE)</f>
        <v>#N/A</v>
      </c>
      <c r="AH2238" s="68"/>
      <c r="AI2238" s="18"/>
      <c r="AJ2238" s="18"/>
      <c r="AK2238" s="18"/>
      <c r="AL2238" s="60"/>
      <c r="AO2238" s="286"/>
      <c r="AP2238" s="284">
        <f t="shared" si="986"/>
        <v>0</v>
      </c>
      <c r="AQ2238" s="281">
        <f t="shared" si="987"/>
        <v>0</v>
      </c>
      <c r="AR2238" s="284">
        <f t="shared" si="988"/>
        <v>0</v>
      </c>
      <c r="AS2238" s="281">
        <f t="shared" si="989"/>
        <v>0</v>
      </c>
      <c r="AT2238" s="284">
        <f t="shared" si="990"/>
        <v>0</v>
      </c>
    </row>
    <row r="2239" spans="1:46" customFormat="1" ht="15" customHeight="1" x14ac:dyDescent="0.8">
      <c r="A2239" s="262">
        <f t="shared" si="991"/>
        <v>2239</v>
      </c>
      <c r="B2239" s="114"/>
      <c r="C2239" s="208"/>
      <c r="D2239" s="208"/>
      <c r="E2239" s="208"/>
      <c r="F2239" s="208"/>
      <c r="G2239" s="208"/>
      <c r="H2239" s="208"/>
      <c r="I2239" s="114"/>
      <c r="J2239" s="30"/>
      <c r="N2239" s="15" t="s">
        <v>124</v>
      </c>
      <c r="O2239" s="12"/>
      <c r="P2239" s="12"/>
      <c r="Q2239" s="12"/>
      <c r="R2239" s="12"/>
      <c r="S2239" s="28">
        <f>M2227</f>
        <v>16</v>
      </c>
      <c r="T2239" s="11"/>
      <c r="U2239" s="12"/>
      <c r="V2239" s="14" t="e">
        <f>U2239*#REF!</f>
        <v>#REF!</v>
      </c>
      <c r="W2239" s="14"/>
      <c r="X2239" s="26"/>
      <c r="Y2239" s="13"/>
      <c r="Z2239" s="68" t="e">
        <f>VLOOKUP(Takeoffs!Y2239,Sheet1!$B$6:$C$124,2,FALSE)</f>
        <v>#N/A</v>
      </c>
      <c r="AA2239" s="68"/>
      <c r="AB2239" s="18"/>
      <c r="AC2239" s="18"/>
      <c r="AD2239" s="18"/>
      <c r="AE2239" s="60"/>
      <c r="AF2239" s="13"/>
      <c r="AG2239" s="68" t="e">
        <f>VLOOKUP(Takeoffs!AF2239,Sheet1!$B$6:$C$124,2,FALSE)</f>
        <v>#N/A</v>
      </c>
      <c r="AH2239" s="68"/>
      <c r="AI2239" s="18"/>
      <c r="AJ2239" s="18"/>
      <c r="AK2239" s="18"/>
      <c r="AL2239" s="60"/>
      <c r="AO2239" s="286"/>
      <c r="AP2239" s="284">
        <f t="shared" si="986"/>
        <v>0</v>
      </c>
      <c r="AQ2239" s="281">
        <f t="shared" si="987"/>
        <v>0</v>
      </c>
      <c r="AR2239" s="284">
        <f t="shared" si="988"/>
        <v>0</v>
      </c>
      <c r="AS2239" s="281">
        <f t="shared" si="989"/>
        <v>0</v>
      </c>
      <c r="AT2239" s="284">
        <f t="shared" si="990"/>
        <v>0</v>
      </c>
    </row>
    <row r="2240" spans="1:46" customFormat="1" ht="15" customHeight="1" x14ac:dyDescent="0.8">
      <c r="A2240" s="262">
        <f t="shared" si="991"/>
        <v>2240</v>
      </c>
      <c r="B2240" s="114"/>
      <c r="C2240" s="208"/>
      <c r="D2240" s="208"/>
      <c r="E2240" s="208"/>
      <c r="F2240" s="208"/>
      <c r="G2240" s="208"/>
      <c r="H2240" s="208"/>
      <c r="I2240" s="114"/>
      <c r="J2240" s="30"/>
      <c r="N2240" s="15" t="s">
        <v>125</v>
      </c>
      <c r="O2240" s="12"/>
      <c r="P2240" s="12"/>
      <c r="Q2240" s="12"/>
      <c r="R2240" s="12"/>
      <c r="S2240" s="28">
        <f>M2227</f>
        <v>16</v>
      </c>
      <c r="T2240" s="11"/>
      <c r="U2240" s="12"/>
      <c r="V2240" s="14" t="e">
        <f>U2240*#REF!</f>
        <v>#REF!</v>
      </c>
      <c r="W2240" s="14"/>
      <c r="X2240" s="26"/>
      <c r="Y2240" s="13"/>
      <c r="Z2240" s="68" t="e">
        <f>VLOOKUP(Takeoffs!Y2240,Sheet1!$B$6:$C$124,2,FALSE)</f>
        <v>#N/A</v>
      </c>
      <c r="AA2240" s="68"/>
      <c r="AB2240" s="18"/>
      <c r="AC2240" s="18"/>
      <c r="AD2240" s="18"/>
      <c r="AE2240" s="60"/>
      <c r="AF2240" s="13"/>
      <c r="AG2240" s="68" t="e">
        <f>VLOOKUP(Takeoffs!AF2240,Sheet1!$B$6:$C$124,2,FALSE)</f>
        <v>#N/A</v>
      </c>
      <c r="AH2240" s="68"/>
      <c r="AI2240" s="18"/>
      <c r="AJ2240" s="18"/>
      <c r="AK2240" s="18"/>
      <c r="AL2240" s="60"/>
      <c r="AO2240" s="286"/>
      <c r="AP2240" s="284">
        <f t="shared" si="986"/>
        <v>0</v>
      </c>
      <c r="AQ2240" s="281">
        <f t="shared" si="987"/>
        <v>0</v>
      </c>
      <c r="AR2240" s="284">
        <f t="shared" si="988"/>
        <v>0</v>
      </c>
      <c r="AS2240" s="281">
        <f t="shared" si="989"/>
        <v>0</v>
      </c>
      <c r="AT2240" s="284">
        <f t="shared" si="990"/>
        <v>0</v>
      </c>
    </row>
    <row r="2241" spans="1:46" customFormat="1" ht="15" customHeight="1" x14ac:dyDescent="0.8">
      <c r="A2241" s="262">
        <f t="shared" si="991"/>
        <v>2241</v>
      </c>
      <c r="B2241" s="114"/>
      <c r="C2241" s="208"/>
      <c r="D2241" s="208"/>
      <c r="E2241" s="208"/>
      <c r="F2241" s="208"/>
      <c r="G2241" s="208"/>
      <c r="H2241" s="208"/>
      <c r="I2241" s="114"/>
      <c r="J2241" s="30"/>
      <c r="N2241" s="15" t="s">
        <v>126</v>
      </c>
      <c r="O2241" s="12"/>
      <c r="P2241" s="12"/>
      <c r="Q2241" s="12"/>
      <c r="R2241" s="12"/>
      <c r="S2241" s="28">
        <f>M2227</f>
        <v>16</v>
      </c>
      <c r="T2241" s="11"/>
      <c r="U2241" s="12"/>
      <c r="V2241" s="14" t="e">
        <f>U2241*#REF!</f>
        <v>#REF!</v>
      </c>
      <c r="W2241" s="14"/>
      <c r="X2241" s="26"/>
      <c r="Y2241" s="13"/>
      <c r="Z2241" s="68" t="e">
        <f>VLOOKUP(Takeoffs!Y2241,Sheet1!$B$6:$C$124,2,FALSE)</f>
        <v>#N/A</v>
      </c>
      <c r="AA2241" s="68"/>
      <c r="AB2241" s="18"/>
      <c r="AC2241" s="18"/>
      <c r="AD2241" s="18"/>
      <c r="AE2241" s="60"/>
      <c r="AF2241" s="13"/>
      <c r="AG2241" s="68" t="e">
        <f>VLOOKUP(Takeoffs!AF2241,Sheet1!$B$6:$C$124,2,FALSE)</f>
        <v>#N/A</v>
      </c>
      <c r="AH2241" s="68"/>
      <c r="AI2241" s="18"/>
      <c r="AJ2241" s="18"/>
      <c r="AK2241" s="18"/>
      <c r="AL2241" s="60"/>
      <c r="AO2241" s="286"/>
      <c r="AP2241" s="284">
        <f t="shared" si="986"/>
        <v>0</v>
      </c>
      <c r="AQ2241" s="281">
        <f t="shared" si="987"/>
        <v>0</v>
      </c>
      <c r="AR2241" s="284">
        <f t="shared" si="988"/>
        <v>0</v>
      </c>
      <c r="AS2241" s="281">
        <f t="shared" si="989"/>
        <v>0</v>
      </c>
      <c r="AT2241" s="284">
        <f t="shared" si="990"/>
        <v>0</v>
      </c>
    </row>
    <row r="2242" spans="1:46" customFormat="1" ht="15" customHeight="1" x14ac:dyDescent="0.8">
      <c r="A2242" s="262">
        <f t="shared" si="991"/>
        <v>2242</v>
      </c>
      <c r="B2242" s="114"/>
      <c r="C2242" s="208"/>
      <c r="D2242" s="208"/>
      <c r="E2242" s="208"/>
      <c r="F2242" s="208"/>
      <c r="G2242" s="208"/>
      <c r="H2242" s="208"/>
      <c r="I2242" s="114"/>
      <c r="J2242" s="30"/>
      <c r="N2242" s="15" t="s">
        <v>127</v>
      </c>
      <c r="O2242" s="12"/>
      <c r="P2242" s="12"/>
      <c r="Q2242" s="12"/>
      <c r="R2242" s="12"/>
      <c r="S2242" s="28">
        <f>M2227</f>
        <v>16</v>
      </c>
      <c r="T2242" s="11"/>
      <c r="U2242" s="12"/>
      <c r="V2242" s="14" t="e">
        <f>U2242*#REF!</f>
        <v>#REF!</v>
      </c>
      <c r="W2242" s="14"/>
      <c r="X2242" s="26"/>
      <c r="Y2242" s="13"/>
      <c r="Z2242" s="68" t="e">
        <f>VLOOKUP(Takeoffs!Y2242,Sheet1!$B$6:$C$124,2,FALSE)</f>
        <v>#N/A</v>
      </c>
      <c r="AA2242" s="68"/>
      <c r="AB2242" s="18"/>
      <c r="AC2242" s="18"/>
      <c r="AD2242" s="18"/>
      <c r="AE2242" s="60"/>
      <c r="AF2242" s="13"/>
      <c r="AG2242" s="68" t="e">
        <f>VLOOKUP(Takeoffs!AF2242,Sheet1!$B$6:$C$124,2,FALSE)</f>
        <v>#N/A</v>
      </c>
      <c r="AH2242" s="68"/>
      <c r="AI2242" s="18"/>
      <c r="AJ2242" s="18"/>
      <c r="AK2242" s="18"/>
      <c r="AL2242" s="60"/>
      <c r="AO2242" s="286"/>
      <c r="AP2242" s="284">
        <f t="shared" si="986"/>
        <v>0</v>
      </c>
      <c r="AQ2242" s="281">
        <f t="shared" si="987"/>
        <v>0</v>
      </c>
      <c r="AR2242" s="284">
        <f t="shared" si="988"/>
        <v>0</v>
      </c>
      <c r="AS2242" s="281">
        <f t="shared" si="989"/>
        <v>0</v>
      </c>
      <c r="AT2242" s="284">
        <f t="shared" si="990"/>
        <v>0</v>
      </c>
    </row>
    <row r="2243" spans="1:46" customFormat="1" ht="15" customHeight="1" x14ac:dyDescent="0.8">
      <c r="A2243" s="262">
        <f t="shared" si="991"/>
        <v>2243</v>
      </c>
      <c r="B2243" s="114"/>
      <c r="C2243" s="208"/>
      <c r="D2243" s="208"/>
      <c r="E2243" s="208"/>
      <c r="F2243" s="208"/>
      <c r="G2243" s="208"/>
      <c r="H2243" s="208"/>
      <c r="I2243" s="114"/>
      <c r="J2243" s="30"/>
      <c r="N2243" s="15" t="s">
        <v>128</v>
      </c>
      <c r="O2243" s="12"/>
      <c r="P2243" s="12"/>
      <c r="Q2243" s="12"/>
      <c r="R2243" s="12"/>
      <c r="S2243" s="28">
        <f>M2227</f>
        <v>16</v>
      </c>
      <c r="T2243" s="11"/>
      <c r="U2243" s="12"/>
      <c r="V2243" s="14" t="e">
        <f>U2243*#REF!</f>
        <v>#REF!</v>
      </c>
      <c r="W2243" s="14"/>
      <c r="X2243" s="26"/>
      <c r="Y2243" s="13"/>
      <c r="Z2243" s="68" t="e">
        <f>VLOOKUP(Takeoffs!Y2243,Sheet1!$B$6:$C$124,2,FALSE)</f>
        <v>#N/A</v>
      </c>
      <c r="AA2243" s="68"/>
      <c r="AB2243" s="18"/>
      <c r="AC2243" s="18"/>
      <c r="AD2243" s="18"/>
      <c r="AE2243" s="60"/>
      <c r="AF2243" s="13"/>
      <c r="AG2243" s="68" t="e">
        <f>VLOOKUP(Takeoffs!AF2243,Sheet1!$B$6:$C$124,2,FALSE)</f>
        <v>#N/A</v>
      </c>
      <c r="AH2243" s="68"/>
      <c r="AI2243" s="18"/>
      <c r="AJ2243" s="18"/>
      <c r="AK2243" s="18"/>
      <c r="AL2243" s="60"/>
      <c r="AO2243" s="286"/>
      <c r="AP2243" s="284">
        <f t="shared" si="986"/>
        <v>0</v>
      </c>
      <c r="AQ2243" s="281">
        <f t="shared" si="987"/>
        <v>0</v>
      </c>
      <c r="AR2243" s="284">
        <f t="shared" si="988"/>
        <v>0</v>
      </c>
      <c r="AS2243" s="281">
        <f t="shared" si="989"/>
        <v>0</v>
      </c>
      <c r="AT2243" s="284">
        <f t="shared" si="990"/>
        <v>0</v>
      </c>
    </row>
    <row r="2244" spans="1:46" customFormat="1" ht="15" customHeight="1" x14ac:dyDescent="0.8">
      <c r="A2244" s="262">
        <f t="shared" si="991"/>
        <v>2244</v>
      </c>
      <c r="B2244" s="114"/>
      <c r="C2244" s="208"/>
      <c r="D2244" s="208"/>
      <c r="E2244" s="208"/>
      <c r="F2244" s="208"/>
      <c r="G2244" s="208"/>
      <c r="H2244" s="208"/>
      <c r="I2244" s="114"/>
      <c r="J2244" s="30"/>
      <c r="N2244" s="15" t="s">
        <v>129</v>
      </c>
      <c r="O2244" s="12"/>
      <c r="P2244" s="12"/>
      <c r="Q2244" s="12"/>
      <c r="R2244" s="12"/>
      <c r="S2244" s="28">
        <f>M2227</f>
        <v>16</v>
      </c>
      <c r="T2244" s="11"/>
      <c r="U2244" s="12"/>
      <c r="V2244" s="14" t="e">
        <f>U2244*#REF!</f>
        <v>#REF!</v>
      </c>
      <c r="W2244" s="14"/>
      <c r="X2244" s="26"/>
      <c r="Y2244" s="13"/>
      <c r="Z2244" s="68" t="e">
        <f>VLOOKUP(Takeoffs!Y2244,Sheet1!$B$6:$C$124,2,FALSE)</f>
        <v>#N/A</v>
      </c>
      <c r="AA2244" s="68"/>
      <c r="AB2244" s="18"/>
      <c r="AC2244" s="18"/>
      <c r="AD2244" s="18"/>
      <c r="AE2244" s="60"/>
      <c r="AF2244" s="13"/>
      <c r="AG2244" s="68" t="e">
        <f>VLOOKUP(Takeoffs!AF2244,Sheet1!$B$6:$C$124,2,FALSE)</f>
        <v>#N/A</v>
      </c>
      <c r="AH2244" s="68"/>
      <c r="AI2244" s="18"/>
      <c r="AJ2244" s="18"/>
      <c r="AK2244" s="18"/>
      <c r="AL2244" s="60"/>
      <c r="AO2244" s="286"/>
      <c r="AP2244" s="284">
        <f t="shared" si="986"/>
        <v>0</v>
      </c>
      <c r="AQ2244" s="281">
        <f t="shared" si="987"/>
        <v>0</v>
      </c>
      <c r="AR2244" s="284">
        <f t="shared" si="988"/>
        <v>0</v>
      </c>
      <c r="AS2244" s="281">
        <f t="shared" si="989"/>
        <v>0</v>
      </c>
      <c r="AT2244" s="284">
        <f t="shared" si="990"/>
        <v>0</v>
      </c>
    </row>
    <row r="2245" spans="1:46" customFormat="1" ht="15" customHeight="1" x14ac:dyDescent="0.8">
      <c r="A2245" s="262">
        <f t="shared" si="991"/>
        <v>2245</v>
      </c>
      <c r="B2245" s="114"/>
      <c r="C2245" s="208"/>
      <c r="D2245" s="208"/>
      <c r="E2245" s="208"/>
      <c r="F2245" s="208"/>
      <c r="G2245" s="208"/>
      <c r="H2245" s="208"/>
      <c r="I2245" s="114"/>
      <c r="J2245" s="30"/>
      <c r="N2245" s="15" t="s">
        <v>130</v>
      </c>
      <c r="O2245" s="12"/>
      <c r="P2245" s="12"/>
      <c r="Q2245" s="12"/>
      <c r="R2245" s="12"/>
      <c r="S2245" s="28">
        <f>M2227</f>
        <v>16</v>
      </c>
      <c r="T2245" s="11"/>
      <c r="U2245" s="12"/>
      <c r="V2245" s="14" t="e">
        <f>U2245*#REF!</f>
        <v>#REF!</v>
      </c>
      <c r="W2245" s="14"/>
      <c r="X2245" s="26"/>
      <c r="Y2245" s="13"/>
      <c r="Z2245" s="68" t="e">
        <f>VLOOKUP(Takeoffs!Y2245,Sheet1!$B$6:$C$124,2,FALSE)</f>
        <v>#N/A</v>
      </c>
      <c r="AA2245" s="68"/>
      <c r="AB2245" s="18"/>
      <c r="AC2245" s="18"/>
      <c r="AD2245" s="18"/>
      <c r="AE2245" s="60"/>
      <c r="AF2245" s="13"/>
      <c r="AG2245" s="68" t="e">
        <f>VLOOKUP(Takeoffs!AF2245,Sheet1!$B$6:$C$124,2,FALSE)</f>
        <v>#N/A</v>
      </c>
      <c r="AH2245" s="68"/>
      <c r="AI2245" s="18"/>
      <c r="AJ2245" s="18"/>
      <c r="AK2245" s="18"/>
      <c r="AL2245" s="60"/>
      <c r="AO2245" s="286"/>
      <c r="AP2245" s="284">
        <f t="shared" si="986"/>
        <v>0</v>
      </c>
      <c r="AQ2245" s="281">
        <f t="shared" si="987"/>
        <v>0</v>
      </c>
      <c r="AR2245" s="284">
        <f t="shared" si="988"/>
        <v>0</v>
      </c>
      <c r="AS2245" s="281">
        <f t="shared" si="989"/>
        <v>0</v>
      </c>
      <c r="AT2245" s="284">
        <f t="shared" si="990"/>
        <v>0</v>
      </c>
    </row>
    <row r="2246" spans="1:46" customFormat="1" ht="15" customHeight="1" x14ac:dyDescent="0.8">
      <c r="A2246" s="262">
        <f t="shared" si="991"/>
        <v>2246</v>
      </c>
      <c r="B2246" s="114"/>
      <c r="C2246" s="208"/>
      <c r="D2246" s="208"/>
      <c r="E2246" s="208"/>
      <c r="F2246" s="208"/>
      <c r="G2246" s="208"/>
      <c r="H2246" s="208"/>
      <c r="I2246" s="114"/>
      <c r="J2246" s="30"/>
      <c r="N2246" s="15" t="s">
        <v>131</v>
      </c>
      <c r="O2246" s="12"/>
      <c r="P2246" s="12"/>
      <c r="Q2246" s="12"/>
      <c r="R2246" s="12"/>
      <c r="S2246" s="28">
        <f>M2227</f>
        <v>16</v>
      </c>
      <c r="T2246" s="11"/>
      <c r="U2246" s="12"/>
      <c r="V2246" s="14" t="e">
        <f>U2246*#REF!</f>
        <v>#REF!</v>
      </c>
      <c r="W2246" s="14"/>
      <c r="X2246" s="26"/>
      <c r="Y2246" s="13"/>
      <c r="Z2246" s="68" t="e">
        <f>VLOOKUP(Takeoffs!Y2246,Sheet1!$B$6:$C$124,2,FALSE)</f>
        <v>#N/A</v>
      </c>
      <c r="AA2246" s="68"/>
      <c r="AB2246" s="18"/>
      <c r="AC2246" s="18"/>
      <c r="AD2246" s="18"/>
      <c r="AE2246" s="60"/>
      <c r="AF2246" s="13"/>
      <c r="AG2246" s="68" t="e">
        <f>VLOOKUP(Takeoffs!AF2246,Sheet1!$B$6:$C$124,2,FALSE)</f>
        <v>#N/A</v>
      </c>
      <c r="AH2246" s="68"/>
      <c r="AI2246" s="18"/>
      <c r="AJ2246" s="18"/>
      <c r="AK2246" s="18"/>
      <c r="AL2246" s="60"/>
      <c r="AO2246" s="286"/>
      <c r="AP2246" s="284">
        <f t="shared" si="986"/>
        <v>0</v>
      </c>
      <c r="AQ2246" s="281">
        <f t="shared" si="987"/>
        <v>0</v>
      </c>
      <c r="AR2246" s="284">
        <f t="shared" si="988"/>
        <v>0</v>
      </c>
      <c r="AS2246" s="281">
        <f t="shared" si="989"/>
        <v>0</v>
      </c>
      <c r="AT2246" s="284">
        <f t="shared" si="990"/>
        <v>0</v>
      </c>
    </row>
    <row r="2247" spans="1:46" customFormat="1" ht="15" customHeight="1" x14ac:dyDescent="0.8">
      <c r="A2247" s="262">
        <f t="shared" si="991"/>
        <v>2247</v>
      </c>
      <c r="B2247" s="114"/>
      <c r="C2247" s="208"/>
      <c r="D2247" s="208"/>
      <c r="E2247" s="208"/>
      <c r="F2247" s="208"/>
      <c r="G2247" s="208"/>
      <c r="H2247" s="208"/>
      <c r="I2247" s="114"/>
      <c r="J2247" s="30"/>
      <c r="N2247" s="15" t="s">
        <v>132</v>
      </c>
      <c r="O2247" s="12"/>
      <c r="P2247" s="12"/>
      <c r="Q2247" s="12"/>
      <c r="R2247" s="12"/>
      <c r="S2247" s="28">
        <f>M2227</f>
        <v>16</v>
      </c>
      <c r="T2247" s="11"/>
      <c r="U2247" s="12"/>
      <c r="V2247" s="14" t="e">
        <f>U2247*#REF!</f>
        <v>#REF!</v>
      </c>
      <c r="W2247" s="14"/>
      <c r="X2247" s="26"/>
      <c r="Y2247" s="13"/>
      <c r="Z2247" s="68" t="e">
        <f>VLOOKUP(Takeoffs!Y2247,Sheet1!$B$6:$C$124,2,FALSE)</f>
        <v>#N/A</v>
      </c>
      <c r="AA2247" s="68"/>
      <c r="AB2247" s="18"/>
      <c r="AC2247" s="18"/>
      <c r="AD2247" s="18"/>
      <c r="AE2247" s="60"/>
      <c r="AF2247" s="13"/>
      <c r="AG2247" s="68" t="e">
        <f>VLOOKUP(Takeoffs!AF2247,Sheet1!$B$6:$C$124,2,FALSE)</f>
        <v>#N/A</v>
      </c>
      <c r="AH2247" s="68"/>
      <c r="AI2247" s="18"/>
      <c r="AJ2247" s="18"/>
      <c r="AK2247" s="18"/>
      <c r="AL2247" s="60"/>
      <c r="AO2247" s="286"/>
      <c r="AP2247" s="284">
        <f t="shared" si="986"/>
        <v>0</v>
      </c>
      <c r="AQ2247" s="281">
        <f t="shared" si="987"/>
        <v>0</v>
      </c>
      <c r="AR2247" s="284">
        <f t="shared" si="988"/>
        <v>0</v>
      </c>
      <c r="AS2247" s="281">
        <f t="shared" si="989"/>
        <v>0</v>
      </c>
      <c r="AT2247" s="284">
        <f t="shared" si="990"/>
        <v>0</v>
      </c>
    </row>
    <row r="2248" spans="1:46" s="21" customFormat="1" ht="33.75" customHeight="1" x14ac:dyDescent="0.8">
      <c r="A2248" s="262">
        <f t="shared" si="991"/>
        <v>2248</v>
      </c>
      <c r="B2248" s="128"/>
      <c r="C2248" s="212"/>
      <c r="D2248" s="212"/>
      <c r="E2248" s="212"/>
      <c r="F2248" s="212"/>
      <c r="G2248" s="212"/>
      <c r="H2248" s="212"/>
      <c r="I2248" s="114"/>
      <c r="N2248" s="22"/>
      <c r="O2248" s="23"/>
      <c r="P2248" s="23"/>
      <c r="Q2248" s="23"/>
      <c r="R2248" s="23"/>
      <c r="S2248" s="23"/>
      <c r="T2248" s="24"/>
      <c r="U2248" s="23"/>
      <c r="V2248" s="24"/>
      <c r="W2248" s="24"/>
      <c r="X2248" s="26"/>
      <c r="Y2248" s="24"/>
      <c r="Z2248" s="68" t="e">
        <f>VLOOKUP(Takeoffs!Y2248,Sheet1!$B$6:$C$124,2,FALSE)</f>
        <v>#N/A</v>
      </c>
      <c r="AA2248" s="68"/>
      <c r="AB2248" s="31"/>
      <c r="AC2248" s="31"/>
      <c r="AD2248" s="31"/>
      <c r="AE2248" s="60"/>
      <c r="AF2248" s="24"/>
      <c r="AG2248" s="68" t="e">
        <f>VLOOKUP(Takeoffs!AF2248,Sheet1!$B$6:$C$124,2,FALSE)</f>
        <v>#N/A</v>
      </c>
      <c r="AH2248" s="68"/>
      <c r="AI2248" s="31"/>
      <c r="AJ2248" s="31"/>
      <c r="AK2248" s="31"/>
      <c r="AL2248" s="60"/>
      <c r="AO2248" s="286"/>
      <c r="AP2248" s="284">
        <f t="shared" si="986"/>
        <v>0</v>
      </c>
      <c r="AQ2248" s="281">
        <f t="shared" si="987"/>
        <v>0</v>
      </c>
      <c r="AR2248" s="284">
        <f t="shared" si="988"/>
        <v>0</v>
      </c>
      <c r="AS2248" s="281">
        <f t="shared" si="989"/>
        <v>0</v>
      </c>
      <c r="AT2248" s="284">
        <f t="shared" si="990"/>
        <v>0</v>
      </c>
    </row>
    <row r="2249" spans="1:46" customFormat="1" ht="30.9" x14ac:dyDescent="0.8">
      <c r="A2249" s="262">
        <f t="shared" si="991"/>
        <v>2249</v>
      </c>
      <c r="B2249" s="114"/>
      <c r="C2249" s="208"/>
      <c r="D2249" s="208"/>
      <c r="E2249" s="208"/>
      <c r="F2249" s="208"/>
      <c r="G2249" s="208"/>
      <c r="H2249" s="208"/>
      <c r="I2249" s="128"/>
      <c r="Q2249" s="32"/>
      <c r="R2249" s="32"/>
      <c r="T2249" s="8"/>
      <c r="W2249" s="32"/>
      <c r="X2249" s="25"/>
      <c r="Z2249" s="68" t="e">
        <f>VLOOKUP(Takeoffs!Y2249,Sheet1!$B$6:$C$124,2,FALSE)</f>
        <v>#N/A</v>
      </c>
      <c r="AA2249" s="68"/>
      <c r="AB2249" s="32"/>
      <c r="AC2249" s="32"/>
      <c r="AD2249" s="32"/>
      <c r="AE2249" s="25"/>
      <c r="AF2249" s="32"/>
      <c r="AG2249" s="68" t="e">
        <f>VLOOKUP(Takeoffs!AF2249,Sheet1!$B$6:$C$124,2,FALSE)</f>
        <v>#N/A</v>
      </c>
      <c r="AH2249" s="68"/>
      <c r="AI2249" s="32"/>
      <c r="AJ2249" s="32"/>
      <c r="AK2249" s="32"/>
      <c r="AL2249" s="25"/>
      <c r="AO2249" s="286"/>
      <c r="AP2249" s="284">
        <f t="shared" si="986"/>
        <v>0</v>
      </c>
      <c r="AQ2249" s="281">
        <f t="shared" si="987"/>
        <v>0</v>
      </c>
      <c r="AR2249" s="284">
        <f t="shared" si="988"/>
        <v>0</v>
      </c>
      <c r="AS2249" s="281">
        <f t="shared" si="989"/>
        <v>0</v>
      </c>
      <c r="AT2249" s="284">
        <f t="shared" si="990"/>
        <v>0</v>
      </c>
    </row>
    <row r="2250" spans="1:46" s="2" customFormat="1" ht="62.25" customHeight="1" x14ac:dyDescent="0.8">
      <c r="A2250" s="262">
        <f t="shared" si="991"/>
        <v>2250</v>
      </c>
      <c r="B2250" s="116"/>
      <c r="C2250" s="211"/>
      <c r="D2250" s="211"/>
      <c r="E2250" s="211"/>
      <c r="F2250" s="211"/>
      <c r="G2250" s="211"/>
      <c r="H2250" s="211"/>
      <c r="I2250" s="114"/>
      <c r="M2250" s="2" t="s">
        <v>107</v>
      </c>
      <c r="N2250" s="2" t="s">
        <v>108</v>
      </c>
      <c r="O2250" s="2" t="s">
        <v>4</v>
      </c>
      <c r="P2250" s="2" t="s">
        <v>5</v>
      </c>
      <c r="S2250" s="2" t="s">
        <v>0</v>
      </c>
      <c r="T2250" s="9"/>
      <c r="U2250" s="2" t="s">
        <v>109</v>
      </c>
      <c r="V2250" s="2" t="s">
        <v>110</v>
      </c>
      <c r="X2250" s="58"/>
      <c r="Y2250" s="2" t="s">
        <v>111</v>
      </c>
      <c r="Z2250" s="68" t="e">
        <f>VLOOKUP(Takeoffs!Y2250,Sheet1!$B$6:$C$124,2,FALSE)</f>
        <v>#N/A</v>
      </c>
      <c r="AA2250" s="68"/>
      <c r="AE2250" s="58"/>
      <c r="AF2250" s="2" t="s">
        <v>111</v>
      </c>
      <c r="AG2250" s="68" t="e">
        <f>VLOOKUP(Takeoffs!AF2250,Sheet1!$B$6:$C$124,2,FALSE)</f>
        <v>#N/A</v>
      </c>
      <c r="AH2250" s="68"/>
      <c r="AL2250" s="58"/>
      <c r="AO2250" s="288"/>
      <c r="AP2250" s="284">
        <f t="shared" si="986"/>
        <v>0</v>
      </c>
      <c r="AQ2250" s="281">
        <f t="shared" si="987"/>
        <v>0</v>
      </c>
      <c r="AR2250" s="284">
        <f t="shared" si="988"/>
        <v>0</v>
      </c>
      <c r="AS2250" s="281">
        <f t="shared" si="989"/>
        <v>0</v>
      </c>
      <c r="AT2250" s="284">
        <f t="shared" si="990"/>
        <v>0</v>
      </c>
    </row>
    <row r="2251" spans="1:46" customFormat="1" ht="179.25" customHeight="1" x14ac:dyDescent="0.8">
      <c r="A2251" s="262">
        <f t="shared" si="991"/>
        <v>2251</v>
      </c>
      <c r="B2251" s="114"/>
      <c r="C2251" s="208"/>
      <c r="D2251" s="208"/>
      <c r="E2251" s="208"/>
      <c r="F2251" s="208"/>
      <c r="G2251" s="208"/>
      <c r="H2251" s="208"/>
      <c r="I2251" s="116"/>
      <c r="J2251" s="30" t="str">
        <f>CONCATENATE(O2251," ",L2251, " (",M2251,") ",N2251,". Each includes supply and install of ",O2252,O2253,O2254,O2255,O2256,O2257,O2258,O2259,O2260,O2261,O2262,O2263,O2264,O2265,O2266,O2267,O2268,O2269,O2270,O2271,)</f>
        <v>Electrical power supply and controls for  nine (9) fans with local on/off control. Each includes supply and install of circuit breaker, local switch ( complete with indication light, cabeling to MSSB and label), control contacts, cabling and conduit fom MSSB and local power isolator.</v>
      </c>
      <c r="L2251" s="16" t="str">
        <f>VLOOKUP(M2251,Sheet2!$D$2:$E$1024,2,FALSE)</f>
        <v>nine</v>
      </c>
      <c r="M2251" s="12">
        <v>9</v>
      </c>
      <c r="N2251" s="27" t="s">
        <v>157</v>
      </c>
      <c r="O2251" s="12" t="s">
        <v>154</v>
      </c>
      <c r="P2251" s="12"/>
      <c r="Q2251" s="12"/>
      <c r="R2251" s="12"/>
      <c r="S2251" s="28"/>
      <c r="T2251" s="10"/>
      <c r="U2251" s="12"/>
      <c r="V2251" s="14" t="e">
        <f>U2251*#REF!</f>
        <v>#REF!</v>
      </c>
      <c r="W2251" s="14"/>
      <c r="X2251" s="26"/>
      <c r="Y2251" s="13"/>
      <c r="Z2251" s="68" t="e">
        <f>VLOOKUP(Takeoffs!Y2251,Sheet1!$B$6:$C$124,2,FALSE)</f>
        <v>#N/A</v>
      </c>
      <c r="AA2251" s="68"/>
      <c r="AB2251" s="18"/>
      <c r="AC2251" s="18"/>
      <c r="AD2251" s="18"/>
      <c r="AE2251" s="60"/>
      <c r="AF2251" s="13"/>
      <c r="AG2251" s="68" t="e">
        <f>VLOOKUP(Takeoffs!AF2251,Sheet1!$B$6:$C$124,2,FALSE)</f>
        <v>#N/A</v>
      </c>
      <c r="AH2251" s="68"/>
      <c r="AI2251" s="18"/>
      <c r="AJ2251" s="18"/>
      <c r="AK2251" s="18"/>
      <c r="AL2251" s="60"/>
      <c r="AO2251" s="286"/>
      <c r="AP2251" s="284">
        <f t="shared" si="986"/>
        <v>0</v>
      </c>
      <c r="AQ2251" s="281">
        <f t="shared" si="987"/>
        <v>0</v>
      </c>
      <c r="AR2251" s="284">
        <f t="shared" si="988"/>
        <v>0</v>
      </c>
      <c r="AS2251" s="281">
        <f t="shared" si="989"/>
        <v>0</v>
      </c>
      <c r="AT2251" s="284">
        <f t="shared" si="990"/>
        <v>0</v>
      </c>
    </row>
    <row r="2252" spans="1:46" customFormat="1" ht="15" customHeight="1" x14ac:dyDescent="0.8">
      <c r="A2252" s="262">
        <f t="shared" si="991"/>
        <v>2252</v>
      </c>
      <c r="B2252" s="114"/>
      <c r="C2252" s="208"/>
      <c r="D2252" s="208"/>
      <c r="E2252" s="208"/>
      <c r="F2252" s="208"/>
      <c r="G2252" s="208"/>
      <c r="H2252" s="208"/>
      <c r="I2252" s="114"/>
      <c r="J2252" s="30"/>
      <c r="M2252" s="3"/>
      <c r="N2252" s="15" t="s">
        <v>113</v>
      </c>
      <c r="O2252" s="12" t="s">
        <v>151</v>
      </c>
      <c r="P2252" s="12"/>
      <c r="Q2252" s="12"/>
      <c r="R2252" s="12"/>
      <c r="S2252" s="28">
        <f>M2251</f>
        <v>9</v>
      </c>
      <c r="T2252" s="11"/>
      <c r="U2252" s="12"/>
      <c r="V2252" s="14" t="e">
        <f>U2252*#REF!</f>
        <v>#REF!</v>
      </c>
      <c r="W2252" s="14"/>
      <c r="X2252" s="26"/>
      <c r="Y2252" s="13"/>
      <c r="Z2252" s="68" t="e">
        <f>VLOOKUP(Takeoffs!Y2252,Sheet1!$B$6:$C$124,2,FALSE)</f>
        <v>#N/A</v>
      </c>
      <c r="AA2252" s="68"/>
      <c r="AB2252" s="18"/>
      <c r="AC2252" s="18"/>
      <c r="AD2252" s="18"/>
      <c r="AE2252" s="60"/>
      <c r="AF2252" s="13"/>
      <c r="AG2252" s="68" t="e">
        <f>VLOOKUP(Takeoffs!AF2252,Sheet1!$B$6:$C$124,2,FALSE)</f>
        <v>#N/A</v>
      </c>
      <c r="AH2252" s="68"/>
      <c r="AI2252" s="18"/>
      <c r="AJ2252" s="18"/>
      <c r="AK2252" s="18"/>
      <c r="AL2252" s="60"/>
      <c r="AO2252" s="286"/>
      <c r="AP2252" s="284">
        <f t="shared" si="986"/>
        <v>0</v>
      </c>
      <c r="AQ2252" s="281">
        <f t="shared" si="987"/>
        <v>0</v>
      </c>
      <c r="AR2252" s="284">
        <f t="shared" si="988"/>
        <v>0</v>
      </c>
      <c r="AS2252" s="281">
        <f t="shared" si="989"/>
        <v>0</v>
      </c>
      <c r="AT2252" s="284">
        <f t="shared" si="990"/>
        <v>0</v>
      </c>
    </row>
    <row r="2253" spans="1:46" customFormat="1" ht="15" customHeight="1" x14ac:dyDescent="0.8">
      <c r="A2253" s="262">
        <f t="shared" si="991"/>
        <v>2253</v>
      </c>
      <c r="B2253" s="114"/>
      <c r="C2253" s="208"/>
      <c r="D2253" s="208"/>
      <c r="E2253" s="208"/>
      <c r="F2253" s="208"/>
      <c r="G2253" s="208"/>
      <c r="H2253" s="208"/>
      <c r="I2253" s="114"/>
      <c r="J2253" s="30"/>
      <c r="M2253" s="3"/>
      <c r="N2253" s="15" t="s">
        <v>114</v>
      </c>
      <c r="O2253" s="12" t="s">
        <v>158</v>
      </c>
      <c r="P2253" s="12"/>
      <c r="Q2253" s="12"/>
      <c r="R2253" s="12"/>
      <c r="S2253" s="28">
        <f>M2251</f>
        <v>9</v>
      </c>
      <c r="T2253" s="11"/>
      <c r="U2253" s="12"/>
      <c r="V2253" s="14" t="e">
        <f>U2253*#REF!</f>
        <v>#REF!</v>
      </c>
      <c r="W2253" s="14"/>
      <c r="X2253" s="26"/>
      <c r="Y2253" s="13"/>
      <c r="Z2253" s="68" t="e">
        <f>VLOOKUP(Takeoffs!Y2253,Sheet1!$B$6:$C$124,2,FALSE)</f>
        <v>#N/A</v>
      </c>
      <c r="AA2253" s="68"/>
      <c r="AB2253" s="18"/>
      <c r="AC2253" s="18"/>
      <c r="AD2253" s="18"/>
      <c r="AE2253" s="60"/>
      <c r="AF2253" s="13"/>
      <c r="AG2253" s="68" t="e">
        <f>VLOOKUP(Takeoffs!AF2253,Sheet1!$B$6:$C$124,2,FALSE)</f>
        <v>#N/A</v>
      </c>
      <c r="AH2253" s="68"/>
      <c r="AI2253" s="18"/>
      <c r="AJ2253" s="18"/>
      <c r="AK2253" s="18"/>
      <c r="AL2253" s="60"/>
      <c r="AO2253" s="286"/>
      <c r="AP2253" s="284">
        <f t="shared" si="986"/>
        <v>0</v>
      </c>
      <c r="AQ2253" s="281">
        <f t="shared" si="987"/>
        <v>0</v>
      </c>
      <c r="AR2253" s="284">
        <f t="shared" si="988"/>
        <v>0</v>
      </c>
      <c r="AS2253" s="281">
        <f t="shared" si="989"/>
        <v>0</v>
      </c>
      <c r="AT2253" s="284">
        <f t="shared" si="990"/>
        <v>0</v>
      </c>
    </row>
    <row r="2254" spans="1:46" customFormat="1" ht="15" customHeight="1" x14ac:dyDescent="0.8">
      <c r="A2254" s="262">
        <f t="shared" si="991"/>
        <v>2254</v>
      </c>
      <c r="B2254" s="114"/>
      <c r="C2254" s="208"/>
      <c r="D2254" s="208"/>
      <c r="E2254" s="208"/>
      <c r="F2254" s="208"/>
      <c r="G2254" s="208"/>
      <c r="H2254" s="208"/>
      <c r="I2254" s="114"/>
      <c r="J2254" s="30"/>
      <c r="M2254" s="3"/>
      <c r="N2254" s="15" t="s">
        <v>115</v>
      </c>
      <c r="O2254" s="12" t="s">
        <v>156</v>
      </c>
      <c r="P2254" s="12"/>
      <c r="Q2254" s="12"/>
      <c r="R2254" s="12"/>
      <c r="S2254" s="28">
        <f>M2251</f>
        <v>9</v>
      </c>
      <c r="T2254" s="11"/>
      <c r="U2254" s="12"/>
      <c r="V2254" s="14" t="e">
        <f>U2254*#REF!</f>
        <v>#REF!</v>
      </c>
      <c r="W2254" s="14"/>
      <c r="X2254" s="26"/>
      <c r="Y2254" s="13"/>
      <c r="Z2254" s="68" t="e">
        <f>VLOOKUP(Takeoffs!Y2254,Sheet1!$B$6:$C$124,2,FALSE)</f>
        <v>#N/A</v>
      </c>
      <c r="AA2254" s="68"/>
      <c r="AB2254" s="18"/>
      <c r="AC2254" s="18"/>
      <c r="AD2254" s="18"/>
      <c r="AE2254" s="60"/>
      <c r="AF2254" s="13"/>
      <c r="AG2254" s="68" t="e">
        <f>VLOOKUP(Takeoffs!AF2254,Sheet1!$B$6:$C$124,2,FALSE)</f>
        <v>#N/A</v>
      </c>
      <c r="AH2254" s="68"/>
      <c r="AI2254" s="18"/>
      <c r="AJ2254" s="18"/>
      <c r="AK2254" s="18"/>
      <c r="AL2254" s="60"/>
      <c r="AO2254" s="286"/>
      <c r="AP2254" s="284">
        <f t="shared" si="986"/>
        <v>0</v>
      </c>
      <c r="AQ2254" s="281">
        <f t="shared" si="987"/>
        <v>0</v>
      </c>
      <c r="AR2254" s="284">
        <f t="shared" si="988"/>
        <v>0</v>
      </c>
      <c r="AS2254" s="281">
        <f t="shared" si="989"/>
        <v>0</v>
      </c>
      <c r="AT2254" s="284">
        <f t="shared" si="990"/>
        <v>0</v>
      </c>
    </row>
    <row r="2255" spans="1:46" customFormat="1" ht="15" customHeight="1" x14ac:dyDescent="0.8">
      <c r="A2255" s="262">
        <f t="shared" si="991"/>
        <v>2255</v>
      </c>
      <c r="B2255" s="114"/>
      <c r="C2255" s="208"/>
      <c r="D2255" s="208"/>
      <c r="E2255" s="208"/>
      <c r="F2255" s="208"/>
      <c r="G2255" s="208"/>
      <c r="H2255" s="208"/>
      <c r="I2255" s="114"/>
      <c r="J2255" s="30"/>
      <c r="M2255" s="3"/>
      <c r="N2255" s="15" t="s">
        <v>116</v>
      </c>
      <c r="O2255" s="12" t="s">
        <v>136</v>
      </c>
      <c r="P2255" s="12"/>
      <c r="Q2255" s="12"/>
      <c r="R2255" s="12"/>
      <c r="S2255" s="28">
        <f>M2251</f>
        <v>9</v>
      </c>
      <c r="T2255" s="11"/>
      <c r="U2255" s="12"/>
      <c r="V2255" s="14" t="e">
        <f>U2255*#REF!</f>
        <v>#REF!</v>
      </c>
      <c r="W2255" s="14"/>
      <c r="X2255" s="26"/>
      <c r="Y2255" s="13"/>
      <c r="Z2255" s="68" t="e">
        <f>VLOOKUP(Takeoffs!Y2255,Sheet1!$B$6:$C$124,2,FALSE)</f>
        <v>#N/A</v>
      </c>
      <c r="AA2255" s="68"/>
      <c r="AB2255" s="18"/>
      <c r="AC2255" s="18"/>
      <c r="AD2255" s="18"/>
      <c r="AE2255" s="60"/>
      <c r="AF2255" s="13"/>
      <c r="AG2255" s="68" t="e">
        <f>VLOOKUP(Takeoffs!AF2255,Sheet1!$B$6:$C$124,2,FALSE)</f>
        <v>#N/A</v>
      </c>
      <c r="AH2255" s="68"/>
      <c r="AI2255" s="18"/>
      <c r="AJ2255" s="18"/>
      <c r="AK2255" s="18"/>
      <c r="AL2255" s="60"/>
      <c r="AO2255" s="286"/>
      <c r="AP2255" s="284">
        <f t="shared" si="986"/>
        <v>0</v>
      </c>
      <c r="AQ2255" s="281">
        <f t="shared" si="987"/>
        <v>0</v>
      </c>
      <c r="AR2255" s="284">
        <f t="shared" si="988"/>
        <v>0</v>
      </c>
      <c r="AS2255" s="281">
        <f t="shared" si="989"/>
        <v>0</v>
      </c>
      <c r="AT2255" s="284">
        <f t="shared" si="990"/>
        <v>0</v>
      </c>
    </row>
    <row r="2256" spans="1:46" customFormat="1" ht="15" customHeight="1" x14ac:dyDescent="0.8">
      <c r="A2256" s="262">
        <f t="shared" si="991"/>
        <v>2256</v>
      </c>
      <c r="B2256" s="114"/>
      <c r="C2256" s="208"/>
      <c r="D2256" s="208"/>
      <c r="E2256" s="208"/>
      <c r="F2256" s="208"/>
      <c r="G2256" s="208"/>
      <c r="H2256" s="208"/>
      <c r="I2256" s="114"/>
      <c r="J2256" s="30"/>
      <c r="M2256" s="3"/>
      <c r="N2256" s="15" t="s">
        <v>117</v>
      </c>
      <c r="O2256" s="12" t="s">
        <v>141</v>
      </c>
      <c r="P2256" s="12"/>
      <c r="Q2256" s="12"/>
      <c r="R2256" s="12"/>
      <c r="S2256" s="28">
        <f>M2251</f>
        <v>9</v>
      </c>
      <c r="T2256" s="11"/>
      <c r="U2256" s="12"/>
      <c r="V2256" s="14" t="e">
        <f>U2256*#REF!</f>
        <v>#REF!</v>
      </c>
      <c r="W2256" s="14"/>
      <c r="X2256" s="26"/>
      <c r="Y2256" s="13"/>
      <c r="Z2256" s="68" t="e">
        <f>VLOOKUP(Takeoffs!Y2256,Sheet1!$B$6:$C$124,2,FALSE)</f>
        <v>#N/A</v>
      </c>
      <c r="AA2256" s="68"/>
      <c r="AB2256" s="18"/>
      <c r="AC2256" s="18"/>
      <c r="AD2256" s="18"/>
      <c r="AE2256" s="60"/>
      <c r="AF2256" s="13"/>
      <c r="AG2256" s="68" t="e">
        <f>VLOOKUP(Takeoffs!AF2256,Sheet1!$B$6:$C$124,2,FALSE)</f>
        <v>#N/A</v>
      </c>
      <c r="AH2256" s="68"/>
      <c r="AI2256" s="18"/>
      <c r="AJ2256" s="18"/>
      <c r="AK2256" s="18"/>
      <c r="AL2256" s="60"/>
      <c r="AO2256" s="286"/>
      <c r="AP2256" s="284">
        <f t="shared" si="986"/>
        <v>0</v>
      </c>
      <c r="AQ2256" s="281">
        <f t="shared" si="987"/>
        <v>0</v>
      </c>
      <c r="AR2256" s="284">
        <f t="shared" si="988"/>
        <v>0</v>
      </c>
      <c r="AS2256" s="281">
        <f t="shared" si="989"/>
        <v>0</v>
      </c>
      <c r="AT2256" s="284">
        <f t="shared" si="990"/>
        <v>0</v>
      </c>
    </row>
    <row r="2257" spans="1:46" customFormat="1" ht="15" customHeight="1" x14ac:dyDescent="0.8">
      <c r="A2257" s="262">
        <f t="shared" si="991"/>
        <v>2257</v>
      </c>
      <c r="B2257" s="114"/>
      <c r="C2257" s="208"/>
      <c r="D2257" s="208"/>
      <c r="E2257" s="208"/>
      <c r="F2257" s="208"/>
      <c r="G2257" s="208"/>
      <c r="H2257" s="208"/>
      <c r="I2257" s="114"/>
      <c r="J2257" s="30"/>
      <c r="M2257" s="3"/>
      <c r="N2257" s="15" t="s">
        <v>118</v>
      </c>
      <c r="O2257" s="12"/>
      <c r="P2257" s="12"/>
      <c r="Q2257" s="12"/>
      <c r="R2257" s="12"/>
      <c r="S2257" s="28">
        <f>M2251</f>
        <v>9</v>
      </c>
      <c r="T2257" s="11"/>
      <c r="U2257" s="12"/>
      <c r="V2257" s="14" t="e">
        <f>U2257*#REF!</f>
        <v>#REF!</v>
      </c>
      <c r="W2257" s="14"/>
      <c r="X2257" s="26"/>
      <c r="Y2257" s="13"/>
      <c r="Z2257" s="68" t="e">
        <f>VLOOKUP(Takeoffs!Y2257,Sheet1!$B$6:$C$124,2,FALSE)</f>
        <v>#N/A</v>
      </c>
      <c r="AA2257" s="68"/>
      <c r="AB2257" s="18"/>
      <c r="AC2257" s="18"/>
      <c r="AD2257" s="18"/>
      <c r="AE2257" s="60"/>
      <c r="AF2257" s="13"/>
      <c r="AG2257" s="68" t="e">
        <f>VLOOKUP(Takeoffs!AF2257,Sheet1!$B$6:$C$124,2,FALSE)</f>
        <v>#N/A</v>
      </c>
      <c r="AH2257" s="68"/>
      <c r="AI2257" s="18"/>
      <c r="AJ2257" s="18"/>
      <c r="AK2257" s="18"/>
      <c r="AL2257" s="60"/>
      <c r="AO2257" s="286"/>
      <c r="AP2257" s="284">
        <f t="shared" si="986"/>
        <v>0</v>
      </c>
      <c r="AQ2257" s="281">
        <f t="shared" si="987"/>
        <v>0</v>
      </c>
      <c r="AR2257" s="284">
        <f t="shared" si="988"/>
        <v>0</v>
      </c>
      <c r="AS2257" s="281">
        <f t="shared" si="989"/>
        <v>0</v>
      </c>
      <c r="AT2257" s="284">
        <f t="shared" si="990"/>
        <v>0</v>
      </c>
    </row>
    <row r="2258" spans="1:46" customFormat="1" ht="15" customHeight="1" x14ac:dyDescent="0.8">
      <c r="A2258" s="262">
        <f t="shared" si="991"/>
        <v>2258</v>
      </c>
      <c r="B2258" s="114"/>
      <c r="C2258" s="208"/>
      <c r="D2258" s="208"/>
      <c r="E2258" s="208"/>
      <c r="F2258" s="208"/>
      <c r="G2258" s="208"/>
      <c r="H2258" s="208"/>
      <c r="I2258" s="114"/>
      <c r="J2258" s="30"/>
      <c r="N2258" s="15" t="s">
        <v>119</v>
      </c>
      <c r="O2258" s="12"/>
      <c r="P2258" s="12"/>
      <c r="Q2258" s="12"/>
      <c r="R2258" s="12"/>
      <c r="S2258" s="28">
        <f>M2251</f>
        <v>9</v>
      </c>
      <c r="T2258" s="11"/>
      <c r="U2258" s="12"/>
      <c r="V2258" s="14" t="e">
        <f>U2258*#REF!</f>
        <v>#REF!</v>
      </c>
      <c r="W2258" s="14"/>
      <c r="X2258" s="26"/>
      <c r="Y2258" s="13"/>
      <c r="Z2258" s="68" t="e">
        <f>VLOOKUP(Takeoffs!Y2258,Sheet1!$B$6:$C$124,2,FALSE)</f>
        <v>#N/A</v>
      </c>
      <c r="AA2258" s="68"/>
      <c r="AB2258" s="18"/>
      <c r="AC2258" s="18"/>
      <c r="AD2258" s="18"/>
      <c r="AE2258" s="60"/>
      <c r="AF2258" s="13"/>
      <c r="AG2258" s="68" t="e">
        <f>VLOOKUP(Takeoffs!AF2258,Sheet1!$B$6:$C$124,2,FALSE)</f>
        <v>#N/A</v>
      </c>
      <c r="AH2258" s="68"/>
      <c r="AI2258" s="18"/>
      <c r="AJ2258" s="18"/>
      <c r="AK2258" s="18"/>
      <c r="AL2258" s="60"/>
      <c r="AO2258" s="286"/>
      <c r="AP2258" s="284">
        <f t="shared" si="986"/>
        <v>0</v>
      </c>
      <c r="AQ2258" s="281">
        <f t="shared" si="987"/>
        <v>0</v>
      </c>
      <c r="AR2258" s="284">
        <f t="shared" si="988"/>
        <v>0</v>
      </c>
      <c r="AS2258" s="281">
        <f t="shared" si="989"/>
        <v>0</v>
      </c>
      <c r="AT2258" s="284">
        <f t="shared" si="990"/>
        <v>0</v>
      </c>
    </row>
    <row r="2259" spans="1:46" customFormat="1" ht="15" customHeight="1" x14ac:dyDescent="0.8">
      <c r="A2259" s="262">
        <f t="shared" si="991"/>
        <v>2259</v>
      </c>
      <c r="B2259" s="114"/>
      <c r="C2259" s="208"/>
      <c r="D2259" s="208"/>
      <c r="E2259" s="208"/>
      <c r="F2259" s="208"/>
      <c r="G2259" s="208"/>
      <c r="H2259" s="208"/>
      <c r="I2259" s="114"/>
      <c r="J2259" s="30"/>
      <c r="N2259" s="15" t="s">
        <v>120</v>
      </c>
      <c r="O2259" s="12"/>
      <c r="P2259" s="12"/>
      <c r="Q2259" s="12"/>
      <c r="R2259" s="12"/>
      <c r="S2259" s="28">
        <f>M2251</f>
        <v>9</v>
      </c>
      <c r="T2259" s="11"/>
      <c r="U2259" s="12"/>
      <c r="V2259" s="14" t="e">
        <f>U2259*#REF!</f>
        <v>#REF!</v>
      </c>
      <c r="W2259" s="14"/>
      <c r="X2259" s="26"/>
      <c r="Y2259" s="13"/>
      <c r="Z2259" s="68" t="e">
        <f>VLOOKUP(Takeoffs!Y2259,Sheet1!$B$6:$C$124,2,FALSE)</f>
        <v>#N/A</v>
      </c>
      <c r="AA2259" s="68"/>
      <c r="AB2259" s="18"/>
      <c r="AC2259" s="18"/>
      <c r="AD2259" s="18"/>
      <c r="AE2259" s="60"/>
      <c r="AF2259" s="13"/>
      <c r="AG2259" s="68" t="e">
        <f>VLOOKUP(Takeoffs!AF2259,Sheet1!$B$6:$C$124,2,FALSE)</f>
        <v>#N/A</v>
      </c>
      <c r="AH2259" s="68"/>
      <c r="AI2259" s="18"/>
      <c r="AJ2259" s="18"/>
      <c r="AK2259" s="18"/>
      <c r="AL2259" s="60"/>
      <c r="AO2259" s="286"/>
      <c r="AP2259" s="284">
        <f t="shared" si="986"/>
        <v>0</v>
      </c>
      <c r="AQ2259" s="281">
        <f t="shared" si="987"/>
        <v>0</v>
      </c>
      <c r="AR2259" s="284">
        <f t="shared" si="988"/>
        <v>0</v>
      </c>
      <c r="AS2259" s="281">
        <f t="shared" si="989"/>
        <v>0</v>
      </c>
      <c r="AT2259" s="284">
        <f t="shared" si="990"/>
        <v>0</v>
      </c>
    </row>
    <row r="2260" spans="1:46" customFormat="1" ht="15" customHeight="1" x14ac:dyDescent="0.8">
      <c r="A2260" s="262">
        <f t="shared" si="991"/>
        <v>2260</v>
      </c>
      <c r="B2260" s="114"/>
      <c r="C2260" s="208"/>
      <c r="D2260" s="208"/>
      <c r="E2260" s="208"/>
      <c r="F2260" s="208"/>
      <c r="G2260" s="208"/>
      <c r="H2260" s="208"/>
      <c r="I2260" s="114"/>
      <c r="J2260" s="30"/>
      <c r="N2260" s="15" t="s">
        <v>121</v>
      </c>
      <c r="O2260" s="12"/>
      <c r="P2260" s="12"/>
      <c r="Q2260" s="12"/>
      <c r="R2260" s="12"/>
      <c r="S2260" s="28">
        <f>M2251</f>
        <v>9</v>
      </c>
      <c r="T2260" s="11"/>
      <c r="U2260" s="12"/>
      <c r="V2260" s="14" t="e">
        <f>U2260*#REF!</f>
        <v>#REF!</v>
      </c>
      <c r="W2260" s="14"/>
      <c r="X2260" s="26"/>
      <c r="Y2260" s="13"/>
      <c r="Z2260" s="68" t="e">
        <f>VLOOKUP(Takeoffs!Y2260,Sheet1!$B$6:$C$124,2,FALSE)</f>
        <v>#N/A</v>
      </c>
      <c r="AA2260" s="68"/>
      <c r="AB2260" s="18"/>
      <c r="AC2260" s="18"/>
      <c r="AD2260" s="18"/>
      <c r="AE2260" s="60"/>
      <c r="AF2260" s="13"/>
      <c r="AG2260" s="68" t="e">
        <f>VLOOKUP(Takeoffs!AF2260,Sheet1!$B$6:$C$124,2,FALSE)</f>
        <v>#N/A</v>
      </c>
      <c r="AH2260" s="68"/>
      <c r="AI2260" s="18"/>
      <c r="AJ2260" s="18"/>
      <c r="AK2260" s="18"/>
      <c r="AL2260" s="60"/>
      <c r="AO2260" s="286"/>
      <c r="AP2260" s="284">
        <f t="shared" si="986"/>
        <v>0</v>
      </c>
      <c r="AQ2260" s="281">
        <f t="shared" si="987"/>
        <v>0</v>
      </c>
      <c r="AR2260" s="284">
        <f t="shared" si="988"/>
        <v>0</v>
      </c>
      <c r="AS2260" s="281">
        <f t="shared" si="989"/>
        <v>0</v>
      </c>
      <c r="AT2260" s="284">
        <f t="shared" si="990"/>
        <v>0</v>
      </c>
    </row>
    <row r="2261" spans="1:46" customFormat="1" ht="15" customHeight="1" x14ac:dyDescent="0.8">
      <c r="A2261" s="262">
        <f t="shared" si="991"/>
        <v>2261</v>
      </c>
      <c r="B2261" s="114"/>
      <c r="C2261" s="208"/>
      <c r="D2261" s="208"/>
      <c r="E2261" s="208"/>
      <c r="F2261" s="208"/>
      <c r="G2261" s="208"/>
      <c r="H2261" s="208"/>
      <c r="I2261" s="114"/>
      <c r="J2261" s="30"/>
      <c r="N2261" s="15" t="s">
        <v>122</v>
      </c>
      <c r="O2261" s="12"/>
      <c r="P2261" s="12"/>
      <c r="Q2261" s="12"/>
      <c r="R2261" s="12"/>
      <c r="S2261" s="28">
        <f>M2251</f>
        <v>9</v>
      </c>
      <c r="T2261" s="11"/>
      <c r="U2261" s="12"/>
      <c r="V2261" s="14" t="e">
        <f>U2261*#REF!</f>
        <v>#REF!</v>
      </c>
      <c r="W2261" s="14"/>
      <c r="X2261" s="26"/>
      <c r="Y2261" s="13"/>
      <c r="Z2261" s="68" t="e">
        <f>VLOOKUP(Takeoffs!Y2261,Sheet1!$B$6:$C$124,2,FALSE)</f>
        <v>#N/A</v>
      </c>
      <c r="AA2261" s="68"/>
      <c r="AB2261" s="18"/>
      <c r="AC2261" s="18"/>
      <c r="AD2261" s="18"/>
      <c r="AE2261" s="60"/>
      <c r="AF2261" s="13"/>
      <c r="AG2261" s="68" t="e">
        <f>VLOOKUP(Takeoffs!AF2261,Sheet1!$B$6:$C$124,2,FALSE)</f>
        <v>#N/A</v>
      </c>
      <c r="AH2261" s="68"/>
      <c r="AI2261" s="18"/>
      <c r="AJ2261" s="18"/>
      <c r="AK2261" s="18"/>
      <c r="AL2261" s="60"/>
      <c r="AO2261" s="286"/>
      <c r="AP2261" s="284">
        <f t="shared" si="986"/>
        <v>0</v>
      </c>
      <c r="AQ2261" s="281">
        <f t="shared" si="987"/>
        <v>0</v>
      </c>
      <c r="AR2261" s="284">
        <f t="shared" si="988"/>
        <v>0</v>
      </c>
      <c r="AS2261" s="281">
        <f t="shared" si="989"/>
        <v>0</v>
      </c>
      <c r="AT2261" s="284">
        <f t="shared" si="990"/>
        <v>0</v>
      </c>
    </row>
    <row r="2262" spans="1:46" customFormat="1" ht="15" customHeight="1" x14ac:dyDescent="0.8">
      <c r="A2262" s="262">
        <f t="shared" si="991"/>
        <v>2262</v>
      </c>
      <c r="B2262" s="114"/>
      <c r="C2262" s="208"/>
      <c r="D2262" s="208"/>
      <c r="E2262" s="208"/>
      <c r="F2262" s="208"/>
      <c r="G2262" s="208"/>
      <c r="H2262" s="208"/>
      <c r="I2262" s="114"/>
      <c r="J2262" s="30"/>
      <c r="N2262" s="15" t="s">
        <v>123</v>
      </c>
      <c r="O2262" s="12"/>
      <c r="P2262" s="12"/>
      <c r="Q2262" s="12"/>
      <c r="R2262" s="12"/>
      <c r="S2262" s="28">
        <f>M2251</f>
        <v>9</v>
      </c>
      <c r="T2262" s="11"/>
      <c r="U2262" s="12"/>
      <c r="V2262" s="14" t="e">
        <f>U2262*#REF!</f>
        <v>#REF!</v>
      </c>
      <c r="W2262" s="14"/>
      <c r="X2262" s="26"/>
      <c r="Y2262" s="13"/>
      <c r="Z2262" s="68" t="e">
        <f>VLOOKUP(Takeoffs!Y2262,Sheet1!$B$6:$C$124,2,FALSE)</f>
        <v>#N/A</v>
      </c>
      <c r="AA2262" s="68"/>
      <c r="AB2262" s="18"/>
      <c r="AC2262" s="18"/>
      <c r="AD2262" s="18"/>
      <c r="AE2262" s="60"/>
      <c r="AF2262" s="13"/>
      <c r="AG2262" s="68" t="e">
        <f>VLOOKUP(Takeoffs!AF2262,Sheet1!$B$6:$C$124,2,FALSE)</f>
        <v>#N/A</v>
      </c>
      <c r="AH2262" s="68"/>
      <c r="AI2262" s="18"/>
      <c r="AJ2262" s="18"/>
      <c r="AK2262" s="18"/>
      <c r="AL2262" s="60"/>
      <c r="AO2262" s="286"/>
      <c r="AP2262" s="284">
        <f t="shared" si="986"/>
        <v>0</v>
      </c>
      <c r="AQ2262" s="281">
        <f t="shared" si="987"/>
        <v>0</v>
      </c>
      <c r="AR2262" s="284">
        <f t="shared" si="988"/>
        <v>0</v>
      </c>
      <c r="AS2262" s="281">
        <f t="shared" si="989"/>
        <v>0</v>
      </c>
      <c r="AT2262" s="284">
        <f t="shared" si="990"/>
        <v>0</v>
      </c>
    </row>
    <row r="2263" spans="1:46" customFormat="1" ht="15" customHeight="1" x14ac:dyDescent="0.8">
      <c r="A2263" s="262">
        <f t="shared" si="991"/>
        <v>2263</v>
      </c>
      <c r="B2263" s="114"/>
      <c r="C2263" s="208"/>
      <c r="D2263" s="208"/>
      <c r="E2263" s="208"/>
      <c r="F2263" s="208"/>
      <c r="G2263" s="208"/>
      <c r="H2263" s="208"/>
      <c r="I2263" s="114"/>
      <c r="J2263" s="30"/>
      <c r="N2263" s="15" t="s">
        <v>124</v>
      </c>
      <c r="O2263" s="12"/>
      <c r="P2263" s="12"/>
      <c r="Q2263" s="12"/>
      <c r="R2263" s="12"/>
      <c r="S2263" s="28">
        <f>M2251</f>
        <v>9</v>
      </c>
      <c r="T2263" s="11"/>
      <c r="U2263" s="12"/>
      <c r="V2263" s="14" t="e">
        <f>U2263*#REF!</f>
        <v>#REF!</v>
      </c>
      <c r="W2263" s="14"/>
      <c r="X2263" s="26"/>
      <c r="Y2263" s="13"/>
      <c r="Z2263" s="68" t="e">
        <f>VLOOKUP(Takeoffs!Y2263,Sheet1!$B$6:$C$124,2,FALSE)</f>
        <v>#N/A</v>
      </c>
      <c r="AA2263" s="68"/>
      <c r="AB2263" s="18"/>
      <c r="AC2263" s="18"/>
      <c r="AD2263" s="18"/>
      <c r="AE2263" s="60"/>
      <c r="AF2263" s="13"/>
      <c r="AG2263" s="68" t="e">
        <f>VLOOKUP(Takeoffs!AF2263,Sheet1!$B$6:$C$124,2,FALSE)</f>
        <v>#N/A</v>
      </c>
      <c r="AH2263" s="68"/>
      <c r="AI2263" s="18"/>
      <c r="AJ2263" s="18"/>
      <c r="AK2263" s="18"/>
      <c r="AL2263" s="60"/>
      <c r="AO2263" s="286"/>
      <c r="AP2263" s="284">
        <f t="shared" si="986"/>
        <v>0</v>
      </c>
      <c r="AQ2263" s="281">
        <f t="shared" si="987"/>
        <v>0</v>
      </c>
      <c r="AR2263" s="284">
        <f t="shared" si="988"/>
        <v>0</v>
      </c>
      <c r="AS2263" s="281">
        <f t="shared" si="989"/>
        <v>0</v>
      </c>
      <c r="AT2263" s="284">
        <f t="shared" si="990"/>
        <v>0</v>
      </c>
    </row>
    <row r="2264" spans="1:46" customFormat="1" ht="15" customHeight="1" x14ac:dyDescent="0.8">
      <c r="A2264" s="262">
        <f t="shared" si="991"/>
        <v>2264</v>
      </c>
      <c r="B2264" s="114"/>
      <c r="C2264" s="208"/>
      <c r="D2264" s="208"/>
      <c r="E2264" s="208"/>
      <c r="F2264" s="208"/>
      <c r="G2264" s="208"/>
      <c r="H2264" s="208"/>
      <c r="I2264" s="114"/>
      <c r="J2264" s="30"/>
      <c r="N2264" s="15" t="s">
        <v>125</v>
      </c>
      <c r="O2264" s="12"/>
      <c r="P2264" s="12"/>
      <c r="Q2264" s="12"/>
      <c r="R2264" s="12"/>
      <c r="S2264" s="28">
        <f>M2251</f>
        <v>9</v>
      </c>
      <c r="T2264" s="11"/>
      <c r="U2264" s="12"/>
      <c r="V2264" s="14" t="e">
        <f>U2264*#REF!</f>
        <v>#REF!</v>
      </c>
      <c r="W2264" s="14"/>
      <c r="X2264" s="26"/>
      <c r="Y2264" s="13"/>
      <c r="Z2264" s="68" t="e">
        <f>VLOOKUP(Takeoffs!Y2264,Sheet1!$B$6:$C$124,2,FALSE)</f>
        <v>#N/A</v>
      </c>
      <c r="AA2264" s="68"/>
      <c r="AB2264" s="18"/>
      <c r="AC2264" s="18"/>
      <c r="AD2264" s="18"/>
      <c r="AE2264" s="60"/>
      <c r="AF2264" s="13"/>
      <c r="AG2264" s="68" t="e">
        <f>VLOOKUP(Takeoffs!AF2264,Sheet1!$B$6:$C$124,2,FALSE)</f>
        <v>#N/A</v>
      </c>
      <c r="AH2264" s="68"/>
      <c r="AI2264" s="18"/>
      <c r="AJ2264" s="18"/>
      <c r="AK2264" s="18"/>
      <c r="AL2264" s="60"/>
      <c r="AO2264" s="286"/>
      <c r="AP2264" s="284">
        <f t="shared" si="986"/>
        <v>0</v>
      </c>
      <c r="AQ2264" s="281">
        <f t="shared" si="987"/>
        <v>0</v>
      </c>
      <c r="AR2264" s="284">
        <f t="shared" si="988"/>
        <v>0</v>
      </c>
      <c r="AS2264" s="281">
        <f t="shared" si="989"/>
        <v>0</v>
      </c>
      <c r="AT2264" s="284">
        <f t="shared" si="990"/>
        <v>0</v>
      </c>
    </row>
    <row r="2265" spans="1:46" customFormat="1" ht="15" customHeight="1" x14ac:dyDescent="0.8">
      <c r="A2265" s="262">
        <f t="shared" si="991"/>
        <v>2265</v>
      </c>
      <c r="B2265" s="114"/>
      <c r="C2265" s="208"/>
      <c r="D2265" s="208"/>
      <c r="E2265" s="208"/>
      <c r="F2265" s="208"/>
      <c r="G2265" s="208"/>
      <c r="H2265" s="208"/>
      <c r="I2265" s="114"/>
      <c r="J2265" s="30"/>
      <c r="N2265" s="15" t="s">
        <v>126</v>
      </c>
      <c r="O2265" s="12"/>
      <c r="P2265" s="12"/>
      <c r="Q2265" s="12"/>
      <c r="R2265" s="12"/>
      <c r="S2265" s="28">
        <f>M2251</f>
        <v>9</v>
      </c>
      <c r="T2265" s="11"/>
      <c r="U2265" s="12"/>
      <c r="V2265" s="14" t="e">
        <f>U2265*#REF!</f>
        <v>#REF!</v>
      </c>
      <c r="W2265" s="14"/>
      <c r="X2265" s="26"/>
      <c r="Y2265" s="13"/>
      <c r="Z2265" s="68" t="e">
        <f>VLOOKUP(Takeoffs!Y2265,Sheet1!$B$6:$C$124,2,FALSE)</f>
        <v>#N/A</v>
      </c>
      <c r="AA2265" s="68"/>
      <c r="AB2265" s="18"/>
      <c r="AC2265" s="18"/>
      <c r="AD2265" s="18"/>
      <c r="AE2265" s="60"/>
      <c r="AF2265" s="13"/>
      <c r="AG2265" s="68" t="e">
        <f>VLOOKUP(Takeoffs!AF2265,Sheet1!$B$6:$C$124,2,FALSE)</f>
        <v>#N/A</v>
      </c>
      <c r="AH2265" s="68"/>
      <c r="AI2265" s="18"/>
      <c r="AJ2265" s="18"/>
      <c r="AK2265" s="18"/>
      <c r="AL2265" s="60"/>
      <c r="AO2265" s="286"/>
      <c r="AP2265" s="284">
        <f t="shared" si="986"/>
        <v>0</v>
      </c>
      <c r="AQ2265" s="281">
        <f t="shared" si="987"/>
        <v>0</v>
      </c>
      <c r="AR2265" s="284">
        <f t="shared" si="988"/>
        <v>0</v>
      </c>
      <c r="AS2265" s="281">
        <f t="shared" si="989"/>
        <v>0</v>
      </c>
      <c r="AT2265" s="284">
        <f t="shared" si="990"/>
        <v>0</v>
      </c>
    </row>
    <row r="2266" spans="1:46" customFormat="1" ht="15" customHeight="1" x14ac:dyDescent="0.8">
      <c r="A2266" s="262">
        <f t="shared" si="991"/>
        <v>2266</v>
      </c>
      <c r="B2266" s="114"/>
      <c r="C2266" s="208"/>
      <c r="D2266" s="208"/>
      <c r="E2266" s="208"/>
      <c r="F2266" s="208"/>
      <c r="G2266" s="208"/>
      <c r="H2266" s="208"/>
      <c r="I2266" s="114"/>
      <c r="J2266" s="30"/>
      <c r="N2266" s="15" t="s">
        <v>127</v>
      </c>
      <c r="O2266" s="12"/>
      <c r="P2266" s="12"/>
      <c r="Q2266" s="12"/>
      <c r="R2266" s="12"/>
      <c r="S2266" s="28">
        <f>M2251</f>
        <v>9</v>
      </c>
      <c r="T2266" s="11"/>
      <c r="U2266" s="12"/>
      <c r="V2266" s="14" t="e">
        <f>U2266*#REF!</f>
        <v>#REF!</v>
      </c>
      <c r="W2266" s="14"/>
      <c r="X2266" s="26"/>
      <c r="Y2266" s="13"/>
      <c r="Z2266" s="68" t="e">
        <f>VLOOKUP(Takeoffs!Y2266,Sheet1!$B$6:$C$124,2,FALSE)</f>
        <v>#N/A</v>
      </c>
      <c r="AA2266" s="68"/>
      <c r="AB2266" s="18"/>
      <c r="AC2266" s="18"/>
      <c r="AD2266" s="18"/>
      <c r="AE2266" s="60"/>
      <c r="AF2266" s="13"/>
      <c r="AG2266" s="68" t="e">
        <f>VLOOKUP(Takeoffs!AF2266,Sheet1!$B$6:$C$124,2,FALSE)</f>
        <v>#N/A</v>
      </c>
      <c r="AH2266" s="68"/>
      <c r="AI2266" s="18"/>
      <c r="AJ2266" s="18"/>
      <c r="AK2266" s="18"/>
      <c r="AL2266" s="60"/>
      <c r="AO2266" s="286"/>
      <c r="AP2266" s="284">
        <f t="shared" si="986"/>
        <v>0</v>
      </c>
      <c r="AQ2266" s="281">
        <f t="shared" si="987"/>
        <v>0</v>
      </c>
      <c r="AR2266" s="284">
        <f t="shared" si="988"/>
        <v>0</v>
      </c>
      <c r="AS2266" s="281">
        <f t="shared" si="989"/>
        <v>0</v>
      </c>
      <c r="AT2266" s="284">
        <f t="shared" si="990"/>
        <v>0</v>
      </c>
    </row>
    <row r="2267" spans="1:46" customFormat="1" ht="15" customHeight="1" x14ac:dyDescent="0.8">
      <c r="A2267" s="262">
        <f t="shared" si="991"/>
        <v>2267</v>
      </c>
      <c r="B2267" s="114"/>
      <c r="C2267" s="208"/>
      <c r="D2267" s="208"/>
      <c r="E2267" s="208"/>
      <c r="F2267" s="208"/>
      <c r="G2267" s="208"/>
      <c r="H2267" s="208"/>
      <c r="I2267" s="114"/>
      <c r="J2267" s="30"/>
      <c r="N2267" s="15" t="s">
        <v>128</v>
      </c>
      <c r="O2267" s="12"/>
      <c r="P2267" s="12"/>
      <c r="Q2267" s="12"/>
      <c r="R2267" s="12"/>
      <c r="S2267" s="28">
        <f>M2251</f>
        <v>9</v>
      </c>
      <c r="T2267" s="11"/>
      <c r="U2267" s="12"/>
      <c r="V2267" s="14" t="e">
        <f>U2267*#REF!</f>
        <v>#REF!</v>
      </c>
      <c r="W2267" s="14"/>
      <c r="X2267" s="26"/>
      <c r="Y2267" s="13"/>
      <c r="Z2267" s="68" t="e">
        <f>VLOOKUP(Takeoffs!Y2267,Sheet1!$B$6:$C$124,2,FALSE)</f>
        <v>#N/A</v>
      </c>
      <c r="AA2267" s="68"/>
      <c r="AB2267" s="18"/>
      <c r="AC2267" s="18"/>
      <c r="AD2267" s="18"/>
      <c r="AE2267" s="60"/>
      <c r="AF2267" s="13"/>
      <c r="AG2267" s="68" t="e">
        <f>VLOOKUP(Takeoffs!AF2267,Sheet1!$B$6:$C$124,2,FALSE)</f>
        <v>#N/A</v>
      </c>
      <c r="AH2267" s="68"/>
      <c r="AI2267" s="18"/>
      <c r="AJ2267" s="18"/>
      <c r="AK2267" s="18"/>
      <c r="AL2267" s="60"/>
      <c r="AO2267" s="286"/>
      <c r="AP2267" s="284">
        <f t="shared" si="986"/>
        <v>0</v>
      </c>
      <c r="AQ2267" s="281">
        <f t="shared" si="987"/>
        <v>0</v>
      </c>
      <c r="AR2267" s="284">
        <f t="shared" si="988"/>
        <v>0</v>
      </c>
      <c r="AS2267" s="281">
        <f t="shared" si="989"/>
        <v>0</v>
      </c>
      <c r="AT2267" s="284">
        <f t="shared" si="990"/>
        <v>0</v>
      </c>
    </row>
    <row r="2268" spans="1:46" customFormat="1" ht="15" customHeight="1" x14ac:dyDescent="0.8">
      <c r="A2268" s="262">
        <f t="shared" si="991"/>
        <v>2268</v>
      </c>
      <c r="B2268" s="114"/>
      <c r="C2268" s="208"/>
      <c r="D2268" s="208"/>
      <c r="E2268" s="208"/>
      <c r="F2268" s="208"/>
      <c r="G2268" s="208"/>
      <c r="H2268" s="208"/>
      <c r="I2268" s="114"/>
      <c r="J2268" s="30"/>
      <c r="N2268" s="15" t="s">
        <v>129</v>
      </c>
      <c r="O2268" s="12"/>
      <c r="P2268" s="12"/>
      <c r="Q2268" s="12"/>
      <c r="R2268" s="12"/>
      <c r="S2268" s="28">
        <f>M2251</f>
        <v>9</v>
      </c>
      <c r="T2268" s="11"/>
      <c r="U2268" s="12"/>
      <c r="V2268" s="14" t="e">
        <f>U2268*#REF!</f>
        <v>#REF!</v>
      </c>
      <c r="W2268" s="14"/>
      <c r="X2268" s="26"/>
      <c r="Y2268" s="13"/>
      <c r="Z2268" s="68" t="e">
        <f>VLOOKUP(Takeoffs!Y2268,Sheet1!$B$6:$C$124,2,FALSE)</f>
        <v>#N/A</v>
      </c>
      <c r="AA2268" s="68"/>
      <c r="AB2268" s="18"/>
      <c r="AC2268" s="18"/>
      <c r="AD2268" s="18"/>
      <c r="AE2268" s="60"/>
      <c r="AF2268" s="13"/>
      <c r="AG2268" s="68" t="e">
        <f>VLOOKUP(Takeoffs!AF2268,Sheet1!$B$6:$C$124,2,FALSE)</f>
        <v>#N/A</v>
      </c>
      <c r="AH2268" s="68"/>
      <c r="AI2268" s="18"/>
      <c r="AJ2268" s="18"/>
      <c r="AK2268" s="18"/>
      <c r="AL2268" s="60"/>
      <c r="AO2268" s="286"/>
      <c r="AP2268" s="284">
        <f t="shared" si="986"/>
        <v>0</v>
      </c>
      <c r="AQ2268" s="281">
        <f t="shared" si="987"/>
        <v>0</v>
      </c>
      <c r="AR2268" s="284">
        <f t="shared" si="988"/>
        <v>0</v>
      </c>
      <c r="AS2268" s="281">
        <f t="shared" si="989"/>
        <v>0</v>
      </c>
      <c r="AT2268" s="284">
        <f t="shared" si="990"/>
        <v>0</v>
      </c>
    </row>
    <row r="2269" spans="1:46" customFormat="1" ht="15" customHeight="1" x14ac:dyDescent="0.8">
      <c r="A2269" s="262">
        <f t="shared" si="991"/>
        <v>2269</v>
      </c>
      <c r="B2269" s="114"/>
      <c r="C2269" s="208"/>
      <c r="D2269" s="208"/>
      <c r="E2269" s="208"/>
      <c r="F2269" s="208"/>
      <c r="G2269" s="208"/>
      <c r="H2269" s="208"/>
      <c r="I2269" s="114"/>
      <c r="J2269" s="30"/>
      <c r="N2269" s="15" t="s">
        <v>130</v>
      </c>
      <c r="O2269" s="12"/>
      <c r="P2269" s="12"/>
      <c r="Q2269" s="12"/>
      <c r="R2269" s="12"/>
      <c r="S2269" s="28">
        <f>M2251</f>
        <v>9</v>
      </c>
      <c r="T2269" s="11"/>
      <c r="U2269" s="12"/>
      <c r="V2269" s="14" t="e">
        <f>U2269*#REF!</f>
        <v>#REF!</v>
      </c>
      <c r="W2269" s="14"/>
      <c r="X2269" s="26"/>
      <c r="Y2269" s="13"/>
      <c r="Z2269" s="68" t="e">
        <f>VLOOKUP(Takeoffs!Y2269,Sheet1!$B$6:$C$124,2,FALSE)</f>
        <v>#N/A</v>
      </c>
      <c r="AA2269" s="68"/>
      <c r="AB2269" s="18"/>
      <c r="AC2269" s="18"/>
      <c r="AD2269" s="18"/>
      <c r="AE2269" s="60"/>
      <c r="AF2269" s="13"/>
      <c r="AG2269" s="68" t="e">
        <f>VLOOKUP(Takeoffs!AF2269,Sheet1!$B$6:$C$124,2,FALSE)</f>
        <v>#N/A</v>
      </c>
      <c r="AH2269" s="68"/>
      <c r="AI2269" s="18"/>
      <c r="AJ2269" s="18"/>
      <c r="AK2269" s="18"/>
      <c r="AL2269" s="60"/>
      <c r="AO2269" s="286"/>
      <c r="AP2269" s="284">
        <f t="shared" si="986"/>
        <v>0</v>
      </c>
      <c r="AQ2269" s="281">
        <f t="shared" si="987"/>
        <v>0</v>
      </c>
      <c r="AR2269" s="284">
        <f t="shared" si="988"/>
        <v>0</v>
      </c>
      <c r="AS2269" s="281">
        <f t="shared" si="989"/>
        <v>0</v>
      </c>
      <c r="AT2269" s="284">
        <f t="shared" si="990"/>
        <v>0</v>
      </c>
    </row>
    <row r="2270" spans="1:46" customFormat="1" ht="15" customHeight="1" x14ac:dyDescent="0.8">
      <c r="A2270" s="262">
        <f t="shared" si="991"/>
        <v>2270</v>
      </c>
      <c r="B2270" s="114"/>
      <c r="C2270" s="208"/>
      <c r="D2270" s="208"/>
      <c r="E2270" s="208"/>
      <c r="F2270" s="208"/>
      <c r="G2270" s="208"/>
      <c r="H2270" s="208"/>
      <c r="I2270" s="114"/>
      <c r="J2270" s="30"/>
      <c r="N2270" s="15" t="s">
        <v>131</v>
      </c>
      <c r="O2270" s="12"/>
      <c r="P2270" s="12"/>
      <c r="Q2270" s="12"/>
      <c r="R2270" s="12"/>
      <c r="S2270" s="28">
        <f>M2251</f>
        <v>9</v>
      </c>
      <c r="T2270" s="11"/>
      <c r="U2270" s="12"/>
      <c r="V2270" s="14" t="e">
        <f>U2270*#REF!</f>
        <v>#REF!</v>
      </c>
      <c r="W2270" s="14"/>
      <c r="X2270" s="26"/>
      <c r="Y2270" s="13"/>
      <c r="Z2270" s="68" t="e">
        <f>VLOOKUP(Takeoffs!Y2270,Sheet1!$B$6:$C$124,2,FALSE)</f>
        <v>#N/A</v>
      </c>
      <c r="AA2270" s="68"/>
      <c r="AB2270" s="18"/>
      <c r="AC2270" s="18"/>
      <c r="AD2270" s="18"/>
      <c r="AE2270" s="60"/>
      <c r="AF2270" s="13"/>
      <c r="AG2270" s="68" t="e">
        <f>VLOOKUP(Takeoffs!AF2270,Sheet1!$B$6:$C$124,2,FALSE)</f>
        <v>#N/A</v>
      </c>
      <c r="AH2270" s="68"/>
      <c r="AI2270" s="18"/>
      <c r="AJ2270" s="18"/>
      <c r="AK2270" s="18"/>
      <c r="AL2270" s="60"/>
      <c r="AO2270" s="286"/>
      <c r="AP2270" s="284">
        <f t="shared" si="986"/>
        <v>0</v>
      </c>
      <c r="AQ2270" s="281">
        <f t="shared" si="987"/>
        <v>0</v>
      </c>
      <c r="AR2270" s="284">
        <f t="shared" si="988"/>
        <v>0</v>
      </c>
      <c r="AS2270" s="281">
        <f t="shared" si="989"/>
        <v>0</v>
      </c>
      <c r="AT2270" s="284">
        <f t="shared" si="990"/>
        <v>0</v>
      </c>
    </row>
    <row r="2271" spans="1:46" customFormat="1" ht="15" customHeight="1" x14ac:dyDescent="0.8">
      <c r="A2271" s="262">
        <f t="shared" si="991"/>
        <v>2271</v>
      </c>
      <c r="B2271" s="114"/>
      <c r="C2271" s="208"/>
      <c r="D2271" s="208"/>
      <c r="E2271" s="208"/>
      <c r="F2271" s="208"/>
      <c r="G2271" s="208"/>
      <c r="H2271" s="208"/>
      <c r="I2271" s="114"/>
      <c r="J2271" s="30"/>
      <c r="N2271" s="15" t="s">
        <v>132</v>
      </c>
      <c r="O2271" s="12"/>
      <c r="P2271" s="12"/>
      <c r="Q2271" s="12"/>
      <c r="R2271" s="12"/>
      <c r="S2271" s="28">
        <f>M2251</f>
        <v>9</v>
      </c>
      <c r="T2271" s="11"/>
      <c r="U2271" s="12"/>
      <c r="V2271" s="14" t="e">
        <f>U2271*#REF!</f>
        <v>#REF!</v>
      </c>
      <c r="W2271" s="14"/>
      <c r="X2271" s="26"/>
      <c r="Y2271" s="13"/>
      <c r="Z2271" s="68" t="e">
        <f>VLOOKUP(Takeoffs!Y2271,Sheet1!$B$6:$C$124,2,FALSE)</f>
        <v>#N/A</v>
      </c>
      <c r="AA2271" s="68"/>
      <c r="AB2271" s="18"/>
      <c r="AC2271" s="18"/>
      <c r="AD2271" s="18"/>
      <c r="AE2271" s="60"/>
      <c r="AF2271" s="13"/>
      <c r="AG2271" s="68" t="e">
        <f>VLOOKUP(Takeoffs!AF2271,Sheet1!$B$6:$C$124,2,FALSE)</f>
        <v>#N/A</v>
      </c>
      <c r="AH2271" s="68"/>
      <c r="AI2271" s="18"/>
      <c r="AJ2271" s="18"/>
      <c r="AK2271" s="18"/>
      <c r="AL2271" s="60"/>
      <c r="AO2271" s="286"/>
      <c r="AP2271" s="284">
        <f t="shared" si="986"/>
        <v>0</v>
      </c>
      <c r="AQ2271" s="281">
        <f t="shared" si="987"/>
        <v>0</v>
      </c>
      <c r="AR2271" s="284">
        <f t="shared" si="988"/>
        <v>0</v>
      </c>
      <c r="AS2271" s="281">
        <f t="shared" si="989"/>
        <v>0</v>
      </c>
      <c r="AT2271" s="284">
        <f t="shared" si="990"/>
        <v>0</v>
      </c>
    </row>
    <row r="2272" spans="1:46" s="21" customFormat="1" ht="33.75" customHeight="1" x14ac:dyDescent="0.8">
      <c r="A2272" s="262">
        <f t="shared" si="991"/>
        <v>2272</v>
      </c>
      <c r="B2272" s="128"/>
      <c r="C2272" s="212"/>
      <c r="D2272" s="212"/>
      <c r="E2272" s="212"/>
      <c r="F2272" s="212"/>
      <c r="G2272" s="212"/>
      <c r="H2272" s="212"/>
      <c r="I2272" s="114"/>
      <c r="N2272" s="22"/>
      <c r="O2272" s="23"/>
      <c r="P2272" s="23"/>
      <c r="Q2272" s="23"/>
      <c r="R2272" s="23"/>
      <c r="S2272" s="23"/>
      <c r="T2272" s="24"/>
      <c r="U2272" s="23"/>
      <c r="V2272" s="24"/>
      <c r="W2272" s="24"/>
      <c r="X2272" s="26"/>
      <c r="Y2272" s="24"/>
      <c r="Z2272" s="68" t="e">
        <f>VLOOKUP(Takeoffs!Y2272,Sheet1!$B$6:$C$124,2,FALSE)</f>
        <v>#N/A</v>
      </c>
      <c r="AA2272" s="68"/>
      <c r="AB2272" s="31"/>
      <c r="AC2272" s="31"/>
      <c r="AD2272" s="31"/>
      <c r="AE2272" s="60"/>
      <c r="AF2272" s="24"/>
      <c r="AG2272" s="68" t="e">
        <f>VLOOKUP(Takeoffs!AF2272,Sheet1!$B$6:$C$124,2,FALSE)</f>
        <v>#N/A</v>
      </c>
      <c r="AH2272" s="68"/>
      <c r="AI2272" s="31"/>
      <c r="AJ2272" s="31"/>
      <c r="AK2272" s="31"/>
      <c r="AL2272" s="60"/>
      <c r="AO2272" s="286"/>
      <c r="AP2272" s="284">
        <f t="shared" si="986"/>
        <v>0</v>
      </c>
      <c r="AQ2272" s="281">
        <f t="shared" si="987"/>
        <v>0</v>
      </c>
      <c r="AR2272" s="284">
        <f t="shared" si="988"/>
        <v>0</v>
      </c>
      <c r="AS2272" s="281">
        <f t="shared" si="989"/>
        <v>0</v>
      </c>
      <c r="AT2272" s="284">
        <f t="shared" si="990"/>
        <v>0</v>
      </c>
    </row>
    <row r="2273" spans="1:46" customFormat="1" ht="30.9" x14ac:dyDescent="0.8">
      <c r="A2273" s="262">
        <f t="shared" si="991"/>
        <v>2273</v>
      </c>
      <c r="B2273" s="114"/>
      <c r="C2273" s="208"/>
      <c r="D2273" s="208"/>
      <c r="E2273" s="208"/>
      <c r="F2273" s="208"/>
      <c r="G2273" s="208"/>
      <c r="H2273" s="208"/>
      <c r="I2273" s="128"/>
      <c r="Q2273" s="32"/>
      <c r="R2273" s="32"/>
      <c r="T2273" s="8"/>
      <c r="W2273" s="32"/>
      <c r="X2273" s="25"/>
      <c r="Z2273" s="68" t="e">
        <f>VLOOKUP(Takeoffs!Y2273,Sheet1!$B$6:$C$124,2,FALSE)</f>
        <v>#N/A</v>
      </c>
      <c r="AA2273" s="68"/>
      <c r="AB2273" s="32"/>
      <c r="AC2273" s="32"/>
      <c r="AD2273" s="32"/>
      <c r="AE2273" s="25"/>
      <c r="AF2273" s="32"/>
      <c r="AG2273" s="68" t="e">
        <f>VLOOKUP(Takeoffs!AF2273,Sheet1!$B$6:$C$124,2,FALSE)</f>
        <v>#N/A</v>
      </c>
      <c r="AH2273" s="68"/>
      <c r="AI2273" s="32"/>
      <c r="AJ2273" s="32"/>
      <c r="AK2273" s="32"/>
      <c r="AL2273" s="25"/>
      <c r="AO2273" s="286"/>
      <c r="AP2273" s="284">
        <f t="shared" si="986"/>
        <v>0</v>
      </c>
      <c r="AQ2273" s="281">
        <f t="shared" si="987"/>
        <v>0</v>
      </c>
      <c r="AR2273" s="284">
        <f t="shared" si="988"/>
        <v>0</v>
      </c>
      <c r="AS2273" s="281">
        <f t="shared" si="989"/>
        <v>0</v>
      </c>
      <c r="AT2273" s="284">
        <f t="shared" si="990"/>
        <v>0</v>
      </c>
    </row>
    <row r="2274" spans="1:46" s="2" customFormat="1" ht="62.25" customHeight="1" x14ac:dyDescent="0.8">
      <c r="A2274" s="262">
        <f t="shared" si="991"/>
        <v>2274</v>
      </c>
      <c r="B2274" s="116"/>
      <c r="C2274" s="211"/>
      <c r="D2274" s="211"/>
      <c r="E2274" s="211"/>
      <c r="F2274" s="211"/>
      <c r="G2274" s="211"/>
      <c r="H2274" s="211"/>
      <c r="I2274" s="114"/>
      <c r="M2274" s="2" t="s">
        <v>107</v>
      </c>
      <c r="N2274" s="2" t="s">
        <v>108</v>
      </c>
      <c r="O2274" s="2" t="s">
        <v>4</v>
      </c>
      <c r="P2274" s="2" t="s">
        <v>5</v>
      </c>
      <c r="S2274" s="2" t="s">
        <v>0</v>
      </c>
      <c r="T2274" s="9"/>
      <c r="U2274" s="2" t="s">
        <v>109</v>
      </c>
      <c r="V2274" s="2" t="s">
        <v>110</v>
      </c>
      <c r="X2274" s="58"/>
      <c r="Y2274" s="2" t="s">
        <v>111</v>
      </c>
      <c r="Z2274" s="68" t="e">
        <f>VLOOKUP(Takeoffs!Y2274,Sheet1!$B$6:$C$124,2,FALSE)</f>
        <v>#N/A</v>
      </c>
      <c r="AA2274" s="68"/>
      <c r="AE2274" s="58"/>
      <c r="AF2274" s="2" t="s">
        <v>111</v>
      </c>
      <c r="AG2274" s="68" t="e">
        <f>VLOOKUP(Takeoffs!AF2274,Sheet1!$B$6:$C$124,2,FALSE)</f>
        <v>#N/A</v>
      </c>
      <c r="AH2274" s="68"/>
      <c r="AL2274" s="58"/>
      <c r="AO2274" s="288"/>
      <c r="AP2274" s="284">
        <f t="shared" si="986"/>
        <v>0</v>
      </c>
      <c r="AQ2274" s="281">
        <f t="shared" si="987"/>
        <v>0</v>
      </c>
      <c r="AR2274" s="284">
        <f t="shared" si="988"/>
        <v>0</v>
      </c>
      <c r="AS2274" s="281">
        <f t="shared" si="989"/>
        <v>0</v>
      </c>
      <c r="AT2274" s="284">
        <f t="shared" si="990"/>
        <v>0</v>
      </c>
    </row>
    <row r="2275" spans="1:46" customFormat="1" ht="179.25" customHeight="1" x14ac:dyDescent="0.8">
      <c r="A2275" s="262">
        <f t="shared" si="991"/>
        <v>2275</v>
      </c>
      <c r="B2275" s="114"/>
      <c r="C2275" s="208"/>
      <c r="D2275" s="208"/>
      <c r="E2275" s="208"/>
      <c r="F2275" s="208"/>
      <c r="G2275" s="208"/>
      <c r="H2275" s="208"/>
      <c r="I2275" s="116"/>
      <c r="J2275" s="30" t="str">
        <f>CONCATENATE(O2275," ",L2275, " (",M2275,") ",N2275,". Each includes supply and install of ",O2276,O2277,O2278,O2279,O2280,O2281,O2282,O2283,O2284,O2285,O2286,O2287,O2288,O2289,O2290,O2291,O2292,O2293,O2294,O2295,)</f>
        <v>Electrical power supply and controls for  six (6) two speed fans with push button boost to high speed. Each includes supply and install of circuit breakers, local switch ( complete with pushbutton, cabeling to MSSB and label), control contacts/relays, cabling and conduit fom MSSB for both speedsand local power isolator.</v>
      </c>
      <c r="L2275" s="16" t="str">
        <f>VLOOKUP(M2275,Sheet2!$D$2:$E$1024,2,FALSE)</f>
        <v>six</v>
      </c>
      <c r="M2275" s="12">
        <v>6</v>
      </c>
      <c r="N2275" s="27" t="s">
        <v>159</v>
      </c>
      <c r="O2275" s="12" t="s">
        <v>154</v>
      </c>
      <c r="P2275" s="12"/>
      <c r="Q2275" s="12"/>
      <c r="R2275" s="12"/>
      <c r="S2275" s="28"/>
      <c r="T2275" s="10"/>
      <c r="U2275" s="12"/>
      <c r="V2275" s="14" t="e">
        <f>U2275*#REF!</f>
        <v>#REF!</v>
      </c>
      <c r="W2275" s="14"/>
      <c r="X2275" s="26"/>
      <c r="Y2275" s="13"/>
      <c r="Z2275" s="68" t="e">
        <f>VLOOKUP(Takeoffs!Y2275,Sheet1!$B$6:$C$124,2,FALSE)</f>
        <v>#N/A</v>
      </c>
      <c r="AA2275" s="68"/>
      <c r="AB2275" s="18"/>
      <c r="AC2275" s="18"/>
      <c r="AD2275" s="18"/>
      <c r="AE2275" s="60"/>
      <c r="AF2275" s="13"/>
      <c r="AG2275" s="68" t="e">
        <f>VLOOKUP(Takeoffs!AF2275,Sheet1!$B$6:$C$124,2,FALSE)</f>
        <v>#N/A</v>
      </c>
      <c r="AH2275" s="68"/>
      <c r="AI2275" s="18"/>
      <c r="AJ2275" s="18"/>
      <c r="AK2275" s="18"/>
      <c r="AL2275" s="60"/>
      <c r="AO2275" s="286"/>
      <c r="AP2275" s="284">
        <f t="shared" si="986"/>
        <v>0</v>
      </c>
      <c r="AQ2275" s="281">
        <f t="shared" si="987"/>
        <v>0</v>
      </c>
      <c r="AR2275" s="284">
        <f t="shared" si="988"/>
        <v>0</v>
      </c>
      <c r="AS2275" s="281">
        <f t="shared" si="989"/>
        <v>0</v>
      </c>
      <c r="AT2275" s="284">
        <f t="shared" si="990"/>
        <v>0</v>
      </c>
    </row>
    <row r="2276" spans="1:46" customFormat="1" ht="15" customHeight="1" x14ac:dyDescent="0.8">
      <c r="A2276" s="262">
        <f t="shared" si="991"/>
        <v>2276</v>
      </c>
      <c r="B2276" s="114"/>
      <c r="C2276" s="208"/>
      <c r="D2276" s="208"/>
      <c r="E2276" s="208"/>
      <c r="F2276" s="208"/>
      <c r="G2276" s="208"/>
      <c r="H2276" s="208"/>
      <c r="I2276" s="114"/>
      <c r="J2276" s="30"/>
      <c r="M2276" s="3"/>
      <c r="N2276" s="15" t="s">
        <v>113</v>
      </c>
      <c r="O2276" s="12" t="s">
        <v>162</v>
      </c>
      <c r="P2276" s="12"/>
      <c r="Q2276" s="12"/>
      <c r="R2276" s="12"/>
      <c r="S2276" s="28">
        <f>M2275</f>
        <v>6</v>
      </c>
      <c r="T2276" s="11"/>
      <c r="U2276" s="12"/>
      <c r="V2276" s="14" t="e">
        <f>U2276*#REF!</f>
        <v>#REF!</v>
      </c>
      <c r="W2276" s="14"/>
      <c r="X2276" s="26"/>
      <c r="Y2276" s="13"/>
      <c r="Z2276" s="68" t="e">
        <f>VLOOKUP(Takeoffs!Y2276,Sheet1!$B$6:$C$124,2,FALSE)</f>
        <v>#N/A</v>
      </c>
      <c r="AA2276" s="68"/>
      <c r="AB2276" s="18"/>
      <c r="AC2276" s="18"/>
      <c r="AD2276" s="18"/>
      <c r="AE2276" s="60"/>
      <c r="AF2276" s="13"/>
      <c r="AG2276" s="68" t="e">
        <f>VLOOKUP(Takeoffs!AF2276,Sheet1!$B$6:$C$124,2,FALSE)</f>
        <v>#N/A</v>
      </c>
      <c r="AH2276" s="68"/>
      <c r="AI2276" s="18"/>
      <c r="AJ2276" s="18"/>
      <c r="AK2276" s="18"/>
      <c r="AL2276" s="60"/>
      <c r="AO2276" s="286"/>
      <c r="AP2276" s="284">
        <f t="shared" si="986"/>
        <v>0</v>
      </c>
      <c r="AQ2276" s="281">
        <f t="shared" si="987"/>
        <v>0</v>
      </c>
      <c r="AR2276" s="284">
        <f t="shared" si="988"/>
        <v>0</v>
      </c>
      <c r="AS2276" s="281">
        <f t="shared" si="989"/>
        <v>0</v>
      </c>
      <c r="AT2276" s="284">
        <f t="shared" si="990"/>
        <v>0</v>
      </c>
    </row>
    <row r="2277" spans="1:46" customFormat="1" ht="15" customHeight="1" x14ac:dyDescent="0.8">
      <c r="A2277" s="262">
        <f t="shared" si="991"/>
        <v>2277</v>
      </c>
      <c r="B2277" s="114"/>
      <c r="C2277" s="208"/>
      <c r="D2277" s="208"/>
      <c r="E2277" s="208"/>
      <c r="F2277" s="208"/>
      <c r="G2277" s="208"/>
      <c r="H2277" s="208"/>
      <c r="I2277" s="114"/>
      <c r="J2277" s="30"/>
      <c r="M2277" s="3"/>
      <c r="N2277" s="15" t="s">
        <v>114</v>
      </c>
      <c r="O2277" s="12" t="s">
        <v>161</v>
      </c>
      <c r="P2277" s="12"/>
      <c r="Q2277" s="12"/>
      <c r="R2277" s="12"/>
      <c r="S2277" s="28">
        <f>M2275</f>
        <v>6</v>
      </c>
      <c r="T2277" s="11"/>
      <c r="U2277" s="12"/>
      <c r="V2277" s="14" t="e">
        <f>U2277*#REF!</f>
        <v>#REF!</v>
      </c>
      <c r="W2277" s="14"/>
      <c r="X2277" s="26"/>
      <c r="Y2277" s="13"/>
      <c r="Z2277" s="68" t="e">
        <f>VLOOKUP(Takeoffs!Y2277,Sheet1!$B$6:$C$124,2,FALSE)</f>
        <v>#N/A</v>
      </c>
      <c r="AA2277" s="68"/>
      <c r="AB2277" s="18"/>
      <c r="AC2277" s="18"/>
      <c r="AD2277" s="18"/>
      <c r="AE2277" s="60"/>
      <c r="AF2277" s="13"/>
      <c r="AG2277" s="68" t="e">
        <f>VLOOKUP(Takeoffs!AF2277,Sheet1!$B$6:$C$124,2,FALSE)</f>
        <v>#N/A</v>
      </c>
      <c r="AH2277" s="68"/>
      <c r="AI2277" s="18"/>
      <c r="AJ2277" s="18"/>
      <c r="AK2277" s="18"/>
      <c r="AL2277" s="60"/>
      <c r="AO2277" s="286"/>
      <c r="AP2277" s="284">
        <f t="shared" si="986"/>
        <v>0</v>
      </c>
      <c r="AQ2277" s="281">
        <f t="shared" si="987"/>
        <v>0</v>
      </c>
      <c r="AR2277" s="284">
        <f t="shared" si="988"/>
        <v>0</v>
      </c>
      <c r="AS2277" s="281">
        <f t="shared" si="989"/>
        <v>0</v>
      </c>
      <c r="AT2277" s="284">
        <f t="shared" si="990"/>
        <v>0</v>
      </c>
    </row>
    <row r="2278" spans="1:46" customFormat="1" ht="15" customHeight="1" x14ac:dyDescent="0.8">
      <c r="A2278" s="262">
        <f t="shared" si="991"/>
        <v>2278</v>
      </c>
      <c r="B2278" s="114"/>
      <c r="C2278" s="208"/>
      <c r="D2278" s="208"/>
      <c r="E2278" s="208"/>
      <c r="F2278" s="208"/>
      <c r="G2278" s="208"/>
      <c r="H2278" s="208"/>
      <c r="I2278" s="114"/>
      <c r="J2278" s="30"/>
      <c r="M2278" s="3"/>
      <c r="N2278" s="15" t="s">
        <v>115</v>
      </c>
      <c r="O2278" s="12" t="s">
        <v>163</v>
      </c>
      <c r="P2278" s="12"/>
      <c r="Q2278" s="12"/>
      <c r="R2278" s="12"/>
      <c r="S2278" s="28">
        <f>M2275</f>
        <v>6</v>
      </c>
      <c r="T2278" s="11"/>
      <c r="U2278" s="12"/>
      <c r="V2278" s="14" t="e">
        <f>U2278*#REF!</f>
        <v>#REF!</v>
      </c>
      <c r="W2278" s="14"/>
      <c r="X2278" s="26"/>
      <c r="Y2278" s="13"/>
      <c r="Z2278" s="68" t="e">
        <f>VLOOKUP(Takeoffs!Y2278,Sheet1!$B$6:$C$124,2,FALSE)</f>
        <v>#N/A</v>
      </c>
      <c r="AA2278" s="68"/>
      <c r="AB2278" s="18"/>
      <c r="AC2278" s="18"/>
      <c r="AD2278" s="18"/>
      <c r="AE2278" s="60"/>
      <c r="AF2278" s="13"/>
      <c r="AG2278" s="68" t="e">
        <f>VLOOKUP(Takeoffs!AF2278,Sheet1!$B$6:$C$124,2,FALSE)</f>
        <v>#N/A</v>
      </c>
      <c r="AH2278" s="68"/>
      <c r="AI2278" s="18"/>
      <c r="AJ2278" s="18"/>
      <c r="AK2278" s="18"/>
      <c r="AL2278" s="60"/>
      <c r="AO2278" s="286"/>
      <c r="AP2278" s="284">
        <f t="shared" si="986"/>
        <v>0</v>
      </c>
      <c r="AQ2278" s="281">
        <f t="shared" si="987"/>
        <v>0</v>
      </c>
      <c r="AR2278" s="284">
        <f t="shared" si="988"/>
        <v>0</v>
      </c>
      <c r="AS2278" s="281">
        <f t="shared" si="989"/>
        <v>0</v>
      </c>
      <c r="AT2278" s="284">
        <f t="shared" si="990"/>
        <v>0</v>
      </c>
    </row>
    <row r="2279" spans="1:46" customFormat="1" ht="15" customHeight="1" x14ac:dyDescent="0.8">
      <c r="A2279" s="262">
        <f t="shared" si="991"/>
        <v>2279</v>
      </c>
      <c r="B2279" s="114"/>
      <c r="C2279" s="208"/>
      <c r="D2279" s="208"/>
      <c r="E2279" s="208"/>
      <c r="F2279" s="208"/>
      <c r="G2279" s="208"/>
      <c r="H2279" s="208"/>
      <c r="I2279" s="114"/>
      <c r="J2279" s="30"/>
      <c r="M2279" s="3"/>
      <c r="N2279" s="15" t="s">
        <v>116</v>
      </c>
      <c r="O2279" s="12" t="s">
        <v>160</v>
      </c>
      <c r="P2279" s="12"/>
      <c r="Q2279" s="12"/>
      <c r="R2279" s="12"/>
      <c r="S2279" s="28">
        <f>M2275</f>
        <v>6</v>
      </c>
      <c r="T2279" s="11"/>
      <c r="U2279" s="12"/>
      <c r="V2279" s="14" t="e">
        <f>U2279*#REF!</f>
        <v>#REF!</v>
      </c>
      <c r="W2279" s="14"/>
      <c r="X2279" s="26"/>
      <c r="Y2279" s="13"/>
      <c r="Z2279" s="68" t="e">
        <f>VLOOKUP(Takeoffs!Y2279,Sheet1!$B$6:$C$124,2,FALSE)</f>
        <v>#N/A</v>
      </c>
      <c r="AA2279" s="68"/>
      <c r="AB2279" s="18"/>
      <c r="AC2279" s="18"/>
      <c r="AD2279" s="18"/>
      <c r="AE2279" s="60"/>
      <c r="AF2279" s="13"/>
      <c r="AG2279" s="68" t="e">
        <f>VLOOKUP(Takeoffs!AF2279,Sheet1!$B$6:$C$124,2,FALSE)</f>
        <v>#N/A</v>
      </c>
      <c r="AH2279" s="68"/>
      <c r="AI2279" s="18"/>
      <c r="AJ2279" s="18"/>
      <c r="AK2279" s="18"/>
      <c r="AL2279" s="60"/>
      <c r="AO2279" s="286"/>
      <c r="AP2279" s="284">
        <f t="shared" si="986"/>
        <v>0</v>
      </c>
      <c r="AQ2279" s="281">
        <f t="shared" si="987"/>
        <v>0</v>
      </c>
      <c r="AR2279" s="284">
        <f t="shared" si="988"/>
        <v>0</v>
      </c>
      <c r="AS2279" s="281">
        <f t="shared" si="989"/>
        <v>0</v>
      </c>
      <c r="AT2279" s="284">
        <f t="shared" si="990"/>
        <v>0</v>
      </c>
    </row>
    <row r="2280" spans="1:46" customFormat="1" ht="15" customHeight="1" x14ac:dyDescent="0.8">
      <c r="A2280" s="262">
        <f t="shared" si="991"/>
        <v>2280</v>
      </c>
      <c r="B2280" s="114"/>
      <c r="C2280" s="208"/>
      <c r="D2280" s="208"/>
      <c r="E2280" s="208"/>
      <c r="F2280" s="208"/>
      <c r="G2280" s="208"/>
      <c r="H2280" s="208"/>
      <c r="I2280" s="114"/>
      <c r="J2280" s="30"/>
      <c r="M2280" s="3"/>
      <c r="N2280" s="15" t="s">
        <v>117</v>
      </c>
      <c r="O2280" s="12" t="s">
        <v>141</v>
      </c>
      <c r="P2280" s="12"/>
      <c r="Q2280" s="12"/>
      <c r="R2280" s="12"/>
      <c r="S2280" s="28">
        <f>M2275</f>
        <v>6</v>
      </c>
      <c r="T2280" s="11"/>
      <c r="U2280" s="12"/>
      <c r="V2280" s="14" t="e">
        <f>U2280*#REF!</f>
        <v>#REF!</v>
      </c>
      <c r="W2280" s="14"/>
      <c r="X2280" s="26"/>
      <c r="Y2280" s="13"/>
      <c r="Z2280" s="68" t="e">
        <f>VLOOKUP(Takeoffs!Y2280,Sheet1!$B$6:$C$124,2,FALSE)</f>
        <v>#N/A</v>
      </c>
      <c r="AA2280" s="68"/>
      <c r="AB2280" s="18"/>
      <c r="AC2280" s="18"/>
      <c r="AD2280" s="18"/>
      <c r="AE2280" s="60"/>
      <c r="AF2280" s="13"/>
      <c r="AG2280" s="68" t="e">
        <f>VLOOKUP(Takeoffs!AF2280,Sheet1!$B$6:$C$124,2,FALSE)</f>
        <v>#N/A</v>
      </c>
      <c r="AH2280" s="68"/>
      <c r="AI2280" s="18"/>
      <c r="AJ2280" s="18"/>
      <c r="AK2280" s="18"/>
      <c r="AL2280" s="60"/>
      <c r="AO2280" s="286"/>
      <c r="AP2280" s="284">
        <f t="shared" si="986"/>
        <v>0</v>
      </c>
      <c r="AQ2280" s="281">
        <f t="shared" si="987"/>
        <v>0</v>
      </c>
      <c r="AR2280" s="284">
        <f t="shared" si="988"/>
        <v>0</v>
      </c>
      <c r="AS2280" s="281">
        <f t="shared" si="989"/>
        <v>0</v>
      </c>
      <c r="AT2280" s="284">
        <f t="shared" si="990"/>
        <v>0</v>
      </c>
    </row>
    <row r="2281" spans="1:46" customFormat="1" ht="15" customHeight="1" x14ac:dyDescent="0.8">
      <c r="A2281" s="262">
        <f t="shared" si="991"/>
        <v>2281</v>
      </c>
      <c r="B2281" s="114"/>
      <c r="C2281" s="208"/>
      <c r="D2281" s="208"/>
      <c r="E2281" s="208"/>
      <c r="F2281" s="208"/>
      <c r="G2281" s="208"/>
      <c r="H2281" s="208"/>
      <c r="I2281" s="114"/>
      <c r="J2281" s="30"/>
      <c r="M2281" s="3"/>
      <c r="N2281" s="15" t="s">
        <v>118</v>
      </c>
      <c r="O2281" s="12"/>
      <c r="P2281" s="12"/>
      <c r="Q2281" s="12"/>
      <c r="R2281" s="12"/>
      <c r="S2281" s="28">
        <f>M2275</f>
        <v>6</v>
      </c>
      <c r="T2281" s="11"/>
      <c r="U2281" s="12"/>
      <c r="V2281" s="14" t="e">
        <f>U2281*#REF!</f>
        <v>#REF!</v>
      </c>
      <c r="W2281" s="14"/>
      <c r="X2281" s="26"/>
      <c r="Y2281" s="13"/>
      <c r="Z2281" s="68" t="e">
        <f>VLOOKUP(Takeoffs!Y2281,Sheet1!$B$6:$C$124,2,FALSE)</f>
        <v>#N/A</v>
      </c>
      <c r="AA2281" s="68"/>
      <c r="AB2281" s="18"/>
      <c r="AC2281" s="18"/>
      <c r="AD2281" s="18"/>
      <c r="AE2281" s="60"/>
      <c r="AF2281" s="13"/>
      <c r="AG2281" s="68" t="e">
        <f>VLOOKUP(Takeoffs!AF2281,Sheet1!$B$6:$C$124,2,FALSE)</f>
        <v>#N/A</v>
      </c>
      <c r="AH2281" s="68"/>
      <c r="AI2281" s="18"/>
      <c r="AJ2281" s="18"/>
      <c r="AK2281" s="18"/>
      <c r="AL2281" s="60"/>
      <c r="AO2281" s="286"/>
      <c r="AP2281" s="284">
        <f t="shared" si="986"/>
        <v>0</v>
      </c>
      <c r="AQ2281" s="281">
        <f t="shared" si="987"/>
        <v>0</v>
      </c>
      <c r="AR2281" s="284">
        <f t="shared" si="988"/>
        <v>0</v>
      </c>
      <c r="AS2281" s="281">
        <f t="shared" si="989"/>
        <v>0</v>
      </c>
      <c r="AT2281" s="284">
        <f t="shared" si="990"/>
        <v>0</v>
      </c>
    </row>
    <row r="2282" spans="1:46" customFormat="1" ht="15" customHeight="1" x14ac:dyDescent="0.8">
      <c r="A2282" s="262">
        <f t="shared" si="991"/>
        <v>2282</v>
      </c>
      <c r="B2282" s="114"/>
      <c r="C2282" s="208"/>
      <c r="D2282" s="208"/>
      <c r="E2282" s="208"/>
      <c r="F2282" s="208"/>
      <c r="G2282" s="208"/>
      <c r="H2282" s="208"/>
      <c r="I2282" s="114"/>
      <c r="J2282" s="30"/>
      <c r="N2282" s="15" t="s">
        <v>119</v>
      </c>
      <c r="O2282" s="12"/>
      <c r="P2282" s="12"/>
      <c r="Q2282" s="12"/>
      <c r="R2282" s="12"/>
      <c r="S2282" s="28">
        <f>M2275</f>
        <v>6</v>
      </c>
      <c r="T2282" s="11"/>
      <c r="U2282" s="12"/>
      <c r="V2282" s="14" t="e">
        <f>U2282*#REF!</f>
        <v>#REF!</v>
      </c>
      <c r="W2282" s="14"/>
      <c r="X2282" s="26"/>
      <c r="Y2282" s="13"/>
      <c r="Z2282" s="68" t="e">
        <f>VLOOKUP(Takeoffs!Y2282,Sheet1!$B$6:$C$124,2,FALSE)</f>
        <v>#N/A</v>
      </c>
      <c r="AA2282" s="68"/>
      <c r="AB2282" s="18"/>
      <c r="AC2282" s="18"/>
      <c r="AD2282" s="18"/>
      <c r="AE2282" s="60"/>
      <c r="AF2282" s="13"/>
      <c r="AG2282" s="68" t="e">
        <f>VLOOKUP(Takeoffs!AF2282,Sheet1!$B$6:$C$124,2,FALSE)</f>
        <v>#N/A</v>
      </c>
      <c r="AH2282" s="68"/>
      <c r="AI2282" s="18"/>
      <c r="AJ2282" s="18"/>
      <c r="AK2282" s="18"/>
      <c r="AL2282" s="60"/>
      <c r="AO2282" s="286"/>
      <c r="AP2282" s="284">
        <f t="shared" ref="AP2282:AP2345" si="992">IF(I2282&gt;0,P2282,0)</f>
        <v>0</v>
      </c>
      <c r="AQ2282" s="281">
        <f t="shared" ref="AQ2282:AQ2345" si="993">IF(I2282&gt;0,W2282,0)</f>
        <v>0</v>
      </c>
      <c r="AR2282" s="284">
        <f t="shared" ref="AR2282:AR2345" si="994">IF(I2282&gt;0,AA2282,0)</f>
        <v>0</v>
      </c>
      <c r="AS2282" s="281">
        <f t="shared" ref="AS2282:AS2345" si="995">IF(I2282&gt;0,AH2282,0)</f>
        <v>0</v>
      </c>
      <c r="AT2282" s="284">
        <f t="shared" ref="AT2282:AT2345" si="996">IF(I2282&gt;0,AP2282-(AQ2282+AR2282+AS2282),0)</f>
        <v>0</v>
      </c>
    </row>
    <row r="2283" spans="1:46" customFormat="1" ht="15" customHeight="1" x14ac:dyDescent="0.8">
      <c r="A2283" s="262">
        <f t="shared" si="991"/>
        <v>2283</v>
      </c>
      <c r="B2283" s="114"/>
      <c r="C2283" s="208"/>
      <c r="D2283" s="208"/>
      <c r="E2283" s="208"/>
      <c r="F2283" s="208"/>
      <c r="G2283" s="208"/>
      <c r="H2283" s="208"/>
      <c r="I2283" s="114"/>
      <c r="J2283" s="30"/>
      <c r="N2283" s="15" t="s">
        <v>120</v>
      </c>
      <c r="O2283" s="12"/>
      <c r="P2283" s="12"/>
      <c r="Q2283" s="12"/>
      <c r="R2283" s="12"/>
      <c r="S2283" s="28">
        <f>M2275</f>
        <v>6</v>
      </c>
      <c r="T2283" s="11"/>
      <c r="U2283" s="12"/>
      <c r="V2283" s="14" t="e">
        <f>U2283*#REF!</f>
        <v>#REF!</v>
      </c>
      <c r="W2283" s="14"/>
      <c r="X2283" s="26"/>
      <c r="Y2283" s="13"/>
      <c r="Z2283" s="68" t="e">
        <f>VLOOKUP(Takeoffs!Y2283,Sheet1!$B$6:$C$124,2,FALSE)</f>
        <v>#N/A</v>
      </c>
      <c r="AA2283" s="68"/>
      <c r="AB2283" s="18"/>
      <c r="AC2283" s="18"/>
      <c r="AD2283" s="18"/>
      <c r="AE2283" s="60"/>
      <c r="AF2283" s="13"/>
      <c r="AG2283" s="68" t="e">
        <f>VLOOKUP(Takeoffs!AF2283,Sheet1!$B$6:$C$124,2,FALSE)</f>
        <v>#N/A</v>
      </c>
      <c r="AH2283" s="68"/>
      <c r="AI2283" s="18"/>
      <c r="AJ2283" s="18"/>
      <c r="AK2283" s="18"/>
      <c r="AL2283" s="60"/>
      <c r="AO2283" s="286"/>
      <c r="AP2283" s="284">
        <f t="shared" si="992"/>
        <v>0</v>
      </c>
      <c r="AQ2283" s="281">
        <f t="shared" si="993"/>
        <v>0</v>
      </c>
      <c r="AR2283" s="284">
        <f t="shared" si="994"/>
        <v>0</v>
      </c>
      <c r="AS2283" s="281">
        <f t="shared" si="995"/>
        <v>0</v>
      </c>
      <c r="AT2283" s="284">
        <f t="shared" si="996"/>
        <v>0</v>
      </c>
    </row>
    <row r="2284" spans="1:46" customFormat="1" ht="15" customHeight="1" x14ac:dyDescent="0.8">
      <c r="A2284" s="262">
        <f t="shared" si="991"/>
        <v>2284</v>
      </c>
      <c r="B2284" s="114"/>
      <c r="C2284" s="208"/>
      <c r="D2284" s="208"/>
      <c r="E2284" s="208"/>
      <c r="F2284" s="208"/>
      <c r="G2284" s="208"/>
      <c r="H2284" s="208"/>
      <c r="I2284" s="114"/>
      <c r="J2284" s="30"/>
      <c r="N2284" s="15" t="s">
        <v>121</v>
      </c>
      <c r="O2284" s="12"/>
      <c r="P2284" s="12"/>
      <c r="Q2284" s="12"/>
      <c r="R2284" s="12"/>
      <c r="S2284" s="28">
        <f>M2275</f>
        <v>6</v>
      </c>
      <c r="T2284" s="11"/>
      <c r="U2284" s="12"/>
      <c r="V2284" s="14" t="e">
        <f>U2284*#REF!</f>
        <v>#REF!</v>
      </c>
      <c r="W2284" s="14"/>
      <c r="X2284" s="26"/>
      <c r="Y2284" s="13"/>
      <c r="Z2284" s="68" t="e">
        <f>VLOOKUP(Takeoffs!Y2284,Sheet1!$B$6:$C$124,2,FALSE)</f>
        <v>#N/A</v>
      </c>
      <c r="AA2284" s="68"/>
      <c r="AB2284" s="18"/>
      <c r="AC2284" s="18"/>
      <c r="AD2284" s="18"/>
      <c r="AE2284" s="60"/>
      <c r="AF2284" s="13"/>
      <c r="AG2284" s="68" t="e">
        <f>VLOOKUP(Takeoffs!AF2284,Sheet1!$B$6:$C$124,2,FALSE)</f>
        <v>#N/A</v>
      </c>
      <c r="AH2284" s="68"/>
      <c r="AI2284" s="18"/>
      <c r="AJ2284" s="18"/>
      <c r="AK2284" s="18"/>
      <c r="AL2284" s="60"/>
      <c r="AO2284" s="286"/>
      <c r="AP2284" s="284">
        <f t="shared" si="992"/>
        <v>0</v>
      </c>
      <c r="AQ2284" s="281">
        <f t="shared" si="993"/>
        <v>0</v>
      </c>
      <c r="AR2284" s="284">
        <f t="shared" si="994"/>
        <v>0</v>
      </c>
      <c r="AS2284" s="281">
        <f t="shared" si="995"/>
        <v>0</v>
      </c>
      <c r="AT2284" s="284">
        <f t="shared" si="996"/>
        <v>0</v>
      </c>
    </row>
    <row r="2285" spans="1:46" customFormat="1" ht="15" customHeight="1" x14ac:dyDescent="0.8">
      <c r="A2285" s="262">
        <f t="shared" si="991"/>
        <v>2285</v>
      </c>
      <c r="B2285" s="114"/>
      <c r="C2285" s="208"/>
      <c r="D2285" s="208"/>
      <c r="E2285" s="208"/>
      <c r="F2285" s="208"/>
      <c r="G2285" s="208"/>
      <c r="H2285" s="208"/>
      <c r="I2285" s="114"/>
      <c r="J2285" s="30"/>
      <c r="N2285" s="15" t="s">
        <v>122</v>
      </c>
      <c r="O2285" s="12"/>
      <c r="P2285" s="12"/>
      <c r="Q2285" s="12"/>
      <c r="R2285" s="12"/>
      <c r="S2285" s="28">
        <f>M2275</f>
        <v>6</v>
      </c>
      <c r="T2285" s="11"/>
      <c r="U2285" s="12"/>
      <c r="V2285" s="14" t="e">
        <f>U2285*#REF!</f>
        <v>#REF!</v>
      </c>
      <c r="W2285" s="14"/>
      <c r="X2285" s="26"/>
      <c r="Y2285" s="13"/>
      <c r="Z2285" s="68" t="e">
        <f>VLOOKUP(Takeoffs!Y2285,Sheet1!$B$6:$C$124,2,FALSE)</f>
        <v>#N/A</v>
      </c>
      <c r="AA2285" s="68"/>
      <c r="AB2285" s="18"/>
      <c r="AC2285" s="18"/>
      <c r="AD2285" s="18"/>
      <c r="AE2285" s="60"/>
      <c r="AF2285" s="13"/>
      <c r="AG2285" s="68" t="e">
        <f>VLOOKUP(Takeoffs!AF2285,Sheet1!$B$6:$C$124,2,FALSE)</f>
        <v>#N/A</v>
      </c>
      <c r="AH2285" s="68"/>
      <c r="AI2285" s="18"/>
      <c r="AJ2285" s="18"/>
      <c r="AK2285" s="18"/>
      <c r="AL2285" s="60"/>
      <c r="AO2285" s="286"/>
      <c r="AP2285" s="284">
        <f t="shared" si="992"/>
        <v>0</v>
      </c>
      <c r="AQ2285" s="281">
        <f t="shared" si="993"/>
        <v>0</v>
      </c>
      <c r="AR2285" s="284">
        <f t="shared" si="994"/>
        <v>0</v>
      </c>
      <c r="AS2285" s="281">
        <f t="shared" si="995"/>
        <v>0</v>
      </c>
      <c r="AT2285" s="284">
        <f t="shared" si="996"/>
        <v>0</v>
      </c>
    </row>
    <row r="2286" spans="1:46" customFormat="1" ht="15" customHeight="1" x14ac:dyDescent="0.8">
      <c r="A2286" s="262">
        <f t="shared" si="991"/>
        <v>2286</v>
      </c>
      <c r="B2286" s="114"/>
      <c r="C2286" s="208"/>
      <c r="D2286" s="208"/>
      <c r="E2286" s="208"/>
      <c r="F2286" s="208"/>
      <c r="G2286" s="208"/>
      <c r="H2286" s="208"/>
      <c r="I2286" s="114"/>
      <c r="J2286" s="30"/>
      <c r="N2286" s="15" t="s">
        <v>123</v>
      </c>
      <c r="O2286" s="12"/>
      <c r="P2286" s="12"/>
      <c r="Q2286" s="12"/>
      <c r="R2286" s="12"/>
      <c r="S2286" s="28">
        <f>M2275</f>
        <v>6</v>
      </c>
      <c r="T2286" s="11"/>
      <c r="U2286" s="12"/>
      <c r="V2286" s="14" t="e">
        <f>U2286*#REF!</f>
        <v>#REF!</v>
      </c>
      <c r="W2286" s="14"/>
      <c r="X2286" s="26"/>
      <c r="Y2286" s="13"/>
      <c r="Z2286" s="68" t="e">
        <f>VLOOKUP(Takeoffs!Y2286,Sheet1!$B$6:$C$124,2,FALSE)</f>
        <v>#N/A</v>
      </c>
      <c r="AA2286" s="68"/>
      <c r="AB2286" s="18"/>
      <c r="AC2286" s="18"/>
      <c r="AD2286" s="18"/>
      <c r="AE2286" s="60"/>
      <c r="AF2286" s="13"/>
      <c r="AG2286" s="68" t="e">
        <f>VLOOKUP(Takeoffs!AF2286,Sheet1!$B$6:$C$124,2,FALSE)</f>
        <v>#N/A</v>
      </c>
      <c r="AH2286" s="68"/>
      <c r="AI2286" s="18"/>
      <c r="AJ2286" s="18"/>
      <c r="AK2286" s="18"/>
      <c r="AL2286" s="60"/>
      <c r="AO2286" s="286"/>
      <c r="AP2286" s="284">
        <f t="shared" si="992"/>
        <v>0</v>
      </c>
      <c r="AQ2286" s="281">
        <f t="shared" si="993"/>
        <v>0</v>
      </c>
      <c r="AR2286" s="284">
        <f t="shared" si="994"/>
        <v>0</v>
      </c>
      <c r="AS2286" s="281">
        <f t="shared" si="995"/>
        <v>0</v>
      </c>
      <c r="AT2286" s="284">
        <f t="shared" si="996"/>
        <v>0</v>
      </c>
    </row>
    <row r="2287" spans="1:46" customFormat="1" ht="15" customHeight="1" x14ac:dyDescent="0.8">
      <c r="A2287" s="262">
        <f t="shared" si="991"/>
        <v>2287</v>
      </c>
      <c r="B2287" s="114"/>
      <c r="C2287" s="208"/>
      <c r="D2287" s="208"/>
      <c r="E2287" s="208"/>
      <c r="F2287" s="208"/>
      <c r="G2287" s="208"/>
      <c r="H2287" s="208"/>
      <c r="I2287" s="114"/>
      <c r="J2287" s="30"/>
      <c r="N2287" s="15" t="s">
        <v>124</v>
      </c>
      <c r="O2287" s="12"/>
      <c r="P2287" s="12"/>
      <c r="Q2287" s="12"/>
      <c r="R2287" s="12"/>
      <c r="S2287" s="28">
        <f>M2275</f>
        <v>6</v>
      </c>
      <c r="T2287" s="11"/>
      <c r="U2287" s="12"/>
      <c r="V2287" s="14" t="e">
        <f>U2287*#REF!</f>
        <v>#REF!</v>
      </c>
      <c r="W2287" s="14"/>
      <c r="X2287" s="26"/>
      <c r="Y2287" s="13"/>
      <c r="Z2287" s="68" t="e">
        <f>VLOOKUP(Takeoffs!Y2287,Sheet1!$B$6:$C$124,2,FALSE)</f>
        <v>#N/A</v>
      </c>
      <c r="AA2287" s="68"/>
      <c r="AB2287" s="18"/>
      <c r="AC2287" s="18"/>
      <c r="AD2287" s="18"/>
      <c r="AE2287" s="60"/>
      <c r="AF2287" s="13"/>
      <c r="AG2287" s="68" t="e">
        <f>VLOOKUP(Takeoffs!AF2287,Sheet1!$B$6:$C$124,2,FALSE)</f>
        <v>#N/A</v>
      </c>
      <c r="AH2287" s="68"/>
      <c r="AI2287" s="18"/>
      <c r="AJ2287" s="18"/>
      <c r="AK2287" s="18"/>
      <c r="AL2287" s="60"/>
      <c r="AO2287" s="286"/>
      <c r="AP2287" s="284">
        <f t="shared" si="992"/>
        <v>0</v>
      </c>
      <c r="AQ2287" s="281">
        <f t="shared" si="993"/>
        <v>0</v>
      </c>
      <c r="AR2287" s="284">
        <f t="shared" si="994"/>
        <v>0</v>
      </c>
      <c r="AS2287" s="281">
        <f t="shared" si="995"/>
        <v>0</v>
      </c>
      <c r="AT2287" s="284">
        <f t="shared" si="996"/>
        <v>0</v>
      </c>
    </row>
    <row r="2288" spans="1:46" customFormat="1" ht="15" customHeight="1" x14ac:dyDescent="0.8">
      <c r="A2288" s="262">
        <f t="shared" si="991"/>
        <v>2288</v>
      </c>
      <c r="B2288" s="114"/>
      <c r="C2288" s="208"/>
      <c r="D2288" s="208"/>
      <c r="E2288" s="208"/>
      <c r="F2288" s="208"/>
      <c r="G2288" s="208"/>
      <c r="H2288" s="208"/>
      <c r="I2288" s="114"/>
      <c r="J2288" s="30"/>
      <c r="N2288" s="15" t="s">
        <v>125</v>
      </c>
      <c r="O2288" s="12"/>
      <c r="P2288" s="12"/>
      <c r="Q2288" s="12"/>
      <c r="R2288" s="12"/>
      <c r="S2288" s="28">
        <f>M2275</f>
        <v>6</v>
      </c>
      <c r="T2288" s="11"/>
      <c r="U2288" s="12"/>
      <c r="V2288" s="14" t="e">
        <f>U2288*#REF!</f>
        <v>#REF!</v>
      </c>
      <c r="W2288" s="14"/>
      <c r="X2288" s="26"/>
      <c r="Y2288" s="13"/>
      <c r="Z2288" s="68" t="e">
        <f>VLOOKUP(Takeoffs!Y2288,Sheet1!$B$6:$C$124,2,FALSE)</f>
        <v>#N/A</v>
      </c>
      <c r="AA2288" s="68"/>
      <c r="AB2288" s="18"/>
      <c r="AC2288" s="18"/>
      <c r="AD2288" s="18"/>
      <c r="AE2288" s="60"/>
      <c r="AF2288" s="13"/>
      <c r="AG2288" s="68" t="e">
        <f>VLOOKUP(Takeoffs!AF2288,Sheet1!$B$6:$C$124,2,FALSE)</f>
        <v>#N/A</v>
      </c>
      <c r="AH2288" s="68"/>
      <c r="AI2288" s="18"/>
      <c r="AJ2288" s="18"/>
      <c r="AK2288" s="18"/>
      <c r="AL2288" s="60"/>
      <c r="AO2288" s="286"/>
      <c r="AP2288" s="284">
        <f t="shared" si="992"/>
        <v>0</v>
      </c>
      <c r="AQ2288" s="281">
        <f t="shared" si="993"/>
        <v>0</v>
      </c>
      <c r="AR2288" s="284">
        <f t="shared" si="994"/>
        <v>0</v>
      </c>
      <c r="AS2288" s="281">
        <f t="shared" si="995"/>
        <v>0</v>
      </c>
      <c r="AT2288" s="284">
        <f t="shared" si="996"/>
        <v>0</v>
      </c>
    </row>
    <row r="2289" spans="1:46" customFormat="1" ht="15" customHeight="1" x14ac:dyDescent="0.8">
      <c r="A2289" s="262">
        <f t="shared" si="991"/>
        <v>2289</v>
      </c>
      <c r="B2289" s="114"/>
      <c r="C2289" s="208"/>
      <c r="D2289" s="208"/>
      <c r="E2289" s="208"/>
      <c r="F2289" s="208"/>
      <c r="G2289" s="208"/>
      <c r="H2289" s="208"/>
      <c r="I2289" s="114"/>
      <c r="J2289" s="30"/>
      <c r="N2289" s="15" t="s">
        <v>126</v>
      </c>
      <c r="O2289" s="12"/>
      <c r="P2289" s="12"/>
      <c r="Q2289" s="12"/>
      <c r="R2289" s="12"/>
      <c r="S2289" s="28">
        <f>M2275</f>
        <v>6</v>
      </c>
      <c r="T2289" s="11"/>
      <c r="U2289" s="12"/>
      <c r="V2289" s="14" t="e">
        <f>U2289*#REF!</f>
        <v>#REF!</v>
      </c>
      <c r="W2289" s="14"/>
      <c r="X2289" s="26"/>
      <c r="Y2289" s="13"/>
      <c r="Z2289" s="68" t="e">
        <f>VLOOKUP(Takeoffs!Y2289,Sheet1!$B$6:$C$124,2,FALSE)</f>
        <v>#N/A</v>
      </c>
      <c r="AA2289" s="68"/>
      <c r="AB2289" s="18"/>
      <c r="AC2289" s="18"/>
      <c r="AD2289" s="18"/>
      <c r="AE2289" s="60"/>
      <c r="AF2289" s="13"/>
      <c r="AG2289" s="68" t="e">
        <f>VLOOKUP(Takeoffs!AF2289,Sheet1!$B$6:$C$124,2,FALSE)</f>
        <v>#N/A</v>
      </c>
      <c r="AH2289" s="68"/>
      <c r="AI2289" s="18"/>
      <c r="AJ2289" s="18"/>
      <c r="AK2289" s="18"/>
      <c r="AL2289" s="60"/>
      <c r="AO2289" s="286"/>
      <c r="AP2289" s="284">
        <f t="shared" si="992"/>
        <v>0</v>
      </c>
      <c r="AQ2289" s="281">
        <f t="shared" si="993"/>
        <v>0</v>
      </c>
      <c r="AR2289" s="284">
        <f t="shared" si="994"/>
        <v>0</v>
      </c>
      <c r="AS2289" s="281">
        <f t="shared" si="995"/>
        <v>0</v>
      </c>
      <c r="AT2289" s="284">
        <f t="shared" si="996"/>
        <v>0</v>
      </c>
    </row>
    <row r="2290" spans="1:46" customFormat="1" ht="15" customHeight="1" x14ac:dyDescent="0.8">
      <c r="A2290" s="262">
        <f t="shared" si="991"/>
        <v>2290</v>
      </c>
      <c r="B2290" s="114"/>
      <c r="C2290" s="208"/>
      <c r="D2290" s="208"/>
      <c r="E2290" s="208"/>
      <c r="F2290" s="208"/>
      <c r="G2290" s="208"/>
      <c r="H2290" s="208"/>
      <c r="I2290" s="114"/>
      <c r="J2290" s="30"/>
      <c r="N2290" s="15" t="s">
        <v>127</v>
      </c>
      <c r="O2290" s="12"/>
      <c r="P2290" s="12"/>
      <c r="Q2290" s="12"/>
      <c r="R2290" s="12"/>
      <c r="S2290" s="28">
        <f>M2275</f>
        <v>6</v>
      </c>
      <c r="T2290" s="11"/>
      <c r="U2290" s="12"/>
      <c r="V2290" s="14" t="e">
        <f>U2290*#REF!</f>
        <v>#REF!</v>
      </c>
      <c r="W2290" s="14"/>
      <c r="X2290" s="26"/>
      <c r="Y2290" s="13"/>
      <c r="Z2290" s="68" t="e">
        <f>VLOOKUP(Takeoffs!Y2290,Sheet1!$B$6:$C$124,2,FALSE)</f>
        <v>#N/A</v>
      </c>
      <c r="AA2290" s="68"/>
      <c r="AB2290" s="18"/>
      <c r="AC2290" s="18"/>
      <c r="AD2290" s="18"/>
      <c r="AE2290" s="60"/>
      <c r="AF2290" s="13"/>
      <c r="AG2290" s="68" t="e">
        <f>VLOOKUP(Takeoffs!AF2290,Sheet1!$B$6:$C$124,2,FALSE)</f>
        <v>#N/A</v>
      </c>
      <c r="AH2290" s="68"/>
      <c r="AI2290" s="18"/>
      <c r="AJ2290" s="18"/>
      <c r="AK2290" s="18"/>
      <c r="AL2290" s="60"/>
      <c r="AO2290" s="286"/>
      <c r="AP2290" s="284">
        <f t="shared" si="992"/>
        <v>0</v>
      </c>
      <c r="AQ2290" s="281">
        <f t="shared" si="993"/>
        <v>0</v>
      </c>
      <c r="AR2290" s="284">
        <f t="shared" si="994"/>
        <v>0</v>
      </c>
      <c r="AS2290" s="281">
        <f t="shared" si="995"/>
        <v>0</v>
      </c>
      <c r="AT2290" s="284">
        <f t="shared" si="996"/>
        <v>0</v>
      </c>
    </row>
    <row r="2291" spans="1:46" customFormat="1" ht="15" customHeight="1" x14ac:dyDescent="0.8">
      <c r="A2291" s="262">
        <f t="shared" si="991"/>
        <v>2291</v>
      </c>
      <c r="B2291" s="114"/>
      <c r="C2291" s="208"/>
      <c r="D2291" s="208"/>
      <c r="E2291" s="208"/>
      <c r="F2291" s="208"/>
      <c r="G2291" s="208"/>
      <c r="H2291" s="208"/>
      <c r="I2291" s="114"/>
      <c r="J2291" s="30"/>
      <c r="N2291" s="15" t="s">
        <v>128</v>
      </c>
      <c r="O2291" s="12"/>
      <c r="P2291" s="12"/>
      <c r="Q2291" s="12"/>
      <c r="R2291" s="12"/>
      <c r="S2291" s="28">
        <f>M2275</f>
        <v>6</v>
      </c>
      <c r="T2291" s="11"/>
      <c r="U2291" s="12"/>
      <c r="V2291" s="14" t="e">
        <f>U2291*#REF!</f>
        <v>#REF!</v>
      </c>
      <c r="W2291" s="14"/>
      <c r="X2291" s="26"/>
      <c r="Y2291" s="13"/>
      <c r="Z2291" s="68" t="e">
        <f>VLOOKUP(Takeoffs!Y2291,Sheet1!$B$6:$C$124,2,FALSE)</f>
        <v>#N/A</v>
      </c>
      <c r="AA2291" s="68"/>
      <c r="AB2291" s="18"/>
      <c r="AC2291" s="18"/>
      <c r="AD2291" s="18"/>
      <c r="AE2291" s="60"/>
      <c r="AF2291" s="13"/>
      <c r="AG2291" s="68" t="e">
        <f>VLOOKUP(Takeoffs!AF2291,Sheet1!$B$6:$C$124,2,FALSE)</f>
        <v>#N/A</v>
      </c>
      <c r="AH2291" s="68"/>
      <c r="AI2291" s="18"/>
      <c r="AJ2291" s="18"/>
      <c r="AK2291" s="18"/>
      <c r="AL2291" s="60"/>
      <c r="AO2291" s="286"/>
      <c r="AP2291" s="284">
        <f t="shared" si="992"/>
        <v>0</v>
      </c>
      <c r="AQ2291" s="281">
        <f t="shared" si="993"/>
        <v>0</v>
      </c>
      <c r="AR2291" s="284">
        <f t="shared" si="994"/>
        <v>0</v>
      </c>
      <c r="AS2291" s="281">
        <f t="shared" si="995"/>
        <v>0</v>
      </c>
      <c r="AT2291" s="284">
        <f t="shared" si="996"/>
        <v>0</v>
      </c>
    </row>
    <row r="2292" spans="1:46" customFormat="1" ht="15" customHeight="1" x14ac:dyDescent="0.8">
      <c r="A2292" s="262">
        <f t="shared" si="991"/>
        <v>2292</v>
      </c>
      <c r="B2292" s="114"/>
      <c r="C2292" s="208"/>
      <c r="D2292" s="208"/>
      <c r="E2292" s="208"/>
      <c r="F2292" s="208"/>
      <c r="G2292" s="208"/>
      <c r="H2292" s="208"/>
      <c r="I2292" s="114"/>
      <c r="J2292" s="30"/>
      <c r="N2292" s="15" t="s">
        <v>129</v>
      </c>
      <c r="O2292" s="12"/>
      <c r="P2292" s="12"/>
      <c r="Q2292" s="12"/>
      <c r="R2292" s="12"/>
      <c r="S2292" s="28">
        <f>M2275</f>
        <v>6</v>
      </c>
      <c r="T2292" s="11"/>
      <c r="U2292" s="12"/>
      <c r="V2292" s="14" t="e">
        <f>U2292*#REF!</f>
        <v>#REF!</v>
      </c>
      <c r="W2292" s="14"/>
      <c r="X2292" s="26"/>
      <c r="Y2292" s="13"/>
      <c r="Z2292" s="68" t="e">
        <f>VLOOKUP(Takeoffs!Y2292,Sheet1!$B$6:$C$124,2,FALSE)</f>
        <v>#N/A</v>
      </c>
      <c r="AA2292" s="68"/>
      <c r="AB2292" s="18"/>
      <c r="AC2292" s="18"/>
      <c r="AD2292" s="18"/>
      <c r="AE2292" s="60"/>
      <c r="AF2292" s="13"/>
      <c r="AG2292" s="68" t="e">
        <f>VLOOKUP(Takeoffs!AF2292,Sheet1!$B$6:$C$124,2,FALSE)</f>
        <v>#N/A</v>
      </c>
      <c r="AH2292" s="68"/>
      <c r="AI2292" s="18"/>
      <c r="AJ2292" s="18"/>
      <c r="AK2292" s="18"/>
      <c r="AL2292" s="60"/>
      <c r="AO2292" s="286"/>
      <c r="AP2292" s="284">
        <f t="shared" si="992"/>
        <v>0</v>
      </c>
      <c r="AQ2292" s="281">
        <f t="shared" si="993"/>
        <v>0</v>
      </c>
      <c r="AR2292" s="284">
        <f t="shared" si="994"/>
        <v>0</v>
      </c>
      <c r="AS2292" s="281">
        <f t="shared" si="995"/>
        <v>0</v>
      </c>
      <c r="AT2292" s="284">
        <f t="shared" si="996"/>
        <v>0</v>
      </c>
    </row>
    <row r="2293" spans="1:46" customFormat="1" ht="15" customHeight="1" x14ac:dyDescent="0.8">
      <c r="A2293" s="262">
        <f t="shared" si="991"/>
        <v>2293</v>
      </c>
      <c r="B2293" s="114"/>
      <c r="C2293" s="208"/>
      <c r="D2293" s="208"/>
      <c r="E2293" s="208"/>
      <c r="F2293" s="208"/>
      <c r="G2293" s="208"/>
      <c r="H2293" s="208"/>
      <c r="I2293" s="114"/>
      <c r="J2293" s="30"/>
      <c r="N2293" s="15" t="s">
        <v>130</v>
      </c>
      <c r="O2293" s="12"/>
      <c r="P2293" s="12"/>
      <c r="Q2293" s="12"/>
      <c r="R2293" s="12"/>
      <c r="S2293" s="28">
        <f>M2275</f>
        <v>6</v>
      </c>
      <c r="T2293" s="11"/>
      <c r="U2293" s="12"/>
      <c r="V2293" s="14" t="e">
        <f>U2293*#REF!</f>
        <v>#REF!</v>
      </c>
      <c r="W2293" s="14"/>
      <c r="X2293" s="26"/>
      <c r="Y2293" s="13"/>
      <c r="Z2293" s="68" t="e">
        <f>VLOOKUP(Takeoffs!Y2293,Sheet1!$B$6:$C$124,2,FALSE)</f>
        <v>#N/A</v>
      </c>
      <c r="AA2293" s="68"/>
      <c r="AB2293" s="18"/>
      <c r="AC2293" s="18"/>
      <c r="AD2293" s="18"/>
      <c r="AE2293" s="60"/>
      <c r="AF2293" s="13"/>
      <c r="AG2293" s="68" t="e">
        <f>VLOOKUP(Takeoffs!AF2293,Sheet1!$B$6:$C$124,2,FALSE)</f>
        <v>#N/A</v>
      </c>
      <c r="AH2293" s="68"/>
      <c r="AI2293" s="18"/>
      <c r="AJ2293" s="18"/>
      <c r="AK2293" s="18"/>
      <c r="AL2293" s="60"/>
      <c r="AO2293" s="286"/>
      <c r="AP2293" s="284">
        <f t="shared" si="992"/>
        <v>0</v>
      </c>
      <c r="AQ2293" s="281">
        <f t="shared" si="993"/>
        <v>0</v>
      </c>
      <c r="AR2293" s="284">
        <f t="shared" si="994"/>
        <v>0</v>
      </c>
      <c r="AS2293" s="281">
        <f t="shared" si="995"/>
        <v>0</v>
      </c>
      <c r="AT2293" s="284">
        <f t="shared" si="996"/>
        <v>0</v>
      </c>
    </row>
    <row r="2294" spans="1:46" customFormat="1" ht="15" customHeight="1" x14ac:dyDescent="0.8">
      <c r="A2294" s="262">
        <f t="shared" ref="A2294:A2357" si="997">A2293+1</f>
        <v>2294</v>
      </c>
      <c r="B2294" s="114"/>
      <c r="C2294" s="208"/>
      <c r="D2294" s="208"/>
      <c r="E2294" s="208"/>
      <c r="F2294" s="208"/>
      <c r="G2294" s="208"/>
      <c r="H2294" s="208"/>
      <c r="I2294" s="114"/>
      <c r="J2294" s="30"/>
      <c r="N2294" s="15" t="s">
        <v>131</v>
      </c>
      <c r="O2294" s="12"/>
      <c r="P2294" s="12"/>
      <c r="Q2294" s="12"/>
      <c r="R2294" s="12"/>
      <c r="S2294" s="28">
        <f>M2275</f>
        <v>6</v>
      </c>
      <c r="T2294" s="11"/>
      <c r="U2294" s="12"/>
      <c r="V2294" s="14" t="e">
        <f>U2294*#REF!</f>
        <v>#REF!</v>
      </c>
      <c r="W2294" s="14"/>
      <c r="X2294" s="26"/>
      <c r="Y2294" s="13"/>
      <c r="Z2294" s="68" t="e">
        <f>VLOOKUP(Takeoffs!Y2294,Sheet1!$B$6:$C$124,2,FALSE)</f>
        <v>#N/A</v>
      </c>
      <c r="AA2294" s="68"/>
      <c r="AB2294" s="18"/>
      <c r="AC2294" s="18"/>
      <c r="AD2294" s="18"/>
      <c r="AE2294" s="60"/>
      <c r="AF2294" s="13"/>
      <c r="AG2294" s="68" t="e">
        <f>VLOOKUP(Takeoffs!AF2294,Sheet1!$B$6:$C$124,2,FALSE)</f>
        <v>#N/A</v>
      </c>
      <c r="AH2294" s="68"/>
      <c r="AI2294" s="18"/>
      <c r="AJ2294" s="18"/>
      <c r="AK2294" s="18"/>
      <c r="AL2294" s="60"/>
      <c r="AO2294" s="286"/>
      <c r="AP2294" s="284">
        <f t="shared" si="992"/>
        <v>0</v>
      </c>
      <c r="AQ2294" s="281">
        <f t="shared" si="993"/>
        <v>0</v>
      </c>
      <c r="AR2294" s="284">
        <f t="shared" si="994"/>
        <v>0</v>
      </c>
      <c r="AS2294" s="281">
        <f t="shared" si="995"/>
        <v>0</v>
      </c>
      <c r="AT2294" s="284">
        <f t="shared" si="996"/>
        <v>0</v>
      </c>
    </row>
    <row r="2295" spans="1:46" customFormat="1" ht="15" customHeight="1" x14ac:dyDescent="0.8">
      <c r="A2295" s="262">
        <f t="shared" si="997"/>
        <v>2295</v>
      </c>
      <c r="B2295" s="114"/>
      <c r="C2295" s="208"/>
      <c r="D2295" s="208"/>
      <c r="E2295" s="208"/>
      <c r="F2295" s="208"/>
      <c r="G2295" s="208"/>
      <c r="H2295" s="208"/>
      <c r="I2295" s="114"/>
      <c r="J2295" s="30"/>
      <c r="N2295" s="15" t="s">
        <v>132</v>
      </c>
      <c r="O2295" s="12"/>
      <c r="P2295" s="12"/>
      <c r="Q2295" s="12"/>
      <c r="R2295" s="12"/>
      <c r="S2295" s="28">
        <f>M2275</f>
        <v>6</v>
      </c>
      <c r="T2295" s="11"/>
      <c r="U2295" s="12"/>
      <c r="V2295" s="14" t="e">
        <f>U2295*#REF!</f>
        <v>#REF!</v>
      </c>
      <c r="W2295" s="14"/>
      <c r="X2295" s="26"/>
      <c r="Y2295" s="13"/>
      <c r="Z2295" s="68" t="e">
        <f>VLOOKUP(Takeoffs!Y2295,Sheet1!$B$6:$C$124,2,FALSE)</f>
        <v>#N/A</v>
      </c>
      <c r="AA2295" s="68"/>
      <c r="AB2295" s="18"/>
      <c r="AC2295" s="18"/>
      <c r="AD2295" s="18"/>
      <c r="AE2295" s="60"/>
      <c r="AF2295" s="13"/>
      <c r="AG2295" s="68" t="e">
        <f>VLOOKUP(Takeoffs!AF2295,Sheet1!$B$6:$C$124,2,FALSE)</f>
        <v>#N/A</v>
      </c>
      <c r="AH2295" s="68"/>
      <c r="AI2295" s="18"/>
      <c r="AJ2295" s="18"/>
      <c r="AK2295" s="18"/>
      <c r="AL2295" s="60"/>
      <c r="AO2295" s="286"/>
      <c r="AP2295" s="284">
        <f t="shared" si="992"/>
        <v>0</v>
      </c>
      <c r="AQ2295" s="281">
        <f t="shared" si="993"/>
        <v>0</v>
      </c>
      <c r="AR2295" s="284">
        <f t="shared" si="994"/>
        <v>0</v>
      </c>
      <c r="AS2295" s="281">
        <f t="shared" si="995"/>
        <v>0</v>
      </c>
      <c r="AT2295" s="284">
        <f t="shared" si="996"/>
        <v>0</v>
      </c>
    </row>
    <row r="2296" spans="1:46" s="21" customFormat="1" ht="33.75" customHeight="1" x14ac:dyDescent="0.8">
      <c r="A2296" s="262">
        <f t="shared" si="997"/>
        <v>2296</v>
      </c>
      <c r="B2296" s="128"/>
      <c r="C2296" s="212"/>
      <c r="D2296" s="212"/>
      <c r="E2296" s="212"/>
      <c r="F2296" s="212"/>
      <c r="G2296" s="212"/>
      <c r="H2296" s="212"/>
      <c r="I2296" s="114"/>
      <c r="N2296" s="22"/>
      <c r="O2296" s="23"/>
      <c r="P2296" s="23"/>
      <c r="Q2296" s="23"/>
      <c r="R2296" s="23"/>
      <c r="S2296" s="23"/>
      <c r="T2296" s="24"/>
      <c r="U2296" s="23"/>
      <c r="V2296" s="24"/>
      <c r="W2296" s="24"/>
      <c r="X2296" s="26"/>
      <c r="Y2296" s="24"/>
      <c r="Z2296" s="68" t="e">
        <f>VLOOKUP(Takeoffs!Y2296,Sheet1!$B$6:$C$124,2,FALSE)</f>
        <v>#N/A</v>
      </c>
      <c r="AA2296" s="68"/>
      <c r="AB2296" s="31"/>
      <c r="AC2296" s="31"/>
      <c r="AD2296" s="31"/>
      <c r="AE2296" s="60"/>
      <c r="AF2296" s="24"/>
      <c r="AG2296" s="68" t="e">
        <f>VLOOKUP(Takeoffs!AF2296,Sheet1!$B$6:$C$124,2,FALSE)</f>
        <v>#N/A</v>
      </c>
      <c r="AH2296" s="68"/>
      <c r="AI2296" s="31"/>
      <c r="AJ2296" s="31"/>
      <c r="AK2296" s="31"/>
      <c r="AL2296" s="60"/>
      <c r="AO2296" s="286"/>
      <c r="AP2296" s="284">
        <f t="shared" si="992"/>
        <v>0</v>
      </c>
      <c r="AQ2296" s="281">
        <f t="shared" si="993"/>
        <v>0</v>
      </c>
      <c r="AR2296" s="284">
        <f t="shared" si="994"/>
        <v>0</v>
      </c>
      <c r="AS2296" s="281">
        <f t="shared" si="995"/>
        <v>0</v>
      </c>
      <c r="AT2296" s="284">
        <f t="shared" si="996"/>
        <v>0</v>
      </c>
    </row>
    <row r="2297" spans="1:46" customFormat="1" ht="30.9" x14ac:dyDescent="0.8">
      <c r="A2297" s="262">
        <f t="shared" si="997"/>
        <v>2297</v>
      </c>
      <c r="B2297" s="114"/>
      <c r="C2297" s="208"/>
      <c r="D2297" s="208"/>
      <c r="E2297" s="208"/>
      <c r="F2297" s="208"/>
      <c r="G2297" s="208"/>
      <c r="H2297" s="208"/>
      <c r="I2297" s="128"/>
      <c r="Q2297" s="32"/>
      <c r="R2297" s="32"/>
      <c r="T2297" s="8"/>
      <c r="W2297" s="32"/>
      <c r="X2297" s="25"/>
      <c r="Z2297" s="68" t="e">
        <f>VLOOKUP(Takeoffs!Y2297,Sheet1!$B$6:$C$124,2,FALSE)</f>
        <v>#N/A</v>
      </c>
      <c r="AA2297" s="68"/>
      <c r="AB2297" s="32"/>
      <c r="AC2297" s="32"/>
      <c r="AD2297" s="32"/>
      <c r="AE2297" s="25"/>
      <c r="AF2297" s="32"/>
      <c r="AG2297" s="68" t="e">
        <f>VLOOKUP(Takeoffs!AF2297,Sheet1!$B$6:$C$124,2,FALSE)</f>
        <v>#N/A</v>
      </c>
      <c r="AH2297" s="68"/>
      <c r="AI2297" s="32"/>
      <c r="AJ2297" s="32"/>
      <c r="AK2297" s="32"/>
      <c r="AL2297" s="25"/>
      <c r="AO2297" s="286"/>
      <c r="AP2297" s="284">
        <f t="shared" si="992"/>
        <v>0</v>
      </c>
      <c r="AQ2297" s="281">
        <f t="shared" si="993"/>
        <v>0</v>
      </c>
      <c r="AR2297" s="284">
        <f t="shared" si="994"/>
        <v>0</v>
      </c>
      <c r="AS2297" s="281">
        <f t="shared" si="995"/>
        <v>0</v>
      </c>
      <c r="AT2297" s="284">
        <f t="shared" si="996"/>
        <v>0</v>
      </c>
    </row>
    <row r="2298" spans="1:46" customFormat="1" ht="30.9" x14ac:dyDescent="0.8">
      <c r="A2298" s="262">
        <f t="shared" si="997"/>
        <v>2298</v>
      </c>
      <c r="B2298" s="114"/>
      <c r="C2298" s="208"/>
      <c r="D2298" s="208"/>
      <c r="E2298" s="208"/>
      <c r="F2298" s="208"/>
      <c r="G2298" s="208"/>
      <c r="H2298" s="208"/>
      <c r="I2298" s="114"/>
      <c r="Q2298" s="32"/>
      <c r="R2298" s="32"/>
      <c r="T2298" s="8"/>
      <c r="W2298" s="32"/>
      <c r="X2298" s="25"/>
      <c r="Z2298" s="68" t="e">
        <f>VLOOKUP(Takeoffs!Y2298,Sheet1!$B$6:$C$124,2,FALSE)</f>
        <v>#N/A</v>
      </c>
      <c r="AA2298" s="68"/>
      <c r="AB2298" s="32"/>
      <c r="AC2298" s="32"/>
      <c r="AD2298" s="32"/>
      <c r="AE2298" s="25"/>
      <c r="AF2298" s="32"/>
      <c r="AG2298" s="68" t="e">
        <f>VLOOKUP(Takeoffs!AF2298,Sheet1!$B$6:$C$124,2,FALSE)</f>
        <v>#N/A</v>
      </c>
      <c r="AH2298" s="68"/>
      <c r="AI2298" s="32"/>
      <c r="AJ2298" s="32"/>
      <c r="AK2298" s="32"/>
      <c r="AL2298" s="25"/>
      <c r="AO2298" s="286"/>
      <c r="AP2298" s="284">
        <f t="shared" si="992"/>
        <v>0</v>
      </c>
      <c r="AQ2298" s="281">
        <f t="shared" si="993"/>
        <v>0</v>
      </c>
      <c r="AR2298" s="284">
        <f t="shared" si="994"/>
        <v>0</v>
      </c>
      <c r="AS2298" s="281">
        <f t="shared" si="995"/>
        <v>0</v>
      </c>
      <c r="AT2298" s="284">
        <f t="shared" si="996"/>
        <v>0</v>
      </c>
    </row>
    <row r="2299" spans="1:46" s="2" customFormat="1" ht="62.25" customHeight="1" x14ac:dyDescent="0.8">
      <c r="A2299" s="262">
        <f t="shared" si="997"/>
        <v>2299</v>
      </c>
      <c r="B2299" s="116"/>
      <c r="C2299" s="211"/>
      <c r="D2299" s="211"/>
      <c r="E2299" s="211"/>
      <c r="F2299" s="211"/>
      <c r="G2299" s="211"/>
      <c r="H2299" s="211"/>
      <c r="I2299" s="114"/>
      <c r="M2299" s="2" t="s">
        <v>107</v>
      </c>
      <c r="N2299" s="2" t="s">
        <v>108</v>
      </c>
      <c r="O2299" s="2" t="s">
        <v>4</v>
      </c>
      <c r="P2299" s="2" t="s">
        <v>5</v>
      </c>
      <c r="S2299" s="2" t="s">
        <v>0</v>
      </c>
      <c r="T2299" s="9"/>
      <c r="U2299" s="2" t="s">
        <v>109</v>
      </c>
      <c r="V2299" s="2" t="s">
        <v>110</v>
      </c>
      <c r="X2299" s="58"/>
      <c r="Y2299" s="2" t="s">
        <v>111</v>
      </c>
      <c r="Z2299" s="68" t="e">
        <f>VLOOKUP(Takeoffs!Y2299,Sheet1!$B$6:$C$124,2,FALSE)</f>
        <v>#N/A</v>
      </c>
      <c r="AA2299" s="68"/>
      <c r="AE2299" s="58"/>
      <c r="AF2299" s="2" t="s">
        <v>111</v>
      </c>
      <c r="AG2299" s="68" t="e">
        <f>VLOOKUP(Takeoffs!AF2299,Sheet1!$B$6:$C$124,2,FALSE)</f>
        <v>#N/A</v>
      </c>
      <c r="AH2299" s="68"/>
      <c r="AL2299" s="58"/>
      <c r="AO2299" s="288"/>
      <c r="AP2299" s="284">
        <f t="shared" si="992"/>
        <v>0</v>
      </c>
      <c r="AQ2299" s="281">
        <f t="shared" si="993"/>
        <v>0</v>
      </c>
      <c r="AR2299" s="284">
        <f t="shared" si="994"/>
        <v>0</v>
      </c>
      <c r="AS2299" s="281">
        <f t="shared" si="995"/>
        <v>0</v>
      </c>
      <c r="AT2299" s="284">
        <f t="shared" si="996"/>
        <v>0</v>
      </c>
    </row>
    <row r="2300" spans="1:46" customFormat="1" ht="179.25" customHeight="1" x14ac:dyDescent="0.8">
      <c r="A2300" s="262">
        <f t="shared" si="997"/>
        <v>2300</v>
      </c>
      <c r="B2300" s="114"/>
      <c r="C2300" s="208"/>
      <c r="D2300" s="208"/>
      <c r="E2300" s="208"/>
      <c r="F2300" s="208"/>
      <c r="G2300" s="208"/>
      <c r="H2300" s="208"/>
      <c r="I2300" s="116"/>
      <c r="J2300" s="30" t="str">
        <f>CONCATENATE(O2300," ",L2300, " (",M2300,") ",N2300,". Each includes supply and install of ",O2301,O2302,O2303,O2304,O2305,O2306,O2307,O2308,O2309,O2310,O2311,O2312,O2313,O2314,O2315,O2316,O2317,O2318,O2319,O2320,)</f>
        <v>Electrical power supply and controls for  two (2) kitchen/café canopy exhaust fans. Each includes supply and install of circuit breakers, LO/OFF/HI local switch ( complete with run light , cabeling to MSSB and label), control contacts/relays, cabling and conduit fom MSSB for both speeds and local power isolator.Gas solenoid interlock is excluded.</v>
      </c>
      <c r="L2300" s="16" t="str">
        <f>VLOOKUP(M2300,Sheet2!$D$2:$E$1024,2,FALSE)</f>
        <v>two</v>
      </c>
      <c r="M2300" s="12">
        <v>2</v>
      </c>
      <c r="N2300" s="27" t="s">
        <v>164</v>
      </c>
      <c r="O2300" s="12" t="s">
        <v>154</v>
      </c>
      <c r="P2300" s="12"/>
      <c r="Q2300" s="12"/>
      <c r="R2300" s="12"/>
      <c r="S2300" s="28"/>
      <c r="T2300" s="10"/>
      <c r="U2300" s="12"/>
      <c r="V2300" s="14" t="e">
        <f>U2300*#REF!</f>
        <v>#REF!</v>
      </c>
      <c r="W2300" s="14"/>
      <c r="X2300" s="26"/>
      <c r="Y2300" s="13"/>
      <c r="Z2300" s="68" t="e">
        <f>VLOOKUP(Takeoffs!Y2300,Sheet1!$B$6:$C$124,2,FALSE)</f>
        <v>#N/A</v>
      </c>
      <c r="AA2300" s="68"/>
      <c r="AB2300" s="18"/>
      <c r="AC2300" s="18"/>
      <c r="AD2300" s="18"/>
      <c r="AE2300" s="60"/>
      <c r="AF2300" s="13"/>
      <c r="AG2300" s="68" t="e">
        <f>VLOOKUP(Takeoffs!AF2300,Sheet1!$B$6:$C$124,2,FALSE)</f>
        <v>#N/A</v>
      </c>
      <c r="AH2300" s="68"/>
      <c r="AI2300" s="18"/>
      <c r="AJ2300" s="18"/>
      <c r="AK2300" s="18"/>
      <c r="AL2300" s="60"/>
      <c r="AO2300" s="286"/>
      <c r="AP2300" s="284">
        <f t="shared" si="992"/>
        <v>0</v>
      </c>
      <c r="AQ2300" s="281">
        <f t="shared" si="993"/>
        <v>0</v>
      </c>
      <c r="AR2300" s="284">
        <f t="shared" si="994"/>
        <v>0</v>
      </c>
      <c r="AS2300" s="281">
        <f t="shared" si="995"/>
        <v>0</v>
      </c>
      <c r="AT2300" s="284">
        <f t="shared" si="996"/>
        <v>0</v>
      </c>
    </row>
    <row r="2301" spans="1:46" customFormat="1" ht="15" customHeight="1" x14ac:dyDescent="0.8">
      <c r="A2301" s="262">
        <f t="shared" si="997"/>
        <v>2301</v>
      </c>
      <c r="B2301" s="114"/>
      <c r="C2301" s="208"/>
      <c r="D2301" s="208"/>
      <c r="E2301" s="208"/>
      <c r="F2301" s="208"/>
      <c r="G2301" s="208"/>
      <c r="H2301" s="208"/>
      <c r="I2301" s="114"/>
      <c r="J2301" s="30"/>
      <c r="M2301" s="3"/>
      <c r="N2301" s="15" t="s">
        <v>113</v>
      </c>
      <c r="O2301" s="12" t="s">
        <v>162</v>
      </c>
      <c r="P2301" s="12"/>
      <c r="Q2301" s="12"/>
      <c r="R2301" s="12"/>
      <c r="S2301" s="28">
        <f>M2300</f>
        <v>2</v>
      </c>
      <c r="T2301" s="11"/>
      <c r="U2301" s="12"/>
      <c r="V2301" s="14" t="e">
        <f>U2301*#REF!</f>
        <v>#REF!</v>
      </c>
      <c r="W2301" s="14"/>
      <c r="X2301" s="26"/>
      <c r="Y2301" s="13"/>
      <c r="Z2301" s="68" t="e">
        <f>VLOOKUP(Takeoffs!Y2301,Sheet1!$B$6:$C$124,2,FALSE)</f>
        <v>#N/A</v>
      </c>
      <c r="AA2301" s="68"/>
      <c r="AB2301" s="18"/>
      <c r="AC2301" s="18"/>
      <c r="AD2301" s="18"/>
      <c r="AE2301" s="60"/>
      <c r="AF2301" s="13"/>
      <c r="AG2301" s="68" t="e">
        <f>VLOOKUP(Takeoffs!AF2301,Sheet1!$B$6:$C$124,2,FALSE)</f>
        <v>#N/A</v>
      </c>
      <c r="AH2301" s="68"/>
      <c r="AI2301" s="18"/>
      <c r="AJ2301" s="18"/>
      <c r="AK2301" s="18"/>
      <c r="AL2301" s="60"/>
      <c r="AO2301" s="286"/>
      <c r="AP2301" s="284">
        <f t="shared" si="992"/>
        <v>0</v>
      </c>
      <c r="AQ2301" s="281">
        <f t="shared" si="993"/>
        <v>0</v>
      </c>
      <c r="AR2301" s="284">
        <f t="shared" si="994"/>
        <v>0</v>
      </c>
      <c r="AS2301" s="281">
        <f t="shared" si="995"/>
        <v>0</v>
      </c>
      <c r="AT2301" s="284">
        <f t="shared" si="996"/>
        <v>0</v>
      </c>
    </row>
    <row r="2302" spans="1:46" customFormat="1" ht="15" customHeight="1" x14ac:dyDescent="0.8">
      <c r="A2302" s="262">
        <f t="shared" si="997"/>
        <v>2302</v>
      </c>
      <c r="B2302" s="114"/>
      <c r="C2302" s="208"/>
      <c r="D2302" s="208"/>
      <c r="E2302" s="208"/>
      <c r="F2302" s="208"/>
      <c r="G2302" s="208"/>
      <c r="H2302" s="208"/>
      <c r="I2302" s="114"/>
      <c r="J2302" s="30"/>
      <c r="M2302" s="3"/>
      <c r="N2302" s="15" t="s">
        <v>114</v>
      </c>
      <c r="O2302" s="12" t="s">
        <v>165</v>
      </c>
      <c r="P2302" s="12"/>
      <c r="Q2302" s="12"/>
      <c r="R2302" s="12"/>
      <c r="S2302" s="28">
        <f>M2300</f>
        <v>2</v>
      </c>
      <c r="T2302" s="11"/>
      <c r="U2302" s="12"/>
      <c r="V2302" s="14" t="e">
        <f>U2302*#REF!</f>
        <v>#REF!</v>
      </c>
      <c r="W2302" s="14"/>
      <c r="X2302" s="26"/>
      <c r="Y2302" s="13"/>
      <c r="Z2302" s="68" t="e">
        <f>VLOOKUP(Takeoffs!Y2302,Sheet1!$B$6:$C$124,2,FALSE)</f>
        <v>#N/A</v>
      </c>
      <c r="AA2302" s="68"/>
      <c r="AB2302" s="18"/>
      <c r="AC2302" s="18"/>
      <c r="AD2302" s="18"/>
      <c r="AE2302" s="60"/>
      <c r="AF2302" s="13"/>
      <c r="AG2302" s="68" t="e">
        <f>VLOOKUP(Takeoffs!AF2302,Sheet1!$B$6:$C$124,2,FALSE)</f>
        <v>#N/A</v>
      </c>
      <c r="AH2302" s="68"/>
      <c r="AI2302" s="18"/>
      <c r="AJ2302" s="18"/>
      <c r="AK2302" s="18"/>
      <c r="AL2302" s="60"/>
      <c r="AO2302" s="286"/>
      <c r="AP2302" s="284">
        <f t="shared" si="992"/>
        <v>0</v>
      </c>
      <c r="AQ2302" s="281">
        <f t="shared" si="993"/>
        <v>0</v>
      </c>
      <c r="AR2302" s="284">
        <f t="shared" si="994"/>
        <v>0</v>
      </c>
      <c r="AS2302" s="281">
        <f t="shared" si="995"/>
        <v>0</v>
      </c>
      <c r="AT2302" s="284">
        <f t="shared" si="996"/>
        <v>0</v>
      </c>
    </row>
    <row r="2303" spans="1:46" customFormat="1" ht="15" customHeight="1" x14ac:dyDescent="0.8">
      <c r="A2303" s="262">
        <f t="shared" si="997"/>
        <v>2303</v>
      </c>
      <c r="B2303" s="114"/>
      <c r="C2303" s="208"/>
      <c r="D2303" s="208"/>
      <c r="E2303" s="208"/>
      <c r="F2303" s="208"/>
      <c r="G2303" s="208"/>
      <c r="H2303" s="208"/>
      <c r="I2303" s="114"/>
      <c r="J2303" s="30"/>
      <c r="M2303" s="3"/>
      <c r="N2303" s="15" t="s">
        <v>115</v>
      </c>
      <c r="O2303" s="12" t="s">
        <v>163</v>
      </c>
      <c r="P2303" s="12"/>
      <c r="Q2303" s="12"/>
      <c r="R2303" s="12"/>
      <c r="S2303" s="28">
        <f>M2300</f>
        <v>2</v>
      </c>
      <c r="T2303" s="11"/>
      <c r="U2303" s="12"/>
      <c r="V2303" s="14" t="e">
        <f>U2303*#REF!</f>
        <v>#REF!</v>
      </c>
      <c r="W2303" s="14"/>
      <c r="X2303" s="26"/>
      <c r="Y2303" s="13"/>
      <c r="Z2303" s="68" t="e">
        <f>VLOOKUP(Takeoffs!Y2303,Sheet1!$B$6:$C$124,2,FALSE)</f>
        <v>#N/A</v>
      </c>
      <c r="AA2303" s="68"/>
      <c r="AB2303" s="18"/>
      <c r="AC2303" s="18"/>
      <c r="AD2303" s="18"/>
      <c r="AE2303" s="60"/>
      <c r="AF2303" s="13"/>
      <c r="AG2303" s="68" t="e">
        <f>VLOOKUP(Takeoffs!AF2303,Sheet1!$B$6:$C$124,2,FALSE)</f>
        <v>#N/A</v>
      </c>
      <c r="AH2303" s="68"/>
      <c r="AI2303" s="18"/>
      <c r="AJ2303" s="18"/>
      <c r="AK2303" s="18"/>
      <c r="AL2303" s="60"/>
      <c r="AO2303" s="286"/>
      <c r="AP2303" s="284">
        <f t="shared" si="992"/>
        <v>0</v>
      </c>
      <c r="AQ2303" s="281">
        <f t="shared" si="993"/>
        <v>0</v>
      </c>
      <c r="AR2303" s="284">
        <f t="shared" si="994"/>
        <v>0</v>
      </c>
      <c r="AS2303" s="281">
        <f t="shared" si="995"/>
        <v>0</v>
      </c>
      <c r="AT2303" s="284">
        <f t="shared" si="996"/>
        <v>0</v>
      </c>
    </row>
    <row r="2304" spans="1:46" customFormat="1" ht="15" customHeight="1" x14ac:dyDescent="0.8">
      <c r="A2304" s="262">
        <f t="shared" si="997"/>
        <v>2304</v>
      </c>
      <c r="B2304" s="114"/>
      <c r="C2304" s="208"/>
      <c r="D2304" s="208"/>
      <c r="E2304" s="208"/>
      <c r="F2304" s="208"/>
      <c r="G2304" s="208"/>
      <c r="H2304" s="208"/>
      <c r="I2304" s="114"/>
      <c r="J2304" s="30"/>
      <c r="M2304" s="3"/>
      <c r="N2304" s="15" t="s">
        <v>116</v>
      </c>
      <c r="O2304" s="12" t="s">
        <v>166</v>
      </c>
      <c r="P2304" s="12"/>
      <c r="Q2304" s="12"/>
      <c r="R2304" s="12"/>
      <c r="S2304" s="28">
        <f>M2300</f>
        <v>2</v>
      </c>
      <c r="T2304" s="11"/>
      <c r="U2304" s="12"/>
      <c r="V2304" s="14" t="e">
        <f>U2304*#REF!</f>
        <v>#REF!</v>
      </c>
      <c r="W2304" s="14"/>
      <c r="X2304" s="26"/>
      <c r="Y2304" s="13"/>
      <c r="Z2304" s="68" t="e">
        <f>VLOOKUP(Takeoffs!Y2304,Sheet1!$B$6:$C$124,2,FALSE)</f>
        <v>#N/A</v>
      </c>
      <c r="AA2304" s="68"/>
      <c r="AB2304" s="18"/>
      <c r="AC2304" s="18"/>
      <c r="AD2304" s="18"/>
      <c r="AE2304" s="60"/>
      <c r="AF2304" s="13"/>
      <c r="AG2304" s="68" t="e">
        <f>VLOOKUP(Takeoffs!AF2304,Sheet1!$B$6:$C$124,2,FALSE)</f>
        <v>#N/A</v>
      </c>
      <c r="AH2304" s="68"/>
      <c r="AI2304" s="18"/>
      <c r="AJ2304" s="18"/>
      <c r="AK2304" s="18"/>
      <c r="AL2304" s="60"/>
      <c r="AO2304" s="286"/>
      <c r="AP2304" s="284">
        <f t="shared" si="992"/>
        <v>0</v>
      </c>
      <c r="AQ2304" s="281">
        <f t="shared" si="993"/>
        <v>0</v>
      </c>
      <c r="AR2304" s="284">
        <f t="shared" si="994"/>
        <v>0</v>
      </c>
      <c r="AS2304" s="281">
        <f t="shared" si="995"/>
        <v>0</v>
      </c>
      <c r="AT2304" s="284">
        <f t="shared" si="996"/>
        <v>0</v>
      </c>
    </row>
    <row r="2305" spans="1:46" customFormat="1" ht="15" customHeight="1" x14ac:dyDescent="0.8">
      <c r="A2305" s="262">
        <f t="shared" si="997"/>
        <v>2305</v>
      </c>
      <c r="B2305" s="114"/>
      <c r="C2305" s="208"/>
      <c r="D2305" s="208"/>
      <c r="E2305" s="208"/>
      <c r="F2305" s="208"/>
      <c r="G2305" s="208"/>
      <c r="H2305" s="208"/>
      <c r="I2305" s="114"/>
      <c r="J2305" s="30"/>
      <c r="M2305" s="3"/>
      <c r="N2305" s="15" t="s">
        <v>117</v>
      </c>
      <c r="O2305" s="12" t="s">
        <v>141</v>
      </c>
      <c r="P2305" s="12"/>
      <c r="Q2305" s="12"/>
      <c r="R2305" s="12"/>
      <c r="S2305" s="28">
        <f>M2300</f>
        <v>2</v>
      </c>
      <c r="T2305" s="11"/>
      <c r="U2305" s="12"/>
      <c r="V2305" s="14" t="e">
        <f>U2305*#REF!</f>
        <v>#REF!</v>
      </c>
      <c r="W2305" s="14"/>
      <c r="X2305" s="26"/>
      <c r="Y2305" s="13"/>
      <c r="Z2305" s="68" t="e">
        <f>VLOOKUP(Takeoffs!Y2305,Sheet1!$B$6:$C$124,2,FALSE)</f>
        <v>#N/A</v>
      </c>
      <c r="AA2305" s="68"/>
      <c r="AB2305" s="18"/>
      <c r="AC2305" s="18"/>
      <c r="AD2305" s="18"/>
      <c r="AE2305" s="60"/>
      <c r="AF2305" s="13"/>
      <c r="AG2305" s="68" t="e">
        <f>VLOOKUP(Takeoffs!AF2305,Sheet1!$B$6:$C$124,2,FALSE)</f>
        <v>#N/A</v>
      </c>
      <c r="AH2305" s="68"/>
      <c r="AI2305" s="18"/>
      <c r="AJ2305" s="18"/>
      <c r="AK2305" s="18"/>
      <c r="AL2305" s="60"/>
      <c r="AO2305" s="286"/>
      <c r="AP2305" s="284">
        <f t="shared" si="992"/>
        <v>0</v>
      </c>
      <c r="AQ2305" s="281">
        <f t="shared" si="993"/>
        <v>0</v>
      </c>
      <c r="AR2305" s="284">
        <f t="shared" si="994"/>
        <v>0</v>
      </c>
      <c r="AS2305" s="281">
        <f t="shared" si="995"/>
        <v>0</v>
      </c>
      <c r="AT2305" s="284">
        <f t="shared" si="996"/>
        <v>0</v>
      </c>
    </row>
    <row r="2306" spans="1:46" customFormat="1" ht="15" customHeight="1" x14ac:dyDescent="0.8">
      <c r="A2306" s="262">
        <f t="shared" si="997"/>
        <v>2306</v>
      </c>
      <c r="B2306" s="114"/>
      <c r="C2306" s="208"/>
      <c r="D2306" s="208"/>
      <c r="E2306" s="208"/>
      <c r="F2306" s="208"/>
      <c r="G2306" s="208"/>
      <c r="H2306" s="208"/>
      <c r="I2306" s="114"/>
      <c r="J2306" s="30"/>
      <c r="M2306" s="3"/>
      <c r="N2306" s="15" t="s">
        <v>118</v>
      </c>
      <c r="O2306" s="12" t="s">
        <v>217</v>
      </c>
      <c r="P2306" s="12"/>
      <c r="Q2306" s="12"/>
      <c r="R2306" s="12"/>
      <c r="S2306" s="28">
        <f>M2300</f>
        <v>2</v>
      </c>
      <c r="T2306" s="11"/>
      <c r="U2306" s="12"/>
      <c r="V2306" s="14" t="e">
        <f>U2306*#REF!</f>
        <v>#REF!</v>
      </c>
      <c r="W2306" s="14"/>
      <c r="X2306" s="26"/>
      <c r="Y2306" s="13"/>
      <c r="Z2306" s="68" t="e">
        <f>VLOOKUP(Takeoffs!Y2306,Sheet1!$B$6:$C$124,2,FALSE)</f>
        <v>#N/A</v>
      </c>
      <c r="AA2306" s="68"/>
      <c r="AB2306" s="18"/>
      <c r="AC2306" s="18"/>
      <c r="AD2306" s="18"/>
      <c r="AE2306" s="60"/>
      <c r="AF2306" s="13"/>
      <c r="AG2306" s="68" t="e">
        <f>VLOOKUP(Takeoffs!AF2306,Sheet1!$B$6:$C$124,2,FALSE)</f>
        <v>#N/A</v>
      </c>
      <c r="AH2306" s="68"/>
      <c r="AI2306" s="18"/>
      <c r="AJ2306" s="18"/>
      <c r="AK2306" s="18"/>
      <c r="AL2306" s="60"/>
      <c r="AO2306" s="286"/>
      <c r="AP2306" s="284">
        <f t="shared" si="992"/>
        <v>0</v>
      </c>
      <c r="AQ2306" s="281">
        <f t="shared" si="993"/>
        <v>0</v>
      </c>
      <c r="AR2306" s="284">
        <f t="shared" si="994"/>
        <v>0</v>
      </c>
      <c r="AS2306" s="281">
        <f t="shared" si="995"/>
        <v>0</v>
      </c>
      <c r="AT2306" s="284">
        <f t="shared" si="996"/>
        <v>0</v>
      </c>
    </row>
    <row r="2307" spans="1:46" customFormat="1" ht="15" customHeight="1" x14ac:dyDescent="0.8">
      <c r="A2307" s="262">
        <f t="shared" si="997"/>
        <v>2307</v>
      </c>
      <c r="B2307" s="114"/>
      <c r="C2307" s="208"/>
      <c r="D2307" s="208"/>
      <c r="E2307" s="208"/>
      <c r="F2307" s="208"/>
      <c r="G2307" s="208"/>
      <c r="H2307" s="208"/>
      <c r="I2307" s="114"/>
      <c r="J2307" s="30"/>
      <c r="N2307" s="15" t="s">
        <v>119</v>
      </c>
      <c r="O2307" s="12"/>
      <c r="P2307" s="12"/>
      <c r="Q2307" s="12"/>
      <c r="R2307" s="12"/>
      <c r="S2307" s="28">
        <f>M2300</f>
        <v>2</v>
      </c>
      <c r="T2307" s="11"/>
      <c r="U2307" s="12"/>
      <c r="V2307" s="14" t="e">
        <f>U2307*#REF!</f>
        <v>#REF!</v>
      </c>
      <c r="W2307" s="14"/>
      <c r="X2307" s="26"/>
      <c r="Y2307" s="13"/>
      <c r="Z2307" s="68" t="e">
        <f>VLOOKUP(Takeoffs!Y2307,Sheet1!$B$6:$C$124,2,FALSE)</f>
        <v>#N/A</v>
      </c>
      <c r="AA2307" s="68"/>
      <c r="AB2307" s="18"/>
      <c r="AC2307" s="18"/>
      <c r="AD2307" s="18"/>
      <c r="AE2307" s="60"/>
      <c r="AF2307" s="13"/>
      <c r="AG2307" s="68" t="e">
        <f>VLOOKUP(Takeoffs!AF2307,Sheet1!$B$6:$C$124,2,FALSE)</f>
        <v>#N/A</v>
      </c>
      <c r="AH2307" s="68"/>
      <c r="AI2307" s="18"/>
      <c r="AJ2307" s="18"/>
      <c r="AK2307" s="18"/>
      <c r="AL2307" s="60"/>
      <c r="AO2307" s="286"/>
      <c r="AP2307" s="284">
        <f t="shared" si="992"/>
        <v>0</v>
      </c>
      <c r="AQ2307" s="281">
        <f t="shared" si="993"/>
        <v>0</v>
      </c>
      <c r="AR2307" s="284">
        <f t="shared" si="994"/>
        <v>0</v>
      </c>
      <c r="AS2307" s="281">
        <f t="shared" si="995"/>
        <v>0</v>
      </c>
      <c r="AT2307" s="284">
        <f t="shared" si="996"/>
        <v>0</v>
      </c>
    </row>
    <row r="2308" spans="1:46" customFormat="1" ht="15" customHeight="1" x14ac:dyDescent="0.8">
      <c r="A2308" s="262">
        <f t="shared" si="997"/>
        <v>2308</v>
      </c>
      <c r="B2308" s="114"/>
      <c r="C2308" s="208"/>
      <c r="D2308" s="208"/>
      <c r="E2308" s="208"/>
      <c r="F2308" s="208"/>
      <c r="G2308" s="208"/>
      <c r="H2308" s="208"/>
      <c r="I2308" s="114"/>
      <c r="J2308" s="30"/>
      <c r="N2308" s="15" t="s">
        <v>120</v>
      </c>
      <c r="O2308" s="12"/>
      <c r="P2308" s="12"/>
      <c r="Q2308" s="12"/>
      <c r="R2308" s="12"/>
      <c r="S2308" s="28">
        <f>M2300</f>
        <v>2</v>
      </c>
      <c r="T2308" s="11"/>
      <c r="U2308" s="12"/>
      <c r="V2308" s="14" t="e">
        <f>U2308*#REF!</f>
        <v>#REF!</v>
      </c>
      <c r="W2308" s="14"/>
      <c r="X2308" s="26"/>
      <c r="Y2308" s="13"/>
      <c r="Z2308" s="68" t="e">
        <f>VLOOKUP(Takeoffs!Y2308,Sheet1!$B$6:$C$124,2,FALSE)</f>
        <v>#N/A</v>
      </c>
      <c r="AA2308" s="68"/>
      <c r="AB2308" s="18"/>
      <c r="AC2308" s="18"/>
      <c r="AD2308" s="18"/>
      <c r="AE2308" s="60"/>
      <c r="AF2308" s="13"/>
      <c r="AG2308" s="68" t="e">
        <f>VLOOKUP(Takeoffs!AF2308,Sheet1!$B$6:$C$124,2,FALSE)</f>
        <v>#N/A</v>
      </c>
      <c r="AH2308" s="68"/>
      <c r="AI2308" s="18"/>
      <c r="AJ2308" s="18"/>
      <c r="AK2308" s="18"/>
      <c r="AL2308" s="60"/>
      <c r="AO2308" s="286"/>
      <c r="AP2308" s="284">
        <f t="shared" si="992"/>
        <v>0</v>
      </c>
      <c r="AQ2308" s="281">
        <f t="shared" si="993"/>
        <v>0</v>
      </c>
      <c r="AR2308" s="284">
        <f t="shared" si="994"/>
        <v>0</v>
      </c>
      <c r="AS2308" s="281">
        <f t="shared" si="995"/>
        <v>0</v>
      </c>
      <c r="AT2308" s="284">
        <f t="shared" si="996"/>
        <v>0</v>
      </c>
    </row>
    <row r="2309" spans="1:46" customFormat="1" ht="15" customHeight="1" x14ac:dyDescent="0.8">
      <c r="A2309" s="262">
        <f t="shared" si="997"/>
        <v>2309</v>
      </c>
      <c r="B2309" s="114"/>
      <c r="C2309" s="208"/>
      <c r="D2309" s="208"/>
      <c r="E2309" s="208"/>
      <c r="F2309" s="208"/>
      <c r="G2309" s="208"/>
      <c r="H2309" s="208"/>
      <c r="I2309" s="114"/>
      <c r="J2309" s="30"/>
      <c r="N2309" s="15" t="s">
        <v>121</v>
      </c>
      <c r="O2309" s="12"/>
      <c r="P2309" s="12"/>
      <c r="Q2309" s="12"/>
      <c r="R2309" s="12"/>
      <c r="S2309" s="28">
        <f>M2300</f>
        <v>2</v>
      </c>
      <c r="T2309" s="11"/>
      <c r="U2309" s="12"/>
      <c r="V2309" s="14" t="e">
        <f>U2309*#REF!</f>
        <v>#REF!</v>
      </c>
      <c r="W2309" s="14"/>
      <c r="X2309" s="26"/>
      <c r="Y2309" s="13"/>
      <c r="Z2309" s="68" t="e">
        <f>VLOOKUP(Takeoffs!Y2309,Sheet1!$B$6:$C$124,2,FALSE)</f>
        <v>#N/A</v>
      </c>
      <c r="AA2309" s="68"/>
      <c r="AB2309" s="18"/>
      <c r="AC2309" s="18"/>
      <c r="AD2309" s="18"/>
      <c r="AE2309" s="60"/>
      <c r="AF2309" s="13"/>
      <c r="AG2309" s="68" t="e">
        <f>VLOOKUP(Takeoffs!AF2309,Sheet1!$B$6:$C$124,2,FALSE)</f>
        <v>#N/A</v>
      </c>
      <c r="AH2309" s="68"/>
      <c r="AI2309" s="18"/>
      <c r="AJ2309" s="18"/>
      <c r="AK2309" s="18"/>
      <c r="AL2309" s="60"/>
      <c r="AO2309" s="286"/>
      <c r="AP2309" s="284">
        <f t="shared" si="992"/>
        <v>0</v>
      </c>
      <c r="AQ2309" s="281">
        <f t="shared" si="993"/>
        <v>0</v>
      </c>
      <c r="AR2309" s="284">
        <f t="shared" si="994"/>
        <v>0</v>
      </c>
      <c r="AS2309" s="281">
        <f t="shared" si="995"/>
        <v>0</v>
      </c>
      <c r="AT2309" s="284">
        <f t="shared" si="996"/>
        <v>0</v>
      </c>
    </row>
    <row r="2310" spans="1:46" customFormat="1" ht="15" customHeight="1" x14ac:dyDescent="0.8">
      <c r="A2310" s="262">
        <f t="shared" si="997"/>
        <v>2310</v>
      </c>
      <c r="B2310" s="114"/>
      <c r="C2310" s="208"/>
      <c r="D2310" s="208"/>
      <c r="E2310" s="208"/>
      <c r="F2310" s="208"/>
      <c r="G2310" s="208"/>
      <c r="H2310" s="208"/>
      <c r="I2310" s="114"/>
      <c r="J2310" s="30"/>
      <c r="N2310" s="15" t="s">
        <v>122</v>
      </c>
      <c r="O2310" s="12"/>
      <c r="P2310" s="12"/>
      <c r="Q2310" s="12"/>
      <c r="R2310" s="12"/>
      <c r="S2310" s="28">
        <f>M2300</f>
        <v>2</v>
      </c>
      <c r="T2310" s="11"/>
      <c r="U2310" s="12"/>
      <c r="V2310" s="14" t="e">
        <f>U2310*#REF!</f>
        <v>#REF!</v>
      </c>
      <c r="W2310" s="14"/>
      <c r="X2310" s="26"/>
      <c r="Y2310" s="13"/>
      <c r="Z2310" s="68" t="e">
        <f>VLOOKUP(Takeoffs!Y2310,Sheet1!$B$6:$C$124,2,FALSE)</f>
        <v>#N/A</v>
      </c>
      <c r="AA2310" s="68"/>
      <c r="AB2310" s="18"/>
      <c r="AC2310" s="18"/>
      <c r="AD2310" s="18"/>
      <c r="AE2310" s="60"/>
      <c r="AF2310" s="13"/>
      <c r="AG2310" s="68" t="e">
        <f>VLOOKUP(Takeoffs!AF2310,Sheet1!$B$6:$C$124,2,FALSE)</f>
        <v>#N/A</v>
      </c>
      <c r="AH2310" s="68"/>
      <c r="AI2310" s="18"/>
      <c r="AJ2310" s="18"/>
      <c r="AK2310" s="18"/>
      <c r="AL2310" s="60"/>
      <c r="AO2310" s="286"/>
      <c r="AP2310" s="284">
        <f t="shared" si="992"/>
        <v>0</v>
      </c>
      <c r="AQ2310" s="281">
        <f t="shared" si="993"/>
        <v>0</v>
      </c>
      <c r="AR2310" s="284">
        <f t="shared" si="994"/>
        <v>0</v>
      </c>
      <c r="AS2310" s="281">
        <f t="shared" si="995"/>
        <v>0</v>
      </c>
      <c r="AT2310" s="284">
        <f t="shared" si="996"/>
        <v>0</v>
      </c>
    </row>
    <row r="2311" spans="1:46" customFormat="1" ht="15" customHeight="1" x14ac:dyDescent="0.8">
      <c r="A2311" s="262">
        <f t="shared" si="997"/>
        <v>2311</v>
      </c>
      <c r="B2311" s="114"/>
      <c r="C2311" s="208"/>
      <c r="D2311" s="208"/>
      <c r="E2311" s="208"/>
      <c r="F2311" s="208"/>
      <c r="G2311" s="208"/>
      <c r="H2311" s="208"/>
      <c r="I2311" s="114"/>
      <c r="J2311" s="30"/>
      <c r="N2311" s="15" t="s">
        <v>123</v>
      </c>
      <c r="O2311" s="12"/>
      <c r="P2311" s="12"/>
      <c r="Q2311" s="12"/>
      <c r="R2311" s="12"/>
      <c r="S2311" s="28">
        <f>M2300</f>
        <v>2</v>
      </c>
      <c r="T2311" s="11"/>
      <c r="U2311" s="12"/>
      <c r="V2311" s="14" t="e">
        <f>U2311*#REF!</f>
        <v>#REF!</v>
      </c>
      <c r="W2311" s="14"/>
      <c r="X2311" s="26"/>
      <c r="Y2311" s="13"/>
      <c r="Z2311" s="68" t="e">
        <f>VLOOKUP(Takeoffs!Y2311,Sheet1!$B$6:$C$124,2,FALSE)</f>
        <v>#N/A</v>
      </c>
      <c r="AA2311" s="68"/>
      <c r="AB2311" s="18"/>
      <c r="AC2311" s="18"/>
      <c r="AD2311" s="18"/>
      <c r="AE2311" s="60"/>
      <c r="AF2311" s="13"/>
      <c r="AG2311" s="68" t="e">
        <f>VLOOKUP(Takeoffs!AF2311,Sheet1!$B$6:$C$124,2,FALSE)</f>
        <v>#N/A</v>
      </c>
      <c r="AH2311" s="68"/>
      <c r="AI2311" s="18"/>
      <c r="AJ2311" s="18"/>
      <c r="AK2311" s="18"/>
      <c r="AL2311" s="60"/>
      <c r="AO2311" s="286"/>
      <c r="AP2311" s="284">
        <f t="shared" si="992"/>
        <v>0</v>
      </c>
      <c r="AQ2311" s="281">
        <f t="shared" si="993"/>
        <v>0</v>
      </c>
      <c r="AR2311" s="284">
        <f t="shared" si="994"/>
        <v>0</v>
      </c>
      <c r="AS2311" s="281">
        <f t="shared" si="995"/>
        <v>0</v>
      </c>
      <c r="AT2311" s="284">
        <f t="shared" si="996"/>
        <v>0</v>
      </c>
    </row>
    <row r="2312" spans="1:46" customFormat="1" ht="15" customHeight="1" x14ac:dyDescent="0.8">
      <c r="A2312" s="262">
        <f t="shared" si="997"/>
        <v>2312</v>
      </c>
      <c r="B2312" s="114"/>
      <c r="C2312" s="208"/>
      <c r="D2312" s="208"/>
      <c r="E2312" s="208"/>
      <c r="F2312" s="208"/>
      <c r="G2312" s="208"/>
      <c r="H2312" s="208"/>
      <c r="I2312" s="114"/>
      <c r="J2312" s="30"/>
      <c r="N2312" s="15" t="s">
        <v>124</v>
      </c>
      <c r="O2312" s="12"/>
      <c r="P2312" s="12"/>
      <c r="Q2312" s="12"/>
      <c r="R2312" s="12"/>
      <c r="S2312" s="28">
        <f>M2300</f>
        <v>2</v>
      </c>
      <c r="T2312" s="11"/>
      <c r="U2312" s="12"/>
      <c r="V2312" s="14" t="e">
        <f>U2312*#REF!</f>
        <v>#REF!</v>
      </c>
      <c r="W2312" s="14"/>
      <c r="X2312" s="26"/>
      <c r="Y2312" s="13"/>
      <c r="Z2312" s="68" t="e">
        <f>VLOOKUP(Takeoffs!Y2312,Sheet1!$B$6:$C$124,2,FALSE)</f>
        <v>#N/A</v>
      </c>
      <c r="AA2312" s="68"/>
      <c r="AB2312" s="18"/>
      <c r="AC2312" s="18"/>
      <c r="AD2312" s="18"/>
      <c r="AE2312" s="60"/>
      <c r="AF2312" s="13"/>
      <c r="AG2312" s="68" t="e">
        <f>VLOOKUP(Takeoffs!AF2312,Sheet1!$B$6:$C$124,2,FALSE)</f>
        <v>#N/A</v>
      </c>
      <c r="AH2312" s="68"/>
      <c r="AI2312" s="18"/>
      <c r="AJ2312" s="18"/>
      <c r="AK2312" s="18"/>
      <c r="AL2312" s="60"/>
      <c r="AO2312" s="286"/>
      <c r="AP2312" s="284">
        <f t="shared" si="992"/>
        <v>0</v>
      </c>
      <c r="AQ2312" s="281">
        <f t="shared" si="993"/>
        <v>0</v>
      </c>
      <c r="AR2312" s="284">
        <f t="shared" si="994"/>
        <v>0</v>
      </c>
      <c r="AS2312" s="281">
        <f t="shared" si="995"/>
        <v>0</v>
      </c>
      <c r="AT2312" s="284">
        <f t="shared" si="996"/>
        <v>0</v>
      </c>
    </row>
    <row r="2313" spans="1:46" customFormat="1" ht="15" customHeight="1" x14ac:dyDescent="0.8">
      <c r="A2313" s="262">
        <f t="shared" si="997"/>
        <v>2313</v>
      </c>
      <c r="B2313" s="114"/>
      <c r="C2313" s="208"/>
      <c r="D2313" s="208"/>
      <c r="E2313" s="208"/>
      <c r="F2313" s="208"/>
      <c r="G2313" s="208"/>
      <c r="H2313" s="208"/>
      <c r="I2313" s="114"/>
      <c r="J2313" s="30"/>
      <c r="N2313" s="15" t="s">
        <v>125</v>
      </c>
      <c r="O2313" s="12"/>
      <c r="P2313" s="12"/>
      <c r="Q2313" s="12"/>
      <c r="R2313" s="12"/>
      <c r="S2313" s="28">
        <f>M2300</f>
        <v>2</v>
      </c>
      <c r="T2313" s="11"/>
      <c r="U2313" s="12"/>
      <c r="V2313" s="14" t="e">
        <f>U2313*#REF!</f>
        <v>#REF!</v>
      </c>
      <c r="W2313" s="14"/>
      <c r="X2313" s="26"/>
      <c r="Y2313" s="13"/>
      <c r="Z2313" s="68" t="e">
        <f>VLOOKUP(Takeoffs!Y2313,Sheet1!$B$6:$C$124,2,FALSE)</f>
        <v>#N/A</v>
      </c>
      <c r="AA2313" s="68"/>
      <c r="AB2313" s="18"/>
      <c r="AC2313" s="18"/>
      <c r="AD2313" s="18"/>
      <c r="AE2313" s="60"/>
      <c r="AF2313" s="13"/>
      <c r="AG2313" s="68" t="e">
        <f>VLOOKUP(Takeoffs!AF2313,Sheet1!$B$6:$C$124,2,FALSE)</f>
        <v>#N/A</v>
      </c>
      <c r="AH2313" s="68"/>
      <c r="AI2313" s="18"/>
      <c r="AJ2313" s="18"/>
      <c r="AK2313" s="18"/>
      <c r="AL2313" s="60"/>
      <c r="AO2313" s="286"/>
      <c r="AP2313" s="284">
        <f t="shared" si="992"/>
        <v>0</v>
      </c>
      <c r="AQ2313" s="281">
        <f t="shared" si="993"/>
        <v>0</v>
      </c>
      <c r="AR2313" s="284">
        <f t="shared" si="994"/>
        <v>0</v>
      </c>
      <c r="AS2313" s="281">
        <f t="shared" si="995"/>
        <v>0</v>
      </c>
      <c r="AT2313" s="284">
        <f t="shared" si="996"/>
        <v>0</v>
      </c>
    </row>
    <row r="2314" spans="1:46" customFormat="1" ht="15" customHeight="1" x14ac:dyDescent="0.8">
      <c r="A2314" s="262">
        <f t="shared" si="997"/>
        <v>2314</v>
      </c>
      <c r="B2314" s="114"/>
      <c r="C2314" s="208"/>
      <c r="D2314" s="208"/>
      <c r="E2314" s="208"/>
      <c r="F2314" s="208"/>
      <c r="G2314" s="208"/>
      <c r="H2314" s="208"/>
      <c r="I2314" s="114"/>
      <c r="J2314" s="30"/>
      <c r="N2314" s="15" t="s">
        <v>126</v>
      </c>
      <c r="O2314" s="12"/>
      <c r="P2314" s="12"/>
      <c r="Q2314" s="12"/>
      <c r="R2314" s="12"/>
      <c r="S2314" s="28">
        <f>M2300</f>
        <v>2</v>
      </c>
      <c r="T2314" s="11"/>
      <c r="U2314" s="12"/>
      <c r="V2314" s="14" t="e">
        <f>U2314*#REF!</f>
        <v>#REF!</v>
      </c>
      <c r="W2314" s="14"/>
      <c r="X2314" s="26"/>
      <c r="Y2314" s="13"/>
      <c r="Z2314" s="68" t="e">
        <f>VLOOKUP(Takeoffs!Y2314,Sheet1!$B$6:$C$124,2,FALSE)</f>
        <v>#N/A</v>
      </c>
      <c r="AA2314" s="68"/>
      <c r="AB2314" s="18"/>
      <c r="AC2314" s="18"/>
      <c r="AD2314" s="18"/>
      <c r="AE2314" s="60"/>
      <c r="AF2314" s="13"/>
      <c r="AG2314" s="68" t="e">
        <f>VLOOKUP(Takeoffs!AF2314,Sheet1!$B$6:$C$124,2,FALSE)</f>
        <v>#N/A</v>
      </c>
      <c r="AH2314" s="68"/>
      <c r="AI2314" s="18"/>
      <c r="AJ2314" s="18"/>
      <c r="AK2314" s="18"/>
      <c r="AL2314" s="60"/>
      <c r="AO2314" s="286"/>
      <c r="AP2314" s="284">
        <f t="shared" si="992"/>
        <v>0</v>
      </c>
      <c r="AQ2314" s="281">
        <f t="shared" si="993"/>
        <v>0</v>
      </c>
      <c r="AR2314" s="284">
        <f t="shared" si="994"/>
        <v>0</v>
      </c>
      <c r="AS2314" s="281">
        <f t="shared" si="995"/>
        <v>0</v>
      </c>
      <c r="AT2314" s="284">
        <f t="shared" si="996"/>
        <v>0</v>
      </c>
    </row>
    <row r="2315" spans="1:46" customFormat="1" ht="15" customHeight="1" x14ac:dyDescent="0.8">
      <c r="A2315" s="262">
        <f t="shared" si="997"/>
        <v>2315</v>
      </c>
      <c r="B2315" s="114"/>
      <c r="C2315" s="208"/>
      <c r="D2315" s="208"/>
      <c r="E2315" s="208"/>
      <c r="F2315" s="208"/>
      <c r="G2315" s="208"/>
      <c r="H2315" s="208"/>
      <c r="I2315" s="114"/>
      <c r="J2315" s="30"/>
      <c r="N2315" s="15" t="s">
        <v>127</v>
      </c>
      <c r="O2315" s="12"/>
      <c r="P2315" s="12"/>
      <c r="Q2315" s="12"/>
      <c r="R2315" s="12"/>
      <c r="S2315" s="28">
        <f>M2300</f>
        <v>2</v>
      </c>
      <c r="T2315" s="11"/>
      <c r="U2315" s="12"/>
      <c r="V2315" s="14" t="e">
        <f>U2315*#REF!</f>
        <v>#REF!</v>
      </c>
      <c r="W2315" s="14"/>
      <c r="X2315" s="26"/>
      <c r="Y2315" s="13"/>
      <c r="Z2315" s="68" t="e">
        <f>VLOOKUP(Takeoffs!Y2315,Sheet1!$B$6:$C$124,2,FALSE)</f>
        <v>#N/A</v>
      </c>
      <c r="AA2315" s="68"/>
      <c r="AB2315" s="18"/>
      <c r="AC2315" s="18"/>
      <c r="AD2315" s="18"/>
      <c r="AE2315" s="60"/>
      <c r="AF2315" s="13"/>
      <c r="AG2315" s="68" t="e">
        <f>VLOOKUP(Takeoffs!AF2315,Sheet1!$B$6:$C$124,2,FALSE)</f>
        <v>#N/A</v>
      </c>
      <c r="AH2315" s="68"/>
      <c r="AI2315" s="18"/>
      <c r="AJ2315" s="18"/>
      <c r="AK2315" s="18"/>
      <c r="AL2315" s="60"/>
      <c r="AO2315" s="286"/>
      <c r="AP2315" s="284">
        <f t="shared" si="992"/>
        <v>0</v>
      </c>
      <c r="AQ2315" s="281">
        <f t="shared" si="993"/>
        <v>0</v>
      </c>
      <c r="AR2315" s="284">
        <f t="shared" si="994"/>
        <v>0</v>
      </c>
      <c r="AS2315" s="281">
        <f t="shared" si="995"/>
        <v>0</v>
      </c>
      <c r="AT2315" s="284">
        <f t="shared" si="996"/>
        <v>0</v>
      </c>
    </row>
    <row r="2316" spans="1:46" customFormat="1" ht="15" customHeight="1" x14ac:dyDescent="0.8">
      <c r="A2316" s="262">
        <f t="shared" si="997"/>
        <v>2316</v>
      </c>
      <c r="B2316" s="114"/>
      <c r="C2316" s="208"/>
      <c r="D2316" s="208"/>
      <c r="E2316" s="208"/>
      <c r="F2316" s="208"/>
      <c r="G2316" s="208"/>
      <c r="H2316" s="208"/>
      <c r="I2316" s="114"/>
      <c r="J2316" s="30"/>
      <c r="N2316" s="15" t="s">
        <v>128</v>
      </c>
      <c r="O2316" s="12"/>
      <c r="P2316" s="12"/>
      <c r="Q2316" s="12"/>
      <c r="R2316" s="12"/>
      <c r="S2316" s="28">
        <f>M2300</f>
        <v>2</v>
      </c>
      <c r="T2316" s="11"/>
      <c r="U2316" s="12"/>
      <c r="V2316" s="14" t="e">
        <f>U2316*#REF!</f>
        <v>#REF!</v>
      </c>
      <c r="W2316" s="14"/>
      <c r="X2316" s="26"/>
      <c r="Y2316" s="13"/>
      <c r="Z2316" s="68" t="e">
        <f>VLOOKUP(Takeoffs!Y2316,Sheet1!$B$6:$C$124,2,FALSE)</f>
        <v>#N/A</v>
      </c>
      <c r="AA2316" s="68"/>
      <c r="AB2316" s="18"/>
      <c r="AC2316" s="18"/>
      <c r="AD2316" s="18"/>
      <c r="AE2316" s="60"/>
      <c r="AF2316" s="13"/>
      <c r="AG2316" s="68" t="e">
        <f>VLOOKUP(Takeoffs!AF2316,Sheet1!$B$6:$C$124,2,FALSE)</f>
        <v>#N/A</v>
      </c>
      <c r="AH2316" s="68"/>
      <c r="AI2316" s="18"/>
      <c r="AJ2316" s="18"/>
      <c r="AK2316" s="18"/>
      <c r="AL2316" s="60"/>
      <c r="AO2316" s="286"/>
      <c r="AP2316" s="284">
        <f t="shared" si="992"/>
        <v>0</v>
      </c>
      <c r="AQ2316" s="281">
        <f t="shared" si="993"/>
        <v>0</v>
      </c>
      <c r="AR2316" s="284">
        <f t="shared" si="994"/>
        <v>0</v>
      </c>
      <c r="AS2316" s="281">
        <f t="shared" si="995"/>
        <v>0</v>
      </c>
      <c r="AT2316" s="284">
        <f t="shared" si="996"/>
        <v>0</v>
      </c>
    </row>
    <row r="2317" spans="1:46" customFormat="1" ht="15" customHeight="1" x14ac:dyDescent="0.8">
      <c r="A2317" s="262">
        <f t="shared" si="997"/>
        <v>2317</v>
      </c>
      <c r="B2317" s="114"/>
      <c r="C2317" s="208"/>
      <c r="D2317" s="208"/>
      <c r="E2317" s="208"/>
      <c r="F2317" s="208"/>
      <c r="G2317" s="208"/>
      <c r="H2317" s="208"/>
      <c r="I2317" s="114"/>
      <c r="J2317" s="30"/>
      <c r="N2317" s="15" t="s">
        <v>129</v>
      </c>
      <c r="O2317" s="12"/>
      <c r="P2317" s="12"/>
      <c r="Q2317" s="12"/>
      <c r="R2317" s="12"/>
      <c r="S2317" s="28">
        <f>M2300</f>
        <v>2</v>
      </c>
      <c r="T2317" s="11"/>
      <c r="U2317" s="12"/>
      <c r="V2317" s="14" t="e">
        <f>U2317*#REF!</f>
        <v>#REF!</v>
      </c>
      <c r="W2317" s="14"/>
      <c r="X2317" s="26"/>
      <c r="Y2317" s="13"/>
      <c r="Z2317" s="68" t="e">
        <f>VLOOKUP(Takeoffs!Y2317,Sheet1!$B$6:$C$124,2,FALSE)</f>
        <v>#N/A</v>
      </c>
      <c r="AA2317" s="68"/>
      <c r="AB2317" s="18"/>
      <c r="AC2317" s="18"/>
      <c r="AD2317" s="18"/>
      <c r="AE2317" s="60"/>
      <c r="AF2317" s="13"/>
      <c r="AG2317" s="68" t="e">
        <f>VLOOKUP(Takeoffs!AF2317,Sheet1!$B$6:$C$124,2,FALSE)</f>
        <v>#N/A</v>
      </c>
      <c r="AH2317" s="68"/>
      <c r="AI2317" s="18"/>
      <c r="AJ2317" s="18"/>
      <c r="AK2317" s="18"/>
      <c r="AL2317" s="60"/>
      <c r="AO2317" s="286"/>
      <c r="AP2317" s="284">
        <f t="shared" si="992"/>
        <v>0</v>
      </c>
      <c r="AQ2317" s="281">
        <f t="shared" si="993"/>
        <v>0</v>
      </c>
      <c r="AR2317" s="284">
        <f t="shared" si="994"/>
        <v>0</v>
      </c>
      <c r="AS2317" s="281">
        <f t="shared" si="995"/>
        <v>0</v>
      </c>
      <c r="AT2317" s="284">
        <f t="shared" si="996"/>
        <v>0</v>
      </c>
    </row>
    <row r="2318" spans="1:46" customFormat="1" ht="15" customHeight="1" x14ac:dyDescent="0.8">
      <c r="A2318" s="262">
        <f t="shared" si="997"/>
        <v>2318</v>
      </c>
      <c r="B2318" s="114"/>
      <c r="C2318" s="208"/>
      <c r="D2318" s="208"/>
      <c r="E2318" s="208"/>
      <c r="F2318" s="208"/>
      <c r="G2318" s="208"/>
      <c r="H2318" s="208"/>
      <c r="I2318" s="114"/>
      <c r="J2318" s="30"/>
      <c r="N2318" s="15" t="s">
        <v>130</v>
      </c>
      <c r="O2318" s="12"/>
      <c r="P2318" s="12"/>
      <c r="Q2318" s="12"/>
      <c r="R2318" s="12"/>
      <c r="S2318" s="28">
        <f>M2300</f>
        <v>2</v>
      </c>
      <c r="T2318" s="11"/>
      <c r="U2318" s="12"/>
      <c r="V2318" s="14" t="e">
        <f>U2318*#REF!</f>
        <v>#REF!</v>
      </c>
      <c r="W2318" s="14"/>
      <c r="X2318" s="26"/>
      <c r="Y2318" s="13"/>
      <c r="Z2318" s="68" t="e">
        <f>VLOOKUP(Takeoffs!Y2318,Sheet1!$B$6:$C$124,2,FALSE)</f>
        <v>#N/A</v>
      </c>
      <c r="AA2318" s="68"/>
      <c r="AB2318" s="18"/>
      <c r="AC2318" s="18"/>
      <c r="AD2318" s="18"/>
      <c r="AE2318" s="60"/>
      <c r="AF2318" s="13"/>
      <c r="AG2318" s="68" t="e">
        <f>VLOOKUP(Takeoffs!AF2318,Sheet1!$B$6:$C$124,2,FALSE)</f>
        <v>#N/A</v>
      </c>
      <c r="AH2318" s="68"/>
      <c r="AI2318" s="18"/>
      <c r="AJ2318" s="18"/>
      <c r="AK2318" s="18"/>
      <c r="AL2318" s="60"/>
      <c r="AO2318" s="286"/>
      <c r="AP2318" s="284">
        <f t="shared" si="992"/>
        <v>0</v>
      </c>
      <c r="AQ2318" s="281">
        <f t="shared" si="993"/>
        <v>0</v>
      </c>
      <c r="AR2318" s="284">
        <f t="shared" si="994"/>
        <v>0</v>
      </c>
      <c r="AS2318" s="281">
        <f t="shared" si="995"/>
        <v>0</v>
      </c>
      <c r="AT2318" s="284">
        <f t="shared" si="996"/>
        <v>0</v>
      </c>
    </row>
    <row r="2319" spans="1:46" customFormat="1" ht="15" customHeight="1" x14ac:dyDescent="0.8">
      <c r="A2319" s="262">
        <f t="shared" si="997"/>
        <v>2319</v>
      </c>
      <c r="B2319" s="114"/>
      <c r="C2319" s="208"/>
      <c r="D2319" s="208"/>
      <c r="E2319" s="208"/>
      <c r="F2319" s="208"/>
      <c r="G2319" s="208"/>
      <c r="H2319" s="208"/>
      <c r="I2319" s="114"/>
      <c r="J2319" s="30"/>
      <c r="N2319" s="15" t="s">
        <v>131</v>
      </c>
      <c r="O2319" s="12"/>
      <c r="P2319" s="12"/>
      <c r="Q2319" s="12"/>
      <c r="R2319" s="12"/>
      <c r="S2319" s="28">
        <f>M2300</f>
        <v>2</v>
      </c>
      <c r="T2319" s="11"/>
      <c r="U2319" s="12"/>
      <c r="V2319" s="14" t="e">
        <f>U2319*#REF!</f>
        <v>#REF!</v>
      </c>
      <c r="W2319" s="14"/>
      <c r="X2319" s="26"/>
      <c r="Y2319" s="13"/>
      <c r="Z2319" s="68" t="e">
        <f>VLOOKUP(Takeoffs!Y2319,Sheet1!$B$6:$C$124,2,FALSE)</f>
        <v>#N/A</v>
      </c>
      <c r="AA2319" s="68"/>
      <c r="AB2319" s="18"/>
      <c r="AC2319" s="18"/>
      <c r="AD2319" s="18"/>
      <c r="AE2319" s="60"/>
      <c r="AF2319" s="13"/>
      <c r="AG2319" s="68" t="e">
        <f>VLOOKUP(Takeoffs!AF2319,Sheet1!$B$6:$C$124,2,FALSE)</f>
        <v>#N/A</v>
      </c>
      <c r="AH2319" s="68"/>
      <c r="AI2319" s="18"/>
      <c r="AJ2319" s="18"/>
      <c r="AK2319" s="18"/>
      <c r="AL2319" s="60"/>
      <c r="AO2319" s="286"/>
      <c r="AP2319" s="284">
        <f t="shared" si="992"/>
        <v>0</v>
      </c>
      <c r="AQ2319" s="281">
        <f t="shared" si="993"/>
        <v>0</v>
      </c>
      <c r="AR2319" s="284">
        <f t="shared" si="994"/>
        <v>0</v>
      </c>
      <c r="AS2319" s="281">
        <f t="shared" si="995"/>
        <v>0</v>
      </c>
      <c r="AT2319" s="284">
        <f t="shared" si="996"/>
        <v>0</v>
      </c>
    </row>
    <row r="2320" spans="1:46" customFormat="1" ht="15" customHeight="1" x14ac:dyDescent="0.8">
      <c r="A2320" s="262">
        <f t="shared" si="997"/>
        <v>2320</v>
      </c>
      <c r="B2320" s="114"/>
      <c r="C2320" s="208"/>
      <c r="D2320" s="208"/>
      <c r="E2320" s="208"/>
      <c r="F2320" s="208"/>
      <c r="G2320" s="208"/>
      <c r="H2320" s="208"/>
      <c r="I2320" s="114"/>
      <c r="J2320" s="30"/>
      <c r="N2320" s="15" t="s">
        <v>132</v>
      </c>
      <c r="O2320" s="12"/>
      <c r="P2320" s="12"/>
      <c r="Q2320" s="12"/>
      <c r="R2320" s="12"/>
      <c r="S2320" s="28">
        <f>M2300</f>
        <v>2</v>
      </c>
      <c r="T2320" s="11"/>
      <c r="U2320" s="12"/>
      <c r="V2320" s="14" t="e">
        <f>U2320*#REF!</f>
        <v>#REF!</v>
      </c>
      <c r="W2320" s="14"/>
      <c r="X2320" s="26"/>
      <c r="Y2320" s="13"/>
      <c r="Z2320" s="68" t="e">
        <f>VLOOKUP(Takeoffs!Y2320,Sheet1!$B$6:$C$124,2,FALSE)</f>
        <v>#N/A</v>
      </c>
      <c r="AA2320" s="68"/>
      <c r="AB2320" s="18"/>
      <c r="AC2320" s="18"/>
      <c r="AD2320" s="18"/>
      <c r="AE2320" s="60"/>
      <c r="AF2320" s="13"/>
      <c r="AG2320" s="68" t="e">
        <f>VLOOKUP(Takeoffs!AF2320,Sheet1!$B$6:$C$124,2,FALSE)</f>
        <v>#N/A</v>
      </c>
      <c r="AH2320" s="68"/>
      <c r="AI2320" s="18"/>
      <c r="AJ2320" s="18"/>
      <c r="AK2320" s="18"/>
      <c r="AL2320" s="60"/>
      <c r="AO2320" s="286"/>
      <c r="AP2320" s="284">
        <f t="shared" si="992"/>
        <v>0</v>
      </c>
      <c r="AQ2320" s="281">
        <f t="shared" si="993"/>
        <v>0</v>
      </c>
      <c r="AR2320" s="284">
        <f t="shared" si="994"/>
        <v>0</v>
      </c>
      <c r="AS2320" s="281">
        <f t="shared" si="995"/>
        <v>0</v>
      </c>
      <c r="AT2320" s="284">
        <f t="shared" si="996"/>
        <v>0</v>
      </c>
    </row>
    <row r="2321" spans="1:46" s="21" customFormat="1" ht="33.75" customHeight="1" x14ac:dyDescent="0.8">
      <c r="A2321" s="262">
        <f t="shared" si="997"/>
        <v>2321</v>
      </c>
      <c r="B2321" s="128"/>
      <c r="C2321" s="212"/>
      <c r="D2321" s="212"/>
      <c r="E2321" s="212"/>
      <c r="F2321" s="212"/>
      <c r="G2321" s="212"/>
      <c r="H2321" s="212"/>
      <c r="I2321" s="114"/>
      <c r="N2321" s="22"/>
      <c r="O2321" s="23"/>
      <c r="P2321" s="23"/>
      <c r="Q2321" s="23"/>
      <c r="R2321" s="23"/>
      <c r="S2321" s="23"/>
      <c r="T2321" s="24"/>
      <c r="U2321" s="23"/>
      <c r="V2321" s="24"/>
      <c r="W2321" s="24"/>
      <c r="X2321" s="26"/>
      <c r="Y2321" s="24"/>
      <c r="Z2321" s="68" t="e">
        <f>VLOOKUP(Takeoffs!Y2321,Sheet1!$B$6:$C$124,2,FALSE)</f>
        <v>#N/A</v>
      </c>
      <c r="AA2321" s="68"/>
      <c r="AB2321" s="31"/>
      <c r="AC2321" s="31"/>
      <c r="AD2321" s="31"/>
      <c r="AE2321" s="60"/>
      <c r="AF2321" s="24"/>
      <c r="AG2321" s="68" t="e">
        <f>VLOOKUP(Takeoffs!AF2321,Sheet1!$B$6:$C$124,2,FALSE)</f>
        <v>#N/A</v>
      </c>
      <c r="AH2321" s="68"/>
      <c r="AI2321" s="31"/>
      <c r="AJ2321" s="31"/>
      <c r="AK2321" s="31"/>
      <c r="AL2321" s="60"/>
      <c r="AO2321" s="286"/>
      <c r="AP2321" s="284">
        <f t="shared" si="992"/>
        <v>0</v>
      </c>
      <c r="AQ2321" s="281">
        <f t="shared" si="993"/>
        <v>0</v>
      </c>
      <c r="AR2321" s="284">
        <f t="shared" si="994"/>
        <v>0</v>
      </c>
      <c r="AS2321" s="281">
        <f t="shared" si="995"/>
        <v>0</v>
      </c>
      <c r="AT2321" s="284">
        <f t="shared" si="996"/>
        <v>0</v>
      </c>
    </row>
    <row r="2322" spans="1:46" customFormat="1" ht="30.9" x14ac:dyDescent="0.8">
      <c r="A2322" s="262">
        <f t="shared" si="997"/>
        <v>2322</v>
      </c>
      <c r="B2322" s="114"/>
      <c r="C2322" s="208"/>
      <c r="D2322" s="208"/>
      <c r="E2322" s="208"/>
      <c r="F2322" s="208"/>
      <c r="G2322" s="208"/>
      <c r="H2322" s="208"/>
      <c r="I2322" s="128"/>
      <c r="Q2322" s="32"/>
      <c r="R2322" s="32"/>
      <c r="T2322" s="8"/>
      <c r="W2322" s="32"/>
      <c r="X2322" s="25"/>
      <c r="Z2322" s="68" t="e">
        <f>VLOOKUP(Takeoffs!Y2322,Sheet1!$B$6:$C$124,2,FALSE)</f>
        <v>#N/A</v>
      </c>
      <c r="AA2322" s="68"/>
      <c r="AB2322" s="32"/>
      <c r="AC2322" s="32"/>
      <c r="AD2322" s="32"/>
      <c r="AE2322" s="25"/>
      <c r="AF2322" s="32"/>
      <c r="AG2322" s="68" t="e">
        <f>VLOOKUP(Takeoffs!AF2322,Sheet1!$B$6:$C$124,2,FALSE)</f>
        <v>#N/A</v>
      </c>
      <c r="AH2322" s="68"/>
      <c r="AI2322" s="32"/>
      <c r="AJ2322" s="32"/>
      <c r="AK2322" s="32"/>
      <c r="AL2322" s="25"/>
      <c r="AO2322" s="286"/>
      <c r="AP2322" s="284">
        <f t="shared" si="992"/>
        <v>0</v>
      </c>
      <c r="AQ2322" s="281">
        <f t="shared" si="993"/>
        <v>0</v>
      </c>
      <c r="AR2322" s="284">
        <f t="shared" si="994"/>
        <v>0</v>
      </c>
      <c r="AS2322" s="281">
        <f t="shared" si="995"/>
        <v>0</v>
      </c>
      <c r="AT2322" s="284">
        <f t="shared" si="996"/>
        <v>0</v>
      </c>
    </row>
    <row r="2323" spans="1:46" customFormat="1" ht="30.9" x14ac:dyDescent="0.8">
      <c r="A2323" s="262">
        <f t="shared" si="997"/>
        <v>2323</v>
      </c>
      <c r="B2323" s="114"/>
      <c r="C2323" s="208"/>
      <c r="D2323" s="208"/>
      <c r="E2323" s="208"/>
      <c r="F2323" s="208"/>
      <c r="G2323" s="208"/>
      <c r="H2323" s="208"/>
      <c r="I2323" s="114"/>
      <c r="Q2323" s="32"/>
      <c r="R2323" s="32"/>
      <c r="T2323" s="8"/>
      <c r="W2323" s="32"/>
      <c r="X2323" s="25"/>
      <c r="Z2323" s="68" t="e">
        <f>VLOOKUP(Takeoffs!Y2323,Sheet1!$B$6:$C$124,2,FALSE)</f>
        <v>#N/A</v>
      </c>
      <c r="AA2323" s="68"/>
      <c r="AB2323" s="32"/>
      <c r="AC2323" s="32"/>
      <c r="AD2323" s="32"/>
      <c r="AE2323" s="25"/>
      <c r="AF2323" s="32"/>
      <c r="AG2323" s="68" t="e">
        <f>VLOOKUP(Takeoffs!AF2323,Sheet1!$B$6:$C$124,2,FALSE)</f>
        <v>#N/A</v>
      </c>
      <c r="AH2323" s="68"/>
      <c r="AI2323" s="32"/>
      <c r="AJ2323" s="32"/>
      <c r="AK2323" s="32"/>
      <c r="AL2323" s="25"/>
      <c r="AO2323" s="286"/>
      <c r="AP2323" s="284">
        <f t="shared" si="992"/>
        <v>0</v>
      </c>
      <c r="AQ2323" s="281">
        <f t="shared" si="993"/>
        <v>0</v>
      </c>
      <c r="AR2323" s="284">
        <f t="shared" si="994"/>
        <v>0</v>
      </c>
      <c r="AS2323" s="281">
        <f t="shared" si="995"/>
        <v>0</v>
      </c>
      <c r="AT2323" s="284">
        <f t="shared" si="996"/>
        <v>0</v>
      </c>
    </row>
    <row r="2324" spans="1:46" s="2" customFormat="1" ht="62.25" customHeight="1" x14ac:dyDescent="0.8">
      <c r="A2324" s="262">
        <f t="shared" si="997"/>
        <v>2324</v>
      </c>
      <c r="B2324" s="116"/>
      <c r="C2324" s="211"/>
      <c r="D2324" s="211"/>
      <c r="E2324" s="211"/>
      <c r="F2324" s="211"/>
      <c r="G2324" s="211"/>
      <c r="H2324" s="211"/>
      <c r="I2324" s="114"/>
      <c r="M2324" s="2" t="s">
        <v>107</v>
      </c>
      <c r="N2324" s="2" t="s">
        <v>108</v>
      </c>
      <c r="O2324" s="2" t="s">
        <v>4</v>
      </c>
      <c r="P2324" s="2" t="s">
        <v>5</v>
      </c>
      <c r="S2324" s="2" t="s">
        <v>0</v>
      </c>
      <c r="T2324" s="9"/>
      <c r="U2324" s="2" t="s">
        <v>109</v>
      </c>
      <c r="V2324" s="2" t="s">
        <v>110</v>
      </c>
      <c r="X2324" s="58"/>
      <c r="Y2324" s="2" t="s">
        <v>111</v>
      </c>
      <c r="Z2324" s="68" t="e">
        <f>VLOOKUP(Takeoffs!Y2324,Sheet1!$B$6:$C$124,2,FALSE)</f>
        <v>#N/A</v>
      </c>
      <c r="AA2324" s="68"/>
      <c r="AE2324" s="58"/>
      <c r="AF2324" s="2" t="s">
        <v>111</v>
      </c>
      <c r="AG2324" s="68" t="e">
        <f>VLOOKUP(Takeoffs!AF2324,Sheet1!$B$6:$C$124,2,FALSE)</f>
        <v>#N/A</v>
      </c>
      <c r="AH2324" s="68"/>
      <c r="AL2324" s="58"/>
      <c r="AO2324" s="288"/>
      <c r="AP2324" s="284">
        <f t="shared" si="992"/>
        <v>0</v>
      </c>
      <c r="AQ2324" s="281">
        <f t="shared" si="993"/>
        <v>0</v>
      </c>
      <c r="AR2324" s="284">
        <f t="shared" si="994"/>
        <v>0</v>
      </c>
      <c r="AS2324" s="281">
        <f t="shared" si="995"/>
        <v>0</v>
      </c>
      <c r="AT2324" s="284">
        <f t="shared" si="996"/>
        <v>0</v>
      </c>
    </row>
    <row r="2325" spans="1:46" customFormat="1" ht="179.25" customHeight="1" x14ac:dyDescent="0.8">
      <c r="A2325" s="262">
        <f t="shared" si="997"/>
        <v>2325</v>
      </c>
      <c r="B2325" s="114"/>
      <c r="C2325" s="208"/>
      <c r="D2325" s="208"/>
      <c r="E2325" s="208"/>
      <c r="F2325" s="208"/>
      <c r="G2325" s="208"/>
      <c r="H2325" s="208"/>
      <c r="I2325" s="116"/>
      <c r="J2325" s="30" t="str">
        <f>CONCATENATE(O2325," ",L2325, " (",M2325,") ",N2325,". Each includes supply and install of ",O2326,O2327,O2328,O2329,O2330,O2331,O2332,O2333,O2334,O2335,O2336,O2337,O2338,O2339,O2340,O2341,O2342,O2343,O2344,O2345,)</f>
        <v>Electrical power supply and controls for  two (2) 2 speed kitchen/cafe canopy supply fan. Each includes supply and install of circuit breakers, interlock with kitchen/canopy exhaust fan but with fire shutdowncontrol contacts/relays, cabling and conduit fom MSSB for both speeds and local power isolator.</v>
      </c>
      <c r="L2325" s="16" t="str">
        <f>VLOOKUP(M2325,Sheet2!$D$2:$E$1024,2,FALSE)</f>
        <v>two</v>
      </c>
      <c r="M2325" s="12">
        <v>2</v>
      </c>
      <c r="N2325" s="27" t="s">
        <v>172</v>
      </c>
      <c r="O2325" s="12" t="s">
        <v>154</v>
      </c>
      <c r="P2325" s="12"/>
      <c r="Q2325" s="12"/>
      <c r="R2325" s="12"/>
      <c r="S2325" s="28"/>
      <c r="T2325" s="10"/>
      <c r="U2325" s="12"/>
      <c r="V2325" s="14" t="e">
        <f>U2325*#REF!</f>
        <v>#REF!</v>
      </c>
      <c r="W2325" s="14"/>
      <c r="X2325" s="26"/>
      <c r="Y2325" s="13"/>
      <c r="Z2325" s="68" t="e">
        <f>VLOOKUP(Takeoffs!Y2325,Sheet1!$B$6:$C$124,2,FALSE)</f>
        <v>#N/A</v>
      </c>
      <c r="AA2325" s="68"/>
      <c r="AB2325" s="18"/>
      <c r="AC2325" s="18"/>
      <c r="AD2325" s="18"/>
      <c r="AE2325" s="60"/>
      <c r="AF2325" s="13"/>
      <c r="AG2325" s="68" t="e">
        <f>VLOOKUP(Takeoffs!AF2325,Sheet1!$B$6:$C$124,2,FALSE)</f>
        <v>#N/A</v>
      </c>
      <c r="AH2325" s="68"/>
      <c r="AI2325" s="18"/>
      <c r="AJ2325" s="18"/>
      <c r="AK2325" s="18"/>
      <c r="AL2325" s="60"/>
      <c r="AO2325" s="286"/>
      <c r="AP2325" s="284">
        <f t="shared" si="992"/>
        <v>0</v>
      </c>
      <c r="AQ2325" s="281">
        <f t="shared" si="993"/>
        <v>0</v>
      </c>
      <c r="AR2325" s="284">
        <f t="shared" si="994"/>
        <v>0</v>
      </c>
      <c r="AS2325" s="281">
        <f t="shared" si="995"/>
        <v>0</v>
      </c>
      <c r="AT2325" s="284">
        <f t="shared" si="996"/>
        <v>0</v>
      </c>
    </row>
    <row r="2326" spans="1:46" customFormat="1" ht="15" customHeight="1" x14ac:dyDescent="0.8">
      <c r="A2326" s="262">
        <f t="shared" si="997"/>
        <v>2326</v>
      </c>
      <c r="B2326" s="114"/>
      <c r="C2326" s="208"/>
      <c r="D2326" s="208"/>
      <c r="E2326" s="208"/>
      <c r="F2326" s="208"/>
      <c r="G2326" s="208"/>
      <c r="H2326" s="208"/>
      <c r="I2326" s="114"/>
      <c r="J2326" s="30"/>
      <c r="M2326" s="3"/>
      <c r="N2326" s="15" t="s">
        <v>113</v>
      </c>
      <c r="O2326" s="12" t="s">
        <v>162</v>
      </c>
      <c r="P2326" s="12"/>
      <c r="Q2326" s="12"/>
      <c r="R2326" s="12"/>
      <c r="S2326" s="28">
        <f>M2325</f>
        <v>2</v>
      </c>
      <c r="T2326" s="11"/>
      <c r="U2326" s="12"/>
      <c r="V2326" s="14" t="e">
        <f>U2326*#REF!</f>
        <v>#REF!</v>
      </c>
      <c r="W2326" s="14"/>
      <c r="X2326" s="26"/>
      <c r="Y2326" s="13"/>
      <c r="Z2326" s="68" t="e">
        <f>VLOOKUP(Takeoffs!Y2326,Sheet1!$B$6:$C$124,2,FALSE)</f>
        <v>#N/A</v>
      </c>
      <c r="AA2326" s="68"/>
      <c r="AB2326" s="18"/>
      <c r="AC2326" s="18"/>
      <c r="AD2326" s="18"/>
      <c r="AE2326" s="60"/>
      <c r="AF2326" s="13"/>
      <c r="AG2326" s="68" t="e">
        <f>VLOOKUP(Takeoffs!AF2326,Sheet1!$B$6:$C$124,2,FALSE)</f>
        <v>#N/A</v>
      </c>
      <c r="AH2326" s="68"/>
      <c r="AI2326" s="18"/>
      <c r="AJ2326" s="18"/>
      <c r="AK2326" s="18"/>
      <c r="AL2326" s="60"/>
      <c r="AO2326" s="286"/>
      <c r="AP2326" s="284">
        <f t="shared" si="992"/>
        <v>0</v>
      </c>
      <c r="AQ2326" s="281">
        <f t="shared" si="993"/>
        <v>0</v>
      </c>
      <c r="AR2326" s="284">
        <f t="shared" si="994"/>
        <v>0</v>
      </c>
      <c r="AS2326" s="281">
        <f t="shared" si="995"/>
        <v>0</v>
      </c>
      <c r="AT2326" s="284">
        <f t="shared" si="996"/>
        <v>0</v>
      </c>
    </row>
    <row r="2327" spans="1:46" customFormat="1" ht="15" customHeight="1" x14ac:dyDescent="0.8">
      <c r="A2327" s="262">
        <f t="shared" si="997"/>
        <v>2327</v>
      </c>
      <c r="B2327" s="114"/>
      <c r="C2327" s="208"/>
      <c r="D2327" s="208"/>
      <c r="E2327" s="208"/>
      <c r="F2327" s="208"/>
      <c r="G2327" s="208"/>
      <c r="H2327" s="208"/>
      <c r="I2327" s="114"/>
      <c r="J2327" s="30"/>
      <c r="M2327" s="3"/>
      <c r="N2327" s="15" t="s">
        <v>114</v>
      </c>
      <c r="O2327" s="12" t="s">
        <v>173</v>
      </c>
      <c r="P2327" s="12"/>
      <c r="Q2327" s="12"/>
      <c r="R2327" s="12"/>
      <c r="S2327" s="28">
        <f>M2325</f>
        <v>2</v>
      </c>
      <c r="T2327" s="11"/>
      <c r="U2327" s="12"/>
      <c r="V2327" s="14" t="e">
        <f>U2327*#REF!</f>
        <v>#REF!</v>
      </c>
      <c r="W2327" s="14"/>
      <c r="X2327" s="26"/>
      <c r="Y2327" s="13"/>
      <c r="Z2327" s="68" t="e">
        <f>VLOOKUP(Takeoffs!Y2327,Sheet1!$B$6:$C$124,2,FALSE)</f>
        <v>#N/A</v>
      </c>
      <c r="AA2327" s="68"/>
      <c r="AB2327" s="18"/>
      <c r="AC2327" s="18"/>
      <c r="AD2327" s="18"/>
      <c r="AE2327" s="60"/>
      <c r="AF2327" s="13"/>
      <c r="AG2327" s="68" t="e">
        <f>VLOOKUP(Takeoffs!AF2327,Sheet1!$B$6:$C$124,2,FALSE)</f>
        <v>#N/A</v>
      </c>
      <c r="AH2327" s="68"/>
      <c r="AI2327" s="18"/>
      <c r="AJ2327" s="18"/>
      <c r="AK2327" s="18"/>
      <c r="AL2327" s="60"/>
      <c r="AO2327" s="286"/>
      <c r="AP2327" s="284">
        <f t="shared" si="992"/>
        <v>0</v>
      </c>
      <c r="AQ2327" s="281">
        <f t="shared" si="993"/>
        <v>0</v>
      </c>
      <c r="AR2327" s="284">
        <f t="shared" si="994"/>
        <v>0</v>
      </c>
      <c r="AS2327" s="281">
        <f t="shared" si="995"/>
        <v>0</v>
      </c>
      <c r="AT2327" s="284">
        <f t="shared" si="996"/>
        <v>0</v>
      </c>
    </row>
    <row r="2328" spans="1:46" customFormat="1" ht="15" customHeight="1" x14ac:dyDescent="0.8">
      <c r="A2328" s="262">
        <f t="shared" si="997"/>
        <v>2328</v>
      </c>
      <c r="B2328" s="114"/>
      <c r="C2328" s="208"/>
      <c r="D2328" s="208"/>
      <c r="E2328" s="208"/>
      <c r="F2328" s="208"/>
      <c r="G2328" s="208"/>
      <c r="H2328" s="208"/>
      <c r="I2328" s="114"/>
      <c r="J2328" s="30"/>
      <c r="M2328" s="3"/>
      <c r="N2328" s="15" t="s">
        <v>115</v>
      </c>
      <c r="O2328" s="12" t="s">
        <v>163</v>
      </c>
      <c r="P2328" s="12"/>
      <c r="Q2328" s="12"/>
      <c r="R2328" s="12"/>
      <c r="S2328" s="28">
        <f>M2325</f>
        <v>2</v>
      </c>
      <c r="T2328" s="11"/>
      <c r="U2328" s="12"/>
      <c r="V2328" s="14" t="e">
        <f>U2328*#REF!</f>
        <v>#REF!</v>
      </c>
      <c r="W2328" s="14"/>
      <c r="X2328" s="26"/>
      <c r="Y2328" s="13"/>
      <c r="Z2328" s="68" t="e">
        <f>VLOOKUP(Takeoffs!Y2328,Sheet1!$B$6:$C$124,2,FALSE)</f>
        <v>#N/A</v>
      </c>
      <c r="AA2328" s="68"/>
      <c r="AB2328" s="18"/>
      <c r="AC2328" s="18"/>
      <c r="AD2328" s="18"/>
      <c r="AE2328" s="60"/>
      <c r="AF2328" s="13"/>
      <c r="AG2328" s="68" t="e">
        <f>VLOOKUP(Takeoffs!AF2328,Sheet1!$B$6:$C$124,2,FALSE)</f>
        <v>#N/A</v>
      </c>
      <c r="AH2328" s="68"/>
      <c r="AI2328" s="18"/>
      <c r="AJ2328" s="18"/>
      <c r="AK2328" s="18"/>
      <c r="AL2328" s="60"/>
      <c r="AO2328" s="286"/>
      <c r="AP2328" s="284">
        <f t="shared" si="992"/>
        <v>0</v>
      </c>
      <c r="AQ2328" s="281">
        <f t="shared" si="993"/>
        <v>0</v>
      </c>
      <c r="AR2328" s="284">
        <f t="shared" si="994"/>
        <v>0</v>
      </c>
      <c r="AS2328" s="281">
        <f t="shared" si="995"/>
        <v>0</v>
      </c>
      <c r="AT2328" s="284">
        <f t="shared" si="996"/>
        <v>0</v>
      </c>
    </row>
    <row r="2329" spans="1:46" customFormat="1" ht="15" customHeight="1" x14ac:dyDescent="0.8">
      <c r="A2329" s="262">
        <f t="shared" si="997"/>
        <v>2329</v>
      </c>
      <c r="B2329" s="114"/>
      <c r="C2329" s="208"/>
      <c r="D2329" s="208"/>
      <c r="E2329" s="208"/>
      <c r="F2329" s="208"/>
      <c r="G2329" s="208"/>
      <c r="H2329" s="208"/>
      <c r="I2329" s="114"/>
      <c r="J2329" s="30"/>
      <c r="M2329" s="3"/>
      <c r="N2329" s="15" t="s">
        <v>116</v>
      </c>
      <c r="O2329" s="12" t="s">
        <v>166</v>
      </c>
      <c r="P2329" s="12"/>
      <c r="Q2329" s="12"/>
      <c r="R2329" s="12"/>
      <c r="S2329" s="28">
        <f>M2325</f>
        <v>2</v>
      </c>
      <c r="T2329" s="11"/>
      <c r="U2329" s="12"/>
      <c r="V2329" s="14" t="e">
        <f>U2329*#REF!</f>
        <v>#REF!</v>
      </c>
      <c r="W2329" s="14"/>
      <c r="X2329" s="26"/>
      <c r="Y2329" s="13"/>
      <c r="Z2329" s="68" t="e">
        <f>VLOOKUP(Takeoffs!Y2329,Sheet1!$B$6:$C$124,2,FALSE)</f>
        <v>#N/A</v>
      </c>
      <c r="AA2329" s="68"/>
      <c r="AB2329" s="18"/>
      <c r="AC2329" s="18"/>
      <c r="AD2329" s="18"/>
      <c r="AE2329" s="60"/>
      <c r="AF2329" s="13"/>
      <c r="AG2329" s="68" t="e">
        <f>VLOOKUP(Takeoffs!AF2329,Sheet1!$B$6:$C$124,2,FALSE)</f>
        <v>#N/A</v>
      </c>
      <c r="AH2329" s="68"/>
      <c r="AI2329" s="18"/>
      <c r="AJ2329" s="18"/>
      <c r="AK2329" s="18"/>
      <c r="AL2329" s="60"/>
      <c r="AO2329" s="286"/>
      <c r="AP2329" s="284">
        <f t="shared" si="992"/>
        <v>0</v>
      </c>
      <c r="AQ2329" s="281">
        <f t="shared" si="993"/>
        <v>0</v>
      </c>
      <c r="AR2329" s="284">
        <f t="shared" si="994"/>
        <v>0</v>
      </c>
      <c r="AS2329" s="281">
        <f t="shared" si="995"/>
        <v>0</v>
      </c>
      <c r="AT2329" s="284">
        <f t="shared" si="996"/>
        <v>0</v>
      </c>
    </row>
    <row r="2330" spans="1:46" customFormat="1" ht="15" customHeight="1" x14ac:dyDescent="0.8">
      <c r="A2330" s="262">
        <f t="shared" si="997"/>
        <v>2330</v>
      </c>
      <c r="B2330" s="114"/>
      <c r="C2330" s="208"/>
      <c r="D2330" s="208"/>
      <c r="E2330" s="208"/>
      <c r="F2330" s="208"/>
      <c r="G2330" s="208"/>
      <c r="H2330" s="208"/>
      <c r="I2330" s="114"/>
      <c r="J2330" s="30"/>
      <c r="M2330" s="3"/>
      <c r="N2330" s="15" t="s">
        <v>117</v>
      </c>
      <c r="O2330" s="12" t="s">
        <v>141</v>
      </c>
      <c r="P2330" s="12"/>
      <c r="Q2330" s="12"/>
      <c r="R2330" s="12"/>
      <c r="S2330" s="28">
        <f>M2325</f>
        <v>2</v>
      </c>
      <c r="T2330" s="11"/>
      <c r="U2330" s="12"/>
      <c r="V2330" s="14" t="e">
        <f>U2330*#REF!</f>
        <v>#REF!</v>
      </c>
      <c r="W2330" s="14"/>
      <c r="X2330" s="26"/>
      <c r="Y2330" s="13"/>
      <c r="Z2330" s="68" t="e">
        <f>VLOOKUP(Takeoffs!Y2330,Sheet1!$B$6:$C$124,2,FALSE)</f>
        <v>#N/A</v>
      </c>
      <c r="AA2330" s="68"/>
      <c r="AB2330" s="18"/>
      <c r="AC2330" s="18"/>
      <c r="AD2330" s="18"/>
      <c r="AE2330" s="60"/>
      <c r="AF2330" s="13"/>
      <c r="AG2330" s="68" t="e">
        <f>VLOOKUP(Takeoffs!AF2330,Sheet1!$B$6:$C$124,2,FALSE)</f>
        <v>#N/A</v>
      </c>
      <c r="AH2330" s="68"/>
      <c r="AI2330" s="18"/>
      <c r="AJ2330" s="18"/>
      <c r="AK2330" s="18"/>
      <c r="AL2330" s="60"/>
      <c r="AO2330" s="286"/>
      <c r="AP2330" s="284">
        <f t="shared" si="992"/>
        <v>0</v>
      </c>
      <c r="AQ2330" s="281">
        <f t="shared" si="993"/>
        <v>0</v>
      </c>
      <c r="AR2330" s="284">
        <f t="shared" si="994"/>
        <v>0</v>
      </c>
      <c r="AS2330" s="281">
        <f t="shared" si="995"/>
        <v>0</v>
      </c>
      <c r="AT2330" s="284">
        <f t="shared" si="996"/>
        <v>0</v>
      </c>
    </row>
    <row r="2331" spans="1:46" customFormat="1" ht="15" customHeight="1" x14ac:dyDescent="0.8">
      <c r="A2331" s="262">
        <f t="shared" si="997"/>
        <v>2331</v>
      </c>
      <c r="B2331" s="114"/>
      <c r="C2331" s="208"/>
      <c r="D2331" s="208"/>
      <c r="E2331" s="208"/>
      <c r="F2331" s="208"/>
      <c r="G2331" s="208"/>
      <c r="H2331" s="208"/>
      <c r="I2331" s="114"/>
      <c r="J2331" s="30"/>
      <c r="M2331" s="3"/>
      <c r="N2331" s="15" t="s">
        <v>118</v>
      </c>
      <c r="O2331" s="12"/>
      <c r="P2331" s="12"/>
      <c r="Q2331" s="12"/>
      <c r="R2331" s="12"/>
      <c r="S2331" s="28">
        <f>M2325</f>
        <v>2</v>
      </c>
      <c r="T2331" s="11"/>
      <c r="U2331" s="12"/>
      <c r="V2331" s="14" t="e">
        <f>U2331*#REF!</f>
        <v>#REF!</v>
      </c>
      <c r="W2331" s="14"/>
      <c r="X2331" s="26"/>
      <c r="Y2331" s="13"/>
      <c r="Z2331" s="68" t="e">
        <f>VLOOKUP(Takeoffs!Y2331,Sheet1!$B$6:$C$124,2,FALSE)</f>
        <v>#N/A</v>
      </c>
      <c r="AA2331" s="68"/>
      <c r="AB2331" s="18"/>
      <c r="AC2331" s="18"/>
      <c r="AD2331" s="18"/>
      <c r="AE2331" s="60"/>
      <c r="AF2331" s="13"/>
      <c r="AG2331" s="68" t="e">
        <f>VLOOKUP(Takeoffs!AF2331,Sheet1!$B$6:$C$124,2,FALSE)</f>
        <v>#N/A</v>
      </c>
      <c r="AH2331" s="68"/>
      <c r="AI2331" s="18"/>
      <c r="AJ2331" s="18"/>
      <c r="AK2331" s="18"/>
      <c r="AL2331" s="60"/>
      <c r="AO2331" s="286"/>
      <c r="AP2331" s="284">
        <f t="shared" si="992"/>
        <v>0</v>
      </c>
      <c r="AQ2331" s="281">
        <f t="shared" si="993"/>
        <v>0</v>
      </c>
      <c r="AR2331" s="284">
        <f t="shared" si="994"/>
        <v>0</v>
      </c>
      <c r="AS2331" s="281">
        <f t="shared" si="995"/>
        <v>0</v>
      </c>
      <c r="AT2331" s="284">
        <f t="shared" si="996"/>
        <v>0</v>
      </c>
    </row>
    <row r="2332" spans="1:46" customFormat="1" ht="15" customHeight="1" x14ac:dyDescent="0.8">
      <c r="A2332" s="262">
        <f t="shared" si="997"/>
        <v>2332</v>
      </c>
      <c r="B2332" s="114"/>
      <c r="C2332" s="208"/>
      <c r="D2332" s="208"/>
      <c r="E2332" s="208"/>
      <c r="F2332" s="208"/>
      <c r="G2332" s="208"/>
      <c r="H2332" s="208"/>
      <c r="I2332" s="114"/>
      <c r="J2332" s="30"/>
      <c r="N2332" s="15" t="s">
        <v>119</v>
      </c>
      <c r="O2332" s="12"/>
      <c r="P2332" s="12"/>
      <c r="Q2332" s="12"/>
      <c r="R2332" s="12"/>
      <c r="S2332" s="28">
        <f>M2325</f>
        <v>2</v>
      </c>
      <c r="T2332" s="11"/>
      <c r="U2332" s="12"/>
      <c r="V2332" s="14" t="e">
        <f>U2332*#REF!</f>
        <v>#REF!</v>
      </c>
      <c r="W2332" s="14"/>
      <c r="X2332" s="26"/>
      <c r="Y2332" s="13"/>
      <c r="Z2332" s="68" t="e">
        <f>VLOOKUP(Takeoffs!Y2332,Sheet1!$B$6:$C$124,2,FALSE)</f>
        <v>#N/A</v>
      </c>
      <c r="AA2332" s="68"/>
      <c r="AB2332" s="18"/>
      <c r="AC2332" s="18"/>
      <c r="AD2332" s="18"/>
      <c r="AE2332" s="60"/>
      <c r="AF2332" s="13"/>
      <c r="AG2332" s="68" t="e">
        <f>VLOOKUP(Takeoffs!AF2332,Sheet1!$B$6:$C$124,2,FALSE)</f>
        <v>#N/A</v>
      </c>
      <c r="AH2332" s="68"/>
      <c r="AI2332" s="18"/>
      <c r="AJ2332" s="18"/>
      <c r="AK2332" s="18"/>
      <c r="AL2332" s="60"/>
      <c r="AO2332" s="286"/>
      <c r="AP2332" s="284">
        <f t="shared" si="992"/>
        <v>0</v>
      </c>
      <c r="AQ2332" s="281">
        <f t="shared" si="993"/>
        <v>0</v>
      </c>
      <c r="AR2332" s="284">
        <f t="shared" si="994"/>
        <v>0</v>
      </c>
      <c r="AS2332" s="281">
        <f t="shared" si="995"/>
        <v>0</v>
      </c>
      <c r="AT2332" s="284">
        <f t="shared" si="996"/>
        <v>0</v>
      </c>
    </row>
    <row r="2333" spans="1:46" customFormat="1" ht="15" customHeight="1" x14ac:dyDescent="0.8">
      <c r="A2333" s="262">
        <f t="shared" si="997"/>
        <v>2333</v>
      </c>
      <c r="B2333" s="114"/>
      <c r="C2333" s="208"/>
      <c r="D2333" s="208"/>
      <c r="E2333" s="208"/>
      <c r="F2333" s="208"/>
      <c r="G2333" s="208"/>
      <c r="H2333" s="208"/>
      <c r="I2333" s="114"/>
      <c r="J2333" s="30"/>
      <c r="N2333" s="15" t="s">
        <v>120</v>
      </c>
      <c r="O2333" s="12"/>
      <c r="P2333" s="12"/>
      <c r="Q2333" s="12"/>
      <c r="R2333" s="12"/>
      <c r="S2333" s="28">
        <f>M2325</f>
        <v>2</v>
      </c>
      <c r="T2333" s="11"/>
      <c r="U2333" s="12"/>
      <c r="V2333" s="14" t="e">
        <f>U2333*#REF!</f>
        <v>#REF!</v>
      </c>
      <c r="W2333" s="14"/>
      <c r="X2333" s="26"/>
      <c r="Y2333" s="13"/>
      <c r="Z2333" s="68" t="e">
        <f>VLOOKUP(Takeoffs!Y2333,Sheet1!$B$6:$C$124,2,FALSE)</f>
        <v>#N/A</v>
      </c>
      <c r="AA2333" s="68"/>
      <c r="AB2333" s="18"/>
      <c r="AC2333" s="18"/>
      <c r="AD2333" s="18"/>
      <c r="AE2333" s="60"/>
      <c r="AF2333" s="13"/>
      <c r="AG2333" s="68" t="e">
        <f>VLOOKUP(Takeoffs!AF2333,Sheet1!$B$6:$C$124,2,FALSE)</f>
        <v>#N/A</v>
      </c>
      <c r="AH2333" s="68"/>
      <c r="AI2333" s="18"/>
      <c r="AJ2333" s="18"/>
      <c r="AK2333" s="18"/>
      <c r="AL2333" s="60"/>
      <c r="AO2333" s="286"/>
      <c r="AP2333" s="284">
        <f t="shared" si="992"/>
        <v>0</v>
      </c>
      <c r="AQ2333" s="281">
        <f t="shared" si="993"/>
        <v>0</v>
      </c>
      <c r="AR2333" s="284">
        <f t="shared" si="994"/>
        <v>0</v>
      </c>
      <c r="AS2333" s="281">
        <f t="shared" si="995"/>
        <v>0</v>
      </c>
      <c r="AT2333" s="284">
        <f t="shared" si="996"/>
        <v>0</v>
      </c>
    </row>
    <row r="2334" spans="1:46" customFormat="1" ht="15" customHeight="1" x14ac:dyDescent="0.8">
      <c r="A2334" s="262">
        <f t="shared" si="997"/>
        <v>2334</v>
      </c>
      <c r="B2334" s="114"/>
      <c r="C2334" s="208"/>
      <c r="D2334" s="208"/>
      <c r="E2334" s="208"/>
      <c r="F2334" s="208"/>
      <c r="G2334" s="208"/>
      <c r="H2334" s="208"/>
      <c r="I2334" s="114"/>
      <c r="J2334" s="30"/>
      <c r="N2334" s="15" t="s">
        <v>121</v>
      </c>
      <c r="O2334" s="12"/>
      <c r="P2334" s="12"/>
      <c r="Q2334" s="12"/>
      <c r="R2334" s="12"/>
      <c r="S2334" s="28">
        <f>M2325</f>
        <v>2</v>
      </c>
      <c r="T2334" s="11"/>
      <c r="U2334" s="12"/>
      <c r="V2334" s="14" t="e">
        <f>U2334*#REF!</f>
        <v>#REF!</v>
      </c>
      <c r="W2334" s="14"/>
      <c r="X2334" s="26"/>
      <c r="Y2334" s="13"/>
      <c r="Z2334" s="68" t="e">
        <f>VLOOKUP(Takeoffs!Y2334,Sheet1!$B$6:$C$124,2,FALSE)</f>
        <v>#N/A</v>
      </c>
      <c r="AA2334" s="68"/>
      <c r="AB2334" s="18"/>
      <c r="AC2334" s="18"/>
      <c r="AD2334" s="18"/>
      <c r="AE2334" s="60"/>
      <c r="AF2334" s="13"/>
      <c r="AG2334" s="68" t="e">
        <f>VLOOKUP(Takeoffs!AF2334,Sheet1!$B$6:$C$124,2,FALSE)</f>
        <v>#N/A</v>
      </c>
      <c r="AH2334" s="68"/>
      <c r="AI2334" s="18"/>
      <c r="AJ2334" s="18"/>
      <c r="AK2334" s="18"/>
      <c r="AL2334" s="60"/>
      <c r="AO2334" s="286"/>
      <c r="AP2334" s="284">
        <f t="shared" si="992"/>
        <v>0</v>
      </c>
      <c r="AQ2334" s="281">
        <f t="shared" si="993"/>
        <v>0</v>
      </c>
      <c r="AR2334" s="284">
        <f t="shared" si="994"/>
        <v>0</v>
      </c>
      <c r="AS2334" s="281">
        <f t="shared" si="995"/>
        <v>0</v>
      </c>
      <c r="AT2334" s="284">
        <f t="shared" si="996"/>
        <v>0</v>
      </c>
    </row>
    <row r="2335" spans="1:46" customFormat="1" ht="15" customHeight="1" x14ac:dyDescent="0.8">
      <c r="A2335" s="262">
        <f t="shared" si="997"/>
        <v>2335</v>
      </c>
      <c r="B2335" s="114"/>
      <c r="C2335" s="208"/>
      <c r="D2335" s="208"/>
      <c r="E2335" s="208"/>
      <c r="F2335" s="208"/>
      <c r="G2335" s="208"/>
      <c r="H2335" s="208"/>
      <c r="I2335" s="114"/>
      <c r="J2335" s="30"/>
      <c r="N2335" s="15" t="s">
        <v>122</v>
      </c>
      <c r="O2335" s="12"/>
      <c r="P2335" s="12"/>
      <c r="Q2335" s="12"/>
      <c r="R2335" s="12"/>
      <c r="S2335" s="28">
        <f>M2325</f>
        <v>2</v>
      </c>
      <c r="T2335" s="11"/>
      <c r="U2335" s="12"/>
      <c r="V2335" s="14" t="e">
        <f>U2335*#REF!</f>
        <v>#REF!</v>
      </c>
      <c r="W2335" s="14"/>
      <c r="X2335" s="26"/>
      <c r="Y2335" s="13"/>
      <c r="Z2335" s="68" t="e">
        <f>VLOOKUP(Takeoffs!Y2335,Sheet1!$B$6:$C$124,2,FALSE)</f>
        <v>#N/A</v>
      </c>
      <c r="AA2335" s="68"/>
      <c r="AB2335" s="18"/>
      <c r="AC2335" s="18"/>
      <c r="AD2335" s="18"/>
      <c r="AE2335" s="60"/>
      <c r="AF2335" s="13"/>
      <c r="AG2335" s="68" t="e">
        <f>VLOOKUP(Takeoffs!AF2335,Sheet1!$B$6:$C$124,2,FALSE)</f>
        <v>#N/A</v>
      </c>
      <c r="AH2335" s="68"/>
      <c r="AI2335" s="18"/>
      <c r="AJ2335" s="18"/>
      <c r="AK2335" s="18"/>
      <c r="AL2335" s="60"/>
      <c r="AO2335" s="286"/>
      <c r="AP2335" s="284">
        <f t="shared" si="992"/>
        <v>0</v>
      </c>
      <c r="AQ2335" s="281">
        <f t="shared" si="993"/>
        <v>0</v>
      </c>
      <c r="AR2335" s="284">
        <f t="shared" si="994"/>
        <v>0</v>
      </c>
      <c r="AS2335" s="281">
        <f t="shared" si="995"/>
        <v>0</v>
      </c>
      <c r="AT2335" s="284">
        <f t="shared" si="996"/>
        <v>0</v>
      </c>
    </row>
    <row r="2336" spans="1:46" customFormat="1" ht="15" customHeight="1" x14ac:dyDescent="0.8">
      <c r="A2336" s="262">
        <f t="shared" si="997"/>
        <v>2336</v>
      </c>
      <c r="B2336" s="114"/>
      <c r="C2336" s="208"/>
      <c r="D2336" s="208"/>
      <c r="E2336" s="208"/>
      <c r="F2336" s="208"/>
      <c r="G2336" s="208"/>
      <c r="H2336" s="208"/>
      <c r="I2336" s="114"/>
      <c r="J2336" s="30"/>
      <c r="N2336" s="15" t="s">
        <v>123</v>
      </c>
      <c r="O2336" s="12"/>
      <c r="P2336" s="12"/>
      <c r="Q2336" s="12"/>
      <c r="R2336" s="12"/>
      <c r="S2336" s="28">
        <f>M2325</f>
        <v>2</v>
      </c>
      <c r="T2336" s="11"/>
      <c r="U2336" s="12"/>
      <c r="V2336" s="14" t="e">
        <f>U2336*#REF!</f>
        <v>#REF!</v>
      </c>
      <c r="W2336" s="14"/>
      <c r="X2336" s="26"/>
      <c r="Y2336" s="13"/>
      <c r="Z2336" s="68" t="e">
        <f>VLOOKUP(Takeoffs!Y2336,Sheet1!$B$6:$C$124,2,FALSE)</f>
        <v>#N/A</v>
      </c>
      <c r="AA2336" s="68"/>
      <c r="AB2336" s="18"/>
      <c r="AC2336" s="18"/>
      <c r="AD2336" s="18"/>
      <c r="AE2336" s="60"/>
      <c r="AF2336" s="13"/>
      <c r="AG2336" s="68" t="e">
        <f>VLOOKUP(Takeoffs!AF2336,Sheet1!$B$6:$C$124,2,FALSE)</f>
        <v>#N/A</v>
      </c>
      <c r="AH2336" s="68"/>
      <c r="AI2336" s="18"/>
      <c r="AJ2336" s="18"/>
      <c r="AK2336" s="18"/>
      <c r="AL2336" s="60"/>
      <c r="AO2336" s="286"/>
      <c r="AP2336" s="284">
        <f t="shared" si="992"/>
        <v>0</v>
      </c>
      <c r="AQ2336" s="281">
        <f t="shared" si="993"/>
        <v>0</v>
      </c>
      <c r="AR2336" s="284">
        <f t="shared" si="994"/>
        <v>0</v>
      </c>
      <c r="AS2336" s="281">
        <f t="shared" si="995"/>
        <v>0</v>
      </c>
      <c r="AT2336" s="284">
        <f t="shared" si="996"/>
        <v>0</v>
      </c>
    </row>
    <row r="2337" spans="1:46" customFormat="1" ht="15" customHeight="1" x14ac:dyDescent="0.8">
      <c r="A2337" s="262">
        <f t="shared" si="997"/>
        <v>2337</v>
      </c>
      <c r="B2337" s="114"/>
      <c r="C2337" s="208"/>
      <c r="D2337" s="208"/>
      <c r="E2337" s="208"/>
      <c r="F2337" s="208"/>
      <c r="G2337" s="208"/>
      <c r="H2337" s="208"/>
      <c r="I2337" s="114"/>
      <c r="J2337" s="30"/>
      <c r="N2337" s="15" t="s">
        <v>124</v>
      </c>
      <c r="O2337" s="12"/>
      <c r="P2337" s="12"/>
      <c r="Q2337" s="12"/>
      <c r="R2337" s="12"/>
      <c r="S2337" s="28">
        <f>M2325</f>
        <v>2</v>
      </c>
      <c r="T2337" s="11"/>
      <c r="U2337" s="12"/>
      <c r="V2337" s="14" t="e">
        <f>U2337*#REF!</f>
        <v>#REF!</v>
      </c>
      <c r="W2337" s="14"/>
      <c r="X2337" s="26"/>
      <c r="Y2337" s="13"/>
      <c r="Z2337" s="68" t="e">
        <f>VLOOKUP(Takeoffs!Y2337,Sheet1!$B$6:$C$124,2,FALSE)</f>
        <v>#N/A</v>
      </c>
      <c r="AA2337" s="68"/>
      <c r="AB2337" s="18"/>
      <c r="AC2337" s="18"/>
      <c r="AD2337" s="18"/>
      <c r="AE2337" s="60"/>
      <c r="AF2337" s="13"/>
      <c r="AG2337" s="68" t="e">
        <f>VLOOKUP(Takeoffs!AF2337,Sheet1!$B$6:$C$124,2,FALSE)</f>
        <v>#N/A</v>
      </c>
      <c r="AH2337" s="68"/>
      <c r="AI2337" s="18"/>
      <c r="AJ2337" s="18"/>
      <c r="AK2337" s="18"/>
      <c r="AL2337" s="60"/>
      <c r="AO2337" s="286"/>
      <c r="AP2337" s="284">
        <f t="shared" si="992"/>
        <v>0</v>
      </c>
      <c r="AQ2337" s="281">
        <f t="shared" si="993"/>
        <v>0</v>
      </c>
      <c r="AR2337" s="284">
        <f t="shared" si="994"/>
        <v>0</v>
      </c>
      <c r="AS2337" s="281">
        <f t="shared" si="995"/>
        <v>0</v>
      </c>
      <c r="AT2337" s="284">
        <f t="shared" si="996"/>
        <v>0</v>
      </c>
    </row>
    <row r="2338" spans="1:46" customFormat="1" ht="15" customHeight="1" x14ac:dyDescent="0.8">
      <c r="A2338" s="262">
        <f t="shared" si="997"/>
        <v>2338</v>
      </c>
      <c r="B2338" s="114"/>
      <c r="C2338" s="208"/>
      <c r="D2338" s="208"/>
      <c r="E2338" s="208"/>
      <c r="F2338" s="208"/>
      <c r="G2338" s="208"/>
      <c r="H2338" s="208"/>
      <c r="I2338" s="114"/>
      <c r="J2338" s="30"/>
      <c r="N2338" s="15" t="s">
        <v>125</v>
      </c>
      <c r="O2338" s="12"/>
      <c r="P2338" s="12"/>
      <c r="Q2338" s="12"/>
      <c r="R2338" s="12"/>
      <c r="S2338" s="28">
        <f>M2325</f>
        <v>2</v>
      </c>
      <c r="T2338" s="11"/>
      <c r="U2338" s="12"/>
      <c r="V2338" s="14" t="e">
        <f>U2338*#REF!</f>
        <v>#REF!</v>
      </c>
      <c r="W2338" s="14"/>
      <c r="X2338" s="26"/>
      <c r="Y2338" s="13"/>
      <c r="Z2338" s="68" t="e">
        <f>VLOOKUP(Takeoffs!Y2338,Sheet1!$B$6:$C$124,2,FALSE)</f>
        <v>#N/A</v>
      </c>
      <c r="AA2338" s="68"/>
      <c r="AB2338" s="18"/>
      <c r="AC2338" s="18"/>
      <c r="AD2338" s="18"/>
      <c r="AE2338" s="60"/>
      <c r="AF2338" s="13"/>
      <c r="AG2338" s="68" t="e">
        <f>VLOOKUP(Takeoffs!AF2338,Sheet1!$B$6:$C$124,2,FALSE)</f>
        <v>#N/A</v>
      </c>
      <c r="AH2338" s="68"/>
      <c r="AI2338" s="18"/>
      <c r="AJ2338" s="18"/>
      <c r="AK2338" s="18"/>
      <c r="AL2338" s="60"/>
      <c r="AO2338" s="286"/>
      <c r="AP2338" s="284">
        <f t="shared" si="992"/>
        <v>0</v>
      </c>
      <c r="AQ2338" s="281">
        <f t="shared" si="993"/>
        <v>0</v>
      </c>
      <c r="AR2338" s="284">
        <f t="shared" si="994"/>
        <v>0</v>
      </c>
      <c r="AS2338" s="281">
        <f t="shared" si="995"/>
        <v>0</v>
      </c>
      <c r="AT2338" s="284">
        <f t="shared" si="996"/>
        <v>0</v>
      </c>
    </row>
    <row r="2339" spans="1:46" customFormat="1" ht="15" customHeight="1" x14ac:dyDescent="0.8">
      <c r="A2339" s="262">
        <f t="shared" si="997"/>
        <v>2339</v>
      </c>
      <c r="B2339" s="114"/>
      <c r="C2339" s="208"/>
      <c r="D2339" s="208"/>
      <c r="E2339" s="208"/>
      <c r="F2339" s="208"/>
      <c r="G2339" s="208"/>
      <c r="H2339" s="208"/>
      <c r="I2339" s="114"/>
      <c r="J2339" s="30"/>
      <c r="N2339" s="15" t="s">
        <v>126</v>
      </c>
      <c r="O2339" s="12"/>
      <c r="P2339" s="12"/>
      <c r="Q2339" s="12"/>
      <c r="R2339" s="12"/>
      <c r="S2339" s="28">
        <f>M2325</f>
        <v>2</v>
      </c>
      <c r="T2339" s="11"/>
      <c r="U2339" s="12"/>
      <c r="V2339" s="14" t="e">
        <f>U2339*#REF!</f>
        <v>#REF!</v>
      </c>
      <c r="W2339" s="14"/>
      <c r="X2339" s="26"/>
      <c r="Y2339" s="13"/>
      <c r="Z2339" s="68" t="e">
        <f>VLOOKUP(Takeoffs!Y2339,Sheet1!$B$6:$C$124,2,FALSE)</f>
        <v>#N/A</v>
      </c>
      <c r="AA2339" s="68"/>
      <c r="AB2339" s="18"/>
      <c r="AC2339" s="18"/>
      <c r="AD2339" s="18"/>
      <c r="AE2339" s="60"/>
      <c r="AF2339" s="13"/>
      <c r="AG2339" s="68" t="e">
        <f>VLOOKUP(Takeoffs!AF2339,Sheet1!$B$6:$C$124,2,FALSE)</f>
        <v>#N/A</v>
      </c>
      <c r="AH2339" s="68"/>
      <c r="AI2339" s="18"/>
      <c r="AJ2339" s="18"/>
      <c r="AK2339" s="18"/>
      <c r="AL2339" s="60"/>
      <c r="AO2339" s="286"/>
      <c r="AP2339" s="284">
        <f t="shared" si="992"/>
        <v>0</v>
      </c>
      <c r="AQ2339" s="281">
        <f t="shared" si="993"/>
        <v>0</v>
      </c>
      <c r="AR2339" s="284">
        <f t="shared" si="994"/>
        <v>0</v>
      </c>
      <c r="AS2339" s="281">
        <f t="shared" si="995"/>
        <v>0</v>
      </c>
      <c r="AT2339" s="284">
        <f t="shared" si="996"/>
        <v>0</v>
      </c>
    </row>
    <row r="2340" spans="1:46" customFormat="1" ht="15" customHeight="1" x14ac:dyDescent="0.8">
      <c r="A2340" s="262">
        <f t="shared" si="997"/>
        <v>2340</v>
      </c>
      <c r="B2340" s="114"/>
      <c r="C2340" s="208"/>
      <c r="D2340" s="208"/>
      <c r="E2340" s="208"/>
      <c r="F2340" s="208"/>
      <c r="G2340" s="208"/>
      <c r="H2340" s="208"/>
      <c r="I2340" s="114"/>
      <c r="J2340" s="30"/>
      <c r="N2340" s="15" t="s">
        <v>127</v>
      </c>
      <c r="O2340" s="12"/>
      <c r="P2340" s="12"/>
      <c r="Q2340" s="12"/>
      <c r="R2340" s="12"/>
      <c r="S2340" s="28">
        <f>M2325</f>
        <v>2</v>
      </c>
      <c r="T2340" s="11"/>
      <c r="U2340" s="12"/>
      <c r="V2340" s="14" t="e">
        <f>U2340*#REF!</f>
        <v>#REF!</v>
      </c>
      <c r="W2340" s="14"/>
      <c r="X2340" s="26"/>
      <c r="Y2340" s="13"/>
      <c r="Z2340" s="68" t="e">
        <f>VLOOKUP(Takeoffs!Y2340,Sheet1!$B$6:$C$124,2,FALSE)</f>
        <v>#N/A</v>
      </c>
      <c r="AA2340" s="68"/>
      <c r="AB2340" s="18"/>
      <c r="AC2340" s="18"/>
      <c r="AD2340" s="18"/>
      <c r="AE2340" s="60"/>
      <c r="AF2340" s="13"/>
      <c r="AG2340" s="68" t="e">
        <f>VLOOKUP(Takeoffs!AF2340,Sheet1!$B$6:$C$124,2,FALSE)</f>
        <v>#N/A</v>
      </c>
      <c r="AH2340" s="68"/>
      <c r="AI2340" s="18"/>
      <c r="AJ2340" s="18"/>
      <c r="AK2340" s="18"/>
      <c r="AL2340" s="60"/>
      <c r="AO2340" s="286"/>
      <c r="AP2340" s="284">
        <f t="shared" si="992"/>
        <v>0</v>
      </c>
      <c r="AQ2340" s="281">
        <f t="shared" si="993"/>
        <v>0</v>
      </c>
      <c r="AR2340" s="284">
        <f t="shared" si="994"/>
        <v>0</v>
      </c>
      <c r="AS2340" s="281">
        <f t="shared" si="995"/>
        <v>0</v>
      </c>
      <c r="AT2340" s="284">
        <f t="shared" si="996"/>
        <v>0</v>
      </c>
    </row>
    <row r="2341" spans="1:46" customFormat="1" ht="15" customHeight="1" x14ac:dyDescent="0.8">
      <c r="A2341" s="262">
        <f t="shared" si="997"/>
        <v>2341</v>
      </c>
      <c r="B2341" s="114"/>
      <c r="C2341" s="208"/>
      <c r="D2341" s="208"/>
      <c r="E2341" s="208"/>
      <c r="F2341" s="208"/>
      <c r="G2341" s="208"/>
      <c r="H2341" s="208"/>
      <c r="I2341" s="114"/>
      <c r="J2341" s="30"/>
      <c r="N2341" s="15" t="s">
        <v>128</v>
      </c>
      <c r="O2341" s="12"/>
      <c r="P2341" s="12"/>
      <c r="Q2341" s="12"/>
      <c r="R2341" s="12"/>
      <c r="S2341" s="28">
        <f>M2325</f>
        <v>2</v>
      </c>
      <c r="T2341" s="11"/>
      <c r="U2341" s="12"/>
      <c r="V2341" s="14" t="e">
        <f>U2341*#REF!</f>
        <v>#REF!</v>
      </c>
      <c r="W2341" s="14"/>
      <c r="X2341" s="26"/>
      <c r="Y2341" s="13"/>
      <c r="Z2341" s="68" t="e">
        <f>VLOOKUP(Takeoffs!Y2341,Sheet1!$B$6:$C$124,2,FALSE)</f>
        <v>#N/A</v>
      </c>
      <c r="AA2341" s="68"/>
      <c r="AB2341" s="18"/>
      <c r="AC2341" s="18"/>
      <c r="AD2341" s="18"/>
      <c r="AE2341" s="60"/>
      <c r="AF2341" s="13"/>
      <c r="AG2341" s="68" t="e">
        <f>VLOOKUP(Takeoffs!AF2341,Sheet1!$B$6:$C$124,2,FALSE)</f>
        <v>#N/A</v>
      </c>
      <c r="AH2341" s="68"/>
      <c r="AI2341" s="18"/>
      <c r="AJ2341" s="18"/>
      <c r="AK2341" s="18"/>
      <c r="AL2341" s="60"/>
      <c r="AO2341" s="286"/>
      <c r="AP2341" s="284">
        <f t="shared" si="992"/>
        <v>0</v>
      </c>
      <c r="AQ2341" s="281">
        <f t="shared" si="993"/>
        <v>0</v>
      </c>
      <c r="AR2341" s="284">
        <f t="shared" si="994"/>
        <v>0</v>
      </c>
      <c r="AS2341" s="281">
        <f t="shared" si="995"/>
        <v>0</v>
      </c>
      <c r="AT2341" s="284">
        <f t="shared" si="996"/>
        <v>0</v>
      </c>
    </row>
    <row r="2342" spans="1:46" customFormat="1" ht="15" customHeight="1" x14ac:dyDescent="0.8">
      <c r="A2342" s="262">
        <f t="shared" si="997"/>
        <v>2342</v>
      </c>
      <c r="B2342" s="114"/>
      <c r="C2342" s="208"/>
      <c r="D2342" s="208"/>
      <c r="E2342" s="208"/>
      <c r="F2342" s="208"/>
      <c r="G2342" s="208"/>
      <c r="H2342" s="208"/>
      <c r="I2342" s="114"/>
      <c r="J2342" s="30"/>
      <c r="N2342" s="15" t="s">
        <v>129</v>
      </c>
      <c r="O2342" s="12"/>
      <c r="P2342" s="12"/>
      <c r="Q2342" s="12"/>
      <c r="R2342" s="12"/>
      <c r="S2342" s="28">
        <f>M2325</f>
        <v>2</v>
      </c>
      <c r="T2342" s="11"/>
      <c r="U2342" s="12"/>
      <c r="V2342" s="14" t="e">
        <f>U2342*#REF!</f>
        <v>#REF!</v>
      </c>
      <c r="W2342" s="14"/>
      <c r="X2342" s="26"/>
      <c r="Y2342" s="13"/>
      <c r="Z2342" s="68" t="e">
        <f>VLOOKUP(Takeoffs!Y2342,Sheet1!$B$6:$C$124,2,FALSE)</f>
        <v>#N/A</v>
      </c>
      <c r="AA2342" s="68"/>
      <c r="AB2342" s="18"/>
      <c r="AC2342" s="18"/>
      <c r="AD2342" s="18"/>
      <c r="AE2342" s="60"/>
      <c r="AF2342" s="13"/>
      <c r="AG2342" s="68" t="e">
        <f>VLOOKUP(Takeoffs!AF2342,Sheet1!$B$6:$C$124,2,FALSE)</f>
        <v>#N/A</v>
      </c>
      <c r="AH2342" s="68"/>
      <c r="AI2342" s="18"/>
      <c r="AJ2342" s="18"/>
      <c r="AK2342" s="18"/>
      <c r="AL2342" s="60"/>
      <c r="AO2342" s="286"/>
      <c r="AP2342" s="284">
        <f t="shared" si="992"/>
        <v>0</v>
      </c>
      <c r="AQ2342" s="281">
        <f t="shared" si="993"/>
        <v>0</v>
      </c>
      <c r="AR2342" s="284">
        <f t="shared" si="994"/>
        <v>0</v>
      </c>
      <c r="AS2342" s="281">
        <f t="shared" si="995"/>
        <v>0</v>
      </c>
      <c r="AT2342" s="284">
        <f t="shared" si="996"/>
        <v>0</v>
      </c>
    </row>
    <row r="2343" spans="1:46" customFormat="1" ht="15" customHeight="1" x14ac:dyDescent="0.8">
      <c r="A2343" s="262">
        <f t="shared" si="997"/>
        <v>2343</v>
      </c>
      <c r="B2343" s="114"/>
      <c r="C2343" s="208"/>
      <c r="D2343" s="208"/>
      <c r="E2343" s="208"/>
      <c r="F2343" s="208"/>
      <c r="G2343" s="208"/>
      <c r="H2343" s="208"/>
      <c r="I2343" s="114"/>
      <c r="J2343" s="30"/>
      <c r="N2343" s="15" t="s">
        <v>130</v>
      </c>
      <c r="O2343" s="12"/>
      <c r="P2343" s="12"/>
      <c r="Q2343" s="12"/>
      <c r="R2343" s="12"/>
      <c r="S2343" s="28">
        <f>M2325</f>
        <v>2</v>
      </c>
      <c r="T2343" s="11"/>
      <c r="U2343" s="12"/>
      <c r="V2343" s="14" t="e">
        <f>U2343*#REF!</f>
        <v>#REF!</v>
      </c>
      <c r="W2343" s="14"/>
      <c r="X2343" s="26"/>
      <c r="Y2343" s="13"/>
      <c r="Z2343" s="68" t="e">
        <f>VLOOKUP(Takeoffs!Y2343,Sheet1!$B$6:$C$124,2,FALSE)</f>
        <v>#N/A</v>
      </c>
      <c r="AA2343" s="68"/>
      <c r="AB2343" s="18"/>
      <c r="AC2343" s="18"/>
      <c r="AD2343" s="18"/>
      <c r="AE2343" s="60"/>
      <c r="AF2343" s="13"/>
      <c r="AG2343" s="68" t="e">
        <f>VLOOKUP(Takeoffs!AF2343,Sheet1!$B$6:$C$124,2,FALSE)</f>
        <v>#N/A</v>
      </c>
      <c r="AH2343" s="68"/>
      <c r="AI2343" s="18"/>
      <c r="AJ2343" s="18"/>
      <c r="AK2343" s="18"/>
      <c r="AL2343" s="60"/>
      <c r="AO2343" s="286"/>
      <c r="AP2343" s="284">
        <f t="shared" si="992"/>
        <v>0</v>
      </c>
      <c r="AQ2343" s="281">
        <f t="shared" si="993"/>
        <v>0</v>
      </c>
      <c r="AR2343" s="284">
        <f t="shared" si="994"/>
        <v>0</v>
      </c>
      <c r="AS2343" s="281">
        <f t="shared" si="995"/>
        <v>0</v>
      </c>
      <c r="AT2343" s="284">
        <f t="shared" si="996"/>
        <v>0</v>
      </c>
    </row>
    <row r="2344" spans="1:46" customFormat="1" ht="15" customHeight="1" x14ac:dyDescent="0.8">
      <c r="A2344" s="262">
        <f t="shared" si="997"/>
        <v>2344</v>
      </c>
      <c r="B2344" s="114"/>
      <c r="C2344" s="208"/>
      <c r="D2344" s="208"/>
      <c r="E2344" s="208"/>
      <c r="F2344" s="208"/>
      <c r="G2344" s="208"/>
      <c r="H2344" s="208"/>
      <c r="I2344" s="114"/>
      <c r="J2344" s="30"/>
      <c r="N2344" s="15" t="s">
        <v>131</v>
      </c>
      <c r="O2344" s="12"/>
      <c r="P2344" s="12"/>
      <c r="Q2344" s="12"/>
      <c r="R2344" s="12"/>
      <c r="S2344" s="28">
        <f>M2325</f>
        <v>2</v>
      </c>
      <c r="T2344" s="11"/>
      <c r="U2344" s="12"/>
      <c r="V2344" s="14" t="e">
        <f>U2344*#REF!</f>
        <v>#REF!</v>
      </c>
      <c r="W2344" s="14"/>
      <c r="X2344" s="26"/>
      <c r="Y2344" s="13"/>
      <c r="Z2344" s="68" t="e">
        <f>VLOOKUP(Takeoffs!Y2344,Sheet1!$B$6:$C$124,2,FALSE)</f>
        <v>#N/A</v>
      </c>
      <c r="AA2344" s="68"/>
      <c r="AB2344" s="18"/>
      <c r="AC2344" s="18"/>
      <c r="AD2344" s="18"/>
      <c r="AE2344" s="60"/>
      <c r="AF2344" s="13"/>
      <c r="AG2344" s="68" t="e">
        <f>VLOOKUP(Takeoffs!AF2344,Sheet1!$B$6:$C$124,2,FALSE)</f>
        <v>#N/A</v>
      </c>
      <c r="AH2344" s="68"/>
      <c r="AI2344" s="18"/>
      <c r="AJ2344" s="18"/>
      <c r="AK2344" s="18"/>
      <c r="AL2344" s="60"/>
      <c r="AO2344" s="286"/>
      <c r="AP2344" s="284">
        <f t="shared" si="992"/>
        <v>0</v>
      </c>
      <c r="AQ2344" s="281">
        <f t="shared" si="993"/>
        <v>0</v>
      </c>
      <c r="AR2344" s="284">
        <f t="shared" si="994"/>
        <v>0</v>
      </c>
      <c r="AS2344" s="281">
        <f t="shared" si="995"/>
        <v>0</v>
      </c>
      <c r="AT2344" s="284">
        <f t="shared" si="996"/>
        <v>0</v>
      </c>
    </row>
    <row r="2345" spans="1:46" customFormat="1" ht="15" customHeight="1" x14ac:dyDescent="0.8">
      <c r="A2345" s="262">
        <f t="shared" si="997"/>
        <v>2345</v>
      </c>
      <c r="B2345" s="114"/>
      <c r="C2345" s="208"/>
      <c r="D2345" s="208"/>
      <c r="E2345" s="208"/>
      <c r="F2345" s="208"/>
      <c r="G2345" s="208"/>
      <c r="H2345" s="208"/>
      <c r="I2345" s="114"/>
      <c r="J2345" s="30"/>
      <c r="N2345" s="15" t="s">
        <v>132</v>
      </c>
      <c r="O2345" s="12"/>
      <c r="P2345" s="12"/>
      <c r="Q2345" s="12"/>
      <c r="R2345" s="12"/>
      <c r="S2345" s="28">
        <f>M2325</f>
        <v>2</v>
      </c>
      <c r="T2345" s="11"/>
      <c r="U2345" s="12"/>
      <c r="V2345" s="14" t="e">
        <f>U2345*#REF!</f>
        <v>#REF!</v>
      </c>
      <c r="W2345" s="14"/>
      <c r="X2345" s="26"/>
      <c r="Y2345" s="13"/>
      <c r="Z2345" s="68" t="e">
        <f>VLOOKUP(Takeoffs!Y2345,Sheet1!$B$6:$C$124,2,FALSE)</f>
        <v>#N/A</v>
      </c>
      <c r="AA2345" s="68"/>
      <c r="AB2345" s="18"/>
      <c r="AC2345" s="18"/>
      <c r="AD2345" s="18"/>
      <c r="AE2345" s="60"/>
      <c r="AF2345" s="13"/>
      <c r="AG2345" s="68" t="e">
        <f>VLOOKUP(Takeoffs!AF2345,Sheet1!$B$6:$C$124,2,FALSE)</f>
        <v>#N/A</v>
      </c>
      <c r="AH2345" s="68"/>
      <c r="AI2345" s="18"/>
      <c r="AJ2345" s="18"/>
      <c r="AK2345" s="18"/>
      <c r="AL2345" s="60"/>
      <c r="AO2345" s="286"/>
      <c r="AP2345" s="284">
        <f t="shared" si="992"/>
        <v>0</v>
      </c>
      <c r="AQ2345" s="281">
        <f t="shared" si="993"/>
        <v>0</v>
      </c>
      <c r="AR2345" s="284">
        <f t="shared" si="994"/>
        <v>0</v>
      </c>
      <c r="AS2345" s="281">
        <f t="shared" si="995"/>
        <v>0</v>
      </c>
      <c r="AT2345" s="284">
        <f t="shared" si="996"/>
        <v>0</v>
      </c>
    </row>
    <row r="2346" spans="1:46" s="21" customFormat="1" ht="33.75" customHeight="1" x14ac:dyDescent="0.8">
      <c r="A2346" s="262">
        <f t="shared" si="997"/>
        <v>2346</v>
      </c>
      <c r="B2346" s="128"/>
      <c r="C2346" s="212"/>
      <c r="D2346" s="212"/>
      <c r="E2346" s="212"/>
      <c r="F2346" s="212"/>
      <c r="G2346" s="212"/>
      <c r="H2346" s="212"/>
      <c r="I2346" s="114"/>
      <c r="N2346" s="22"/>
      <c r="O2346" s="23"/>
      <c r="P2346" s="23"/>
      <c r="Q2346" s="23"/>
      <c r="R2346" s="23"/>
      <c r="S2346" s="23"/>
      <c r="T2346" s="24"/>
      <c r="U2346" s="23"/>
      <c r="V2346" s="24"/>
      <c r="W2346" s="24"/>
      <c r="X2346" s="26"/>
      <c r="Y2346" s="24"/>
      <c r="Z2346" s="68" t="e">
        <f>VLOOKUP(Takeoffs!Y2346,Sheet1!$B$6:$C$124,2,FALSE)</f>
        <v>#N/A</v>
      </c>
      <c r="AA2346" s="68"/>
      <c r="AB2346" s="31"/>
      <c r="AC2346" s="31"/>
      <c r="AD2346" s="31"/>
      <c r="AE2346" s="60"/>
      <c r="AF2346" s="24"/>
      <c r="AG2346" s="68" t="e">
        <f>VLOOKUP(Takeoffs!AF2346,Sheet1!$B$6:$C$124,2,FALSE)</f>
        <v>#N/A</v>
      </c>
      <c r="AH2346" s="68"/>
      <c r="AI2346" s="31"/>
      <c r="AJ2346" s="31"/>
      <c r="AK2346" s="31"/>
      <c r="AL2346" s="60"/>
      <c r="AO2346" s="286"/>
      <c r="AP2346" s="284">
        <f t="shared" ref="AP2346:AP2409" si="998">IF(I2346&gt;0,P2346,0)</f>
        <v>0</v>
      </c>
      <c r="AQ2346" s="281">
        <f t="shared" ref="AQ2346:AQ2409" si="999">IF(I2346&gt;0,W2346,0)</f>
        <v>0</v>
      </c>
      <c r="AR2346" s="284">
        <f t="shared" ref="AR2346:AR2409" si="1000">IF(I2346&gt;0,AA2346,0)</f>
        <v>0</v>
      </c>
      <c r="AS2346" s="281">
        <f t="shared" ref="AS2346:AS2409" si="1001">IF(I2346&gt;0,AH2346,0)</f>
        <v>0</v>
      </c>
      <c r="AT2346" s="284">
        <f t="shared" ref="AT2346:AT2409" si="1002">IF(I2346&gt;0,AP2346-(AQ2346+AR2346+AS2346),0)</f>
        <v>0</v>
      </c>
    </row>
    <row r="2347" spans="1:46" customFormat="1" ht="30.9" x14ac:dyDescent="0.8">
      <c r="A2347" s="262">
        <f t="shared" si="997"/>
        <v>2347</v>
      </c>
      <c r="B2347" s="114"/>
      <c r="C2347" s="208"/>
      <c r="D2347" s="208"/>
      <c r="E2347" s="208"/>
      <c r="F2347" s="208"/>
      <c r="G2347" s="208"/>
      <c r="H2347" s="208"/>
      <c r="I2347" s="128"/>
      <c r="Q2347" s="32"/>
      <c r="R2347" s="32"/>
      <c r="T2347" s="8"/>
      <c r="W2347" s="32"/>
      <c r="X2347" s="25"/>
      <c r="Z2347" s="68" t="e">
        <f>VLOOKUP(Takeoffs!Y2347,Sheet1!$B$6:$C$124,2,FALSE)</f>
        <v>#N/A</v>
      </c>
      <c r="AA2347" s="68"/>
      <c r="AB2347" s="32"/>
      <c r="AC2347" s="32"/>
      <c r="AD2347" s="32"/>
      <c r="AE2347" s="25"/>
      <c r="AF2347" s="32"/>
      <c r="AG2347" s="68" t="e">
        <f>VLOOKUP(Takeoffs!AF2347,Sheet1!$B$6:$C$124,2,FALSE)</f>
        <v>#N/A</v>
      </c>
      <c r="AH2347" s="68"/>
      <c r="AI2347" s="32"/>
      <c r="AJ2347" s="32"/>
      <c r="AK2347" s="32"/>
      <c r="AL2347" s="25"/>
      <c r="AO2347" s="286"/>
      <c r="AP2347" s="284">
        <f t="shared" si="998"/>
        <v>0</v>
      </c>
      <c r="AQ2347" s="281">
        <f t="shared" si="999"/>
        <v>0</v>
      </c>
      <c r="AR2347" s="284">
        <f t="shared" si="1000"/>
        <v>0</v>
      </c>
      <c r="AS2347" s="281">
        <f t="shared" si="1001"/>
        <v>0</v>
      </c>
      <c r="AT2347" s="284">
        <f t="shared" si="1002"/>
        <v>0</v>
      </c>
    </row>
    <row r="2348" spans="1:46" s="2" customFormat="1" ht="62.25" customHeight="1" x14ac:dyDescent="0.8">
      <c r="A2348" s="262">
        <f t="shared" si="997"/>
        <v>2348</v>
      </c>
      <c r="B2348" s="116"/>
      <c r="C2348" s="211"/>
      <c r="D2348" s="211"/>
      <c r="E2348" s="211"/>
      <c r="F2348" s="211"/>
      <c r="G2348" s="211"/>
      <c r="H2348" s="211"/>
      <c r="I2348" s="114"/>
      <c r="M2348" s="2" t="s">
        <v>107</v>
      </c>
      <c r="N2348" s="2" t="s">
        <v>108</v>
      </c>
      <c r="O2348" s="2" t="s">
        <v>4</v>
      </c>
      <c r="P2348" s="2" t="s">
        <v>5</v>
      </c>
      <c r="S2348" s="2" t="s">
        <v>0</v>
      </c>
      <c r="T2348" s="9"/>
      <c r="U2348" s="2" t="s">
        <v>109</v>
      </c>
      <c r="V2348" s="2" t="s">
        <v>110</v>
      </c>
      <c r="X2348" s="58"/>
      <c r="Y2348" s="2" t="s">
        <v>111</v>
      </c>
      <c r="Z2348" s="68" t="e">
        <f>VLOOKUP(Takeoffs!Y2348,Sheet1!$B$6:$C$124,2,FALSE)</f>
        <v>#N/A</v>
      </c>
      <c r="AA2348" s="68"/>
      <c r="AE2348" s="58"/>
      <c r="AF2348" s="2" t="s">
        <v>111</v>
      </c>
      <c r="AG2348" s="68" t="e">
        <f>VLOOKUP(Takeoffs!AF2348,Sheet1!$B$6:$C$124,2,FALSE)</f>
        <v>#N/A</v>
      </c>
      <c r="AH2348" s="68"/>
      <c r="AL2348" s="58"/>
      <c r="AO2348" s="288"/>
      <c r="AP2348" s="284">
        <f t="shared" si="998"/>
        <v>0</v>
      </c>
      <c r="AQ2348" s="281">
        <f t="shared" si="999"/>
        <v>0</v>
      </c>
      <c r="AR2348" s="284">
        <f t="shared" si="1000"/>
        <v>0</v>
      </c>
      <c r="AS2348" s="281">
        <f t="shared" si="1001"/>
        <v>0</v>
      </c>
      <c r="AT2348" s="284">
        <f t="shared" si="1002"/>
        <v>0</v>
      </c>
    </row>
    <row r="2349" spans="1:46" customFormat="1" ht="179.25" customHeight="1" x14ac:dyDescent="0.8">
      <c r="A2349" s="262">
        <f t="shared" si="997"/>
        <v>2349</v>
      </c>
      <c r="B2349" s="114"/>
      <c r="C2349" s="208"/>
      <c r="D2349" s="208"/>
      <c r="E2349" s="208"/>
      <c r="F2349" s="208"/>
      <c r="G2349" s="208"/>
      <c r="H2349" s="208"/>
      <c r="I2349" s="116"/>
      <c r="J2349" s="30" t="str">
        <f>CONCATENATE(O2349," ",L2349, " (",M2349,") ",N2349,". Each includes supply and install of ",O2350,O2351,O2352,O2353,O2354,O2355,O2356,O2357,O2358,O2359,O2360,O2361,O2362,O2363,O2364,O2365,O2366,O2367,O2368,O2369,)</f>
        <v>Electrical power supply and controls for  one (1) thermostat controlled fan. Each includes supply and install of circuit breakers, local thermostatcontrol contacts/relays, cabling and conduit fom MSSB for both speeds and local power isolator.</v>
      </c>
      <c r="L2349" s="16" t="str">
        <f>VLOOKUP(M2349,Sheet2!$D$2:$E$1024,2,FALSE)</f>
        <v>one</v>
      </c>
      <c r="M2349" s="12">
        <v>1</v>
      </c>
      <c r="N2349" s="27" t="s">
        <v>168</v>
      </c>
      <c r="O2349" s="12" t="s">
        <v>154</v>
      </c>
      <c r="P2349" s="12"/>
      <c r="Q2349" s="12"/>
      <c r="R2349" s="12"/>
      <c r="S2349" s="28"/>
      <c r="T2349" s="10"/>
      <c r="U2349" s="12"/>
      <c r="V2349" s="14" t="e">
        <f>U2349*#REF!</f>
        <v>#REF!</v>
      </c>
      <c r="W2349" s="14"/>
      <c r="X2349" s="26"/>
      <c r="Y2349" s="13"/>
      <c r="Z2349" s="68" t="e">
        <f>VLOOKUP(Takeoffs!Y2349,Sheet1!$B$6:$C$124,2,FALSE)</f>
        <v>#N/A</v>
      </c>
      <c r="AA2349" s="68"/>
      <c r="AB2349" s="18"/>
      <c r="AC2349" s="18"/>
      <c r="AD2349" s="18"/>
      <c r="AE2349" s="60"/>
      <c r="AF2349" s="13"/>
      <c r="AG2349" s="68" t="e">
        <f>VLOOKUP(Takeoffs!AF2349,Sheet1!$B$6:$C$124,2,FALSE)</f>
        <v>#N/A</v>
      </c>
      <c r="AH2349" s="68"/>
      <c r="AI2349" s="18"/>
      <c r="AJ2349" s="18"/>
      <c r="AK2349" s="18"/>
      <c r="AL2349" s="60"/>
      <c r="AO2349" s="286"/>
      <c r="AP2349" s="284">
        <f t="shared" si="998"/>
        <v>0</v>
      </c>
      <c r="AQ2349" s="281">
        <f t="shared" si="999"/>
        <v>0</v>
      </c>
      <c r="AR2349" s="284">
        <f t="shared" si="1000"/>
        <v>0</v>
      </c>
      <c r="AS2349" s="281">
        <f t="shared" si="1001"/>
        <v>0</v>
      </c>
      <c r="AT2349" s="284">
        <f t="shared" si="1002"/>
        <v>0</v>
      </c>
    </row>
    <row r="2350" spans="1:46" customFormat="1" ht="15" customHeight="1" x14ac:dyDescent="0.8">
      <c r="A2350" s="262">
        <f t="shared" si="997"/>
        <v>2350</v>
      </c>
      <c r="B2350" s="114"/>
      <c r="C2350" s="208"/>
      <c r="D2350" s="208"/>
      <c r="E2350" s="208"/>
      <c r="F2350" s="208"/>
      <c r="G2350" s="208"/>
      <c r="H2350" s="208"/>
      <c r="I2350" s="114"/>
      <c r="J2350" s="30"/>
      <c r="M2350" s="3"/>
      <c r="N2350" s="15" t="s">
        <v>113</v>
      </c>
      <c r="O2350" s="12" t="s">
        <v>162</v>
      </c>
      <c r="P2350" s="12"/>
      <c r="Q2350" s="12"/>
      <c r="R2350" s="12"/>
      <c r="S2350" s="28">
        <f>M2349</f>
        <v>1</v>
      </c>
      <c r="T2350" s="11"/>
      <c r="U2350" s="12"/>
      <c r="V2350" s="14" t="e">
        <f>U2350*#REF!</f>
        <v>#REF!</v>
      </c>
      <c r="W2350" s="14"/>
      <c r="X2350" s="26"/>
      <c r="Y2350" s="13"/>
      <c r="Z2350" s="68" t="e">
        <f>VLOOKUP(Takeoffs!Y2350,Sheet1!$B$6:$C$124,2,FALSE)</f>
        <v>#N/A</v>
      </c>
      <c r="AA2350" s="68"/>
      <c r="AB2350" s="18"/>
      <c r="AC2350" s="18"/>
      <c r="AD2350" s="18"/>
      <c r="AE2350" s="60"/>
      <c r="AF2350" s="13"/>
      <c r="AG2350" s="68" t="e">
        <f>VLOOKUP(Takeoffs!AF2350,Sheet1!$B$6:$C$124,2,FALSE)</f>
        <v>#N/A</v>
      </c>
      <c r="AH2350" s="68"/>
      <c r="AI2350" s="18"/>
      <c r="AJ2350" s="18"/>
      <c r="AK2350" s="18"/>
      <c r="AL2350" s="60"/>
      <c r="AO2350" s="286"/>
      <c r="AP2350" s="284">
        <f t="shared" si="998"/>
        <v>0</v>
      </c>
      <c r="AQ2350" s="281">
        <f t="shared" si="999"/>
        <v>0</v>
      </c>
      <c r="AR2350" s="284">
        <f t="shared" si="1000"/>
        <v>0</v>
      </c>
      <c r="AS2350" s="281">
        <f t="shared" si="1001"/>
        <v>0</v>
      </c>
      <c r="AT2350" s="284">
        <f t="shared" si="1002"/>
        <v>0</v>
      </c>
    </row>
    <row r="2351" spans="1:46" customFormat="1" ht="15" customHeight="1" x14ac:dyDescent="0.8">
      <c r="A2351" s="262">
        <f t="shared" si="997"/>
        <v>2351</v>
      </c>
      <c r="B2351" s="114"/>
      <c r="C2351" s="208"/>
      <c r="D2351" s="208"/>
      <c r="E2351" s="208"/>
      <c r="F2351" s="208"/>
      <c r="G2351" s="208"/>
      <c r="H2351" s="208"/>
      <c r="I2351" s="114"/>
      <c r="J2351" s="30"/>
      <c r="M2351" s="3"/>
      <c r="N2351" s="15" t="s">
        <v>114</v>
      </c>
      <c r="O2351" s="12" t="s">
        <v>167</v>
      </c>
      <c r="P2351" s="12"/>
      <c r="Q2351" s="12"/>
      <c r="R2351" s="12"/>
      <c r="S2351" s="28">
        <f>M2349</f>
        <v>1</v>
      </c>
      <c r="T2351" s="11"/>
      <c r="U2351" s="12"/>
      <c r="V2351" s="14" t="e">
        <f>U2351*#REF!</f>
        <v>#REF!</v>
      </c>
      <c r="W2351" s="14"/>
      <c r="X2351" s="26"/>
      <c r="Y2351" s="13"/>
      <c r="Z2351" s="68" t="e">
        <f>VLOOKUP(Takeoffs!Y2351,Sheet1!$B$6:$C$124,2,FALSE)</f>
        <v>#N/A</v>
      </c>
      <c r="AA2351" s="68"/>
      <c r="AB2351" s="18"/>
      <c r="AC2351" s="18"/>
      <c r="AD2351" s="18"/>
      <c r="AE2351" s="60"/>
      <c r="AF2351" s="13"/>
      <c r="AG2351" s="68" t="e">
        <f>VLOOKUP(Takeoffs!AF2351,Sheet1!$B$6:$C$124,2,FALSE)</f>
        <v>#N/A</v>
      </c>
      <c r="AH2351" s="68"/>
      <c r="AI2351" s="18"/>
      <c r="AJ2351" s="18"/>
      <c r="AK2351" s="18"/>
      <c r="AL2351" s="60"/>
      <c r="AO2351" s="286"/>
      <c r="AP2351" s="284">
        <f t="shared" si="998"/>
        <v>0</v>
      </c>
      <c r="AQ2351" s="281">
        <f t="shared" si="999"/>
        <v>0</v>
      </c>
      <c r="AR2351" s="284">
        <f t="shared" si="1000"/>
        <v>0</v>
      </c>
      <c r="AS2351" s="281">
        <f t="shared" si="1001"/>
        <v>0</v>
      </c>
      <c r="AT2351" s="284">
        <f t="shared" si="1002"/>
        <v>0</v>
      </c>
    </row>
    <row r="2352" spans="1:46" customFormat="1" ht="15" customHeight="1" x14ac:dyDescent="0.8">
      <c r="A2352" s="262">
        <f t="shared" si="997"/>
        <v>2352</v>
      </c>
      <c r="B2352" s="114"/>
      <c r="C2352" s="208"/>
      <c r="D2352" s="208"/>
      <c r="E2352" s="208"/>
      <c r="F2352" s="208"/>
      <c r="G2352" s="208"/>
      <c r="H2352" s="208"/>
      <c r="I2352" s="114"/>
      <c r="J2352" s="30"/>
      <c r="M2352" s="3"/>
      <c r="N2352" s="15" t="s">
        <v>115</v>
      </c>
      <c r="O2352" s="12" t="s">
        <v>163</v>
      </c>
      <c r="P2352" s="12"/>
      <c r="Q2352" s="12"/>
      <c r="R2352" s="12"/>
      <c r="S2352" s="28">
        <f>M2349</f>
        <v>1</v>
      </c>
      <c r="T2352" s="11"/>
      <c r="U2352" s="12"/>
      <c r="V2352" s="14" t="e">
        <f>U2352*#REF!</f>
        <v>#REF!</v>
      </c>
      <c r="W2352" s="14"/>
      <c r="X2352" s="26"/>
      <c r="Y2352" s="13"/>
      <c r="Z2352" s="68" t="e">
        <f>VLOOKUP(Takeoffs!Y2352,Sheet1!$B$6:$C$124,2,FALSE)</f>
        <v>#N/A</v>
      </c>
      <c r="AA2352" s="68"/>
      <c r="AB2352" s="18"/>
      <c r="AC2352" s="18"/>
      <c r="AD2352" s="18"/>
      <c r="AE2352" s="60"/>
      <c r="AF2352" s="13"/>
      <c r="AG2352" s="68" t="e">
        <f>VLOOKUP(Takeoffs!AF2352,Sheet1!$B$6:$C$124,2,FALSE)</f>
        <v>#N/A</v>
      </c>
      <c r="AH2352" s="68"/>
      <c r="AI2352" s="18"/>
      <c r="AJ2352" s="18"/>
      <c r="AK2352" s="18"/>
      <c r="AL2352" s="60"/>
      <c r="AO2352" s="286"/>
      <c r="AP2352" s="284">
        <f t="shared" si="998"/>
        <v>0</v>
      </c>
      <c r="AQ2352" s="281">
        <f t="shared" si="999"/>
        <v>0</v>
      </c>
      <c r="AR2352" s="284">
        <f t="shared" si="1000"/>
        <v>0</v>
      </c>
      <c r="AS2352" s="281">
        <f t="shared" si="1001"/>
        <v>0</v>
      </c>
      <c r="AT2352" s="284">
        <f t="shared" si="1002"/>
        <v>0</v>
      </c>
    </row>
    <row r="2353" spans="1:46" customFormat="1" ht="15" customHeight="1" x14ac:dyDescent="0.8">
      <c r="A2353" s="262">
        <f t="shared" si="997"/>
        <v>2353</v>
      </c>
      <c r="B2353" s="114"/>
      <c r="C2353" s="208"/>
      <c r="D2353" s="208"/>
      <c r="E2353" s="208"/>
      <c r="F2353" s="208"/>
      <c r="G2353" s="208"/>
      <c r="H2353" s="208"/>
      <c r="I2353" s="114"/>
      <c r="J2353" s="30"/>
      <c r="M2353" s="3"/>
      <c r="N2353" s="15" t="s">
        <v>116</v>
      </c>
      <c r="O2353" s="12" t="s">
        <v>166</v>
      </c>
      <c r="P2353" s="12"/>
      <c r="Q2353" s="12"/>
      <c r="R2353" s="12"/>
      <c r="S2353" s="28">
        <f>M2349</f>
        <v>1</v>
      </c>
      <c r="T2353" s="11"/>
      <c r="U2353" s="12"/>
      <c r="V2353" s="14" t="e">
        <f>U2353*#REF!</f>
        <v>#REF!</v>
      </c>
      <c r="W2353" s="14"/>
      <c r="X2353" s="26"/>
      <c r="Y2353" s="13"/>
      <c r="Z2353" s="68" t="e">
        <f>VLOOKUP(Takeoffs!Y2353,Sheet1!$B$6:$C$124,2,FALSE)</f>
        <v>#N/A</v>
      </c>
      <c r="AA2353" s="68"/>
      <c r="AB2353" s="18"/>
      <c r="AC2353" s="18"/>
      <c r="AD2353" s="18"/>
      <c r="AE2353" s="60"/>
      <c r="AF2353" s="13"/>
      <c r="AG2353" s="68" t="e">
        <f>VLOOKUP(Takeoffs!AF2353,Sheet1!$B$6:$C$124,2,FALSE)</f>
        <v>#N/A</v>
      </c>
      <c r="AH2353" s="68"/>
      <c r="AI2353" s="18"/>
      <c r="AJ2353" s="18"/>
      <c r="AK2353" s="18"/>
      <c r="AL2353" s="60"/>
      <c r="AO2353" s="286"/>
      <c r="AP2353" s="284">
        <f t="shared" si="998"/>
        <v>0</v>
      </c>
      <c r="AQ2353" s="281">
        <f t="shared" si="999"/>
        <v>0</v>
      </c>
      <c r="AR2353" s="284">
        <f t="shared" si="1000"/>
        <v>0</v>
      </c>
      <c r="AS2353" s="281">
        <f t="shared" si="1001"/>
        <v>0</v>
      </c>
      <c r="AT2353" s="284">
        <f t="shared" si="1002"/>
        <v>0</v>
      </c>
    </row>
    <row r="2354" spans="1:46" customFormat="1" ht="15" customHeight="1" x14ac:dyDescent="0.8">
      <c r="A2354" s="262">
        <f t="shared" si="997"/>
        <v>2354</v>
      </c>
      <c r="B2354" s="114"/>
      <c r="C2354" s="208"/>
      <c r="D2354" s="208"/>
      <c r="E2354" s="208"/>
      <c r="F2354" s="208"/>
      <c r="G2354" s="208"/>
      <c r="H2354" s="208"/>
      <c r="I2354" s="114"/>
      <c r="J2354" s="30"/>
      <c r="M2354" s="3"/>
      <c r="N2354" s="15" t="s">
        <v>117</v>
      </c>
      <c r="O2354" s="12" t="s">
        <v>141</v>
      </c>
      <c r="P2354" s="12"/>
      <c r="Q2354" s="12"/>
      <c r="R2354" s="12"/>
      <c r="S2354" s="28">
        <f>M2349</f>
        <v>1</v>
      </c>
      <c r="T2354" s="11"/>
      <c r="U2354" s="12"/>
      <c r="V2354" s="14" t="e">
        <f>U2354*#REF!</f>
        <v>#REF!</v>
      </c>
      <c r="W2354" s="14"/>
      <c r="X2354" s="26"/>
      <c r="Y2354" s="13"/>
      <c r="Z2354" s="68" t="e">
        <f>VLOOKUP(Takeoffs!Y2354,Sheet1!$B$6:$C$124,2,FALSE)</f>
        <v>#N/A</v>
      </c>
      <c r="AA2354" s="68"/>
      <c r="AB2354" s="18"/>
      <c r="AC2354" s="18"/>
      <c r="AD2354" s="18"/>
      <c r="AE2354" s="60"/>
      <c r="AF2354" s="13"/>
      <c r="AG2354" s="68" t="e">
        <f>VLOOKUP(Takeoffs!AF2354,Sheet1!$B$6:$C$124,2,FALSE)</f>
        <v>#N/A</v>
      </c>
      <c r="AH2354" s="68"/>
      <c r="AI2354" s="18"/>
      <c r="AJ2354" s="18"/>
      <c r="AK2354" s="18"/>
      <c r="AL2354" s="60"/>
      <c r="AO2354" s="286"/>
      <c r="AP2354" s="284">
        <f t="shared" si="998"/>
        <v>0</v>
      </c>
      <c r="AQ2354" s="281">
        <f t="shared" si="999"/>
        <v>0</v>
      </c>
      <c r="AR2354" s="284">
        <f t="shared" si="1000"/>
        <v>0</v>
      </c>
      <c r="AS2354" s="281">
        <f t="shared" si="1001"/>
        <v>0</v>
      </c>
      <c r="AT2354" s="284">
        <f t="shared" si="1002"/>
        <v>0</v>
      </c>
    </row>
    <row r="2355" spans="1:46" customFormat="1" ht="15" customHeight="1" x14ac:dyDescent="0.8">
      <c r="A2355" s="262">
        <f t="shared" si="997"/>
        <v>2355</v>
      </c>
      <c r="B2355" s="114"/>
      <c r="C2355" s="208"/>
      <c r="D2355" s="208"/>
      <c r="E2355" s="208"/>
      <c r="F2355" s="208"/>
      <c r="G2355" s="208"/>
      <c r="H2355" s="208"/>
      <c r="I2355" s="114"/>
      <c r="J2355" s="30"/>
      <c r="M2355" s="3"/>
      <c r="N2355" s="15" t="s">
        <v>118</v>
      </c>
      <c r="O2355" s="12"/>
      <c r="P2355" s="12"/>
      <c r="Q2355" s="12"/>
      <c r="R2355" s="12"/>
      <c r="S2355" s="28">
        <f>M2349</f>
        <v>1</v>
      </c>
      <c r="T2355" s="11"/>
      <c r="U2355" s="12"/>
      <c r="V2355" s="14" t="e">
        <f>U2355*#REF!</f>
        <v>#REF!</v>
      </c>
      <c r="W2355" s="14"/>
      <c r="X2355" s="26"/>
      <c r="Y2355" s="13"/>
      <c r="Z2355" s="68" t="e">
        <f>VLOOKUP(Takeoffs!Y2355,Sheet1!$B$6:$C$124,2,FALSE)</f>
        <v>#N/A</v>
      </c>
      <c r="AA2355" s="68"/>
      <c r="AB2355" s="18"/>
      <c r="AC2355" s="18"/>
      <c r="AD2355" s="18"/>
      <c r="AE2355" s="60"/>
      <c r="AF2355" s="13"/>
      <c r="AG2355" s="68" t="e">
        <f>VLOOKUP(Takeoffs!AF2355,Sheet1!$B$6:$C$124,2,FALSE)</f>
        <v>#N/A</v>
      </c>
      <c r="AH2355" s="68"/>
      <c r="AI2355" s="18"/>
      <c r="AJ2355" s="18"/>
      <c r="AK2355" s="18"/>
      <c r="AL2355" s="60"/>
      <c r="AO2355" s="286"/>
      <c r="AP2355" s="284">
        <f t="shared" si="998"/>
        <v>0</v>
      </c>
      <c r="AQ2355" s="281">
        <f t="shared" si="999"/>
        <v>0</v>
      </c>
      <c r="AR2355" s="284">
        <f t="shared" si="1000"/>
        <v>0</v>
      </c>
      <c r="AS2355" s="281">
        <f t="shared" si="1001"/>
        <v>0</v>
      </c>
      <c r="AT2355" s="284">
        <f t="shared" si="1002"/>
        <v>0</v>
      </c>
    </row>
    <row r="2356" spans="1:46" customFormat="1" ht="15" customHeight="1" x14ac:dyDescent="0.8">
      <c r="A2356" s="262">
        <f t="shared" si="997"/>
        <v>2356</v>
      </c>
      <c r="B2356" s="114"/>
      <c r="C2356" s="208"/>
      <c r="D2356" s="208"/>
      <c r="E2356" s="208"/>
      <c r="F2356" s="208"/>
      <c r="G2356" s="208"/>
      <c r="H2356" s="208"/>
      <c r="I2356" s="114"/>
      <c r="J2356" s="30"/>
      <c r="N2356" s="15" t="s">
        <v>119</v>
      </c>
      <c r="O2356" s="12"/>
      <c r="P2356" s="12"/>
      <c r="Q2356" s="12"/>
      <c r="R2356" s="12"/>
      <c r="S2356" s="28">
        <f>M2349</f>
        <v>1</v>
      </c>
      <c r="T2356" s="11"/>
      <c r="U2356" s="12"/>
      <c r="V2356" s="14" t="e">
        <f>U2356*#REF!</f>
        <v>#REF!</v>
      </c>
      <c r="W2356" s="14"/>
      <c r="X2356" s="26"/>
      <c r="Y2356" s="13"/>
      <c r="Z2356" s="68" t="e">
        <f>VLOOKUP(Takeoffs!Y2356,Sheet1!$B$6:$C$124,2,FALSE)</f>
        <v>#N/A</v>
      </c>
      <c r="AA2356" s="68"/>
      <c r="AB2356" s="18"/>
      <c r="AC2356" s="18"/>
      <c r="AD2356" s="18"/>
      <c r="AE2356" s="60"/>
      <c r="AF2356" s="13"/>
      <c r="AG2356" s="68" t="e">
        <f>VLOOKUP(Takeoffs!AF2356,Sheet1!$B$6:$C$124,2,FALSE)</f>
        <v>#N/A</v>
      </c>
      <c r="AH2356" s="68"/>
      <c r="AI2356" s="18"/>
      <c r="AJ2356" s="18"/>
      <c r="AK2356" s="18"/>
      <c r="AL2356" s="60"/>
      <c r="AO2356" s="286"/>
      <c r="AP2356" s="284">
        <f t="shared" si="998"/>
        <v>0</v>
      </c>
      <c r="AQ2356" s="281">
        <f t="shared" si="999"/>
        <v>0</v>
      </c>
      <c r="AR2356" s="284">
        <f t="shared" si="1000"/>
        <v>0</v>
      </c>
      <c r="AS2356" s="281">
        <f t="shared" si="1001"/>
        <v>0</v>
      </c>
      <c r="AT2356" s="284">
        <f t="shared" si="1002"/>
        <v>0</v>
      </c>
    </row>
    <row r="2357" spans="1:46" customFormat="1" ht="15" customHeight="1" x14ac:dyDescent="0.8">
      <c r="A2357" s="262">
        <f t="shared" si="997"/>
        <v>2357</v>
      </c>
      <c r="B2357" s="114"/>
      <c r="C2357" s="208"/>
      <c r="D2357" s="208"/>
      <c r="E2357" s="208"/>
      <c r="F2357" s="208"/>
      <c r="G2357" s="208"/>
      <c r="H2357" s="208"/>
      <c r="I2357" s="114"/>
      <c r="J2357" s="30"/>
      <c r="N2357" s="15" t="s">
        <v>120</v>
      </c>
      <c r="O2357" s="12"/>
      <c r="P2357" s="12"/>
      <c r="Q2357" s="12"/>
      <c r="R2357" s="12"/>
      <c r="S2357" s="28">
        <f>M2349</f>
        <v>1</v>
      </c>
      <c r="T2357" s="11"/>
      <c r="U2357" s="12"/>
      <c r="V2357" s="14" t="e">
        <f>U2357*#REF!</f>
        <v>#REF!</v>
      </c>
      <c r="W2357" s="14"/>
      <c r="X2357" s="26"/>
      <c r="Y2357" s="13"/>
      <c r="Z2357" s="68" t="e">
        <f>VLOOKUP(Takeoffs!Y2357,Sheet1!$B$6:$C$124,2,FALSE)</f>
        <v>#N/A</v>
      </c>
      <c r="AA2357" s="68"/>
      <c r="AB2357" s="18"/>
      <c r="AC2357" s="18"/>
      <c r="AD2357" s="18"/>
      <c r="AE2357" s="60"/>
      <c r="AF2357" s="13"/>
      <c r="AG2357" s="68" t="e">
        <f>VLOOKUP(Takeoffs!AF2357,Sheet1!$B$6:$C$124,2,FALSE)</f>
        <v>#N/A</v>
      </c>
      <c r="AH2357" s="68"/>
      <c r="AI2357" s="18"/>
      <c r="AJ2357" s="18"/>
      <c r="AK2357" s="18"/>
      <c r="AL2357" s="60"/>
      <c r="AO2357" s="286"/>
      <c r="AP2357" s="284">
        <f t="shared" si="998"/>
        <v>0</v>
      </c>
      <c r="AQ2357" s="281">
        <f t="shared" si="999"/>
        <v>0</v>
      </c>
      <c r="AR2357" s="284">
        <f t="shared" si="1000"/>
        <v>0</v>
      </c>
      <c r="AS2357" s="281">
        <f t="shared" si="1001"/>
        <v>0</v>
      </c>
      <c r="AT2357" s="284">
        <f t="shared" si="1002"/>
        <v>0</v>
      </c>
    </row>
    <row r="2358" spans="1:46" customFormat="1" ht="15" customHeight="1" x14ac:dyDescent="0.8">
      <c r="A2358" s="262">
        <f t="shared" ref="A2358:A2421" si="1003">A2357+1</f>
        <v>2358</v>
      </c>
      <c r="B2358" s="114"/>
      <c r="C2358" s="208"/>
      <c r="D2358" s="208"/>
      <c r="E2358" s="208"/>
      <c r="F2358" s="208"/>
      <c r="G2358" s="208"/>
      <c r="H2358" s="208"/>
      <c r="I2358" s="114"/>
      <c r="J2358" s="30"/>
      <c r="N2358" s="15" t="s">
        <v>121</v>
      </c>
      <c r="O2358" s="12"/>
      <c r="P2358" s="12"/>
      <c r="Q2358" s="12"/>
      <c r="R2358" s="12"/>
      <c r="S2358" s="28">
        <f>M2349</f>
        <v>1</v>
      </c>
      <c r="T2358" s="11"/>
      <c r="U2358" s="12"/>
      <c r="V2358" s="14" t="e">
        <f>U2358*#REF!</f>
        <v>#REF!</v>
      </c>
      <c r="W2358" s="14"/>
      <c r="X2358" s="26"/>
      <c r="Y2358" s="13"/>
      <c r="Z2358" s="68" t="e">
        <f>VLOOKUP(Takeoffs!Y2358,Sheet1!$B$6:$C$124,2,FALSE)</f>
        <v>#N/A</v>
      </c>
      <c r="AA2358" s="68"/>
      <c r="AB2358" s="18"/>
      <c r="AC2358" s="18"/>
      <c r="AD2358" s="18"/>
      <c r="AE2358" s="60"/>
      <c r="AF2358" s="13"/>
      <c r="AG2358" s="68" t="e">
        <f>VLOOKUP(Takeoffs!AF2358,Sheet1!$B$6:$C$124,2,FALSE)</f>
        <v>#N/A</v>
      </c>
      <c r="AH2358" s="68"/>
      <c r="AI2358" s="18"/>
      <c r="AJ2358" s="18"/>
      <c r="AK2358" s="18"/>
      <c r="AL2358" s="60"/>
      <c r="AO2358" s="286"/>
      <c r="AP2358" s="284">
        <f t="shared" si="998"/>
        <v>0</v>
      </c>
      <c r="AQ2358" s="281">
        <f t="shared" si="999"/>
        <v>0</v>
      </c>
      <c r="AR2358" s="284">
        <f t="shared" si="1000"/>
        <v>0</v>
      </c>
      <c r="AS2358" s="281">
        <f t="shared" si="1001"/>
        <v>0</v>
      </c>
      <c r="AT2358" s="284">
        <f t="shared" si="1002"/>
        <v>0</v>
      </c>
    </row>
    <row r="2359" spans="1:46" customFormat="1" ht="15" customHeight="1" x14ac:dyDescent="0.8">
      <c r="A2359" s="262">
        <f t="shared" si="1003"/>
        <v>2359</v>
      </c>
      <c r="B2359" s="114"/>
      <c r="C2359" s="208"/>
      <c r="D2359" s="208"/>
      <c r="E2359" s="208"/>
      <c r="F2359" s="208"/>
      <c r="G2359" s="208"/>
      <c r="H2359" s="208"/>
      <c r="I2359" s="114"/>
      <c r="J2359" s="30"/>
      <c r="N2359" s="15" t="s">
        <v>122</v>
      </c>
      <c r="O2359" s="12"/>
      <c r="P2359" s="12"/>
      <c r="Q2359" s="12"/>
      <c r="R2359" s="12"/>
      <c r="S2359" s="28">
        <f>M2349</f>
        <v>1</v>
      </c>
      <c r="T2359" s="11"/>
      <c r="U2359" s="12"/>
      <c r="V2359" s="14" t="e">
        <f>U2359*#REF!</f>
        <v>#REF!</v>
      </c>
      <c r="W2359" s="14"/>
      <c r="X2359" s="26"/>
      <c r="Y2359" s="13"/>
      <c r="Z2359" s="68" t="e">
        <f>VLOOKUP(Takeoffs!Y2359,Sheet1!$B$6:$C$124,2,FALSE)</f>
        <v>#N/A</v>
      </c>
      <c r="AA2359" s="68"/>
      <c r="AB2359" s="18"/>
      <c r="AC2359" s="18"/>
      <c r="AD2359" s="18"/>
      <c r="AE2359" s="60"/>
      <c r="AF2359" s="13"/>
      <c r="AG2359" s="68" t="e">
        <f>VLOOKUP(Takeoffs!AF2359,Sheet1!$B$6:$C$124,2,FALSE)</f>
        <v>#N/A</v>
      </c>
      <c r="AH2359" s="68"/>
      <c r="AI2359" s="18"/>
      <c r="AJ2359" s="18"/>
      <c r="AK2359" s="18"/>
      <c r="AL2359" s="60"/>
      <c r="AO2359" s="286"/>
      <c r="AP2359" s="284">
        <f t="shared" si="998"/>
        <v>0</v>
      </c>
      <c r="AQ2359" s="281">
        <f t="shared" si="999"/>
        <v>0</v>
      </c>
      <c r="AR2359" s="284">
        <f t="shared" si="1000"/>
        <v>0</v>
      </c>
      <c r="AS2359" s="281">
        <f t="shared" si="1001"/>
        <v>0</v>
      </c>
      <c r="AT2359" s="284">
        <f t="shared" si="1002"/>
        <v>0</v>
      </c>
    </row>
    <row r="2360" spans="1:46" customFormat="1" ht="15" customHeight="1" x14ac:dyDescent="0.8">
      <c r="A2360" s="262">
        <f t="shared" si="1003"/>
        <v>2360</v>
      </c>
      <c r="B2360" s="114"/>
      <c r="C2360" s="208"/>
      <c r="D2360" s="208"/>
      <c r="E2360" s="208"/>
      <c r="F2360" s="208"/>
      <c r="G2360" s="208"/>
      <c r="H2360" s="208"/>
      <c r="I2360" s="114"/>
      <c r="J2360" s="30"/>
      <c r="N2360" s="15" t="s">
        <v>123</v>
      </c>
      <c r="O2360" s="12"/>
      <c r="P2360" s="12"/>
      <c r="Q2360" s="12"/>
      <c r="R2360" s="12"/>
      <c r="S2360" s="28">
        <f>M2349</f>
        <v>1</v>
      </c>
      <c r="T2360" s="11"/>
      <c r="U2360" s="12"/>
      <c r="V2360" s="14" t="e">
        <f>U2360*#REF!</f>
        <v>#REF!</v>
      </c>
      <c r="W2360" s="14"/>
      <c r="X2360" s="26"/>
      <c r="Y2360" s="13"/>
      <c r="Z2360" s="68" t="e">
        <f>VLOOKUP(Takeoffs!Y2360,Sheet1!$B$6:$C$124,2,FALSE)</f>
        <v>#N/A</v>
      </c>
      <c r="AA2360" s="68"/>
      <c r="AB2360" s="18"/>
      <c r="AC2360" s="18"/>
      <c r="AD2360" s="18"/>
      <c r="AE2360" s="60"/>
      <c r="AF2360" s="13"/>
      <c r="AG2360" s="68" t="e">
        <f>VLOOKUP(Takeoffs!AF2360,Sheet1!$B$6:$C$124,2,FALSE)</f>
        <v>#N/A</v>
      </c>
      <c r="AH2360" s="68"/>
      <c r="AI2360" s="18"/>
      <c r="AJ2360" s="18"/>
      <c r="AK2360" s="18"/>
      <c r="AL2360" s="60"/>
      <c r="AO2360" s="286"/>
      <c r="AP2360" s="284">
        <f t="shared" si="998"/>
        <v>0</v>
      </c>
      <c r="AQ2360" s="281">
        <f t="shared" si="999"/>
        <v>0</v>
      </c>
      <c r="AR2360" s="284">
        <f t="shared" si="1000"/>
        <v>0</v>
      </c>
      <c r="AS2360" s="281">
        <f t="shared" si="1001"/>
        <v>0</v>
      </c>
      <c r="AT2360" s="284">
        <f t="shared" si="1002"/>
        <v>0</v>
      </c>
    </row>
    <row r="2361" spans="1:46" customFormat="1" ht="15" customHeight="1" x14ac:dyDescent="0.8">
      <c r="A2361" s="262">
        <f t="shared" si="1003"/>
        <v>2361</v>
      </c>
      <c r="B2361" s="114"/>
      <c r="C2361" s="208"/>
      <c r="D2361" s="208"/>
      <c r="E2361" s="208"/>
      <c r="F2361" s="208"/>
      <c r="G2361" s="208"/>
      <c r="H2361" s="208"/>
      <c r="I2361" s="114"/>
      <c r="J2361" s="30"/>
      <c r="N2361" s="15" t="s">
        <v>124</v>
      </c>
      <c r="O2361" s="12"/>
      <c r="P2361" s="12"/>
      <c r="Q2361" s="12"/>
      <c r="R2361" s="12"/>
      <c r="S2361" s="28">
        <f>M2349</f>
        <v>1</v>
      </c>
      <c r="T2361" s="11"/>
      <c r="U2361" s="12"/>
      <c r="V2361" s="14" t="e">
        <f>U2361*#REF!</f>
        <v>#REF!</v>
      </c>
      <c r="W2361" s="14"/>
      <c r="X2361" s="26"/>
      <c r="Y2361" s="13"/>
      <c r="Z2361" s="68" t="e">
        <f>VLOOKUP(Takeoffs!Y2361,Sheet1!$B$6:$C$124,2,FALSE)</f>
        <v>#N/A</v>
      </c>
      <c r="AA2361" s="68"/>
      <c r="AB2361" s="18"/>
      <c r="AC2361" s="18"/>
      <c r="AD2361" s="18"/>
      <c r="AE2361" s="60"/>
      <c r="AF2361" s="13"/>
      <c r="AG2361" s="68" t="e">
        <f>VLOOKUP(Takeoffs!AF2361,Sheet1!$B$6:$C$124,2,FALSE)</f>
        <v>#N/A</v>
      </c>
      <c r="AH2361" s="68"/>
      <c r="AI2361" s="18"/>
      <c r="AJ2361" s="18"/>
      <c r="AK2361" s="18"/>
      <c r="AL2361" s="60"/>
      <c r="AO2361" s="286"/>
      <c r="AP2361" s="284">
        <f t="shared" si="998"/>
        <v>0</v>
      </c>
      <c r="AQ2361" s="281">
        <f t="shared" si="999"/>
        <v>0</v>
      </c>
      <c r="AR2361" s="284">
        <f t="shared" si="1000"/>
        <v>0</v>
      </c>
      <c r="AS2361" s="281">
        <f t="shared" si="1001"/>
        <v>0</v>
      </c>
      <c r="AT2361" s="284">
        <f t="shared" si="1002"/>
        <v>0</v>
      </c>
    </row>
    <row r="2362" spans="1:46" customFormat="1" ht="15" customHeight="1" x14ac:dyDescent="0.8">
      <c r="A2362" s="262">
        <f t="shared" si="1003"/>
        <v>2362</v>
      </c>
      <c r="B2362" s="114"/>
      <c r="C2362" s="208"/>
      <c r="D2362" s="208"/>
      <c r="E2362" s="208"/>
      <c r="F2362" s="208"/>
      <c r="G2362" s="208"/>
      <c r="H2362" s="208"/>
      <c r="I2362" s="114"/>
      <c r="J2362" s="30"/>
      <c r="N2362" s="15" t="s">
        <v>125</v>
      </c>
      <c r="O2362" s="12"/>
      <c r="P2362" s="12"/>
      <c r="Q2362" s="12"/>
      <c r="R2362" s="12"/>
      <c r="S2362" s="28">
        <f>M2349</f>
        <v>1</v>
      </c>
      <c r="T2362" s="11"/>
      <c r="U2362" s="12"/>
      <c r="V2362" s="14" t="e">
        <f>U2362*#REF!</f>
        <v>#REF!</v>
      </c>
      <c r="W2362" s="14"/>
      <c r="X2362" s="26"/>
      <c r="Y2362" s="13"/>
      <c r="Z2362" s="68" t="e">
        <f>VLOOKUP(Takeoffs!Y2362,Sheet1!$B$6:$C$124,2,FALSE)</f>
        <v>#N/A</v>
      </c>
      <c r="AA2362" s="68"/>
      <c r="AB2362" s="18"/>
      <c r="AC2362" s="18"/>
      <c r="AD2362" s="18"/>
      <c r="AE2362" s="60"/>
      <c r="AF2362" s="13"/>
      <c r="AG2362" s="68" t="e">
        <f>VLOOKUP(Takeoffs!AF2362,Sheet1!$B$6:$C$124,2,FALSE)</f>
        <v>#N/A</v>
      </c>
      <c r="AH2362" s="68"/>
      <c r="AI2362" s="18"/>
      <c r="AJ2362" s="18"/>
      <c r="AK2362" s="18"/>
      <c r="AL2362" s="60"/>
      <c r="AO2362" s="286"/>
      <c r="AP2362" s="284">
        <f t="shared" si="998"/>
        <v>0</v>
      </c>
      <c r="AQ2362" s="281">
        <f t="shared" si="999"/>
        <v>0</v>
      </c>
      <c r="AR2362" s="284">
        <f t="shared" si="1000"/>
        <v>0</v>
      </c>
      <c r="AS2362" s="281">
        <f t="shared" si="1001"/>
        <v>0</v>
      </c>
      <c r="AT2362" s="284">
        <f t="shared" si="1002"/>
        <v>0</v>
      </c>
    </row>
    <row r="2363" spans="1:46" customFormat="1" ht="15" customHeight="1" x14ac:dyDescent="0.8">
      <c r="A2363" s="262">
        <f t="shared" si="1003"/>
        <v>2363</v>
      </c>
      <c r="B2363" s="114"/>
      <c r="C2363" s="208"/>
      <c r="D2363" s="208"/>
      <c r="E2363" s="208"/>
      <c r="F2363" s="208"/>
      <c r="G2363" s="208"/>
      <c r="H2363" s="208"/>
      <c r="I2363" s="114"/>
      <c r="J2363" s="30"/>
      <c r="N2363" s="15" t="s">
        <v>126</v>
      </c>
      <c r="O2363" s="12"/>
      <c r="P2363" s="12"/>
      <c r="Q2363" s="12"/>
      <c r="R2363" s="12"/>
      <c r="S2363" s="28">
        <f>M2349</f>
        <v>1</v>
      </c>
      <c r="T2363" s="11"/>
      <c r="U2363" s="12"/>
      <c r="V2363" s="14" t="e">
        <f>U2363*#REF!</f>
        <v>#REF!</v>
      </c>
      <c r="W2363" s="14"/>
      <c r="X2363" s="26"/>
      <c r="Y2363" s="13"/>
      <c r="Z2363" s="68" t="e">
        <f>VLOOKUP(Takeoffs!Y2363,Sheet1!$B$6:$C$124,2,FALSE)</f>
        <v>#N/A</v>
      </c>
      <c r="AA2363" s="68"/>
      <c r="AB2363" s="18"/>
      <c r="AC2363" s="18"/>
      <c r="AD2363" s="18"/>
      <c r="AE2363" s="60"/>
      <c r="AF2363" s="13"/>
      <c r="AG2363" s="68" t="e">
        <f>VLOOKUP(Takeoffs!AF2363,Sheet1!$B$6:$C$124,2,FALSE)</f>
        <v>#N/A</v>
      </c>
      <c r="AH2363" s="68"/>
      <c r="AI2363" s="18"/>
      <c r="AJ2363" s="18"/>
      <c r="AK2363" s="18"/>
      <c r="AL2363" s="60"/>
      <c r="AO2363" s="286"/>
      <c r="AP2363" s="284">
        <f t="shared" si="998"/>
        <v>0</v>
      </c>
      <c r="AQ2363" s="281">
        <f t="shared" si="999"/>
        <v>0</v>
      </c>
      <c r="AR2363" s="284">
        <f t="shared" si="1000"/>
        <v>0</v>
      </c>
      <c r="AS2363" s="281">
        <f t="shared" si="1001"/>
        <v>0</v>
      </c>
      <c r="AT2363" s="284">
        <f t="shared" si="1002"/>
        <v>0</v>
      </c>
    </row>
    <row r="2364" spans="1:46" customFormat="1" ht="15" customHeight="1" x14ac:dyDescent="0.8">
      <c r="A2364" s="262">
        <f t="shared" si="1003"/>
        <v>2364</v>
      </c>
      <c r="B2364" s="114"/>
      <c r="C2364" s="208"/>
      <c r="D2364" s="208"/>
      <c r="E2364" s="208"/>
      <c r="F2364" s="208"/>
      <c r="G2364" s="208"/>
      <c r="H2364" s="208"/>
      <c r="I2364" s="114"/>
      <c r="J2364" s="30"/>
      <c r="N2364" s="15" t="s">
        <v>127</v>
      </c>
      <c r="O2364" s="12"/>
      <c r="P2364" s="12"/>
      <c r="Q2364" s="12"/>
      <c r="R2364" s="12"/>
      <c r="S2364" s="28">
        <f>M2349</f>
        <v>1</v>
      </c>
      <c r="T2364" s="11"/>
      <c r="U2364" s="12"/>
      <c r="V2364" s="14" t="e">
        <f>U2364*#REF!</f>
        <v>#REF!</v>
      </c>
      <c r="W2364" s="14"/>
      <c r="X2364" s="26"/>
      <c r="Y2364" s="13"/>
      <c r="Z2364" s="68" t="e">
        <f>VLOOKUP(Takeoffs!Y2364,Sheet1!$B$6:$C$124,2,FALSE)</f>
        <v>#N/A</v>
      </c>
      <c r="AA2364" s="68"/>
      <c r="AB2364" s="18"/>
      <c r="AC2364" s="18"/>
      <c r="AD2364" s="18"/>
      <c r="AE2364" s="60"/>
      <c r="AF2364" s="13"/>
      <c r="AG2364" s="68" t="e">
        <f>VLOOKUP(Takeoffs!AF2364,Sheet1!$B$6:$C$124,2,FALSE)</f>
        <v>#N/A</v>
      </c>
      <c r="AH2364" s="68"/>
      <c r="AI2364" s="18"/>
      <c r="AJ2364" s="18"/>
      <c r="AK2364" s="18"/>
      <c r="AL2364" s="60"/>
      <c r="AO2364" s="286"/>
      <c r="AP2364" s="284">
        <f t="shared" si="998"/>
        <v>0</v>
      </c>
      <c r="AQ2364" s="281">
        <f t="shared" si="999"/>
        <v>0</v>
      </c>
      <c r="AR2364" s="284">
        <f t="shared" si="1000"/>
        <v>0</v>
      </c>
      <c r="AS2364" s="281">
        <f t="shared" si="1001"/>
        <v>0</v>
      </c>
      <c r="AT2364" s="284">
        <f t="shared" si="1002"/>
        <v>0</v>
      </c>
    </row>
    <row r="2365" spans="1:46" customFormat="1" ht="15" customHeight="1" x14ac:dyDescent="0.8">
      <c r="A2365" s="262">
        <f t="shared" si="1003"/>
        <v>2365</v>
      </c>
      <c r="B2365" s="114"/>
      <c r="C2365" s="208"/>
      <c r="D2365" s="208"/>
      <c r="E2365" s="208"/>
      <c r="F2365" s="208"/>
      <c r="G2365" s="208"/>
      <c r="H2365" s="208"/>
      <c r="I2365" s="114"/>
      <c r="J2365" s="30"/>
      <c r="N2365" s="15" t="s">
        <v>128</v>
      </c>
      <c r="O2365" s="12"/>
      <c r="P2365" s="12"/>
      <c r="Q2365" s="12"/>
      <c r="R2365" s="12"/>
      <c r="S2365" s="28">
        <f>M2349</f>
        <v>1</v>
      </c>
      <c r="T2365" s="11"/>
      <c r="U2365" s="12"/>
      <c r="V2365" s="14" t="e">
        <f>U2365*#REF!</f>
        <v>#REF!</v>
      </c>
      <c r="W2365" s="14"/>
      <c r="X2365" s="26"/>
      <c r="Y2365" s="13"/>
      <c r="Z2365" s="68" t="e">
        <f>VLOOKUP(Takeoffs!Y2365,Sheet1!$B$6:$C$124,2,FALSE)</f>
        <v>#N/A</v>
      </c>
      <c r="AA2365" s="68"/>
      <c r="AB2365" s="18"/>
      <c r="AC2365" s="18"/>
      <c r="AD2365" s="18"/>
      <c r="AE2365" s="60"/>
      <c r="AF2365" s="13"/>
      <c r="AG2365" s="68" t="e">
        <f>VLOOKUP(Takeoffs!AF2365,Sheet1!$B$6:$C$124,2,FALSE)</f>
        <v>#N/A</v>
      </c>
      <c r="AH2365" s="68"/>
      <c r="AI2365" s="18"/>
      <c r="AJ2365" s="18"/>
      <c r="AK2365" s="18"/>
      <c r="AL2365" s="60"/>
      <c r="AO2365" s="286"/>
      <c r="AP2365" s="284">
        <f t="shared" si="998"/>
        <v>0</v>
      </c>
      <c r="AQ2365" s="281">
        <f t="shared" si="999"/>
        <v>0</v>
      </c>
      <c r="AR2365" s="284">
        <f t="shared" si="1000"/>
        <v>0</v>
      </c>
      <c r="AS2365" s="281">
        <f t="shared" si="1001"/>
        <v>0</v>
      </c>
      <c r="AT2365" s="284">
        <f t="shared" si="1002"/>
        <v>0</v>
      </c>
    </row>
    <row r="2366" spans="1:46" customFormat="1" ht="15" customHeight="1" x14ac:dyDescent="0.8">
      <c r="A2366" s="262">
        <f t="shared" si="1003"/>
        <v>2366</v>
      </c>
      <c r="B2366" s="114"/>
      <c r="C2366" s="208"/>
      <c r="D2366" s="208"/>
      <c r="E2366" s="208"/>
      <c r="F2366" s="208"/>
      <c r="G2366" s="208"/>
      <c r="H2366" s="208"/>
      <c r="I2366" s="114"/>
      <c r="J2366" s="30"/>
      <c r="N2366" s="15" t="s">
        <v>129</v>
      </c>
      <c r="O2366" s="12"/>
      <c r="P2366" s="12"/>
      <c r="Q2366" s="12"/>
      <c r="R2366" s="12"/>
      <c r="S2366" s="28">
        <f>M2349</f>
        <v>1</v>
      </c>
      <c r="T2366" s="11"/>
      <c r="U2366" s="12"/>
      <c r="V2366" s="14" t="e">
        <f>U2366*#REF!</f>
        <v>#REF!</v>
      </c>
      <c r="W2366" s="14"/>
      <c r="X2366" s="26"/>
      <c r="Y2366" s="13"/>
      <c r="Z2366" s="68" t="e">
        <f>VLOOKUP(Takeoffs!Y2366,Sheet1!$B$6:$C$124,2,FALSE)</f>
        <v>#N/A</v>
      </c>
      <c r="AA2366" s="68"/>
      <c r="AB2366" s="18"/>
      <c r="AC2366" s="18"/>
      <c r="AD2366" s="18"/>
      <c r="AE2366" s="60"/>
      <c r="AF2366" s="13"/>
      <c r="AG2366" s="68" t="e">
        <f>VLOOKUP(Takeoffs!AF2366,Sheet1!$B$6:$C$124,2,FALSE)</f>
        <v>#N/A</v>
      </c>
      <c r="AH2366" s="68"/>
      <c r="AI2366" s="18"/>
      <c r="AJ2366" s="18"/>
      <c r="AK2366" s="18"/>
      <c r="AL2366" s="60"/>
      <c r="AO2366" s="286"/>
      <c r="AP2366" s="284">
        <f t="shared" si="998"/>
        <v>0</v>
      </c>
      <c r="AQ2366" s="281">
        <f t="shared" si="999"/>
        <v>0</v>
      </c>
      <c r="AR2366" s="284">
        <f t="shared" si="1000"/>
        <v>0</v>
      </c>
      <c r="AS2366" s="281">
        <f t="shared" si="1001"/>
        <v>0</v>
      </c>
      <c r="AT2366" s="284">
        <f t="shared" si="1002"/>
        <v>0</v>
      </c>
    </row>
    <row r="2367" spans="1:46" customFormat="1" ht="15" customHeight="1" x14ac:dyDescent="0.8">
      <c r="A2367" s="262">
        <f t="shared" si="1003"/>
        <v>2367</v>
      </c>
      <c r="B2367" s="114"/>
      <c r="C2367" s="208"/>
      <c r="D2367" s="208"/>
      <c r="E2367" s="208"/>
      <c r="F2367" s="208"/>
      <c r="G2367" s="208"/>
      <c r="H2367" s="208"/>
      <c r="I2367" s="114"/>
      <c r="J2367" s="30"/>
      <c r="N2367" s="15" t="s">
        <v>130</v>
      </c>
      <c r="O2367" s="12"/>
      <c r="P2367" s="12"/>
      <c r="Q2367" s="12"/>
      <c r="R2367" s="12"/>
      <c r="S2367" s="28">
        <f>M2349</f>
        <v>1</v>
      </c>
      <c r="T2367" s="11"/>
      <c r="U2367" s="12"/>
      <c r="V2367" s="14" t="e">
        <f>U2367*#REF!</f>
        <v>#REF!</v>
      </c>
      <c r="W2367" s="14"/>
      <c r="X2367" s="26"/>
      <c r="Y2367" s="13"/>
      <c r="Z2367" s="68" t="e">
        <f>VLOOKUP(Takeoffs!Y2367,Sheet1!$B$6:$C$124,2,FALSE)</f>
        <v>#N/A</v>
      </c>
      <c r="AA2367" s="68"/>
      <c r="AB2367" s="18"/>
      <c r="AC2367" s="18"/>
      <c r="AD2367" s="18"/>
      <c r="AE2367" s="60"/>
      <c r="AF2367" s="13"/>
      <c r="AG2367" s="68" t="e">
        <f>VLOOKUP(Takeoffs!AF2367,Sheet1!$B$6:$C$124,2,FALSE)</f>
        <v>#N/A</v>
      </c>
      <c r="AH2367" s="68"/>
      <c r="AI2367" s="18"/>
      <c r="AJ2367" s="18"/>
      <c r="AK2367" s="18"/>
      <c r="AL2367" s="60"/>
      <c r="AO2367" s="286"/>
      <c r="AP2367" s="284">
        <f t="shared" si="998"/>
        <v>0</v>
      </c>
      <c r="AQ2367" s="281">
        <f t="shared" si="999"/>
        <v>0</v>
      </c>
      <c r="AR2367" s="284">
        <f t="shared" si="1000"/>
        <v>0</v>
      </c>
      <c r="AS2367" s="281">
        <f t="shared" si="1001"/>
        <v>0</v>
      </c>
      <c r="AT2367" s="284">
        <f t="shared" si="1002"/>
        <v>0</v>
      </c>
    </row>
    <row r="2368" spans="1:46" customFormat="1" ht="15" customHeight="1" x14ac:dyDescent="0.8">
      <c r="A2368" s="262">
        <f t="shared" si="1003"/>
        <v>2368</v>
      </c>
      <c r="B2368" s="114"/>
      <c r="C2368" s="208"/>
      <c r="D2368" s="208"/>
      <c r="E2368" s="208"/>
      <c r="F2368" s="208"/>
      <c r="G2368" s="208"/>
      <c r="H2368" s="208"/>
      <c r="I2368" s="114"/>
      <c r="J2368" s="30"/>
      <c r="N2368" s="15" t="s">
        <v>131</v>
      </c>
      <c r="O2368" s="12"/>
      <c r="P2368" s="12"/>
      <c r="Q2368" s="12"/>
      <c r="R2368" s="12"/>
      <c r="S2368" s="28">
        <f>M2349</f>
        <v>1</v>
      </c>
      <c r="T2368" s="11"/>
      <c r="U2368" s="12"/>
      <c r="V2368" s="14" t="e">
        <f>U2368*#REF!</f>
        <v>#REF!</v>
      </c>
      <c r="W2368" s="14"/>
      <c r="X2368" s="26"/>
      <c r="Y2368" s="13"/>
      <c r="Z2368" s="68" t="e">
        <f>VLOOKUP(Takeoffs!Y2368,Sheet1!$B$6:$C$124,2,FALSE)</f>
        <v>#N/A</v>
      </c>
      <c r="AA2368" s="68"/>
      <c r="AB2368" s="18"/>
      <c r="AC2368" s="18"/>
      <c r="AD2368" s="18"/>
      <c r="AE2368" s="60"/>
      <c r="AF2368" s="13"/>
      <c r="AG2368" s="68" t="e">
        <f>VLOOKUP(Takeoffs!AF2368,Sheet1!$B$6:$C$124,2,FALSE)</f>
        <v>#N/A</v>
      </c>
      <c r="AH2368" s="68"/>
      <c r="AI2368" s="18"/>
      <c r="AJ2368" s="18"/>
      <c r="AK2368" s="18"/>
      <c r="AL2368" s="60"/>
      <c r="AO2368" s="286"/>
      <c r="AP2368" s="284">
        <f t="shared" si="998"/>
        <v>0</v>
      </c>
      <c r="AQ2368" s="281">
        <f t="shared" si="999"/>
        <v>0</v>
      </c>
      <c r="AR2368" s="284">
        <f t="shared" si="1000"/>
        <v>0</v>
      </c>
      <c r="AS2368" s="281">
        <f t="shared" si="1001"/>
        <v>0</v>
      </c>
      <c r="AT2368" s="284">
        <f t="shared" si="1002"/>
        <v>0</v>
      </c>
    </row>
    <row r="2369" spans="1:46" customFormat="1" ht="15" customHeight="1" x14ac:dyDescent="0.8">
      <c r="A2369" s="262">
        <f t="shared" si="1003"/>
        <v>2369</v>
      </c>
      <c r="B2369" s="114"/>
      <c r="C2369" s="208"/>
      <c r="D2369" s="208"/>
      <c r="E2369" s="208"/>
      <c r="F2369" s="208"/>
      <c r="G2369" s="208"/>
      <c r="H2369" s="208"/>
      <c r="I2369" s="114"/>
      <c r="J2369" s="30"/>
      <c r="N2369" s="15" t="s">
        <v>132</v>
      </c>
      <c r="O2369" s="12"/>
      <c r="P2369" s="12"/>
      <c r="Q2369" s="12"/>
      <c r="R2369" s="12"/>
      <c r="S2369" s="28">
        <f>M2349</f>
        <v>1</v>
      </c>
      <c r="T2369" s="11"/>
      <c r="U2369" s="12"/>
      <c r="V2369" s="14" t="e">
        <f>U2369*#REF!</f>
        <v>#REF!</v>
      </c>
      <c r="W2369" s="14"/>
      <c r="X2369" s="26"/>
      <c r="Y2369" s="13"/>
      <c r="Z2369" s="68" t="e">
        <f>VLOOKUP(Takeoffs!Y2369,Sheet1!$B$6:$C$124,2,FALSE)</f>
        <v>#N/A</v>
      </c>
      <c r="AA2369" s="68"/>
      <c r="AB2369" s="18"/>
      <c r="AC2369" s="18"/>
      <c r="AD2369" s="18"/>
      <c r="AE2369" s="60"/>
      <c r="AF2369" s="13"/>
      <c r="AG2369" s="68" t="e">
        <f>VLOOKUP(Takeoffs!AF2369,Sheet1!$B$6:$C$124,2,FALSE)</f>
        <v>#N/A</v>
      </c>
      <c r="AH2369" s="68"/>
      <c r="AI2369" s="18"/>
      <c r="AJ2369" s="18"/>
      <c r="AK2369" s="18"/>
      <c r="AL2369" s="60"/>
      <c r="AO2369" s="286"/>
      <c r="AP2369" s="284">
        <f t="shared" si="998"/>
        <v>0</v>
      </c>
      <c r="AQ2369" s="281">
        <f t="shared" si="999"/>
        <v>0</v>
      </c>
      <c r="AR2369" s="284">
        <f t="shared" si="1000"/>
        <v>0</v>
      </c>
      <c r="AS2369" s="281">
        <f t="shared" si="1001"/>
        <v>0</v>
      </c>
      <c r="AT2369" s="284">
        <f t="shared" si="1002"/>
        <v>0</v>
      </c>
    </row>
    <row r="2370" spans="1:46" s="21" customFormat="1" ht="33.75" customHeight="1" x14ac:dyDescent="0.8">
      <c r="A2370" s="262">
        <f t="shared" si="1003"/>
        <v>2370</v>
      </c>
      <c r="B2370" s="128"/>
      <c r="C2370" s="212"/>
      <c r="D2370" s="212"/>
      <c r="E2370" s="212"/>
      <c r="F2370" s="212"/>
      <c r="G2370" s="212"/>
      <c r="H2370" s="212"/>
      <c r="I2370" s="114"/>
      <c r="N2370" s="22"/>
      <c r="O2370" s="23"/>
      <c r="P2370" s="23"/>
      <c r="Q2370" s="23"/>
      <c r="R2370" s="23"/>
      <c r="S2370" s="23"/>
      <c r="T2370" s="24"/>
      <c r="U2370" s="23"/>
      <c r="V2370" s="24"/>
      <c r="W2370" s="24"/>
      <c r="X2370" s="26"/>
      <c r="Y2370" s="24"/>
      <c r="Z2370" s="68" t="e">
        <f>VLOOKUP(Takeoffs!Y2370,Sheet1!$B$6:$C$124,2,FALSE)</f>
        <v>#N/A</v>
      </c>
      <c r="AA2370" s="68"/>
      <c r="AB2370" s="31"/>
      <c r="AC2370" s="31"/>
      <c r="AD2370" s="31"/>
      <c r="AE2370" s="60"/>
      <c r="AF2370" s="24"/>
      <c r="AG2370" s="68" t="e">
        <f>VLOOKUP(Takeoffs!AF2370,Sheet1!$B$6:$C$124,2,FALSE)</f>
        <v>#N/A</v>
      </c>
      <c r="AH2370" s="68"/>
      <c r="AI2370" s="31"/>
      <c r="AJ2370" s="31"/>
      <c r="AK2370" s="31"/>
      <c r="AL2370" s="60"/>
      <c r="AO2370" s="286"/>
      <c r="AP2370" s="284">
        <f t="shared" si="998"/>
        <v>0</v>
      </c>
      <c r="AQ2370" s="281">
        <f t="shared" si="999"/>
        <v>0</v>
      </c>
      <c r="AR2370" s="284">
        <f t="shared" si="1000"/>
        <v>0</v>
      </c>
      <c r="AS2370" s="281">
        <f t="shared" si="1001"/>
        <v>0</v>
      </c>
      <c r="AT2370" s="284">
        <f t="shared" si="1002"/>
        <v>0</v>
      </c>
    </row>
    <row r="2371" spans="1:46" customFormat="1" ht="30.9" x14ac:dyDescent="0.8">
      <c r="A2371" s="262">
        <f t="shared" si="1003"/>
        <v>2371</v>
      </c>
      <c r="B2371" s="114"/>
      <c r="C2371" s="208"/>
      <c r="D2371" s="208"/>
      <c r="E2371" s="208"/>
      <c r="F2371" s="208"/>
      <c r="G2371" s="208"/>
      <c r="H2371" s="208"/>
      <c r="I2371" s="128"/>
      <c r="Q2371" s="32"/>
      <c r="R2371" s="32"/>
      <c r="T2371" s="8"/>
      <c r="W2371" s="32"/>
      <c r="X2371" s="25"/>
      <c r="Z2371" s="68" t="e">
        <f>VLOOKUP(Takeoffs!Y2371,Sheet1!$B$6:$C$124,2,FALSE)</f>
        <v>#N/A</v>
      </c>
      <c r="AA2371" s="68"/>
      <c r="AB2371" s="32"/>
      <c r="AC2371" s="32"/>
      <c r="AD2371" s="32"/>
      <c r="AE2371" s="25"/>
      <c r="AF2371" s="32"/>
      <c r="AG2371" s="68" t="e">
        <f>VLOOKUP(Takeoffs!AF2371,Sheet1!$B$6:$C$124,2,FALSE)</f>
        <v>#N/A</v>
      </c>
      <c r="AH2371" s="68"/>
      <c r="AI2371" s="32"/>
      <c r="AJ2371" s="32"/>
      <c r="AK2371" s="32"/>
      <c r="AL2371" s="25"/>
      <c r="AO2371" s="286"/>
      <c r="AP2371" s="284">
        <f t="shared" si="998"/>
        <v>0</v>
      </c>
      <c r="AQ2371" s="281">
        <f t="shared" si="999"/>
        <v>0</v>
      </c>
      <c r="AR2371" s="284">
        <f t="shared" si="1000"/>
        <v>0</v>
      </c>
      <c r="AS2371" s="281">
        <f t="shared" si="1001"/>
        <v>0</v>
      </c>
      <c r="AT2371" s="284">
        <f t="shared" si="1002"/>
        <v>0</v>
      </c>
    </row>
    <row r="2372" spans="1:46" s="2" customFormat="1" ht="62.25" customHeight="1" x14ac:dyDescent="0.8">
      <c r="A2372" s="262">
        <f t="shared" si="1003"/>
        <v>2372</v>
      </c>
      <c r="B2372" s="116"/>
      <c r="C2372" s="211"/>
      <c r="D2372" s="211"/>
      <c r="E2372" s="211"/>
      <c r="F2372" s="211"/>
      <c r="G2372" s="211"/>
      <c r="H2372" s="211"/>
      <c r="I2372" s="114"/>
      <c r="M2372" s="2" t="s">
        <v>107</v>
      </c>
      <c r="N2372" s="2" t="s">
        <v>108</v>
      </c>
      <c r="O2372" s="2" t="s">
        <v>4</v>
      </c>
      <c r="P2372" s="2" t="s">
        <v>5</v>
      </c>
      <c r="S2372" s="2" t="s">
        <v>0</v>
      </c>
      <c r="T2372" s="9"/>
      <c r="U2372" s="2" t="s">
        <v>109</v>
      </c>
      <c r="V2372" s="2" t="s">
        <v>110</v>
      </c>
      <c r="X2372" s="58"/>
      <c r="Y2372" s="2" t="s">
        <v>111</v>
      </c>
      <c r="Z2372" s="68" t="e">
        <f>VLOOKUP(Takeoffs!Y2372,Sheet1!$B$6:$C$124,2,FALSE)</f>
        <v>#N/A</v>
      </c>
      <c r="AA2372" s="68"/>
      <c r="AE2372" s="58"/>
      <c r="AF2372" s="2" t="s">
        <v>111</v>
      </c>
      <c r="AG2372" s="68" t="e">
        <f>VLOOKUP(Takeoffs!AF2372,Sheet1!$B$6:$C$124,2,FALSE)</f>
        <v>#N/A</v>
      </c>
      <c r="AH2372" s="68"/>
      <c r="AL2372" s="58"/>
      <c r="AO2372" s="288"/>
      <c r="AP2372" s="284">
        <f t="shared" si="998"/>
        <v>0</v>
      </c>
      <c r="AQ2372" s="281">
        <f t="shared" si="999"/>
        <v>0</v>
      </c>
      <c r="AR2372" s="284">
        <f t="shared" si="1000"/>
        <v>0</v>
      </c>
      <c r="AS2372" s="281">
        <f t="shared" si="1001"/>
        <v>0</v>
      </c>
      <c r="AT2372" s="284">
        <f t="shared" si="1002"/>
        <v>0</v>
      </c>
    </row>
    <row r="2373" spans="1:46" customFormat="1" ht="179.25" customHeight="1" x14ac:dyDescent="0.8">
      <c r="A2373" s="262">
        <f t="shared" si="1003"/>
        <v>2373</v>
      </c>
      <c r="B2373" s="114"/>
      <c r="C2373" s="208"/>
      <c r="D2373" s="208"/>
      <c r="E2373" s="208"/>
      <c r="F2373" s="208"/>
      <c r="G2373" s="208"/>
      <c r="H2373" s="208"/>
      <c r="I2373" s="116"/>
      <c r="J2373" s="30" t="str">
        <f>CONCATENATE(O2373," ",L2373, " (",M2373,") ",N2373,". Each includes supply and install of ",O2374,O2375,O2376,O2377,O2378,O2379,O2380,O2381,O2382,O2383,O2384,O2385,O2386,O2387,O2388,O2389,O2390,O2391,O2392,O2393,)</f>
        <v>Electrical power supply and controls for  one (1) dryer enclosure fan. Each includes supply and install of circuit breakers, flowsitchcontrol contacts/relays, cabling and conduit fom MSSB for both speeds and local power isolator.This includes interface controls and cabling to gas solenoid valve</v>
      </c>
      <c r="L2373" s="16" t="str">
        <f>VLOOKUP(M2373,Sheet2!$D$2:$E$1024,2,FALSE)</f>
        <v>one</v>
      </c>
      <c r="M2373" s="12">
        <v>1</v>
      </c>
      <c r="N2373" s="27" t="s">
        <v>169</v>
      </c>
      <c r="O2373" s="12" t="s">
        <v>154</v>
      </c>
      <c r="P2373" s="12"/>
      <c r="Q2373" s="12"/>
      <c r="R2373" s="12"/>
      <c r="S2373" s="28"/>
      <c r="T2373" s="10"/>
      <c r="U2373" s="12"/>
      <c r="V2373" s="14" t="e">
        <f>U2373*#REF!</f>
        <v>#REF!</v>
      </c>
      <c r="W2373" s="14"/>
      <c r="X2373" s="26"/>
      <c r="Y2373" s="13"/>
      <c r="Z2373" s="68" t="e">
        <f>VLOOKUP(Takeoffs!Y2373,Sheet1!$B$6:$C$124,2,FALSE)</f>
        <v>#N/A</v>
      </c>
      <c r="AA2373" s="68"/>
      <c r="AB2373" s="18"/>
      <c r="AC2373" s="18"/>
      <c r="AD2373" s="18"/>
      <c r="AE2373" s="60"/>
      <c r="AF2373" s="13"/>
      <c r="AG2373" s="68" t="e">
        <f>VLOOKUP(Takeoffs!AF2373,Sheet1!$B$6:$C$124,2,FALSE)</f>
        <v>#N/A</v>
      </c>
      <c r="AH2373" s="68"/>
      <c r="AI2373" s="18"/>
      <c r="AJ2373" s="18"/>
      <c r="AK2373" s="18"/>
      <c r="AL2373" s="60"/>
      <c r="AO2373" s="286"/>
      <c r="AP2373" s="284">
        <f t="shared" si="998"/>
        <v>0</v>
      </c>
      <c r="AQ2373" s="281">
        <f t="shared" si="999"/>
        <v>0</v>
      </c>
      <c r="AR2373" s="284">
        <f t="shared" si="1000"/>
        <v>0</v>
      </c>
      <c r="AS2373" s="281">
        <f t="shared" si="1001"/>
        <v>0</v>
      </c>
      <c r="AT2373" s="284">
        <f t="shared" si="1002"/>
        <v>0</v>
      </c>
    </row>
    <row r="2374" spans="1:46" customFormat="1" ht="15" customHeight="1" x14ac:dyDescent="0.8">
      <c r="A2374" s="262">
        <f t="shared" si="1003"/>
        <v>2374</v>
      </c>
      <c r="B2374" s="114"/>
      <c r="C2374" s="208"/>
      <c r="D2374" s="208"/>
      <c r="E2374" s="208"/>
      <c r="F2374" s="208"/>
      <c r="G2374" s="208"/>
      <c r="H2374" s="208"/>
      <c r="I2374" s="114"/>
      <c r="J2374" s="30"/>
      <c r="M2374" s="3"/>
      <c r="N2374" s="15" t="s">
        <v>113</v>
      </c>
      <c r="O2374" s="12" t="s">
        <v>162</v>
      </c>
      <c r="P2374" s="12"/>
      <c r="Q2374" s="12"/>
      <c r="R2374" s="12"/>
      <c r="S2374" s="28">
        <f>M2373</f>
        <v>1</v>
      </c>
      <c r="T2374" s="11"/>
      <c r="U2374" s="12"/>
      <c r="V2374" s="14" t="e">
        <f>U2374*#REF!</f>
        <v>#REF!</v>
      </c>
      <c r="W2374" s="14"/>
      <c r="X2374" s="26"/>
      <c r="Y2374" s="13"/>
      <c r="Z2374" s="68" t="e">
        <f>VLOOKUP(Takeoffs!Y2374,Sheet1!$B$6:$C$124,2,FALSE)</f>
        <v>#N/A</v>
      </c>
      <c r="AA2374" s="68"/>
      <c r="AB2374" s="18"/>
      <c r="AC2374" s="18"/>
      <c r="AD2374" s="18"/>
      <c r="AE2374" s="60"/>
      <c r="AF2374" s="13"/>
      <c r="AG2374" s="68" t="e">
        <f>VLOOKUP(Takeoffs!AF2374,Sheet1!$B$6:$C$124,2,FALSE)</f>
        <v>#N/A</v>
      </c>
      <c r="AH2374" s="68"/>
      <c r="AI2374" s="18"/>
      <c r="AJ2374" s="18"/>
      <c r="AK2374" s="18"/>
      <c r="AL2374" s="60"/>
      <c r="AO2374" s="286"/>
      <c r="AP2374" s="284">
        <f t="shared" si="998"/>
        <v>0</v>
      </c>
      <c r="AQ2374" s="281">
        <f t="shared" si="999"/>
        <v>0</v>
      </c>
      <c r="AR2374" s="284">
        <f t="shared" si="1000"/>
        <v>0</v>
      </c>
      <c r="AS2374" s="281">
        <f t="shared" si="1001"/>
        <v>0</v>
      </c>
      <c r="AT2374" s="284">
        <f t="shared" si="1002"/>
        <v>0</v>
      </c>
    </row>
    <row r="2375" spans="1:46" customFormat="1" ht="15" customHeight="1" x14ac:dyDescent="0.8">
      <c r="A2375" s="262">
        <f t="shared" si="1003"/>
        <v>2375</v>
      </c>
      <c r="B2375" s="114"/>
      <c r="C2375" s="208"/>
      <c r="D2375" s="208"/>
      <c r="E2375" s="208"/>
      <c r="F2375" s="208"/>
      <c r="G2375" s="208"/>
      <c r="H2375" s="208"/>
      <c r="I2375" s="114"/>
      <c r="J2375" s="30"/>
      <c r="M2375" s="3"/>
      <c r="N2375" s="15" t="s">
        <v>114</v>
      </c>
      <c r="O2375" s="12" t="s">
        <v>170</v>
      </c>
      <c r="P2375" s="12"/>
      <c r="Q2375" s="12"/>
      <c r="R2375" s="12"/>
      <c r="S2375" s="28">
        <f>M2373</f>
        <v>1</v>
      </c>
      <c r="T2375" s="11"/>
      <c r="U2375" s="12"/>
      <c r="V2375" s="14" t="e">
        <f>U2375*#REF!</f>
        <v>#REF!</v>
      </c>
      <c r="W2375" s="14"/>
      <c r="X2375" s="26"/>
      <c r="Y2375" s="13"/>
      <c r="Z2375" s="68" t="e">
        <f>VLOOKUP(Takeoffs!Y2375,Sheet1!$B$6:$C$124,2,FALSE)</f>
        <v>#N/A</v>
      </c>
      <c r="AA2375" s="68"/>
      <c r="AB2375" s="18"/>
      <c r="AC2375" s="18"/>
      <c r="AD2375" s="18"/>
      <c r="AE2375" s="60"/>
      <c r="AF2375" s="13"/>
      <c r="AG2375" s="68" t="e">
        <f>VLOOKUP(Takeoffs!AF2375,Sheet1!$B$6:$C$124,2,FALSE)</f>
        <v>#N/A</v>
      </c>
      <c r="AH2375" s="68"/>
      <c r="AI2375" s="18"/>
      <c r="AJ2375" s="18"/>
      <c r="AK2375" s="18"/>
      <c r="AL2375" s="60"/>
      <c r="AO2375" s="286"/>
      <c r="AP2375" s="284">
        <f t="shared" si="998"/>
        <v>0</v>
      </c>
      <c r="AQ2375" s="281">
        <f t="shared" si="999"/>
        <v>0</v>
      </c>
      <c r="AR2375" s="284">
        <f t="shared" si="1000"/>
        <v>0</v>
      </c>
      <c r="AS2375" s="281">
        <f t="shared" si="1001"/>
        <v>0</v>
      </c>
      <c r="AT2375" s="284">
        <f t="shared" si="1002"/>
        <v>0</v>
      </c>
    </row>
    <row r="2376" spans="1:46" customFormat="1" ht="15" customHeight="1" x14ac:dyDescent="0.8">
      <c r="A2376" s="262">
        <f t="shared" si="1003"/>
        <v>2376</v>
      </c>
      <c r="B2376" s="114"/>
      <c r="C2376" s="208"/>
      <c r="D2376" s="208"/>
      <c r="E2376" s="208"/>
      <c r="F2376" s="208"/>
      <c r="G2376" s="208"/>
      <c r="H2376" s="208"/>
      <c r="I2376" s="114"/>
      <c r="J2376" s="30"/>
      <c r="M2376" s="3"/>
      <c r="N2376" s="15" t="s">
        <v>115</v>
      </c>
      <c r="O2376" s="12" t="s">
        <v>163</v>
      </c>
      <c r="P2376" s="12"/>
      <c r="Q2376" s="12"/>
      <c r="R2376" s="12"/>
      <c r="S2376" s="28">
        <f>M2373</f>
        <v>1</v>
      </c>
      <c r="T2376" s="11"/>
      <c r="U2376" s="12"/>
      <c r="V2376" s="14" t="e">
        <f>U2376*#REF!</f>
        <v>#REF!</v>
      </c>
      <c r="W2376" s="14"/>
      <c r="X2376" s="26"/>
      <c r="Y2376" s="13"/>
      <c r="Z2376" s="68" t="e">
        <f>VLOOKUP(Takeoffs!Y2376,Sheet1!$B$6:$C$124,2,FALSE)</f>
        <v>#N/A</v>
      </c>
      <c r="AA2376" s="68"/>
      <c r="AB2376" s="18"/>
      <c r="AC2376" s="18"/>
      <c r="AD2376" s="18"/>
      <c r="AE2376" s="60"/>
      <c r="AF2376" s="13"/>
      <c r="AG2376" s="68" t="e">
        <f>VLOOKUP(Takeoffs!AF2376,Sheet1!$B$6:$C$124,2,FALSE)</f>
        <v>#N/A</v>
      </c>
      <c r="AH2376" s="68"/>
      <c r="AI2376" s="18"/>
      <c r="AJ2376" s="18"/>
      <c r="AK2376" s="18"/>
      <c r="AL2376" s="60"/>
      <c r="AO2376" s="286"/>
      <c r="AP2376" s="284">
        <f t="shared" si="998"/>
        <v>0</v>
      </c>
      <c r="AQ2376" s="281">
        <f t="shared" si="999"/>
        <v>0</v>
      </c>
      <c r="AR2376" s="284">
        <f t="shared" si="1000"/>
        <v>0</v>
      </c>
      <c r="AS2376" s="281">
        <f t="shared" si="1001"/>
        <v>0</v>
      </c>
      <c r="AT2376" s="284">
        <f t="shared" si="1002"/>
        <v>0</v>
      </c>
    </row>
    <row r="2377" spans="1:46" customFormat="1" ht="15" customHeight="1" x14ac:dyDescent="0.8">
      <c r="A2377" s="262">
        <f t="shared" si="1003"/>
        <v>2377</v>
      </c>
      <c r="B2377" s="114"/>
      <c r="C2377" s="208"/>
      <c r="D2377" s="208"/>
      <c r="E2377" s="208"/>
      <c r="F2377" s="208"/>
      <c r="G2377" s="208"/>
      <c r="H2377" s="208"/>
      <c r="I2377" s="114"/>
      <c r="J2377" s="30"/>
      <c r="M2377" s="3"/>
      <c r="N2377" s="15" t="s">
        <v>116</v>
      </c>
      <c r="O2377" s="12" t="s">
        <v>166</v>
      </c>
      <c r="P2377" s="12"/>
      <c r="Q2377" s="12"/>
      <c r="R2377" s="12"/>
      <c r="S2377" s="28">
        <f>M2373</f>
        <v>1</v>
      </c>
      <c r="T2377" s="11"/>
      <c r="U2377" s="12"/>
      <c r="V2377" s="14" t="e">
        <f>U2377*#REF!</f>
        <v>#REF!</v>
      </c>
      <c r="W2377" s="14"/>
      <c r="X2377" s="26"/>
      <c r="Y2377" s="13"/>
      <c r="Z2377" s="68" t="e">
        <f>VLOOKUP(Takeoffs!Y2377,Sheet1!$B$6:$C$124,2,FALSE)</f>
        <v>#N/A</v>
      </c>
      <c r="AA2377" s="68"/>
      <c r="AB2377" s="18"/>
      <c r="AC2377" s="18"/>
      <c r="AD2377" s="18"/>
      <c r="AE2377" s="60"/>
      <c r="AF2377" s="13"/>
      <c r="AG2377" s="68" t="e">
        <f>VLOOKUP(Takeoffs!AF2377,Sheet1!$B$6:$C$124,2,FALSE)</f>
        <v>#N/A</v>
      </c>
      <c r="AH2377" s="68"/>
      <c r="AI2377" s="18"/>
      <c r="AJ2377" s="18"/>
      <c r="AK2377" s="18"/>
      <c r="AL2377" s="60"/>
      <c r="AO2377" s="286"/>
      <c r="AP2377" s="284">
        <f t="shared" si="998"/>
        <v>0</v>
      </c>
      <c r="AQ2377" s="281">
        <f t="shared" si="999"/>
        <v>0</v>
      </c>
      <c r="AR2377" s="284">
        <f t="shared" si="1000"/>
        <v>0</v>
      </c>
      <c r="AS2377" s="281">
        <f t="shared" si="1001"/>
        <v>0</v>
      </c>
      <c r="AT2377" s="284">
        <f t="shared" si="1002"/>
        <v>0</v>
      </c>
    </row>
    <row r="2378" spans="1:46" customFormat="1" ht="15" customHeight="1" x14ac:dyDescent="0.8">
      <c r="A2378" s="262">
        <f t="shared" si="1003"/>
        <v>2378</v>
      </c>
      <c r="B2378" s="114"/>
      <c r="C2378" s="208"/>
      <c r="D2378" s="208"/>
      <c r="E2378" s="208"/>
      <c r="F2378" s="208"/>
      <c r="G2378" s="208"/>
      <c r="H2378" s="208"/>
      <c r="I2378" s="114"/>
      <c r="J2378" s="30"/>
      <c r="M2378" s="3"/>
      <c r="N2378" s="15" t="s">
        <v>117</v>
      </c>
      <c r="O2378" s="12" t="s">
        <v>141</v>
      </c>
      <c r="P2378" s="12"/>
      <c r="Q2378" s="12"/>
      <c r="R2378" s="12"/>
      <c r="S2378" s="28">
        <f>M2373</f>
        <v>1</v>
      </c>
      <c r="T2378" s="11"/>
      <c r="U2378" s="12"/>
      <c r="V2378" s="14" t="e">
        <f>U2378*#REF!</f>
        <v>#REF!</v>
      </c>
      <c r="W2378" s="14"/>
      <c r="X2378" s="26"/>
      <c r="Y2378" s="13"/>
      <c r="Z2378" s="68" t="e">
        <f>VLOOKUP(Takeoffs!Y2378,Sheet1!$B$6:$C$124,2,FALSE)</f>
        <v>#N/A</v>
      </c>
      <c r="AA2378" s="68"/>
      <c r="AB2378" s="18"/>
      <c r="AC2378" s="18"/>
      <c r="AD2378" s="18"/>
      <c r="AE2378" s="60"/>
      <c r="AF2378" s="13"/>
      <c r="AG2378" s="68" t="e">
        <f>VLOOKUP(Takeoffs!AF2378,Sheet1!$B$6:$C$124,2,FALSE)</f>
        <v>#N/A</v>
      </c>
      <c r="AH2378" s="68"/>
      <c r="AI2378" s="18"/>
      <c r="AJ2378" s="18"/>
      <c r="AK2378" s="18"/>
      <c r="AL2378" s="60"/>
      <c r="AO2378" s="286"/>
      <c r="AP2378" s="284">
        <f t="shared" si="998"/>
        <v>0</v>
      </c>
      <c r="AQ2378" s="281">
        <f t="shared" si="999"/>
        <v>0</v>
      </c>
      <c r="AR2378" s="284">
        <f t="shared" si="1000"/>
        <v>0</v>
      </c>
      <c r="AS2378" s="281">
        <f t="shared" si="1001"/>
        <v>0</v>
      </c>
      <c r="AT2378" s="284">
        <f t="shared" si="1002"/>
        <v>0</v>
      </c>
    </row>
    <row r="2379" spans="1:46" customFormat="1" ht="15" customHeight="1" x14ac:dyDescent="0.8">
      <c r="A2379" s="262">
        <f t="shared" si="1003"/>
        <v>2379</v>
      </c>
      <c r="B2379" s="114"/>
      <c r="C2379" s="208"/>
      <c r="D2379" s="208"/>
      <c r="E2379" s="208"/>
      <c r="F2379" s="208"/>
      <c r="G2379" s="208"/>
      <c r="H2379" s="208"/>
      <c r="I2379" s="114"/>
      <c r="J2379" s="30"/>
      <c r="M2379" s="3"/>
      <c r="N2379" s="15" t="s">
        <v>118</v>
      </c>
      <c r="O2379" s="12" t="s">
        <v>171</v>
      </c>
      <c r="P2379" s="12"/>
      <c r="Q2379" s="12"/>
      <c r="R2379" s="12"/>
      <c r="S2379" s="28">
        <f>M2373</f>
        <v>1</v>
      </c>
      <c r="T2379" s="11"/>
      <c r="U2379" s="12"/>
      <c r="V2379" s="14" t="e">
        <f>U2379*#REF!</f>
        <v>#REF!</v>
      </c>
      <c r="W2379" s="14"/>
      <c r="X2379" s="26"/>
      <c r="Y2379" s="13"/>
      <c r="Z2379" s="68" t="e">
        <f>VLOOKUP(Takeoffs!Y2379,Sheet1!$B$6:$C$124,2,FALSE)</f>
        <v>#N/A</v>
      </c>
      <c r="AA2379" s="68"/>
      <c r="AB2379" s="18"/>
      <c r="AC2379" s="18"/>
      <c r="AD2379" s="18"/>
      <c r="AE2379" s="60"/>
      <c r="AF2379" s="13"/>
      <c r="AG2379" s="68" t="e">
        <f>VLOOKUP(Takeoffs!AF2379,Sheet1!$B$6:$C$124,2,FALSE)</f>
        <v>#N/A</v>
      </c>
      <c r="AH2379" s="68"/>
      <c r="AI2379" s="18"/>
      <c r="AJ2379" s="18"/>
      <c r="AK2379" s="18"/>
      <c r="AL2379" s="60"/>
      <c r="AO2379" s="286"/>
      <c r="AP2379" s="284">
        <f t="shared" si="998"/>
        <v>0</v>
      </c>
      <c r="AQ2379" s="281">
        <f t="shared" si="999"/>
        <v>0</v>
      </c>
      <c r="AR2379" s="284">
        <f t="shared" si="1000"/>
        <v>0</v>
      </c>
      <c r="AS2379" s="281">
        <f t="shared" si="1001"/>
        <v>0</v>
      </c>
      <c r="AT2379" s="284">
        <f t="shared" si="1002"/>
        <v>0</v>
      </c>
    </row>
    <row r="2380" spans="1:46" customFormat="1" ht="15" customHeight="1" x14ac:dyDescent="0.8">
      <c r="A2380" s="262">
        <f t="shared" si="1003"/>
        <v>2380</v>
      </c>
      <c r="B2380" s="114"/>
      <c r="C2380" s="208"/>
      <c r="D2380" s="208"/>
      <c r="E2380" s="208"/>
      <c r="F2380" s="208"/>
      <c r="G2380" s="208"/>
      <c r="H2380" s="208"/>
      <c r="I2380" s="114"/>
      <c r="J2380" s="30"/>
      <c r="N2380" s="15" t="s">
        <v>119</v>
      </c>
      <c r="O2380" s="12"/>
      <c r="P2380" s="12"/>
      <c r="Q2380" s="12"/>
      <c r="R2380" s="12"/>
      <c r="S2380" s="28">
        <f>M2373</f>
        <v>1</v>
      </c>
      <c r="T2380" s="11"/>
      <c r="U2380" s="12"/>
      <c r="V2380" s="14" t="e">
        <f>U2380*#REF!</f>
        <v>#REF!</v>
      </c>
      <c r="W2380" s="14"/>
      <c r="X2380" s="26"/>
      <c r="Y2380" s="13"/>
      <c r="Z2380" s="68" t="e">
        <f>VLOOKUP(Takeoffs!Y2380,Sheet1!$B$6:$C$124,2,FALSE)</f>
        <v>#N/A</v>
      </c>
      <c r="AA2380" s="68"/>
      <c r="AB2380" s="18"/>
      <c r="AC2380" s="18"/>
      <c r="AD2380" s="18"/>
      <c r="AE2380" s="60"/>
      <c r="AF2380" s="13"/>
      <c r="AG2380" s="68" t="e">
        <f>VLOOKUP(Takeoffs!AF2380,Sheet1!$B$6:$C$124,2,FALSE)</f>
        <v>#N/A</v>
      </c>
      <c r="AH2380" s="68"/>
      <c r="AI2380" s="18"/>
      <c r="AJ2380" s="18"/>
      <c r="AK2380" s="18"/>
      <c r="AL2380" s="60"/>
      <c r="AO2380" s="286"/>
      <c r="AP2380" s="284">
        <f t="shared" si="998"/>
        <v>0</v>
      </c>
      <c r="AQ2380" s="281">
        <f t="shared" si="999"/>
        <v>0</v>
      </c>
      <c r="AR2380" s="284">
        <f t="shared" si="1000"/>
        <v>0</v>
      </c>
      <c r="AS2380" s="281">
        <f t="shared" si="1001"/>
        <v>0</v>
      </c>
      <c r="AT2380" s="284">
        <f t="shared" si="1002"/>
        <v>0</v>
      </c>
    </row>
    <row r="2381" spans="1:46" customFormat="1" ht="15" customHeight="1" x14ac:dyDescent="0.8">
      <c r="A2381" s="262">
        <f t="shared" si="1003"/>
        <v>2381</v>
      </c>
      <c r="B2381" s="114"/>
      <c r="C2381" s="208"/>
      <c r="D2381" s="208"/>
      <c r="E2381" s="208"/>
      <c r="F2381" s="208"/>
      <c r="G2381" s="208"/>
      <c r="H2381" s="208"/>
      <c r="I2381" s="114"/>
      <c r="J2381" s="30"/>
      <c r="N2381" s="15" t="s">
        <v>120</v>
      </c>
      <c r="O2381" s="12"/>
      <c r="P2381" s="12"/>
      <c r="Q2381" s="12"/>
      <c r="R2381" s="12"/>
      <c r="S2381" s="28">
        <f>M2373</f>
        <v>1</v>
      </c>
      <c r="T2381" s="11"/>
      <c r="U2381" s="12"/>
      <c r="V2381" s="14" t="e">
        <f>U2381*#REF!</f>
        <v>#REF!</v>
      </c>
      <c r="W2381" s="14"/>
      <c r="X2381" s="26"/>
      <c r="Y2381" s="13"/>
      <c r="Z2381" s="68" t="e">
        <f>VLOOKUP(Takeoffs!Y2381,Sheet1!$B$6:$C$124,2,FALSE)</f>
        <v>#N/A</v>
      </c>
      <c r="AA2381" s="68"/>
      <c r="AB2381" s="18"/>
      <c r="AC2381" s="18"/>
      <c r="AD2381" s="18"/>
      <c r="AE2381" s="60"/>
      <c r="AF2381" s="13"/>
      <c r="AG2381" s="68" t="e">
        <f>VLOOKUP(Takeoffs!AF2381,Sheet1!$B$6:$C$124,2,FALSE)</f>
        <v>#N/A</v>
      </c>
      <c r="AH2381" s="68"/>
      <c r="AI2381" s="18"/>
      <c r="AJ2381" s="18"/>
      <c r="AK2381" s="18"/>
      <c r="AL2381" s="60"/>
      <c r="AO2381" s="286"/>
      <c r="AP2381" s="284">
        <f t="shared" si="998"/>
        <v>0</v>
      </c>
      <c r="AQ2381" s="281">
        <f t="shared" si="999"/>
        <v>0</v>
      </c>
      <c r="AR2381" s="284">
        <f t="shared" si="1000"/>
        <v>0</v>
      </c>
      <c r="AS2381" s="281">
        <f t="shared" si="1001"/>
        <v>0</v>
      </c>
      <c r="AT2381" s="284">
        <f t="shared" si="1002"/>
        <v>0</v>
      </c>
    </row>
    <row r="2382" spans="1:46" customFormat="1" ht="15" customHeight="1" x14ac:dyDescent="0.8">
      <c r="A2382" s="262">
        <f t="shared" si="1003"/>
        <v>2382</v>
      </c>
      <c r="B2382" s="114"/>
      <c r="C2382" s="208"/>
      <c r="D2382" s="208"/>
      <c r="E2382" s="208"/>
      <c r="F2382" s="208"/>
      <c r="G2382" s="208"/>
      <c r="H2382" s="208"/>
      <c r="I2382" s="114"/>
      <c r="J2382" s="30"/>
      <c r="N2382" s="15" t="s">
        <v>121</v>
      </c>
      <c r="O2382" s="12"/>
      <c r="P2382" s="12"/>
      <c r="Q2382" s="12"/>
      <c r="R2382" s="12"/>
      <c r="S2382" s="28">
        <f>M2373</f>
        <v>1</v>
      </c>
      <c r="T2382" s="11"/>
      <c r="U2382" s="12"/>
      <c r="V2382" s="14" t="e">
        <f>U2382*#REF!</f>
        <v>#REF!</v>
      </c>
      <c r="W2382" s="14"/>
      <c r="X2382" s="26"/>
      <c r="Y2382" s="13"/>
      <c r="Z2382" s="68" t="e">
        <f>VLOOKUP(Takeoffs!Y2382,Sheet1!$B$6:$C$124,2,FALSE)</f>
        <v>#N/A</v>
      </c>
      <c r="AA2382" s="68"/>
      <c r="AB2382" s="18"/>
      <c r="AC2382" s="18"/>
      <c r="AD2382" s="18"/>
      <c r="AE2382" s="60"/>
      <c r="AF2382" s="13"/>
      <c r="AG2382" s="68" t="e">
        <f>VLOOKUP(Takeoffs!AF2382,Sheet1!$B$6:$C$124,2,FALSE)</f>
        <v>#N/A</v>
      </c>
      <c r="AH2382" s="68"/>
      <c r="AI2382" s="18"/>
      <c r="AJ2382" s="18"/>
      <c r="AK2382" s="18"/>
      <c r="AL2382" s="60"/>
      <c r="AO2382" s="286"/>
      <c r="AP2382" s="284">
        <f t="shared" si="998"/>
        <v>0</v>
      </c>
      <c r="AQ2382" s="281">
        <f t="shared" si="999"/>
        <v>0</v>
      </c>
      <c r="AR2382" s="284">
        <f t="shared" si="1000"/>
        <v>0</v>
      </c>
      <c r="AS2382" s="281">
        <f t="shared" si="1001"/>
        <v>0</v>
      </c>
      <c r="AT2382" s="284">
        <f t="shared" si="1002"/>
        <v>0</v>
      </c>
    </row>
    <row r="2383" spans="1:46" customFormat="1" ht="15" customHeight="1" x14ac:dyDescent="0.8">
      <c r="A2383" s="262">
        <f t="shared" si="1003"/>
        <v>2383</v>
      </c>
      <c r="B2383" s="114"/>
      <c r="C2383" s="208"/>
      <c r="D2383" s="208"/>
      <c r="E2383" s="208"/>
      <c r="F2383" s="208"/>
      <c r="G2383" s="208"/>
      <c r="H2383" s="208"/>
      <c r="I2383" s="114"/>
      <c r="J2383" s="30"/>
      <c r="N2383" s="15" t="s">
        <v>122</v>
      </c>
      <c r="O2383" s="12"/>
      <c r="P2383" s="12"/>
      <c r="Q2383" s="12"/>
      <c r="R2383" s="12"/>
      <c r="S2383" s="28">
        <f>M2373</f>
        <v>1</v>
      </c>
      <c r="T2383" s="11"/>
      <c r="U2383" s="12"/>
      <c r="V2383" s="14" t="e">
        <f>U2383*#REF!</f>
        <v>#REF!</v>
      </c>
      <c r="W2383" s="14"/>
      <c r="X2383" s="26"/>
      <c r="Y2383" s="13"/>
      <c r="Z2383" s="68" t="e">
        <f>VLOOKUP(Takeoffs!Y2383,Sheet1!$B$6:$C$124,2,FALSE)</f>
        <v>#N/A</v>
      </c>
      <c r="AA2383" s="68"/>
      <c r="AB2383" s="18"/>
      <c r="AC2383" s="18"/>
      <c r="AD2383" s="18"/>
      <c r="AE2383" s="60"/>
      <c r="AF2383" s="13"/>
      <c r="AG2383" s="68" t="e">
        <f>VLOOKUP(Takeoffs!AF2383,Sheet1!$B$6:$C$124,2,FALSE)</f>
        <v>#N/A</v>
      </c>
      <c r="AH2383" s="68"/>
      <c r="AI2383" s="18"/>
      <c r="AJ2383" s="18"/>
      <c r="AK2383" s="18"/>
      <c r="AL2383" s="60"/>
      <c r="AO2383" s="286"/>
      <c r="AP2383" s="284">
        <f t="shared" si="998"/>
        <v>0</v>
      </c>
      <c r="AQ2383" s="281">
        <f t="shared" si="999"/>
        <v>0</v>
      </c>
      <c r="AR2383" s="284">
        <f t="shared" si="1000"/>
        <v>0</v>
      </c>
      <c r="AS2383" s="281">
        <f t="shared" si="1001"/>
        <v>0</v>
      </c>
      <c r="AT2383" s="284">
        <f t="shared" si="1002"/>
        <v>0</v>
      </c>
    </row>
    <row r="2384" spans="1:46" customFormat="1" ht="15" customHeight="1" x14ac:dyDescent="0.8">
      <c r="A2384" s="262">
        <f t="shared" si="1003"/>
        <v>2384</v>
      </c>
      <c r="B2384" s="114"/>
      <c r="C2384" s="208"/>
      <c r="D2384" s="208"/>
      <c r="E2384" s="208"/>
      <c r="F2384" s="208"/>
      <c r="G2384" s="208"/>
      <c r="H2384" s="208"/>
      <c r="I2384" s="114"/>
      <c r="J2384" s="30"/>
      <c r="N2384" s="15" t="s">
        <v>123</v>
      </c>
      <c r="O2384" s="12"/>
      <c r="P2384" s="12"/>
      <c r="Q2384" s="12"/>
      <c r="R2384" s="12"/>
      <c r="S2384" s="28">
        <f>M2373</f>
        <v>1</v>
      </c>
      <c r="T2384" s="11"/>
      <c r="U2384" s="12"/>
      <c r="V2384" s="14" t="e">
        <f>U2384*#REF!</f>
        <v>#REF!</v>
      </c>
      <c r="W2384" s="14"/>
      <c r="X2384" s="26"/>
      <c r="Y2384" s="13"/>
      <c r="Z2384" s="68" t="e">
        <f>VLOOKUP(Takeoffs!Y2384,Sheet1!$B$6:$C$124,2,FALSE)</f>
        <v>#N/A</v>
      </c>
      <c r="AA2384" s="68"/>
      <c r="AB2384" s="18"/>
      <c r="AC2384" s="18"/>
      <c r="AD2384" s="18"/>
      <c r="AE2384" s="60"/>
      <c r="AF2384" s="13"/>
      <c r="AG2384" s="68" t="e">
        <f>VLOOKUP(Takeoffs!AF2384,Sheet1!$B$6:$C$124,2,FALSE)</f>
        <v>#N/A</v>
      </c>
      <c r="AH2384" s="68"/>
      <c r="AI2384" s="18"/>
      <c r="AJ2384" s="18"/>
      <c r="AK2384" s="18"/>
      <c r="AL2384" s="60"/>
      <c r="AO2384" s="286"/>
      <c r="AP2384" s="284">
        <f t="shared" si="998"/>
        <v>0</v>
      </c>
      <c r="AQ2384" s="281">
        <f t="shared" si="999"/>
        <v>0</v>
      </c>
      <c r="AR2384" s="284">
        <f t="shared" si="1000"/>
        <v>0</v>
      </c>
      <c r="AS2384" s="281">
        <f t="shared" si="1001"/>
        <v>0</v>
      </c>
      <c r="AT2384" s="284">
        <f t="shared" si="1002"/>
        <v>0</v>
      </c>
    </row>
    <row r="2385" spans="1:46" customFormat="1" ht="15" customHeight="1" x14ac:dyDescent="0.8">
      <c r="A2385" s="262">
        <f t="shared" si="1003"/>
        <v>2385</v>
      </c>
      <c r="B2385" s="114"/>
      <c r="C2385" s="208"/>
      <c r="D2385" s="208"/>
      <c r="E2385" s="208"/>
      <c r="F2385" s="208"/>
      <c r="G2385" s="208"/>
      <c r="H2385" s="208"/>
      <c r="I2385" s="114"/>
      <c r="J2385" s="30"/>
      <c r="N2385" s="15" t="s">
        <v>124</v>
      </c>
      <c r="O2385" s="12"/>
      <c r="P2385" s="12"/>
      <c r="Q2385" s="12"/>
      <c r="R2385" s="12"/>
      <c r="S2385" s="28">
        <f>M2373</f>
        <v>1</v>
      </c>
      <c r="T2385" s="11"/>
      <c r="U2385" s="12"/>
      <c r="V2385" s="14" t="e">
        <f>U2385*#REF!</f>
        <v>#REF!</v>
      </c>
      <c r="W2385" s="14"/>
      <c r="X2385" s="26"/>
      <c r="Y2385" s="13"/>
      <c r="Z2385" s="68" t="e">
        <f>VLOOKUP(Takeoffs!Y2385,Sheet1!$B$6:$C$124,2,FALSE)</f>
        <v>#N/A</v>
      </c>
      <c r="AA2385" s="68"/>
      <c r="AB2385" s="18"/>
      <c r="AC2385" s="18"/>
      <c r="AD2385" s="18"/>
      <c r="AE2385" s="60"/>
      <c r="AF2385" s="13"/>
      <c r="AG2385" s="68" t="e">
        <f>VLOOKUP(Takeoffs!AF2385,Sheet1!$B$6:$C$124,2,FALSE)</f>
        <v>#N/A</v>
      </c>
      <c r="AH2385" s="68"/>
      <c r="AI2385" s="18"/>
      <c r="AJ2385" s="18"/>
      <c r="AK2385" s="18"/>
      <c r="AL2385" s="60"/>
      <c r="AO2385" s="286"/>
      <c r="AP2385" s="284">
        <f t="shared" si="998"/>
        <v>0</v>
      </c>
      <c r="AQ2385" s="281">
        <f t="shared" si="999"/>
        <v>0</v>
      </c>
      <c r="AR2385" s="284">
        <f t="shared" si="1000"/>
        <v>0</v>
      </c>
      <c r="AS2385" s="281">
        <f t="shared" si="1001"/>
        <v>0</v>
      </c>
      <c r="AT2385" s="284">
        <f t="shared" si="1002"/>
        <v>0</v>
      </c>
    </row>
    <row r="2386" spans="1:46" customFormat="1" ht="15" customHeight="1" x14ac:dyDescent="0.8">
      <c r="A2386" s="262">
        <f t="shared" si="1003"/>
        <v>2386</v>
      </c>
      <c r="B2386" s="114"/>
      <c r="C2386" s="208"/>
      <c r="D2386" s="208"/>
      <c r="E2386" s="208"/>
      <c r="F2386" s="208"/>
      <c r="G2386" s="208"/>
      <c r="H2386" s="208"/>
      <c r="I2386" s="114"/>
      <c r="J2386" s="30"/>
      <c r="N2386" s="15" t="s">
        <v>125</v>
      </c>
      <c r="O2386" s="12"/>
      <c r="P2386" s="12"/>
      <c r="Q2386" s="12"/>
      <c r="R2386" s="12"/>
      <c r="S2386" s="28">
        <f>M2373</f>
        <v>1</v>
      </c>
      <c r="T2386" s="11"/>
      <c r="U2386" s="12"/>
      <c r="V2386" s="14" t="e">
        <f>U2386*#REF!</f>
        <v>#REF!</v>
      </c>
      <c r="W2386" s="14"/>
      <c r="X2386" s="26"/>
      <c r="Y2386" s="13"/>
      <c r="Z2386" s="68" t="e">
        <f>VLOOKUP(Takeoffs!Y2386,Sheet1!$B$6:$C$124,2,FALSE)</f>
        <v>#N/A</v>
      </c>
      <c r="AA2386" s="68"/>
      <c r="AB2386" s="18"/>
      <c r="AC2386" s="18"/>
      <c r="AD2386" s="18"/>
      <c r="AE2386" s="60"/>
      <c r="AF2386" s="13"/>
      <c r="AG2386" s="68" t="e">
        <f>VLOOKUP(Takeoffs!AF2386,Sheet1!$B$6:$C$124,2,FALSE)</f>
        <v>#N/A</v>
      </c>
      <c r="AH2386" s="68"/>
      <c r="AI2386" s="18"/>
      <c r="AJ2386" s="18"/>
      <c r="AK2386" s="18"/>
      <c r="AL2386" s="60"/>
      <c r="AO2386" s="286"/>
      <c r="AP2386" s="284">
        <f t="shared" si="998"/>
        <v>0</v>
      </c>
      <c r="AQ2386" s="281">
        <f t="shared" si="999"/>
        <v>0</v>
      </c>
      <c r="AR2386" s="284">
        <f t="shared" si="1000"/>
        <v>0</v>
      </c>
      <c r="AS2386" s="281">
        <f t="shared" si="1001"/>
        <v>0</v>
      </c>
      <c r="AT2386" s="284">
        <f t="shared" si="1002"/>
        <v>0</v>
      </c>
    </row>
    <row r="2387" spans="1:46" customFormat="1" ht="15" customHeight="1" x14ac:dyDescent="0.8">
      <c r="A2387" s="262">
        <f t="shared" si="1003"/>
        <v>2387</v>
      </c>
      <c r="B2387" s="114"/>
      <c r="C2387" s="208"/>
      <c r="D2387" s="208"/>
      <c r="E2387" s="208"/>
      <c r="F2387" s="208"/>
      <c r="G2387" s="208"/>
      <c r="H2387" s="208"/>
      <c r="I2387" s="114"/>
      <c r="J2387" s="30"/>
      <c r="N2387" s="15" t="s">
        <v>126</v>
      </c>
      <c r="O2387" s="12"/>
      <c r="P2387" s="12"/>
      <c r="Q2387" s="12"/>
      <c r="R2387" s="12"/>
      <c r="S2387" s="28">
        <f>M2373</f>
        <v>1</v>
      </c>
      <c r="T2387" s="11"/>
      <c r="U2387" s="12"/>
      <c r="V2387" s="14" t="e">
        <f>U2387*#REF!</f>
        <v>#REF!</v>
      </c>
      <c r="W2387" s="14"/>
      <c r="X2387" s="26"/>
      <c r="Y2387" s="13"/>
      <c r="Z2387" s="68" t="e">
        <f>VLOOKUP(Takeoffs!Y2387,Sheet1!$B$6:$C$124,2,FALSE)</f>
        <v>#N/A</v>
      </c>
      <c r="AA2387" s="68"/>
      <c r="AB2387" s="18"/>
      <c r="AC2387" s="18"/>
      <c r="AD2387" s="18"/>
      <c r="AE2387" s="60"/>
      <c r="AF2387" s="13"/>
      <c r="AG2387" s="68" t="e">
        <f>VLOOKUP(Takeoffs!AF2387,Sheet1!$B$6:$C$124,2,FALSE)</f>
        <v>#N/A</v>
      </c>
      <c r="AH2387" s="68"/>
      <c r="AI2387" s="18"/>
      <c r="AJ2387" s="18"/>
      <c r="AK2387" s="18"/>
      <c r="AL2387" s="60"/>
      <c r="AO2387" s="286"/>
      <c r="AP2387" s="284">
        <f t="shared" si="998"/>
        <v>0</v>
      </c>
      <c r="AQ2387" s="281">
        <f t="shared" si="999"/>
        <v>0</v>
      </c>
      <c r="AR2387" s="284">
        <f t="shared" si="1000"/>
        <v>0</v>
      </c>
      <c r="AS2387" s="281">
        <f t="shared" si="1001"/>
        <v>0</v>
      </c>
      <c r="AT2387" s="284">
        <f t="shared" si="1002"/>
        <v>0</v>
      </c>
    </row>
    <row r="2388" spans="1:46" customFormat="1" ht="15" customHeight="1" x14ac:dyDescent="0.8">
      <c r="A2388" s="262">
        <f t="shared" si="1003"/>
        <v>2388</v>
      </c>
      <c r="B2388" s="114"/>
      <c r="C2388" s="208"/>
      <c r="D2388" s="208"/>
      <c r="E2388" s="208"/>
      <c r="F2388" s="208"/>
      <c r="G2388" s="208"/>
      <c r="H2388" s="208"/>
      <c r="I2388" s="114"/>
      <c r="J2388" s="30"/>
      <c r="N2388" s="15" t="s">
        <v>127</v>
      </c>
      <c r="O2388" s="12"/>
      <c r="P2388" s="12"/>
      <c r="Q2388" s="12"/>
      <c r="R2388" s="12"/>
      <c r="S2388" s="28">
        <f>M2373</f>
        <v>1</v>
      </c>
      <c r="T2388" s="11"/>
      <c r="U2388" s="12"/>
      <c r="V2388" s="14" t="e">
        <f>U2388*#REF!</f>
        <v>#REF!</v>
      </c>
      <c r="W2388" s="14"/>
      <c r="X2388" s="26"/>
      <c r="Y2388" s="13"/>
      <c r="Z2388" s="68" t="e">
        <f>VLOOKUP(Takeoffs!Y2388,Sheet1!$B$6:$C$124,2,FALSE)</f>
        <v>#N/A</v>
      </c>
      <c r="AA2388" s="68"/>
      <c r="AB2388" s="18"/>
      <c r="AC2388" s="18"/>
      <c r="AD2388" s="18"/>
      <c r="AE2388" s="60"/>
      <c r="AF2388" s="13"/>
      <c r="AG2388" s="68" t="e">
        <f>VLOOKUP(Takeoffs!AF2388,Sheet1!$B$6:$C$124,2,FALSE)</f>
        <v>#N/A</v>
      </c>
      <c r="AH2388" s="68"/>
      <c r="AI2388" s="18"/>
      <c r="AJ2388" s="18"/>
      <c r="AK2388" s="18"/>
      <c r="AL2388" s="60"/>
      <c r="AO2388" s="286"/>
      <c r="AP2388" s="284">
        <f t="shared" si="998"/>
        <v>0</v>
      </c>
      <c r="AQ2388" s="281">
        <f t="shared" si="999"/>
        <v>0</v>
      </c>
      <c r="AR2388" s="284">
        <f t="shared" si="1000"/>
        <v>0</v>
      </c>
      <c r="AS2388" s="281">
        <f t="shared" si="1001"/>
        <v>0</v>
      </c>
      <c r="AT2388" s="284">
        <f t="shared" si="1002"/>
        <v>0</v>
      </c>
    </row>
    <row r="2389" spans="1:46" customFormat="1" ht="15" customHeight="1" x14ac:dyDescent="0.8">
      <c r="A2389" s="262">
        <f t="shared" si="1003"/>
        <v>2389</v>
      </c>
      <c r="B2389" s="114"/>
      <c r="C2389" s="208"/>
      <c r="D2389" s="208"/>
      <c r="E2389" s="208"/>
      <c r="F2389" s="208"/>
      <c r="G2389" s="208"/>
      <c r="H2389" s="208"/>
      <c r="I2389" s="114"/>
      <c r="J2389" s="30"/>
      <c r="N2389" s="15" t="s">
        <v>128</v>
      </c>
      <c r="O2389" s="12"/>
      <c r="P2389" s="12"/>
      <c r="Q2389" s="12"/>
      <c r="R2389" s="12"/>
      <c r="S2389" s="28">
        <f>M2373</f>
        <v>1</v>
      </c>
      <c r="T2389" s="11"/>
      <c r="U2389" s="12"/>
      <c r="V2389" s="14" t="e">
        <f>U2389*#REF!</f>
        <v>#REF!</v>
      </c>
      <c r="W2389" s="14"/>
      <c r="X2389" s="26"/>
      <c r="Y2389" s="13"/>
      <c r="Z2389" s="68" t="e">
        <f>VLOOKUP(Takeoffs!Y2389,Sheet1!$B$6:$C$124,2,FALSE)</f>
        <v>#N/A</v>
      </c>
      <c r="AA2389" s="68"/>
      <c r="AB2389" s="18"/>
      <c r="AC2389" s="18"/>
      <c r="AD2389" s="18"/>
      <c r="AE2389" s="60"/>
      <c r="AF2389" s="13"/>
      <c r="AG2389" s="68" t="e">
        <f>VLOOKUP(Takeoffs!AF2389,Sheet1!$B$6:$C$124,2,FALSE)</f>
        <v>#N/A</v>
      </c>
      <c r="AH2389" s="68"/>
      <c r="AI2389" s="18"/>
      <c r="AJ2389" s="18"/>
      <c r="AK2389" s="18"/>
      <c r="AL2389" s="60"/>
      <c r="AO2389" s="286"/>
      <c r="AP2389" s="284">
        <f t="shared" si="998"/>
        <v>0</v>
      </c>
      <c r="AQ2389" s="281">
        <f t="shared" si="999"/>
        <v>0</v>
      </c>
      <c r="AR2389" s="284">
        <f t="shared" si="1000"/>
        <v>0</v>
      </c>
      <c r="AS2389" s="281">
        <f t="shared" si="1001"/>
        <v>0</v>
      </c>
      <c r="AT2389" s="284">
        <f t="shared" si="1002"/>
        <v>0</v>
      </c>
    </row>
    <row r="2390" spans="1:46" customFormat="1" ht="15" customHeight="1" x14ac:dyDescent="0.8">
      <c r="A2390" s="262">
        <f t="shared" si="1003"/>
        <v>2390</v>
      </c>
      <c r="B2390" s="114"/>
      <c r="C2390" s="208"/>
      <c r="D2390" s="208"/>
      <c r="E2390" s="208"/>
      <c r="F2390" s="208"/>
      <c r="G2390" s="208"/>
      <c r="H2390" s="208"/>
      <c r="I2390" s="114"/>
      <c r="J2390" s="30"/>
      <c r="N2390" s="15" t="s">
        <v>129</v>
      </c>
      <c r="O2390" s="12"/>
      <c r="P2390" s="12"/>
      <c r="Q2390" s="12"/>
      <c r="R2390" s="12"/>
      <c r="S2390" s="28">
        <f>M2373</f>
        <v>1</v>
      </c>
      <c r="T2390" s="11"/>
      <c r="U2390" s="12"/>
      <c r="V2390" s="14" t="e">
        <f>U2390*#REF!</f>
        <v>#REF!</v>
      </c>
      <c r="W2390" s="14"/>
      <c r="X2390" s="26"/>
      <c r="Y2390" s="13"/>
      <c r="Z2390" s="68" t="e">
        <f>VLOOKUP(Takeoffs!Y2390,Sheet1!$B$6:$C$124,2,FALSE)</f>
        <v>#N/A</v>
      </c>
      <c r="AA2390" s="68"/>
      <c r="AB2390" s="18"/>
      <c r="AC2390" s="18"/>
      <c r="AD2390" s="18"/>
      <c r="AE2390" s="60"/>
      <c r="AF2390" s="13"/>
      <c r="AG2390" s="68" t="e">
        <f>VLOOKUP(Takeoffs!AF2390,Sheet1!$B$6:$C$124,2,FALSE)</f>
        <v>#N/A</v>
      </c>
      <c r="AH2390" s="68"/>
      <c r="AI2390" s="18"/>
      <c r="AJ2390" s="18"/>
      <c r="AK2390" s="18"/>
      <c r="AL2390" s="60"/>
      <c r="AO2390" s="286"/>
      <c r="AP2390" s="284">
        <f t="shared" si="998"/>
        <v>0</v>
      </c>
      <c r="AQ2390" s="281">
        <f t="shared" si="999"/>
        <v>0</v>
      </c>
      <c r="AR2390" s="284">
        <f t="shared" si="1000"/>
        <v>0</v>
      </c>
      <c r="AS2390" s="281">
        <f t="shared" si="1001"/>
        <v>0</v>
      </c>
      <c r="AT2390" s="284">
        <f t="shared" si="1002"/>
        <v>0</v>
      </c>
    </row>
    <row r="2391" spans="1:46" customFormat="1" ht="15" customHeight="1" x14ac:dyDescent="0.8">
      <c r="A2391" s="262">
        <f t="shared" si="1003"/>
        <v>2391</v>
      </c>
      <c r="B2391" s="114"/>
      <c r="C2391" s="208"/>
      <c r="D2391" s="208"/>
      <c r="E2391" s="208"/>
      <c r="F2391" s="208"/>
      <c r="G2391" s="208"/>
      <c r="H2391" s="208"/>
      <c r="I2391" s="114"/>
      <c r="J2391" s="30"/>
      <c r="N2391" s="15" t="s">
        <v>130</v>
      </c>
      <c r="O2391" s="12"/>
      <c r="P2391" s="12"/>
      <c r="Q2391" s="12"/>
      <c r="R2391" s="12"/>
      <c r="S2391" s="28">
        <f>M2373</f>
        <v>1</v>
      </c>
      <c r="T2391" s="11"/>
      <c r="U2391" s="12"/>
      <c r="V2391" s="14" t="e">
        <f>U2391*#REF!</f>
        <v>#REF!</v>
      </c>
      <c r="W2391" s="14"/>
      <c r="X2391" s="26"/>
      <c r="Y2391" s="13"/>
      <c r="Z2391" s="68" t="e">
        <f>VLOOKUP(Takeoffs!Y2391,Sheet1!$B$6:$C$124,2,FALSE)</f>
        <v>#N/A</v>
      </c>
      <c r="AA2391" s="68"/>
      <c r="AB2391" s="18"/>
      <c r="AC2391" s="18"/>
      <c r="AD2391" s="18"/>
      <c r="AE2391" s="60"/>
      <c r="AF2391" s="13"/>
      <c r="AG2391" s="68" t="e">
        <f>VLOOKUP(Takeoffs!AF2391,Sheet1!$B$6:$C$124,2,FALSE)</f>
        <v>#N/A</v>
      </c>
      <c r="AH2391" s="68"/>
      <c r="AI2391" s="18"/>
      <c r="AJ2391" s="18"/>
      <c r="AK2391" s="18"/>
      <c r="AL2391" s="60"/>
      <c r="AO2391" s="286"/>
      <c r="AP2391" s="284">
        <f t="shared" si="998"/>
        <v>0</v>
      </c>
      <c r="AQ2391" s="281">
        <f t="shared" si="999"/>
        <v>0</v>
      </c>
      <c r="AR2391" s="284">
        <f t="shared" si="1000"/>
        <v>0</v>
      </c>
      <c r="AS2391" s="281">
        <f t="shared" si="1001"/>
        <v>0</v>
      </c>
      <c r="AT2391" s="284">
        <f t="shared" si="1002"/>
        <v>0</v>
      </c>
    </row>
    <row r="2392" spans="1:46" customFormat="1" ht="15" customHeight="1" x14ac:dyDescent="0.8">
      <c r="A2392" s="262">
        <f t="shared" si="1003"/>
        <v>2392</v>
      </c>
      <c r="B2392" s="114"/>
      <c r="C2392" s="208"/>
      <c r="D2392" s="208"/>
      <c r="E2392" s="208"/>
      <c r="F2392" s="208"/>
      <c r="G2392" s="208"/>
      <c r="H2392" s="208"/>
      <c r="I2392" s="114"/>
      <c r="J2392" s="30"/>
      <c r="N2392" s="15" t="s">
        <v>131</v>
      </c>
      <c r="O2392" s="12"/>
      <c r="P2392" s="12"/>
      <c r="Q2392" s="12"/>
      <c r="R2392" s="12"/>
      <c r="S2392" s="28">
        <f>M2373</f>
        <v>1</v>
      </c>
      <c r="T2392" s="11"/>
      <c r="U2392" s="12"/>
      <c r="V2392" s="14" t="e">
        <f>U2392*#REF!</f>
        <v>#REF!</v>
      </c>
      <c r="W2392" s="14"/>
      <c r="X2392" s="26"/>
      <c r="Y2392" s="13"/>
      <c r="Z2392" s="68" t="e">
        <f>VLOOKUP(Takeoffs!Y2392,Sheet1!$B$6:$C$124,2,FALSE)</f>
        <v>#N/A</v>
      </c>
      <c r="AA2392" s="68"/>
      <c r="AB2392" s="18"/>
      <c r="AC2392" s="18"/>
      <c r="AD2392" s="18"/>
      <c r="AE2392" s="60"/>
      <c r="AF2392" s="13"/>
      <c r="AG2392" s="68" t="e">
        <f>VLOOKUP(Takeoffs!AF2392,Sheet1!$B$6:$C$124,2,FALSE)</f>
        <v>#N/A</v>
      </c>
      <c r="AH2392" s="68"/>
      <c r="AI2392" s="18"/>
      <c r="AJ2392" s="18"/>
      <c r="AK2392" s="18"/>
      <c r="AL2392" s="60"/>
      <c r="AO2392" s="286"/>
      <c r="AP2392" s="284">
        <f t="shared" si="998"/>
        <v>0</v>
      </c>
      <c r="AQ2392" s="281">
        <f t="shared" si="999"/>
        <v>0</v>
      </c>
      <c r="AR2392" s="284">
        <f t="shared" si="1000"/>
        <v>0</v>
      </c>
      <c r="AS2392" s="281">
        <f t="shared" si="1001"/>
        <v>0</v>
      </c>
      <c r="AT2392" s="284">
        <f t="shared" si="1002"/>
        <v>0</v>
      </c>
    </row>
    <row r="2393" spans="1:46" customFormat="1" ht="15" customHeight="1" x14ac:dyDescent="0.8">
      <c r="A2393" s="262">
        <f t="shared" si="1003"/>
        <v>2393</v>
      </c>
      <c r="B2393" s="114"/>
      <c r="C2393" s="208"/>
      <c r="D2393" s="208"/>
      <c r="E2393" s="208"/>
      <c r="F2393" s="208"/>
      <c r="G2393" s="208"/>
      <c r="H2393" s="208"/>
      <c r="I2393" s="114"/>
      <c r="J2393" s="30"/>
      <c r="N2393" s="15" t="s">
        <v>132</v>
      </c>
      <c r="O2393" s="12"/>
      <c r="P2393" s="12"/>
      <c r="Q2393" s="12"/>
      <c r="R2393" s="12"/>
      <c r="S2393" s="28">
        <f>M2373</f>
        <v>1</v>
      </c>
      <c r="T2393" s="11"/>
      <c r="U2393" s="12"/>
      <c r="V2393" s="14" t="e">
        <f>U2393*#REF!</f>
        <v>#REF!</v>
      </c>
      <c r="W2393" s="14"/>
      <c r="X2393" s="26"/>
      <c r="Y2393" s="13"/>
      <c r="Z2393" s="68" t="e">
        <f>VLOOKUP(Takeoffs!Y2393,Sheet1!$B$6:$C$124,2,FALSE)</f>
        <v>#N/A</v>
      </c>
      <c r="AA2393" s="68"/>
      <c r="AB2393" s="18"/>
      <c r="AC2393" s="18"/>
      <c r="AD2393" s="18"/>
      <c r="AE2393" s="60"/>
      <c r="AF2393" s="13"/>
      <c r="AG2393" s="68" t="e">
        <f>VLOOKUP(Takeoffs!AF2393,Sheet1!$B$6:$C$124,2,FALSE)</f>
        <v>#N/A</v>
      </c>
      <c r="AH2393" s="68"/>
      <c r="AI2393" s="18"/>
      <c r="AJ2393" s="18"/>
      <c r="AK2393" s="18"/>
      <c r="AL2393" s="60"/>
      <c r="AO2393" s="286"/>
      <c r="AP2393" s="284">
        <f t="shared" si="998"/>
        <v>0</v>
      </c>
      <c r="AQ2393" s="281">
        <f t="shared" si="999"/>
        <v>0</v>
      </c>
      <c r="AR2393" s="284">
        <f t="shared" si="1000"/>
        <v>0</v>
      </c>
      <c r="AS2393" s="281">
        <f t="shared" si="1001"/>
        <v>0</v>
      </c>
      <c r="AT2393" s="284">
        <f t="shared" si="1002"/>
        <v>0</v>
      </c>
    </row>
    <row r="2394" spans="1:46" s="21" customFormat="1" ht="33.75" customHeight="1" x14ac:dyDescent="0.8">
      <c r="A2394" s="262">
        <f t="shared" si="1003"/>
        <v>2394</v>
      </c>
      <c r="B2394" s="128"/>
      <c r="C2394" s="212"/>
      <c r="D2394" s="212"/>
      <c r="E2394" s="212"/>
      <c r="F2394" s="212"/>
      <c r="G2394" s="212"/>
      <c r="H2394" s="212"/>
      <c r="I2394" s="114"/>
      <c r="N2394" s="22"/>
      <c r="O2394" s="23"/>
      <c r="P2394" s="23"/>
      <c r="Q2394" s="23"/>
      <c r="R2394" s="23"/>
      <c r="S2394" s="23"/>
      <c r="T2394" s="24"/>
      <c r="U2394" s="23"/>
      <c r="V2394" s="24"/>
      <c r="W2394" s="24"/>
      <c r="X2394" s="26"/>
      <c r="Y2394" s="24"/>
      <c r="Z2394" s="68" t="e">
        <f>VLOOKUP(Takeoffs!Y2394,Sheet1!$B$6:$C$124,2,FALSE)</f>
        <v>#N/A</v>
      </c>
      <c r="AA2394" s="68"/>
      <c r="AB2394" s="31"/>
      <c r="AC2394" s="31"/>
      <c r="AD2394" s="31"/>
      <c r="AE2394" s="60"/>
      <c r="AF2394" s="24"/>
      <c r="AG2394" s="68" t="e">
        <f>VLOOKUP(Takeoffs!AF2394,Sheet1!$B$6:$C$124,2,FALSE)</f>
        <v>#N/A</v>
      </c>
      <c r="AH2394" s="68"/>
      <c r="AI2394" s="31"/>
      <c r="AJ2394" s="31"/>
      <c r="AK2394" s="31"/>
      <c r="AL2394" s="60"/>
      <c r="AO2394" s="286"/>
      <c r="AP2394" s="284">
        <f t="shared" si="998"/>
        <v>0</v>
      </c>
      <c r="AQ2394" s="281">
        <f t="shared" si="999"/>
        <v>0</v>
      </c>
      <c r="AR2394" s="284">
        <f t="shared" si="1000"/>
        <v>0</v>
      </c>
      <c r="AS2394" s="281">
        <f t="shared" si="1001"/>
        <v>0</v>
      </c>
      <c r="AT2394" s="284">
        <f t="shared" si="1002"/>
        <v>0</v>
      </c>
    </row>
    <row r="2395" spans="1:46" customFormat="1" ht="30.9" x14ac:dyDescent="0.8">
      <c r="A2395" s="262">
        <f t="shared" si="1003"/>
        <v>2395</v>
      </c>
      <c r="B2395" s="114"/>
      <c r="C2395" s="208"/>
      <c r="D2395" s="208"/>
      <c r="E2395" s="208"/>
      <c r="F2395" s="208"/>
      <c r="G2395" s="208"/>
      <c r="H2395" s="208"/>
      <c r="I2395" s="128"/>
      <c r="Q2395" s="32"/>
      <c r="R2395" s="32"/>
      <c r="T2395" s="8"/>
      <c r="W2395" s="32"/>
      <c r="X2395" s="25"/>
      <c r="Z2395" s="68" t="e">
        <f>VLOOKUP(Takeoffs!Y2395,Sheet1!$B$6:$C$124,2,FALSE)</f>
        <v>#N/A</v>
      </c>
      <c r="AA2395" s="68"/>
      <c r="AB2395" s="32"/>
      <c r="AC2395" s="32"/>
      <c r="AD2395" s="32"/>
      <c r="AE2395" s="25"/>
      <c r="AF2395" s="32"/>
      <c r="AG2395" s="68" t="e">
        <f>VLOOKUP(Takeoffs!AF2395,Sheet1!$B$6:$C$124,2,FALSE)</f>
        <v>#N/A</v>
      </c>
      <c r="AH2395" s="68"/>
      <c r="AI2395" s="32"/>
      <c r="AJ2395" s="32"/>
      <c r="AK2395" s="32"/>
      <c r="AL2395" s="25"/>
      <c r="AO2395" s="286"/>
      <c r="AP2395" s="284">
        <f t="shared" si="998"/>
        <v>0</v>
      </c>
      <c r="AQ2395" s="281">
        <f t="shared" si="999"/>
        <v>0</v>
      </c>
      <c r="AR2395" s="284">
        <f t="shared" si="1000"/>
        <v>0</v>
      </c>
      <c r="AS2395" s="281">
        <f t="shared" si="1001"/>
        <v>0</v>
      </c>
      <c r="AT2395" s="284">
        <f t="shared" si="1002"/>
        <v>0</v>
      </c>
    </row>
    <row r="2396" spans="1:46" s="2" customFormat="1" ht="62.25" customHeight="1" x14ac:dyDescent="0.8">
      <c r="A2396" s="262">
        <f t="shared" si="1003"/>
        <v>2396</v>
      </c>
      <c r="B2396" s="116"/>
      <c r="C2396" s="211"/>
      <c r="D2396" s="211"/>
      <c r="E2396" s="211"/>
      <c r="F2396" s="211"/>
      <c r="G2396" s="211"/>
      <c r="H2396" s="211"/>
      <c r="I2396" s="114"/>
      <c r="M2396" s="2" t="s">
        <v>107</v>
      </c>
      <c r="N2396" s="2" t="s">
        <v>108</v>
      </c>
      <c r="O2396" s="2" t="s">
        <v>4</v>
      </c>
      <c r="P2396" s="2" t="s">
        <v>5</v>
      </c>
      <c r="S2396" s="2" t="s">
        <v>0</v>
      </c>
      <c r="T2396" s="9"/>
      <c r="U2396" s="2" t="s">
        <v>109</v>
      </c>
      <c r="V2396" s="2" t="s">
        <v>110</v>
      </c>
      <c r="X2396" s="58"/>
      <c r="Y2396" s="2" t="s">
        <v>111</v>
      </c>
      <c r="Z2396" s="68" t="e">
        <f>VLOOKUP(Takeoffs!Y2396,Sheet1!$B$6:$C$124,2,FALSE)</f>
        <v>#N/A</v>
      </c>
      <c r="AA2396" s="68"/>
      <c r="AE2396" s="58"/>
      <c r="AF2396" s="2" t="s">
        <v>111</v>
      </c>
      <c r="AG2396" s="68" t="e">
        <f>VLOOKUP(Takeoffs!AF2396,Sheet1!$B$6:$C$124,2,FALSE)</f>
        <v>#N/A</v>
      </c>
      <c r="AH2396" s="68"/>
      <c r="AL2396" s="58"/>
      <c r="AO2396" s="288"/>
      <c r="AP2396" s="284">
        <f t="shared" si="998"/>
        <v>0</v>
      </c>
      <c r="AQ2396" s="281">
        <f t="shared" si="999"/>
        <v>0</v>
      </c>
      <c r="AR2396" s="284">
        <f t="shared" si="1000"/>
        <v>0</v>
      </c>
      <c r="AS2396" s="281">
        <f t="shared" si="1001"/>
        <v>0</v>
      </c>
      <c r="AT2396" s="284">
        <f t="shared" si="1002"/>
        <v>0</v>
      </c>
    </row>
    <row r="2397" spans="1:46" customFormat="1" ht="179.25" customHeight="1" thickBot="1" x14ac:dyDescent="0.85">
      <c r="A2397" s="262">
        <f t="shared" si="1003"/>
        <v>2397</v>
      </c>
      <c r="B2397" s="114"/>
      <c r="C2397" s="208"/>
      <c r="D2397" s="208"/>
      <c r="E2397" s="208"/>
      <c r="F2397" s="208"/>
      <c r="G2397" s="208"/>
      <c r="H2397" s="208"/>
      <c r="I2397" s="116"/>
      <c r="J2397" s="30" t="str">
        <f>CONCATENATE(O2397," ",L2397, " (",M2397,") ",N2397,". Each includes supply and install of ",O2398,O2399,O2400,O2401,O2402,O2403,O2404,O2405,O2406,O2407,O2408,O2409,O2410,O2411,O2412,O2413,O2414,O2415,O2416,O2417,)</f>
        <v>Electrical power supply and controls for  seven (7) supply fans interlocked with airconditioning. Each includes supply and install of circuit breakers, interlock cabling and controls with AC indoor unitcontrol contacts/relays, cabling and conduit fom MSSBand local power isolator.This excludes supply and installation of AC manufacturers interface card where required.</v>
      </c>
      <c r="L2397" s="16" t="str">
        <f>VLOOKUP(M2397,Sheet2!$D$2:$E$1024,2,FALSE)</f>
        <v>seven</v>
      </c>
      <c r="M2397" s="12">
        <v>7</v>
      </c>
      <c r="N2397" s="27" t="s">
        <v>174</v>
      </c>
      <c r="O2397" s="12" t="s">
        <v>154</v>
      </c>
      <c r="P2397" s="193"/>
      <c r="Q2397" s="193"/>
      <c r="R2397" s="12"/>
      <c r="S2397" s="28"/>
      <c r="T2397" s="10"/>
      <c r="U2397" s="12"/>
      <c r="V2397" s="14" t="e">
        <f>U2397*#REF!</f>
        <v>#REF!</v>
      </c>
      <c r="W2397" s="14"/>
      <c r="X2397" s="26"/>
      <c r="Y2397" s="13"/>
      <c r="Z2397" s="68" t="e">
        <f>VLOOKUP(Takeoffs!Y2397,Sheet1!$B$6:$C$124,2,FALSE)</f>
        <v>#N/A</v>
      </c>
      <c r="AA2397" s="68"/>
      <c r="AB2397" s="18"/>
      <c r="AC2397" s="18"/>
      <c r="AD2397" s="18"/>
      <c r="AE2397" s="60"/>
      <c r="AF2397" s="13"/>
      <c r="AG2397" s="68" t="e">
        <f>VLOOKUP(Takeoffs!AF2397,Sheet1!$B$6:$C$124,2,FALSE)</f>
        <v>#N/A</v>
      </c>
      <c r="AH2397" s="68"/>
      <c r="AI2397" s="18"/>
      <c r="AJ2397" s="18"/>
      <c r="AK2397" s="18"/>
      <c r="AL2397" s="60"/>
      <c r="AO2397" s="286"/>
      <c r="AP2397" s="284">
        <f t="shared" si="998"/>
        <v>0</v>
      </c>
      <c r="AQ2397" s="281">
        <f t="shared" si="999"/>
        <v>0</v>
      </c>
      <c r="AR2397" s="284">
        <f t="shared" si="1000"/>
        <v>0</v>
      </c>
      <c r="AS2397" s="281">
        <f t="shared" si="1001"/>
        <v>0</v>
      </c>
      <c r="AT2397" s="284">
        <f t="shared" si="1002"/>
        <v>0</v>
      </c>
    </row>
    <row r="2398" spans="1:46" customFormat="1" ht="15" customHeight="1" x14ac:dyDescent="0.8">
      <c r="A2398" s="262">
        <f t="shared" si="1003"/>
        <v>2398</v>
      </c>
      <c r="B2398" s="114"/>
      <c r="C2398" s="208"/>
      <c r="D2398" s="208"/>
      <c r="E2398" s="219"/>
      <c r="F2398" s="219"/>
      <c r="G2398" s="219"/>
      <c r="H2398" s="219"/>
      <c r="I2398" s="114"/>
      <c r="J2398" s="30"/>
      <c r="K2398" s="221"/>
      <c r="L2398" s="117"/>
      <c r="M2398" s="3"/>
      <c r="N2398" s="15" t="s">
        <v>113</v>
      </c>
      <c r="O2398" s="186" t="s">
        <v>162</v>
      </c>
      <c r="P2398" s="204"/>
      <c r="Q2398" s="197"/>
      <c r="R2398" s="189"/>
      <c r="S2398" s="28">
        <f>M2397</f>
        <v>7</v>
      </c>
      <c r="T2398" s="11"/>
      <c r="U2398" s="12"/>
      <c r="V2398" s="14" t="e">
        <f>U2398*#REF!</f>
        <v>#REF!</v>
      </c>
      <c r="W2398" s="14"/>
      <c r="X2398" s="26"/>
      <c r="Y2398" s="13"/>
      <c r="Z2398" s="68" t="e">
        <f>VLOOKUP(Takeoffs!Y2398,Sheet1!$B$6:$C$124,2,FALSE)</f>
        <v>#N/A</v>
      </c>
      <c r="AA2398" s="68"/>
      <c r="AB2398" s="18"/>
      <c r="AC2398" s="18"/>
      <c r="AD2398" s="18"/>
      <c r="AE2398" s="60"/>
      <c r="AF2398" s="13"/>
      <c r="AG2398" s="68" t="e">
        <f>VLOOKUP(Takeoffs!AF2398,Sheet1!$B$6:$C$124,2,FALSE)</f>
        <v>#N/A</v>
      </c>
      <c r="AH2398" s="68"/>
      <c r="AI2398" s="18"/>
      <c r="AJ2398" s="18"/>
      <c r="AK2398" s="18"/>
      <c r="AL2398" s="60"/>
      <c r="AO2398" s="286"/>
      <c r="AP2398" s="284">
        <f t="shared" si="998"/>
        <v>0</v>
      </c>
      <c r="AQ2398" s="281">
        <f t="shared" si="999"/>
        <v>0</v>
      </c>
      <c r="AR2398" s="284">
        <f t="shared" si="1000"/>
        <v>0</v>
      </c>
      <c r="AS2398" s="281">
        <f t="shared" si="1001"/>
        <v>0</v>
      </c>
      <c r="AT2398" s="284">
        <f t="shared" si="1002"/>
        <v>0</v>
      </c>
    </row>
    <row r="2399" spans="1:46" customFormat="1" ht="15" customHeight="1" x14ac:dyDescent="0.8">
      <c r="A2399" s="262">
        <f t="shared" si="1003"/>
        <v>2399</v>
      </c>
      <c r="B2399" s="114"/>
      <c r="C2399" s="208"/>
      <c r="D2399" s="208"/>
      <c r="E2399" s="219"/>
      <c r="F2399" s="219"/>
      <c r="G2399" s="219"/>
      <c r="H2399" s="219"/>
      <c r="I2399" s="221"/>
      <c r="J2399" s="30"/>
      <c r="K2399" s="221"/>
      <c r="L2399" s="117"/>
      <c r="M2399" s="3"/>
      <c r="N2399" s="15" t="s">
        <v>114</v>
      </c>
      <c r="O2399" s="186" t="s">
        <v>175</v>
      </c>
      <c r="P2399" s="205"/>
      <c r="Q2399" s="198"/>
      <c r="R2399" s="189"/>
      <c r="S2399" s="28">
        <f>M2397</f>
        <v>7</v>
      </c>
      <c r="T2399" s="11"/>
      <c r="U2399" s="12"/>
      <c r="V2399" s="14" t="e">
        <f>U2399*#REF!</f>
        <v>#REF!</v>
      </c>
      <c r="W2399" s="14"/>
      <c r="X2399" s="26"/>
      <c r="Y2399" s="13"/>
      <c r="Z2399" s="68" t="e">
        <f>VLOOKUP(Takeoffs!Y2399,Sheet1!$B$6:$C$124,2,FALSE)</f>
        <v>#N/A</v>
      </c>
      <c r="AA2399" s="68"/>
      <c r="AB2399" s="18"/>
      <c r="AC2399" s="18"/>
      <c r="AD2399" s="18"/>
      <c r="AE2399" s="60"/>
      <c r="AF2399" s="13"/>
      <c r="AG2399" s="68" t="e">
        <f>VLOOKUP(Takeoffs!AF2399,Sheet1!$B$6:$C$124,2,FALSE)</f>
        <v>#N/A</v>
      </c>
      <c r="AH2399" s="68"/>
      <c r="AI2399" s="18"/>
      <c r="AJ2399" s="18"/>
      <c r="AK2399" s="18"/>
      <c r="AL2399" s="60"/>
      <c r="AO2399" s="286"/>
      <c r="AP2399" s="284">
        <f t="shared" si="998"/>
        <v>0</v>
      </c>
      <c r="AQ2399" s="281">
        <f t="shared" si="999"/>
        <v>0</v>
      </c>
      <c r="AR2399" s="284">
        <f t="shared" si="1000"/>
        <v>0</v>
      </c>
      <c r="AS2399" s="281">
        <f t="shared" si="1001"/>
        <v>0</v>
      </c>
      <c r="AT2399" s="284">
        <f t="shared" si="1002"/>
        <v>0</v>
      </c>
    </row>
    <row r="2400" spans="1:46" customFormat="1" ht="15" customHeight="1" x14ac:dyDescent="0.8">
      <c r="A2400" s="262">
        <f t="shared" si="1003"/>
        <v>2400</v>
      </c>
      <c r="B2400" s="114"/>
      <c r="C2400" s="208"/>
      <c r="D2400" s="208"/>
      <c r="E2400" s="219"/>
      <c r="F2400" s="219"/>
      <c r="G2400" s="219"/>
      <c r="H2400" s="219"/>
      <c r="I2400" s="221"/>
      <c r="J2400" s="30"/>
      <c r="K2400" s="221"/>
      <c r="L2400" s="117"/>
      <c r="M2400" s="3"/>
      <c r="N2400" s="15" t="s">
        <v>115</v>
      </c>
      <c r="O2400" s="186" t="s">
        <v>163</v>
      </c>
      <c r="P2400" s="205"/>
      <c r="Q2400" s="198"/>
      <c r="R2400" s="189"/>
      <c r="S2400" s="28">
        <f>M2397</f>
        <v>7</v>
      </c>
      <c r="T2400" s="11"/>
      <c r="U2400" s="12"/>
      <c r="V2400" s="14" t="e">
        <f>U2400*#REF!</f>
        <v>#REF!</v>
      </c>
      <c r="W2400" s="14"/>
      <c r="X2400" s="26"/>
      <c r="Y2400" s="13"/>
      <c r="Z2400" s="68" t="e">
        <f>VLOOKUP(Takeoffs!Y2400,Sheet1!$B$6:$C$124,2,FALSE)</f>
        <v>#N/A</v>
      </c>
      <c r="AA2400" s="68"/>
      <c r="AB2400" s="18"/>
      <c r="AC2400" s="18"/>
      <c r="AD2400" s="18"/>
      <c r="AE2400" s="60"/>
      <c r="AF2400" s="13"/>
      <c r="AG2400" s="68" t="e">
        <f>VLOOKUP(Takeoffs!AF2400,Sheet1!$B$6:$C$124,2,FALSE)</f>
        <v>#N/A</v>
      </c>
      <c r="AH2400" s="68"/>
      <c r="AI2400" s="18"/>
      <c r="AJ2400" s="18"/>
      <c r="AK2400" s="18"/>
      <c r="AL2400" s="60"/>
      <c r="AO2400" s="286"/>
      <c r="AP2400" s="284">
        <f t="shared" si="998"/>
        <v>0</v>
      </c>
      <c r="AQ2400" s="281">
        <f t="shared" si="999"/>
        <v>0</v>
      </c>
      <c r="AR2400" s="284">
        <f t="shared" si="1000"/>
        <v>0</v>
      </c>
      <c r="AS2400" s="281">
        <f t="shared" si="1001"/>
        <v>0</v>
      </c>
      <c r="AT2400" s="284">
        <f t="shared" si="1002"/>
        <v>0</v>
      </c>
    </row>
    <row r="2401" spans="1:46" customFormat="1" ht="15" customHeight="1" x14ac:dyDescent="0.8">
      <c r="A2401" s="262">
        <f t="shared" si="1003"/>
        <v>2401</v>
      </c>
      <c r="B2401" s="114"/>
      <c r="C2401" s="208"/>
      <c r="D2401" s="208"/>
      <c r="E2401" s="219"/>
      <c r="F2401" s="219"/>
      <c r="G2401" s="219"/>
      <c r="H2401" s="219"/>
      <c r="I2401" s="221"/>
      <c r="J2401" s="30"/>
      <c r="K2401" s="221"/>
      <c r="L2401" s="117"/>
      <c r="M2401" s="3"/>
      <c r="N2401" s="15" t="s">
        <v>116</v>
      </c>
      <c r="O2401" s="186" t="s">
        <v>134</v>
      </c>
      <c r="P2401" s="205"/>
      <c r="Q2401" s="198"/>
      <c r="R2401" s="189"/>
      <c r="S2401" s="28">
        <f>M2397</f>
        <v>7</v>
      </c>
      <c r="T2401" s="11"/>
      <c r="U2401" s="12"/>
      <c r="V2401" s="14" t="e">
        <f>U2401*#REF!</f>
        <v>#REF!</v>
      </c>
      <c r="W2401" s="14"/>
      <c r="X2401" s="26"/>
      <c r="Y2401" s="13"/>
      <c r="Z2401" s="68" t="e">
        <f>VLOOKUP(Takeoffs!Y2401,Sheet1!$B$6:$C$124,2,FALSE)</f>
        <v>#N/A</v>
      </c>
      <c r="AA2401" s="68"/>
      <c r="AB2401" s="18"/>
      <c r="AC2401" s="18"/>
      <c r="AD2401" s="18"/>
      <c r="AE2401" s="60"/>
      <c r="AF2401" s="13"/>
      <c r="AG2401" s="68" t="e">
        <f>VLOOKUP(Takeoffs!AF2401,Sheet1!$B$6:$C$124,2,FALSE)</f>
        <v>#N/A</v>
      </c>
      <c r="AH2401" s="68"/>
      <c r="AI2401" s="18"/>
      <c r="AJ2401" s="18"/>
      <c r="AK2401" s="18"/>
      <c r="AL2401" s="60"/>
      <c r="AO2401" s="286"/>
      <c r="AP2401" s="284">
        <f t="shared" si="998"/>
        <v>0</v>
      </c>
      <c r="AQ2401" s="281">
        <f t="shared" si="999"/>
        <v>0</v>
      </c>
      <c r="AR2401" s="284">
        <f t="shared" si="1000"/>
        <v>0</v>
      </c>
      <c r="AS2401" s="281">
        <f t="shared" si="1001"/>
        <v>0</v>
      </c>
      <c r="AT2401" s="284">
        <f t="shared" si="1002"/>
        <v>0</v>
      </c>
    </row>
    <row r="2402" spans="1:46" customFormat="1" ht="15" customHeight="1" x14ac:dyDescent="0.8">
      <c r="A2402" s="262">
        <f t="shared" si="1003"/>
        <v>2402</v>
      </c>
      <c r="B2402" s="114"/>
      <c r="C2402" s="208"/>
      <c r="D2402" s="208"/>
      <c r="E2402" s="219"/>
      <c r="F2402" s="219"/>
      <c r="G2402" s="219"/>
      <c r="H2402" s="219"/>
      <c r="I2402" s="221"/>
      <c r="J2402" s="30"/>
      <c r="K2402" s="221"/>
      <c r="L2402" s="117"/>
      <c r="M2402" s="3"/>
      <c r="N2402" s="15" t="s">
        <v>117</v>
      </c>
      <c r="O2402" s="186" t="s">
        <v>141</v>
      </c>
      <c r="P2402" s="205"/>
      <c r="Q2402" s="198"/>
      <c r="R2402" s="189"/>
      <c r="S2402" s="28">
        <f>M2397</f>
        <v>7</v>
      </c>
      <c r="T2402" s="11"/>
      <c r="U2402" s="12"/>
      <c r="V2402" s="14" t="e">
        <f>U2402*#REF!</f>
        <v>#REF!</v>
      </c>
      <c r="W2402" s="14"/>
      <c r="X2402" s="26"/>
      <c r="Y2402" s="13"/>
      <c r="Z2402" s="68" t="e">
        <f>VLOOKUP(Takeoffs!Y2402,Sheet1!$B$6:$C$124,2,FALSE)</f>
        <v>#N/A</v>
      </c>
      <c r="AA2402" s="68"/>
      <c r="AB2402" s="18"/>
      <c r="AC2402" s="18"/>
      <c r="AD2402" s="18"/>
      <c r="AE2402" s="60"/>
      <c r="AF2402" s="13"/>
      <c r="AG2402" s="68" t="e">
        <f>VLOOKUP(Takeoffs!AF2402,Sheet1!$B$6:$C$124,2,FALSE)</f>
        <v>#N/A</v>
      </c>
      <c r="AH2402" s="68"/>
      <c r="AI2402" s="18"/>
      <c r="AJ2402" s="18"/>
      <c r="AK2402" s="18"/>
      <c r="AL2402" s="60"/>
      <c r="AO2402" s="286"/>
      <c r="AP2402" s="284">
        <f t="shared" si="998"/>
        <v>0</v>
      </c>
      <c r="AQ2402" s="281">
        <f t="shared" si="999"/>
        <v>0</v>
      </c>
      <c r="AR2402" s="284">
        <f t="shared" si="1000"/>
        <v>0</v>
      </c>
      <c r="AS2402" s="281">
        <f t="shared" si="1001"/>
        <v>0</v>
      </c>
      <c r="AT2402" s="284">
        <f t="shared" si="1002"/>
        <v>0</v>
      </c>
    </row>
    <row r="2403" spans="1:46" customFormat="1" ht="15" customHeight="1" x14ac:dyDescent="0.8">
      <c r="A2403" s="262">
        <f t="shared" si="1003"/>
        <v>2403</v>
      </c>
      <c r="B2403" s="114"/>
      <c r="C2403" s="208"/>
      <c r="D2403" s="208"/>
      <c r="E2403" s="219"/>
      <c r="F2403" s="219"/>
      <c r="G2403" s="219"/>
      <c r="H2403" s="219"/>
      <c r="I2403" s="221"/>
      <c r="J2403" s="30"/>
      <c r="K2403" s="221"/>
      <c r="L2403" s="117"/>
      <c r="M2403" s="3"/>
      <c r="N2403" s="15" t="s">
        <v>118</v>
      </c>
      <c r="O2403" s="186" t="s">
        <v>176</v>
      </c>
      <c r="P2403" s="205"/>
      <c r="Q2403" s="198"/>
      <c r="R2403" s="189"/>
      <c r="S2403" s="28">
        <f>M2397</f>
        <v>7</v>
      </c>
      <c r="T2403" s="11"/>
      <c r="U2403" s="12"/>
      <c r="V2403" s="14" t="e">
        <f>U2403*#REF!</f>
        <v>#REF!</v>
      </c>
      <c r="W2403" s="14"/>
      <c r="X2403" s="26"/>
      <c r="Y2403" s="13"/>
      <c r="Z2403" s="68" t="e">
        <f>VLOOKUP(Takeoffs!Y2403,Sheet1!$B$6:$C$124,2,FALSE)</f>
        <v>#N/A</v>
      </c>
      <c r="AA2403" s="68"/>
      <c r="AB2403" s="18"/>
      <c r="AC2403" s="18"/>
      <c r="AD2403" s="18"/>
      <c r="AE2403" s="60"/>
      <c r="AF2403" s="13"/>
      <c r="AG2403" s="68" t="e">
        <f>VLOOKUP(Takeoffs!AF2403,Sheet1!$B$6:$C$124,2,FALSE)</f>
        <v>#N/A</v>
      </c>
      <c r="AH2403" s="68"/>
      <c r="AI2403" s="18"/>
      <c r="AJ2403" s="18"/>
      <c r="AK2403" s="18"/>
      <c r="AL2403" s="60"/>
      <c r="AO2403" s="286"/>
      <c r="AP2403" s="284">
        <f t="shared" si="998"/>
        <v>0</v>
      </c>
      <c r="AQ2403" s="281">
        <f t="shared" si="999"/>
        <v>0</v>
      </c>
      <c r="AR2403" s="284">
        <f t="shared" si="1000"/>
        <v>0</v>
      </c>
      <c r="AS2403" s="281">
        <f t="shared" si="1001"/>
        <v>0</v>
      </c>
      <c r="AT2403" s="284">
        <f t="shared" si="1002"/>
        <v>0</v>
      </c>
    </row>
    <row r="2404" spans="1:46" customFormat="1" ht="15" customHeight="1" x14ac:dyDescent="0.8">
      <c r="A2404" s="262">
        <f t="shared" si="1003"/>
        <v>2404</v>
      </c>
      <c r="B2404" s="114"/>
      <c r="C2404" s="208"/>
      <c r="D2404" s="208"/>
      <c r="E2404" s="219"/>
      <c r="F2404" s="219"/>
      <c r="G2404" s="219"/>
      <c r="H2404" s="219"/>
      <c r="I2404" s="221"/>
      <c r="J2404" s="30"/>
      <c r="K2404" s="221"/>
      <c r="L2404" s="117"/>
      <c r="N2404" s="15" t="s">
        <v>119</v>
      </c>
      <c r="O2404" s="186"/>
      <c r="P2404" s="205"/>
      <c r="Q2404" s="198"/>
      <c r="R2404" s="189"/>
      <c r="S2404" s="28">
        <f>M2397</f>
        <v>7</v>
      </c>
      <c r="T2404" s="11"/>
      <c r="U2404" s="12"/>
      <c r="V2404" s="14" t="e">
        <f>U2404*#REF!</f>
        <v>#REF!</v>
      </c>
      <c r="W2404" s="14"/>
      <c r="X2404" s="26"/>
      <c r="Y2404" s="13"/>
      <c r="Z2404" s="68" t="e">
        <f>VLOOKUP(Takeoffs!Y2404,Sheet1!$B$6:$C$124,2,FALSE)</f>
        <v>#N/A</v>
      </c>
      <c r="AA2404" s="68"/>
      <c r="AB2404" s="18"/>
      <c r="AC2404" s="18"/>
      <c r="AD2404" s="18"/>
      <c r="AE2404" s="60"/>
      <c r="AF2404" s="13"/>
      <c r="AG2404" s="68" t="e">
        <f>VLOOKUP(Takeoffs!AF2404,Sheet1!$B$6:$C$124,2,FALSE)</f>
        <v>#N/A</v>
      </c>
      <c r="AH2404" s="68"/>
      <c r="AI2404" s="18"/>
      <c r="AJ2404" s="18"/>
      <c r="AK2404" s="18"/>
      <c r="AL2404" s="60"/>
      <c r="AO2404" s="286"/>
      <c r="AP2404" s="284">
        <f t="shared" si="998"/>
        <v>0</v>
      </c>
      <c r="AQ2404" s="281">
        <f t="shared" si="999"/>
        <v>0</v>
      </c>
      <c r="AR2404" s="284">
        <f t="shared" si="1000"/>
        <v>0</v>
      </c>
      <c r="AS2404" s="281">
        <f t="shared" si="1001"/>
        <v>0</v>
      </c>
      <c r="AT2404" s="284">
        <f t="shared" si="1002"/>
        <v>0</v>
      </c>
    </row>
    <row r="2405" spans="1:46" customFormat="1" ht="15" customHeight="1" x14ac:dyDescent="0.8">
      <c r="A2405" s="262">
        <f t="shared" si="1003"/>
        <v>2405</v>
      </c>
      <c r="B2405" s="114"/>
      <c r="C2405" s="208"/>
      <c r="D2405" s="208"/>
      <c r="E2405" s="219"/>
      <c r="F2405" s="219"/>
      <c r="G2405" s="219"/>
      <c r="H2405" s="219"/>
      <c r="I2405" s="221"/>
      <c r="J2405" s="30"/>
      <c r="K2405" s="221"/>
      <c r="L2405" s="117"/>
      <c r="N2405" s="15" t="s">
        <v>120</v>
      </c>
      <c r="O2405" s="186"/>
      <c r="P2405" s="205"/>
      <c r="Q2405" s="198"/>
      <c r="R2405" s="189"/>
      <c r="S2405" s="28">
        <f>M2397</f>
        <v>7</v>
      </c>
      <c r="T2405" s="11"/>
      <c r="U2405" s="12"/>
      <c r="V2405" s="14" t="e">
        <f>U2405*#REF!</f>
        <v>#REF!</v>
      </c>
      <c r="W2405" s="14"/>
      <c r="X2405" s="26"/>
      <c r="Y2405" s="13"/>
      <c r="Z2405" s="68" t="e">
        <f>VLOOKUP(Takeoffs!Y2405,Sheet1!$B$6:$C$124,2,FALSE)</f>
        <v>#N/A</v>
      </c>
      <c r="AA2405" s="68"/>
      <c r="AB2405" s="18"/>
      <c r="AC2405" s="18"/>
      <c r="AD2405" s="18"/>
      <c r="AE2405" s="60"/>
      <c r="AF2405" s="13"/>
      <c r="AG2405" s="68" t="e">
        <f>VLOOKUP(Takeoffs!AF2405,Sheet1!$B$6:$C$124,2,FALSE)</f>
        <v>#N/A</v>
      </c>
      <c r="AH2405" s="68"/>
      <c r="AI2405" s="18"/>
      <c r="AJ2405" s="18"/>
      <c r="AK2405" s="18"/>
      <c r="AL2405" s="60"/>
      <c r="AO2405" s="286"/>
      <c r="AP2405" s="284">
        <f t="shared" si="998"/>
        <v>0</v>
      </c>
      <c r="AQ2405" s="281">
        <f t="shared" si="999"/>
        <v>0</v>
      </c>
      <c r="AR2405" s="284">
        <f t="shared" si="1000"/>
        <v>0</v>
      </c>
      <c r="AS2405" s="281">
        <f t="shared" si="1001"/>
        <v>0</v>
      </c>
      <c r="AT2405" s="284">
        <f t="shared" si="1002"/>
        <v>0</v>
      </c>
    </row>
    <row r="2406" spans="1:46" customFormat="1" ht="15" customHeight="1" x14ac:dyDescent="0.8">
      <c r="A2406" s="262">
        <f t="shared" si="1003"/>
        <v>2406</v>
      </c>
      <c r="B2406" s="114"/>
      <c r="C2406" s="208"/>
      <c r="D2406" s="208"/>
      <c r="E2406" s="219"/>
      <c r="F2406" s="219"/>
      <c r="G2406" s="219"/>
      <c r="H2406" s="219"/>
      <c r="I2406" s="221"/>
      <c r="J2406" s="30"/>
      <c r="K2406" s="221"/>
      <c r="L2406" s="117"/>
      <c r="N2406" s="15" t="s">
        <v>121</v>
      </c>
      <c r="O2406" s="186"/>
      <c r="P2406" s="205"/>
      <c r="Q2406" s="198"/>
      <c r="R2406" s="189"/>
      <c r="S2406" s="28">
        <f>M2397</f>
        <v>7</v>
      </c>
      <c r="T2406" s="11"/>
      <c r="U2406" s="12"/>
      <c r="V2406" s="14" t="e">
        <f>U2406*#REF!</f>
        <v>#REF!</v>
      </c>
      <c r="W2406" s="14"/>
      <c r="X2406" s="26"/>
      <c r="Y2406" s="13"/>
      <c r="Z2406" s="68" t="e">
        <f>VLOOKUP(Takeoffs!Y2406,Sheet1!$B$6:$C$124,2,FALSE)</f>
        <v>#N/A</v>
      </c>
      <c r="AA2406" s="68"/>
      <c r="AB2406" s="18"/>
      <c r="AC2406" s="18"/>
      <c r="AD2406" s="18"/>
      <c r="AE2406" s="60"/>
      <c r="AF2406" s="13"/>
      <c r="AG2406" s="68" t="e">
        <f>VLOOKUP(Takeoffs!AF2406,Sheet1!$B$6:$C$124,2,FALSE)</f>
        <v>#N/A</v>
      </c>
      <c r="AH2406" s="68"/>
      <c r="AI2406" s="18"/>
      <c r="AJ2406" s="18"/>
      <c r="AK2406" s="18"/>
      <c r="AL2406" s="60"/>
      <c r="AO2406" s="286"/>
      <c r="AP2406" s="284">
        <f t="shared" si="998"/>
        <v>0</v>
      </c>
      <c r="AQ2406" s="281">
        <f t="shared" si="999"/>
        <v>0</v>
      </c>
      <c r="AR2406" s="284">
        <f t="shared" si="1000"/>
        <v>0</v>
      </c>
      <c r="AS2406" s="281">
        <f t="shared" si="1001"/>
        <v>0</v>
      </c>
      <c r="AT2406" s="284">
        <f t="shared" si="1002"/>
        <v>0</v>
      </c>
    </row>
    <row r="2407" spans="1:46" customFormat="1" ht="15" customHeight="1" x14ac:dyDescent="0.8">
      <c r="A2407" s="262">
        <f t="shared" si="1003"/>
        <v>2407</v>
      </c>
      <c r="B2407" s="114"/>
      <c r="C2407" s="208"/>
      <c r="D2407" s="208"/>
      <c r="E2407" s="219"/>
      <c r="F2407" s="219"/>
      <c r="G2407" s="219"/>
      <c r="H2407" s="219"/>
      <c r="I2407" s="221"/>
      <c r="J2407" s="30"/>
      <c r="K2407" s="221"/>
      <c r="L2407" s="117"/>
      <c r="N2407" s="15" t="s">
        <v>122</v>
      </c>
      <c r="O2407" s="186"/>
      <c r="P2407" s="205"/>
      <c r="Q2407" s="198"/>
      <c r="R2407" s="189"/>
      <c r="S2407" s="28">
        <f>M2397</f>
        <v>7</v>
      </c>
      <c r="T2407" s="11"/>
      <c r="U2407" s="12"/>
      <c r="V2407" s="14" t="e">
        <f>U2407*#REF!</f>
        <v>#REF!</v>
      </c>
      <c r="W2407" s="14"/>
      <c r="X2407" s="26"/>
      <c r="Y2407" s="13"/>
      <c r="Z2407" s="68" t="e">
        <f>VLOOKUP(Takeoffs!Y2407,Sheet1!$B$6:$C$124,2,FALSE)</f>
        <v>#N/A</v>
      </c>
      <c r="AA2407" s="68"/>
      <c r="AB2407" s="18"/>
      <c r="AC2407" s="18"/>
      <c r="AD2407" s="18"/>
      <c r="AE2407" s="60"/>
      <c r="AF2407" s="13"/>
      <c r="AG2407" s="68" t="e">
        <f>VLOOKUP(Takeoffs!AF2407,Sheet1!$B$6:$C$124,2,FALSE)</f>
        <v>#N/A</v>
      </c>
      <c r="AH2407" s="68"/>
      <c r="AI2407" s="18"/>
      <c r="AJ2407" s="18"/>
      <c r="AK2407" s="18"/>
      <c r="AL2407" s="60"/>
      <c r="AO2407" s="286"/>
      <c r="AP2407" s="284">
        <f t="shared" si="998"/>
        <v>0</v>
      </c>
      <c r="AQ2407" s="281">
        <f t="shared" si="999"/>
        <v>0</v>
      </c>
      <c r="AR2407" s="284">
        <f t="shared" si="1000"/>
        <v>0</v>
      </c>
      <c r="AS2407" s="281">
        <f t="shared" si="1001"/>
        <v>0</v>
      </c>
      <c r="AT2407" s="284">
        <f t="shared" si="1002"/>
        <v>0</v>
      </c>
    </row>
    <row r="2408" spans="1:46" customFormat="1" ht="15" customHeight="1" x14ac:dyDescent="0.8">
      <c r="A2408" s="262">
        <f t="shared" si="1003"/>
        <v>2408</v>
      </c>
      <c r="B2408" s="114"/>
      <c r="C2408" s="208"/>
      <c r="D2408" s="208"/>
      <c r="E2408" s="219"/>
      <c r="F2408" s="219"/>
      <c r="G2408" s="219"/>
      <c r="H2408" s="219"/>
      <c r="I2408" s="221"/>
      <c r="J2408" s="30"/>
      <c r="K2408" s="221"/>
      <c r="L2408" s="117"/>
      <c r="N2408" s="15" t="s">
        <v>123</v>
      </c>
      <c r="O2408" s="186"/>
      <c r="P2408" s="205"/>
      <c r="Q2408" s="198"/>
      <c r="R2408" s="189"/>
      <c r="S2408" s="28">
        <f>M2397</f>
        <v>7</v>
      </c>
      <c r="T2408" s="11"/>
      <c r="U2408" s="12"/>
      <c r="V2408" s="14" t="e">
        <f>U2408*#REF!</f>
        <v>#REF!</v>
      </c>
      <c r="W2408" s="14"/>
      <c r="X2408" s="26"/>
      <c r="Y2408" s="13"/>
      <c r="Z2408" s="68" t="e">
        <f>VLOOKUP(Takeoffs!Y2408,Sheet1!$B$6:$C$124,2,FALSE)</f>
        <v>#N/A</v>
      </c>
      <c r="AA2408" s="68"/>
      <c r="AB2408" s="18"/>
      <c r="AC2408" s="18"/>
      <c r="AD2408" s="18"/>
      <c r="AE2408" s="60"/>
      <c r="AF2408" s="13"/>
      <c r="AG2408" s="68" t="e">
        <f>VLOOKUP(Takeoffs!AF2408,Sheet1!$B$6:$C$124,2,FALSE)</f>
        <v>#N/A</v>
      </c>
      <c r="AH2408" s="68"/>
      <c r="AI2408" s="18"/>
      <c r="AJ2408" s="18"/>
      <c r="AK2408" s="18"/>
      <c r="AL2408" s="60"/>
      <c r="AO2408" s="286"/>
      <c r="AP2408" s="284">
        <f t="shared" si="998"/>
        <v>0</v>
      </c>
      <c r="AQ2408" s="281">
        <f t="shared" si="999"/>
        <v>0</v>
      </c>
      <c r="AR2408" s="284">
        <f t="shared" si="1000"/>
        <v>0</v>
      </c>
      <c r="AS2408" s="281">
        <f t="shared" si="1001"/>
        <v>0</v>
      </c>
      <c r="AT2408" s="284">
        <f t="shared" si="1002"/>
        <v>0</v>
      </c>
    </row>
    <row r="2409" spans="1:46" customFormat="1" ht="15" customHeight="1" x14ac:dyDescent="0.8">
      <c r="A2409" s="262">
        <f t="shared" si="1003"/>
        <v>2409</v>
      </c>
      <c r="B2409" s="114"/>
      <c r="C2409" s="208"/>
      <c r="D2409" s="208"/>
      <c r="E2409" s="219"/>
      <c r="F2409" s="219"/>
      <c r="G2409" s="219"/>
      <c r="H2409" s="219"/>
      <c r="I2409" s="221"/>
      <c r="J2409" s="30"/>
      <c r="K2409" s="221"/>
      <c r="L2409" s="117"/>
      <c r="N2409" s="15" t="s">
        <v>124</v>
      </c>
      <c r="O2409" s="186"/>
      <c r="P2409" s="205"/>
      <c r="Q2409" s="198"/>
      <c r="R2409" s="189"/>
      <c r="S2409" s="28">
        <f>M2397</f>
        <v>7</v>
      </c>
      <c r="T2409" s="11"/>
      <c r="U2409" s="12"/>
      <c r="V2409" s="14" t="e">
        <f>U2409*#REF!</f>
        <v>#REF!</v>
      </c>
      <c r="W2409" s="14"/>
      <c r="X2409" s="26"/>
      <c r="Y2409" s="13"/>
      <c r="Z2409" s="68" t="e">
        <f>VLOOKUP(Takeoffs!Y2409,Sheet1!$B$6:$C$124,2,FALSE)</f>
        <v>#N/A</v>
      </c>
      <c r="AA2409" s="68"/>
      <c r="AB2409" s="18"/>
      <c r="AC2409" s="18"/>
      <c r="AD2409" s="18"/>
      <c r="AE2409" s="60"/>
      <c r="AF2409" s="13"/>
      <c r="AG2409" s="68" t="e">
        <f>VLOOKUP(Takeoffs!AF2409,Sheet1!$B$6:$C$124,2,FALSE)</f>
        <v>#N/A</v>
      </c>
      <c r="AH2409" s="68"/>
      <c r="AI2409" s="18"/>
      <c r="AJ2409" s="18"/>
      <c r="AK2409" s="18"/>
      <c r="AL2409" s="60"/>
      <c r="AO2409" s="286"/>
      <c r="AP2409" s="284">
        <f t="shared" si="998"/>
        <v>0</v>
      </c>
      <c r="AQ2409" s="281">
        <f t="shared" si="999"/>
        <v>0</v>
      </c>
      <c r="AR2409" s="284">
        <f t="shared" si="1000"/>
        <v>0</v>
      </c>
      <c r="AS2409" s="281">
        <f t="shared" si="1001"/>
        <v>0</v>
      </c>
      <c r="AT2409" s="284">
        <f t="shared" si="1002"/>
        <v>0</v>
      </c>
    </row>
    <row r="2410" spans="1:46" customFormat="1" ht="15" customHeight="1" x14ac:dyDescent="0.8">
      <c r="A2410" s="262">
        <f t="shared" si="1003"/>
        <v>2410</v>
      </c>
      <c r="B2410" s="114"/>
      <c r="C2410" s="208"/>
      <c r="D2410" s="208"/>
      <c r="E2410" s="219"/>
      <c r="F2410" s="219"/>
      <c r="G2410" s="219"/>
      <c r="H2410" s="219"/>
      <c r="I2410" s="221"/>
      <c r="J2410" s="30"/>
      <c r="K2410" s="221"/>
      <c r="L2410" s="117"/>
      <c r="N2410" s="15" t="s">
        <v>125</v>
      </c>
      <c r="O2410" s="186"/>
      <c r="P2410" s="205"/>
      <c r="Q2410" s="198"/>
      <c r="R2410" s="189"/>
      <c r="S2410" s="28">
        <f>M2397</f>
        <v>7</v>
      </c>
      <c r="T2410" s="11"/>
      <c r="U2410" s="12"/>
      <c r="V2410" s="14" t="e">
        <f>U2410*#REF!</f>
        <v>#REF!</v>
      </c>
      <c r="W2410" s="14"/>
      <c r="X2410" s="26"/>
      <c r="Y2410" s="13"/>
      <c r="Z2410" s="68" t="e">
        <f>VLOOKUP(Takeoffs!Y2410,Sheet1!$B$6:$C$124,2,FALSE)</f>
        <v>#N/A</v>
      </c>
      <c r="AA2410" s="68"/>
      <c r="AB2410" s="18"/>
      <c r="AC2410" s="18"/>
      <c r="AD2410" s="18"/>
      <c r="AE2410" s="60"/>
      <c r="AF2410" s="13"/>
      <c r="AG2410" s="68" t="e">
        <f>VLOOKUP(Takeoffs!AF2410,Sheet1!$B$6:$C$124,2,FALSE)</f>
        <v>#N/A</v>
      </c>
      <c r="AH2410" s="68"/>
      <c r="AI2410" s="18"/>
      <c r="AJ2410" s="18"/>
      <c r="AK2410" s="18"/>
      <c r="AL2410" s="60"/>
      <c r="AO2410" s="286"/>
      <c r="AP2410" s="284">
        <f t="shared" ref="AP2410:AP2473" si="1004">IF(I2410&gt;0,P2410,0)</f>
        <v>0</v>
      </c>
      <c r="AQ2410" s="281">
        <f t="shared" ref="AQ2410:AQ2473" si="1005">IF(I2410&gt;0,W2410,0)</f>
        <v>0</v>
      </c>
      <c r="AR2410" s="284">
        <f t="shared" ref="AR2410:AR2473" si="1006">IF(I2410&gt;0,AA2410,0)</f>
        <v>0</v>
      </c>
      <c r="AS2410" s="281">
        <f t="shared" ref="AS2410:AS2473" si="1007">IF(I2410&gt;0,AH2410,0)</f>
        <v>0</v>
      </c>
      <c r="AT2410" s="284">
        <f t="shared" ref="AT2410:AT2473" si="1008">IF(I2410&gt;0,AP2410-(AQ2410+AR2410+AS2410),0)</f>
        <v>0</v>
      </c>
    </row>
    <row r="2411" spans="1:46" customFormat="1" ht="15" customHeight="1" x14ac:dyDescent="0.8">
      <c r="A2411" s="262">
        <f t="shared" si="1003"/>
        <v>2411</v>
      </c>
      <c r="B2411" s="114"/>
      <c r="C2411" s="208"/>
      <c r="D2411" s="208"/>
      <c r="E2411" s="219"/>
      <c r="F2411" s="219"/>
      <c r="G2411" s="219"/>
      <c r="H2411" s="219"/>
      <c r="I2411" s="221"/>
      <c r="J2411" s="30"/>
      <c r="K2411" s="221"/>
      <c r="L2411" s="117"/>
      <c r="N2411" s="15" t="s">
        <v>126</v>
      </c>
      <c r="O2411" s="186"/>
      <c r="P2411" s="205"/>
      <c r="Q2411" s="198"/>
      <c r="R2411" s="189"/>
      <c r="S2411" s="28">
        <f>M2397</f>
        <v>7</v>
      </c>
      <c r="T2411" s="11"/>
      <c r="U2411" s="12"/>
      <c r="V2411" s="14" t="e">
        <f>U2411*#REF!</f>
        <v>#REF!</v>
      </c>
      <c r="W2411" s="14"/>
      <c r="X2411" s="26"/>
      <c r="Y2411" s="13"/>
      <c r="Z2411" s="68" t="e">
        <f>VLOOKUP(Takeoffs!Y2411,Sheet1!$B$6:$C$124,2,FALSE)</f>
        <v>#N/A</v>
      </c>
      <c r="AA2411" s="68"/>
      <c r="AB2411" s="18"/>
      <c r="AC2411" s="18"/>
      <c r="AD2411" s="18"/>
      <c r="AE2411" s="60"/>
      <c r="AF2411" s="13"/>
      <c r="AG2411" s="68" t="e">
        <f>VLOOKUP(Takeoffs!AF2411,Sheet1!$B$6:$C$124,2,FALSE)</f>
        <v>#N/A</v>
      </c>
      <c r="AH2411" s="68"/>
      <c r="AI2411" s="18"/>
      <c r="AJ2411" s="18"/>
      <c r="AK2411" s="18"/>
      <c r="AL2411" s="60"/>
      <c r="AO2411" s="286"/>
      <c r="AP2411" s="284">
        <f t="shared" si="1004"/>
        <v>0</v>
      </c>
      <c r="AQ2411" s="281">
        <f t="shared" si="1005"/>
        <v>0</v>
      </c>
      <c r="AR2411" s="284">
        <f t="shared" si="1006"/>
        <v>0</v>
      </c>
      <c r="AS2411" s="281">
        <f t="shared" si="1007"/>
        <v>0</v>
      </c>
      <c r="AT2411" s="284">
        <f t="shared" si="1008"/>
        <v>0</v>
      </c>
    </row>
    <row r="2412" spans="1:46" customFormat="1" ht="15" customHeight="1" x14ac:dyDescent="0.8">
      <c r="A2412" s="262">
        <f t="shared" si="1003"/>
        <v>2412</v>
      </c>
      <c r="B2412" s="114"/>
      <c r="C2412" s="208"/>
      <c r="D2412" s="208"/>
      <c r="E2412" s="219"/>
      <c r="F2412" s="219"/>
      <c r="G2412" s="219"/>
      <c r="H2412" s="219"/>
      <c r="I2412" s="221"/>
      <c r="J2412" s="30"/>
      <c r="K2412" s="221"/>
      <c r="L2412" s="117"/>
      <c r="N2412" s="15" t="s">
        <v>127</v>
      </c>
      <c r="O2412" s="186"/>
      <c r="P2412" s="205"/>
      <c r="Q2412" s="198"/>
      <c r="R2412" s="189"/>
      <c r="S2412" s="28">
        <f>M2397</f>
        <v>7</v>
      </c>
      <c r="T2412" s="11"/>
      <c r="U2412" s="12"/>
      <c r="V2412" s="14" t="e">
        <f>U2412*#REF!</f>
        <v>#REF!</v>
      </c>
      <c r="W2412" s="14"/>
      <c r="X2412" s="26"/>
      <c r="Y2412" s="13"/>
      <c r="Z2412" s="68" t="e">
        <f>VLOOKUP(Takeoffs!Y2412,Sheet1!$B$6:$C$124,2,FALSE)</f>
        <v>#N/A</v>
      </c>
      <c r="AA2412" s="68"/>
      <c r="AB2412" s="18"/>
      <c r="AC2412" s="18"/>
      <c r="AD2412" s="18"/>
      <c r="AE2412" s="60"/>
      <c r="AF2412" s="13"/>
      <c r="AG2412" s="68" t="e">
        <f>VLOOKUP(Takeoffs!AF2412,Sheet1!$B$6:$C$124,2,FALSE)</f>
        <v>#N/A</v>
      </c>
      <c r="AH2412" s="68"/>
      <c r="AI2412" s="18"/>
      <c r="AJ2412" s="18"/>
      <c r="AK2412" s="18"/>
      <c r="AL2412" s="60"/>
      <c r="AO2412" s="286"/>
      <c r="AP2412" s="284">
        <f t="shared" si="1004"/>
        <v>0</v>
      </c>
      <c r="AQ2412" s="281">
        <f t="shared" si="1005"/>
        <v>0</v>
      </c>
      <c r="AR2412" s="284">
        <f t="shared" si="1006"/>
        <v>0</v>
      </c>
      <c r="AS2412" s="281">
        <f t="shared" si="1007"/>
        <v>0</v>
      </c>
      <c r="AT2412" s="284">
        <f t="shared" si="1008"/>
        <v>0</v>
      </c>
    </row>
    <row r="2413" spans="1:46" customFormat="1" ht="15" customHeight="1" x14ac:dyDescent="0.8">
      <c r="A2413" s="262">
        <f t="shared" si="1003"/>
        <v>2413</v>
      </c>
      <c r="B2413" s="114"/>
      <c r="C2413" s="208"/>
      <c r="D2413" s="208"/>
      <c r="E2413" s="219"/>
      <c r="F2413" s="219"/>
      <c r="G2413" s="219"/>
      <c r="H2413" s="219"/>
      <c r="I2413" s="221"/>
      <c r="J2413" s="30"/>
      <c r="K2413" s="221"/>
      <c r="L2413" s="117"/>
      <c r="N2413" s="15" t="s">
        <v>128</v>
      </c>
      <c r="O2413" s="186"/>
      <c r="P2413" s="205"/>
      <c r="Q2413" s="198"/>
      <c r="R2413" s="189"/>
      <c r="S2413" s="28">
        <f>M2397</f>
        <v>7</v>
      </c>
      <c r="T2413" s="11"/>
      <c r="U2413" s="12"/>
      <c r="V2413" s="14" t="e">
        <f>U2413*#REF!</f>
        <v>#REF!</v>
      </c>
      <c r="W2413" s="14"/>
      <c r="X2413" s="26"/>
      <c r="Y2413" s="13"/>
      <c r="Z2413" s="68" t="e">
        <f>VLOOKUP(Takeoffs!Y2413,Sheet1!$B$6:$C$124,2,FALSE)</f>
        <v>#N/A</v>
      </c>
      <c r="AA2413" s="68"/>
      <c r="AB2413" s="18"/>
      <c r="AC2413" s="18"/>
      <c r="AD2413" s="18"/>
      <c r="AE2413" s="60"/>
      <c r="AF2413" s="13"/>
      <c r="AG2413" s="68" t="e">
        <f>VLOOKUP(Takeoffs!AF2413,Sheet1!$B$6:$C$124,2,FALSE)</f>
        <v>#N/A</v>
      </c>
      <c r="AH2413" s="68"/>
      <c r="AI2413" s="18"/>
      <c r="AJ2413" s="18"/>
      <c r="AK2413" s="18"/>
      <c r="AL2413" s="60"/>
      <c r="AO2413" s="286"/>
      <c r="AP2413" s="284">
        <f t="shared" si="1004"/>
        <v>0</v>
      </c>
      <c r="AQ2413" s="281">
        <f t="shared" si="1005"/>
        <v>0</v>
      </c>
      <c r="AR2413" s="284">
        <f t="shared" si="1006"/>
        <v>0</v>
      </c>
      <c r="AS2413" s="281">
        <f t="shared" si="1007"/>
        <v>0</v>
      </c>
      <c r="AT2413" s="284">
        <f t="shared" si="1008"/>
        <v>0</v>
      </c>
    </row>
    <row r="2414" spans="1:46" customFormat="1" ht="15" customHeight="1" x14ac:dyDescent="0.8">
      <c r="A2414" s="262">
        <f t="shared" si="1003"/>
        <v>2414</v>
      </c>
      <c r="B2414" s="114"/>
      <c r="C2414" s="208"/>
      <c r="D2414" s="208"/>
      <c r="E2414" s="219"/>
      <c r="F2414" s="219"/>
      <c r="G2414" s="219"/>
      <c r="H2414" s="219"/>
      <c r="I2414" s="221"/>
      <c r="J2414" s="30"/>
      <c r="K2414" s="221"/>
      <c r="L2414" s="117"/>
      <c r="N2414" s="15" t="s">
        <v>129</v>
      </c>
      <c r="O2414" s="186"/>
      <c r="P2414" s="205"/>
      <c r="Q2414" s="198"/>
      <c r="R2414" s="189"/>
      <c r="S2414" s="28">
        <f>M2397</f>
        <v>7</v>
      </c>
      <c r="T2414" s="11"/>
      <c r="U2414" s="12"/>
      <c r="V2414" s="14" t="e">
        <f>U2414*#REF!</f>
        <v>#REF!</v>
      </c>
      <c r="W2414" s="14"/>
      <c r="X2414" s="26"/>
      <c r="Y2414" s="13"/>
      <c r="Z2414" s="68" t="e">
        <f>VLOOKUP(Takeoffs!Y2414,Sheet1!$B$6:$C$124,2,FALSE)</f>
        <v>#N/A</v>
      </c>
      <c r="AA2414" s="68"/>
      <c r="AB2414" s="18"/>
      <c r="AC2414" s="18"/>
      <c r="AD2414" s="18"/>
      <c r="AE2414" s="60"/>
      <c r="AF2414" s="13"/>
      <c r="AG2414" s="68" t="e">
        <f>VLOOKUP(Takeoffs!AF2414,Sheet1!$B$6:$C$124,2,FALSE)</f>
        <v>#N/A</v>
      </c>
      <c r="AH2414" s="68"/>
      <c r="AI2414" s="18"/>
      <c r="AJ2414" s="18"/>
      <c r="AK2414" s="18"/>
      <c r="AL2414" s="60"/>
      <c r="AO2414" s="286"/>
      <c r="AP2414" s="284">
        <f t="shared" si="1004"/>
        <v>0</v>
      </c>
      <c r="AQ2414" s="281">
        <f t="shared" si="1005"/>
        <v>0</v>
      </c>
      <c r="AR2414" s="284">
        <f t="shared" si="1006"/>
        <v>0</v>
      </c>
      <c r="AS2414" s="281">
        <f t="shared" si="1007"/>
        <v>0</v>
      </c>
      <c r="AT2414" s="284">
        <f t="shared" si="1008"/>
        <v>0</v>
      </c>
    </row>
    <row r="2415" spans="1:46" customFormat="1" ht="15" customHeight="1" x14ac:dyDescent="0.8">
      <c r="A2415" s="262">
        <f t="shared" si="1003"/>
        <v>2415</v>
      </c>
      <c r="B2415" s="114"/>
      <c r="C2415" s="208"/>
      <c r="D2415" s="208"/>
      <c r="E2415" s="219"/>
      <c r="F2415" s="219"/>
      <c r="G2415" s="219"/>
      <c r="H2415" s="219"/>
      <c r="I2415" s="221"/>
      <c r="J2415" s="30"/>
      <c r="K2415" s="221"/>
      <c r="L2415" s="117"/>
      <c r="N2415" s="15" t="s">
        <v>130</v>
      </c>
      <c r="O2415" s="186"/>
      <c r="P2415" s="205"/>
      <c r="Q2415" s="198"/>
      <c r="R2415" s="189"/>
      <c r="S2415" s="28">
        <f>M2397</f>
        <v>7</v>
      </c>
      <c r="T2415" s="11"/>
      <c r="U2415" s="12"/>
      <c r="V2415" s="14" t="e">
        <f>U2415*#REF!</f>
        <v>#REF!</v>
      </c>
      <c r="W2415" s="14"/>
      <c r="X2415" s="26"/>
      <c r="Y2415" s="13"/>
      <c r="Z2415" s="68" t="e">
        <f>VLOOKUP(Takeoffs!Y2415,Sheet1!$B$6:$C$124,2,FALSE)</f>
        <v>#N/A</v>
      </c>
      <c r="AA2415" s="68"/>
      <c r="AB2415" s="18"/>
      <c r="AC2415" s="18"/>
      <c r="AD2415" s="18"/>
      <c r="AE2415" s="60"/>
      <c r="AF2415" s="13"/>
      <c r="AG2415" s="68" t="e">
        <f>VLOOKUP(Takeoffs!AF2415,Sheet1!$B$6:$C$124,2,FALSE)</f>
        <v>#N/A</v>
      </c>
      <c r="AH2415" s="68"/>
      <c r="AI2415" s="18"/>
      <c r="AJ2415" s="18"/>
      <c r="AK2415" s="18"/>
      <c r="AL2415" s="60"/>
      <c r="AO2415" s="286"/>
      <c r="AP2415" s="284">
        <f t="shared" si="1004"/>
        <v>0</v>
      </c>
      <c r="AQ2415" s="281">
        <f t="shared" si="1005"/>
        <v>0</v>
      </c>
      <c r="AR2415" s="284">
        <f t="shared" si="1006"/>
        <v>0</v>
      </c>
      <c r="AS2415" s="281">
        <f t="shared" si="1007"/>
        <v>0</v>
      </c>
      <c r="AT2415" s="284">
        <f t="shared" si="1008"/>
        <v>0</v>
      </c>
    </row>
    <row r="2416" spans="1:46" customFormat="1" ht="15" customHeight="1" x14ac:dyDescent="0.8">
      <c r="A2416" s="262">
        <f t="shared" si="1003"/>
        <v>2416</v>
      </c>
      <c r="B2416" s="114"/>
      <c r="C2416" s="208"/>
      <c r="D2416" s="208"/>
      <c r="E2416" s="219"/>
      <c r="F2416" s="219"/>
      <c r="G2416" s="219"/>
      <c r="H2416" s="219"/>
      <c r="I2416" s="221"/>
      <c r="J2416" s="30"/>
      <c r="K2416" s="221"/>
      <c r="L2416" s="117"/>
      <c r="N2416" s="15" t="s">
        <v>131</v>
      </c>
      <c r="O2416" s="186"/>
      <c r="P2416" s="205"/>
      <c r="Q2416" s="198"/>
      <c r="R2416" s="189"/>
      <c r="S2416" s="28">
        <f>M2397</f>
        <v>7</v>
      </c>
      <c r="T2416" s="11"/>
      <c r="U2416" s="12"/>
      <c r="V2416" s="14" t="e">
        <f>U2416*#REF!</f>
        <v>#REF!</v>
      </c>
      <c r="W2416" s="14"/>
      <c r="X2416" s="26"/>
      <c r="Y2416" s="13"/>
      <c r="Z2416" s="68" t="e">
        <f>VLOOKUP(Takeoffs!Y2416,Sheet1!$B$6:$C$124,2,FALSE)</f>
        <v>#N/A</v>
      </c>
      <c r="AA2416" s="68"/>
      <c r="AB2416" s="18"/>
      <c r="AC2416" s="18"/>
      <c r="AD2416" s="18"/>
      <c r="AE2416" s="60"/>
      <c r="AF2416" s="13"/>
      <c r="AG2416" s="68" t="e">
        <f>VLOOKUP(Takeoffs!AF2416,Sheet1!$B$6:$C$124,2,FALSE)</f>
        <v>#N/A</v>
      </c>
      <c r="AH2416" s="68"/>
      <c r="AI2416" s="18"/>
      <c r="AJ2416" s="18"/>
      <c r="AK2416" s="18"/>
      <c r="AL2416" s="60"/>
      <c r="AO2416" s="286"/>
      <c r="AP2416" s="284">
        <f t="shared" si="1004"/>
        <v>0</v>
      </c>
      <c r="AQ2416" s="281">
        <f t="shared" si="1005"/>
        <v>0</v>
      </c>
      <c r="AR2416" s="284">
        <f t="shared" si="1006"/>
        <v>0</v>
      </c>
      <c r="AS2416" s="281">
        <f t="shared" si="1007"/>
        <v>0</v>
      </c>
      <c r="AT2416" s="284">
        <f t="shared" si="1008"/>
        <v>0</v>
      </c>
    </row>
    <row r="2417" spans="1:46" customFormat="1" ht="15" customHeight="1" x14ac:dyDescent="0.8">
      <c r="A2417" s="262">
        <f t="shared" si="1003"/>
        <v>2417</v>
      </c>
      <c r="B2417" s="114"/>
      <c r="C2417" s="208"/>
      <c r="D2417" s="208"/>
      <c r="E2417" s="219"/>
      <c r="F2417" s="219"/>
      <c r="G2417" s="219"/>
      <c r="H2417" s="219"/>
      <c r="I2417" s="221"/>
      <c r="J2417" s="30"/>
      <c r="K2417" s="221"/>
      <c r="L2417" s="117"/>
      <c r="N2417" s="15" t="s">
        <v>132</v>
      </c>
      <c r="O2417" s="186"/>
      <c r="P2417" s="205"/>
      <c r="Q2417" s="198"/>
      <c r="R2417" s="189"/>
      <c r="S2417" s="28">
        <f>M2397</f>
        <v>7</v>
      </c>
      <c r="T2417" s="11"/>
      <c r="U2417" s="12"/>
      <c r="V2417" s="14" t="e">
        <f>U2417*#REF!</f>
        <v>#REF!</v>
      </c>
      <c r="W2417" s="14"/>
      <c r="X2417" s="26"/>
      <c r="Y2417" s="13"/>
      <c r="Z2417" s="68" t="e">
        <f>VLOOKUP(Takeoffs!Y2417,Sheet1!$B$6:$C$124,2,FALSE)</f>
        <v>#N/A</v>
      </c>
      <c r="AA2417" s="68"/>
      <c r="AB2417" s="18"/>
      <c r="AC2417" s="18"/>
      <c r="AD2417" s="18"/>
      <c r="AE2417" s="60"/>
      <c r="AF2417" s="13"/>
      <c r="AG2417" s="68" t="e">
        <f>VLOOKUP(Takeoffs!AF2417,Sheet1!$B$6:$C$124,2,FALSE)</f>
        <v>#N/A</v>
      </c>
      <c r="AH2417" s="68"/>
      <c r="AI2417" s="18"/>
      <c r="AJ2417" s="18"/>
      <c r="AK2417" s="18"/>
      <c r="AL2417" s="60"/>
      <c r="AO2417" s="286"/>
      <c r="AP2417" s="284">
        <f t="shared" si="1004"/>
        <v>0</v>
      </c>
      <c r="AQ2417" s="281">
        <f t="shared" si="1005"/>
        <v>0</v>
      </c>
      <c r="AR2417" s="284">
        <f t="shared" si="1006"/>
        <v>0</v>
      </c>
      <c r="AS2417" s="281">
        <f t="shared" si="1007"/>
        <v>0</v>
      </c>
      <c r="AT2417" s="284">
        <f t="shared" si="1008"/>
        <v>0</v>
      </c>
    </row>
    <row r="2418" spans="1:46" s="21" customFormat="1" ht="33.75" customHeight="1" thickBot="1" x14ac:dyDescent="0.85">
      <c r="A2418" s="262">
        <f t="shared" si="1003"/>
        <v>2418</v>
      </c>
      <c r="B2418" s="128"/>
      <c r="C2418" s="212"/>
      <c r="D2418" s="212"/>
      <c r="E2418" s="220"/>
      <c r="F2418" s="220"/>
      <c r="G2418" s="220"/>
      <c r="H2418" s="220"/>
      <c r="I2418" s="221"/>
      <c r="K2418" s="223"/>
      <c r="L2418" s="130"/>
      <c r="N2418" s="22"/>
      <c r="O2418" s="187"/>
      <c r="P2418" s="206"/>
      <c r="Q2418" s="199"/>
      <c r="R2418" s="190"/>
      <c r="S2418" s="23"/>
      <c r="T2418" s="24"/>
      <c r="U2418" s="23"/>
      <c r="V2418" s="24"/>
      <c r="W2418" s="24"/>
      <c r="X2418" s="26"/>
      <c r="Y2418" s="24"/>
      <c r="Z2418" s="68" t="e">
        <f>VLOOKUP(Takeoffs!Y2418,Sheet1!$B$6:$C$124,2,FALSE)</f>
        <v>#N/A</v>
      </c>
      <c r="AA2418" s="68"/>
      <c r="AB2418" s="31"/>
      <c r="AC2418" s="31"/>
      <c r="AD2418" s="31"/>
      <c r="AE2418" s="60"/>
      <c r="AF2418" s="24"/>
      <c r="AG2418" s="68" t="e">
        <f>VLOOKUP(Takeoffs!AF2418,Sheet1!$B$6:$C$124,2,FALSE)</f>
        <v>#N/A</v>
      </c>
      <c r="AH2418" s="68"/>
      <c r="AI2418" s="31"/>
      <c r="AJ2418" s="31"/>
      <c r="AK2418" s="31"/>
      <c r="AL2418" s="60"/>
      <c r="AO2418" s="286"/>
      <c r="AP2418" s="284">
        <f t="shared" si="1004"/>
        <v>0</v>
      </c>
      <c r="AQ2418" s="281">
        <f t="shared" si="1005"/>
        <v>0</v>
      </c>
      <c r="AR2418" s="284">
        <f t="shared" si="1006"/>
        <v>0</v>
      </c>
      <c r="AS2418" s="281">
        <f t="shared" si="1007"/>
        <v>0</v>
      </c>
      <c r="AT2418" s="284">
        <f t="shared" si="1008"/>
        <v>0</v>
      </c>
    </row>
    <row r="2419" spans="1:46" customFormat="1" ht="30.9" x14ac:dyDescent="0.8">
      <c r="A2419" s="262">
        <f t="shared" si="1003"/>
        <v>2419</v>
      </c>
      <c r="B2419" s="114"/>
      <c r="C2419" s="208"/>
      <c r="D2419" s="208"/>
      <c r="E2419" s="219"/>
      <c r="F2419" s="219"/>
      <c r="G2419" s="219"/>
      <c r="H2419" s="219"/>
      <c r="I2419" s="223"/>
      <c r="K2419" s="221"/>
      <c r="L2419" s="117"/>
      <c r="P2419" s="201"/>
      <c r="Q2419" s="32"/>
      <c r="R2419" s="32"/>
      <c r="T2419" s="8"/>
      <c r="W2419" s="32"/>
      <c r="X2419" s="25"/>
      <c r="Z2419" s="68" t="e">
        <f>VLOOKUP(Takeoffs!Y2419,Sheet1!$B$6:$C$124,2,FALSE)</f>
        <v>#N/A</v>
      </c>
      <c r="AA2419" s="68"/>
      <c r="AB2419" s="32"/>
      <c r="AC2419" s="32"/>
      <c r="AD2419" s="32"/>
      <c r="AE2419" s="25"/>
      <c r="AF2419" s="32"/>
      <c r="AG2419" s="68" t="e">
        <f>VLOOKUP(Takeoffs!AF2419,Sheet1!$B$6:$C$124,2,FALSE)</f>
        <v>#N/A</v>
      </c>
      <c r="AH2419" s="68"/>
      <c r="AI2419" s="32"/>
      <c r="AJ2419" s="32"/>
      <c r="AK2419" s="32"/>
      <c r="AL2419" s="25"/>
      <c r="AO2419" s="286"/>
      <c r="AP2419" s="284">
        <f t="shared" si="1004"/>
        <v>0</v>
      </c>
      <c r="AQ2419" s="281">
        <f t="shared" si="1005"/>
        <v>0</v>
      </c>
      <c r="AR2419" s="284">
        <f t="shared" si="1006"/>
        <v>0</v>
      </c>
      <c r="AS2419" s="281">
        <f t="shared" si="1007"/>
        <v>0</v>
      </c>
      <c r="AT2419" s="284">
        <f t="shared" si="1008"/>
        <v>0</v>
      </c>
    </row>
    <row r="2420" spans="1:46" customFormat="1" ht="30.9" x14ac:dyDescent="0.8">
      <c r="A2420" s="262">
        <f t="shared" si="1003"/>
        <v>2420</v>
      </c>
      <c r="B2420" s="114"/>
      <c r="C2420" s="208"/>
      <c r="D2420" s="208"/>
      <c r="E2420" s="219"/>
      <c r="F2420" s="219"/>
      <c r="G2420" s="219"/>
      <c r="H2420" s="219"/>
      <c r="I2420" s="221"/>
      <c r="K2420" s="221"/>
      <c r="L2420" s="117"/>
      <c r="P2420" s="201"/>
      <c r="Q2420" s="32"/>
      <c r="R2420" s="32"/>
      <c r="T2420" s="8"/>
      <c r="W2420" s="32"/>
      <c r="X2420" s="25"/>
      <c r="Z2420" s="68" t="e">
        <f>VLOOKUP(Takeoffs!Y2420,Sheet1!$B$6:$C$124,2,FALSE)</f>
        <v>#N/A</v>
      </c>
      <c r="AA2420" s="68"/>
      <c r="AB2420" s="32"/>
      <c r="AC2420" s="32"/>
      <c r="AD2420" s="32"/>
      <c r="AE2420" s="25"/>
      <c r="AF2420" s="32"/>
      <c r="AG2420" s="68" t="e">
        <f>VLOOKUP(Takeoffs!AF2420,Sheet1!$B$6:$C$124,2,FALSE)</f>
        <v>#N/A</v>
      </c>
      <c r="AH2420" s="68"/>
      <c r="AI2420" s="32"/>
      <c r="AJ2420" s="32"/>
      <c r="AK2420" s="32"/>
      <c r="AL2420" s="25"/>
      <c r="AO2420" s="286"/>
      <c r="AP2420" s="284">
        <f t="shared" si="1004"/>
        <v>0</v>
      </c>
      <c r="AQ2420" s="281">
        <f t="shared" si="1005"/>
        <v>0</v>
      </c>
      <c r="AR2420" s="284">
        <f t="shared" si="1006"/>
        <v>0</v>
      </c>
      <c r="AS2420" s="281">
        <f t="shared" si="1007"/>
        <v>0</v>
      </c>
      <c r="AT2420" s="284">
        <f t="shared" si="1008"/>
        <v>0</v>
      </c>
    </row>
    <row r="2421" spans="1:46" s="2" customFormat="1" ht="62.25" customHeight="1" x14ac:dyDescent="0.8">
      <c r="A2421" s="262">
        <f t="shared" si="1003"/>
        <v>2421</v>
      </c>
      <c r="B2421" s="116"/>
      <c r="C2421" s="211"/>
      <c r="D2421" s="211"/>
      <c r="E2421" s="218"/>
      <c r="F2421" s="218"/>
      <c r="G2421" s="218"/>
      <c r="H2421" s="218"/>
      <c r="I2421" s="221"/>
      <c r="K2421" s="222"/>
      <c r="L2421" s="170"/>
      <c r="M2421" s="2" t="s">
        <v>107</v>
      </c>
      <c r="N2421" s="2" t="s">
        <v>108</v>
      </c>
      <c r="O2421" s="2" t="s">
        <v>4</v>
      </c>
      <c r="P2421" s="184" t="s">
        <v>5</v>
      </c>
      <c r="S2421" s="2" t="s">
        <v>0</v>
      </c>
      <c r="T2421" s="9"/>
      <c r="U2421" s="2" t="s">
        <v>109</v>
      </c>
      <c r="V2421" s="2" t="s">
        <v>110</v>
      </c>
      <c r="X2421" s="58"/>
      <c r="Y2421" s="2" t="s">
        <v>111</v>
      </c>
      <c r="Z2421" s="68" t="e">
        <f>VLOOKUP(Takeoffs!Y2421,Sheet1!$B$6:$C$124,2,FALSE)</f>
        <v>#N/A</v>
      </c>
      <c r="AA2421" s="68"/>
      <c r="AE2421" s="58"/>
      <c r="AF2421" s="2" t="s">
        <v>111</v>
      </c>
      <c r="AG2421" s="68" t="e">
        <f>VLOOKUP(Takeoffs!AF2421,Sheet1!$B$6:$C$124,2,FALSE)</f>
        <v>#N/A</v>
      </c>
      <c r="AH2421" s="68"/>
      <c r="AL2421" s="58"/>
      <c r="AO2421" s="288"/>
      <c r="AP2421" s="284">
        <f t="shared" si="1004"/>
        <v>0</v>
      </c>
      <c r="AQ2421" s="281">
        <f t="shared" si="1005"/>
        <v>0</v>
      </c>
      <c r="AR2421" s="284">
        <f t="shared" si="1006"/>
        <v>0</v>
      </c>
      <c r="AS2421" s="281">
        <f t="shared" si="1007"/>
        <v>0</v>
      </c>
      <c r="AT2421" s="284">
        <f t="shared" si="1008"/>
        <v>0</v>
      </c>
    </row>
    <row r="2422" spans="1:46" customFormat="1" ht="179.25" customHeight="1" x14ac:dyDescent="0.8">
      <c r="A2422" s="262">
        <f t="shared" ref="A2422:A2485" si="1009">A2421+1</f>
        <v>2422</v>
      </c>
      <c r="B2422" s="114"/>
      <c r="C2422" s="208"/>
      <c r="D2422" s="208"/>
      <c r="E2422" s="219"/>
      <c r="F2422" s="219"/>
      <c r="G2422" s="219"/>
      <c r="H2422" s="219"/>
      <c r="I2422" s="222"/>
      <c r="J2422" s="30" t="str">
        <f>CONCATENATE(O2422," ",L2422, " (",M2422,") ",N2422,". Each includes supply and install of ",O2423,O2424,O2425,O2426,O2427,O2428,O2429,O2430,O2431,O2432,O2433,O2434,O2435,O2436,O2437,O2438,O2439,O2440,O2441,O2442,)</f>
        <v>Electrical power supply and controls for  ten (10) timeclock controlled energy recovery ventilators. Each includes supply and install of circuit breaker, timeclock controller, control contacts, cabling and conduit fom MSSB and local isolator.</v>
      </c>
      <c r="K2422" s="221"/>
      <c r="L2422" s="123" t="str">
        <f>VLOOKUP(M2422,Sheet2!$D$2:$E$1024,2,FALSE)</f>
        <v>ten</v>
      </c>
      <c r="M2422" s="12">
        <v>10</v>
      </c>
      <c r="N2422" s="27" t="s">
        <v>177</v>
      </c>
      <c r="O2422" s="12" t="s">
        <v>154</v>
      </c>
      <c r="P2422" s="207"/>
      <c r="Q2422" s="12"/>
      <c r="R2422" s="12"/>
      <c r="S2422" s="28"/>
      <c r="T2422" s="10"/>
      <c r="U2422" s="12"/>
      <c r="V2422" s="14" t="e">
        <f>U2422*#REF!</f>
        <v>#REF!</v>
      </c>
      <c r="W2422" s="14"/>
      <c r="X2422" s="26"/>
      <c r="Y2422" s="13"/>
      <c r="Z2422" s="68" t="e">
        <f>VLOOKUP(Takeoffs!Y2422,Sheet1!$B$6:$C$124,2,FALSE)</f>
        <v>#N/A</v>
      </c>
      <c r="AA2422" s="68"/>
      <c r="AB2422" s="18"/>
      <c r="AC2422" s="18"/>
      <c r="AD2422" s="18"/>
      <c r="AE2422" s="60"/>
      <c r="AF2422" s="13"/>
      <c r="AG2422" s="68" t="e">
        <f>VLOOKUP(Takeoffs!AF2422,Sheet1!$B$6:$C$124,2,FALSE)</f>
        <v>#N/A</v>
      </c>
      <c r="AH2422" s="68"/>
      <c r="AI2422" s="18"/>
      <c r="AJ2422" s="18"/>
      <c r="AK2422" s="18"/>
      <c r="AL2422" s="60"/>
      <c r="AO2422" s="286"/>
      <c r="AP2422" s="284">
        <f t="shared" si="1004"/>
        <v>0</v>
      </c>
      <c r="AQ2422" s="281">
        <f t="shared" si="1005"/>
        <v>0</v>
      </c>
      <c r="AR2422" s="284">
        <f t="shared" si="1006"/>
        <v>0</v>
      </c>
      <c r="AS2422" s="281">
        <f t="shared" si="1007"/>
        <v>0</v>
      </c>
      <c r="AT2422" s="284">
        <f t="shared" si="1008"/>
        <v>0</v>
      </c>
    </row>
    <row r="2423" spans="1:46" customFormat="1" ht="15" customHeight="1" x14ac:dyDescent="0.8">
      <c r="A2423" s="262">
        <f t="shared" si="1009"/>
        <v>2423</v>
      </c>
      <c r="B2423" s="114"/>
      <c r="C2423" s="208"/>
      <c r="D2423" s="208"/>
      <c r="E2423" s="219"/>
      <c r="F2423" s="219"/>
      <c r="G2423" s="219"/>
      <c r="H2423" s="219"/>
      <c r="I2423" s="221"/>
      <c r="J2423" s="30"/>
      <c r="K2423" s="221"/>
      <c r="L2423" s="117"/>
      <c r="M2423" s="3"/>
      <c r="N2423" s="15" t="s">
        <v>113</v>
      </c>
      <c r="O2423" s="12" t="s">
        <v>151</v>
      </c>
      <c r="P2423" s="207"/>
      <c r="Q2423" s="12"/>
      <c r="R2423" s="12"/>
      <c r="S2423" s="28">
        <f>M2422</f>
        <v>10</v>
      </c>
      <c r="T2423" s="11"/>
      <c r="U2423" s="12"/>
      <c r="V2423" s="14" t="e">
        <f>U2423*#REF!</f>
        <v>#REF!</v>
      </c>
      <c r="W2423" s="14"/>
      <c r="X2423" s="26"/>
      <c r="Y2423" s="13"/>
      <c r="Z2423" s="68" t="e">
        <f>VLOOKUP(Takeoffs!Y2423,Sheet1!$B$6:$C$124,2,FALSE)</f>
        <v>#N/A</v>
      </c>
      <c r="AA2423" s="68"/>
      <c r="AB2423" s="18"/>
      <c r="AC2423" s="18"/>
      <c r="AD2423" s="18"/>
      <c r="AE2423" s="60"/>
      <c r="AF2423" s="13"/>
      <c r="AG2423" s="68" t="e">
        <f>VLOOKUP(Takeoffs!AF2423,Sheet1!$B$6:$C$124,2,FALSE)</f>
        <v>#N/A</v>
      </c>
      <c r="AH2423" s="68"/>
      <c r="AI2423" s="18"/>
      <c r="AJ2423" s="18"/>
      <c r="AK2423" s="18"/>
      <c r="AL2423" s="60"/>
      <c r="AO2423" s="286"/>
      <c r="AP2423" s="284">
        <f t="shared" si="1004"/>
        <v>0</v>
      </c>
      <c r="AQ2423" s="281">
        <f t="shared" si="1005"/>
        <v>0</v>
      </c>
      <c r="AR2423" s="284">
        <f t="shared" si="1006"/>
        <v>0</v>
      </c>
      <c r="AS2423" s="281">
        <f t="shared" si="1007"/>
        <v>0</v>
      </c>
      <c r="AT2423" s="284">
        <f t="shared" si="1008"/>
        <v>0</v>
      </c>
    </row>
    <row r="2424" spans="1:46" customFormat="1" ht="15" customHeight="1" x14ac:dyDescent="0.8">
      <c r="A2424" s="262">
        <f t="shared" si="1009"/>
        <v>2424</v>
      </c>
      <c r="B2424" s="114"/>
      <c r="C2424" s="208"/>
      <c r="D2424" s="208"/>
      <c r="E2424" s="219"/>
      <c r="F2424" s="219"/>
      <c r="G2424" s="219"/>
      <c r="H2424" s="219"/>
      <c r="I2424" s="221"/>
      <c r="J2424" s="30"/>
      <c r="K2424" s="221"/>
      <c r="L2424" s="117"/>
      <c r="M2424" s="3"/>
      <c r="N2424" s="15" t="s">
        <v>114</v>
      </c>
      <c r="O2424" s="12" t="s">
        <v>155</v>
      </c>
      <c r="P2424" s="207"/>
      <c r="Q2424" s="12"/>
      <c r="R2424" s="12"/>
      <c r="S2424" s="28">
        <f>M2422</f>
        <v>10</v>
      </c>
      <c r="T2424" s="11"/>
      <c r="U2424" s="12"/>
      <c r="V2424" s="14" t="e">
        <f>U2424*#REF!</f>
        <v>#REF!</v>
      </c>
      <c r="W2424" s="14"/>
      <c r="X2424" s="26"/>
      <c r="Y2424" s="13"/>
      <c r="Z2424" s="68" t="e">
        <f>VLOOKUP(Takeoffs!Y2424,Sheet1!$B$6:$C$124,2,FALSE)</f>
        <v>#N/A</v>
      </c>
      <c r="AA2424" s="68"/>
      <c r="AB2424" s="18"/>
      <c r="AC2424" s="18"/>
      <c r="AD2424" s="18"/>
      <c r="AE2424" s="60"/>
      <c r="AF2424" s="13"/>
      <c r="AG2424" s="68" t="e">
        <f>VLOOKUP(Takeoffs!AF2424,Sheet1!$B$6:$C$124,2,FALSE)</f>
        <v>#N/A</v>
      </c>
      <c r="AH2424" s="68"/>
      <c r="AI2424" s="18"/>
      <c r="AJ2424" s="18"/>
      <c r="AK2424" s="18"/>
      <c r="AL2424" s="60"/>
      <c r="AO2424" s="286"/>
      <c r="AP2424" s="284">
        <f t="shared" si="1004"/>
        <v>0</v>
      </c>
      <c r="AQ2424" s="281">
        <f t="shared" si="1005"/>
        <v>0</v>
      </c>
      <c r="AR2424" s="284">
        <f t="shared" si="1006"/>
        <v>0</v>
      </c>
      <c r="AS2424" s="281">
        <f t="shared" si="1007"/>
        <v>0</v>
      </c>
      <c r="AT2424" s="284">
        <f t="shared" si="1008"/>
        <v>0</v>
      </c>
    </row>
    <row r="2425" spans="1:46" customFormat="1" ht="15" customHeight="1" x14ac:dyDescent="0.8">
      <c r="A2425" s="262">
        <f t="shared" si="1009"/>
        <v>2425</v>
      </c>
      <c r="B2425" s="114"/>
      <c r="C2425" s="208"/>
      <c r="D2425" s="208"/>
      <c r="E2425" s="219"/>
      <c r="F2425" s="219"/>
      <c r="G2425" s="219"/>
      <c r="H2425" s="219"/>
      <c r="I2425" s="221"/>
      <c r="J2425" s="30"/>
      <c r="K2425" s="221"/>
      <c r="L2425" s="117"/>
      <c r="M2425" s="3"/>
      <c r="N2425" s="15" t="s">
        <v>115</v>
      </c>
      <c r="O2425" s="12" t="s">
        <v>156</v>
      </c>
      <c r="P2425" s="207"/>
      <c r="Q2425" s="12"/>
      <c r="R2425" s="12"/>
      <c r="S2425" s="28">
        <f>M2422</f>
        <v>10</v>
      </c>
      <c r="T2425" s="11"/>
      <c r="U2425" s="12"/>
      <c r="V2425" s="14" t="e">
        <f>U2425*#REF!</f>
        <v>#REF!</v>
      </c>
      <c r="W2425" s="14"/>
      <c r="X2425" s="26"/>
      <c r="Y2425" s="13"/>
      <c r="Z2425" s="68" t="e">
        <f>VLOOKUP(Takeoffs!Y2425,Sheet1!$B$6:$C$124,2,FALSE)</f>
        <v>#N/A</v>
      </c>
      <c r="AA2425" s="68"/>
      <c r="AB2425" s="18"/>
      <c r="AC2425" s="18"/>
      <c r="AD2425" s="18"/>
      <c r="AE2425" s="60"/>
      <c r="AF2425" s="13"/>
      <c r="AG2425" s="68" t="e">
        <f>VLOOKUP(Takeoffs!AF2425,Sheet1!$B$6:$C$124,2,FALSE)</f>
        <v>#N/A</v>
      </c>
      <c r="AH2425" s="68"/>
      <c r="AI2425" s="18"/>
      <c r="AJ2425" s="18"/>
      <c r="AK2425" s="18"/>
      <c r="AL2425" s="60"/>
      <c r="AO2425" s="286"/>
      <c r="AP2425" s="284">
        <f t="shared" si="1004"/>
        <v>0</v>
      </c>
      <c r="AQ2425" s="281">
        <f t="shared" si="1005"/>
        <v>0</v>
      </c>
      <c r="AR2425" s="284">
        <f t="shared" si="1006"/>
        <v>0</v>
      </c>
      <c r="AS2425" s="281">
        <f t="shared" si="1007"/>
        <v>0</v>
      </c>
      <c r="AT2425" s="284">
        <f t="shared" si="1008"/>
        <v>0</v>
      </c>
    </row>
    <row r="2426" spans="1:46" customFormat="1" ht="15" customHeight="1" x14ac:dyDescent="0.8">
      <c r="A2426" s="262">
        <f t="shared" si="1009"/>
        <v>2426</v>
      </c>
      <c r="B2426" s="114"/>
      <c r="C2426" s="208"/>
      <c r="D2426" s="208"/>
      <c r="E2426" s="219"/>
      <c r="F2426" s="219"/>
      <c r="G2426" s="219"/>
      <c r="H2426" s="219"/>
      <c r="I2426" s="221"/>
      <c r="J2426" s="30"/>
      <c r="K2426" s="221"/>
      <c r="L2426" s="117"/>
      <c r="M2426" s="3"/>
      <c r="N2426" s="15" t="s">
        <v>116</v>
      </c>
      <c r="O2426" s="12" t="s">
        <v>136</v>
      </c>
      <c r="P2426" s="207"/>
      <c r="Q2426" s="12"/>
      <c r="R2426" s="12"/>
      <c r="S2426" s="28">
        <f>M2422</f>
        <v>10</v>
      </c>
      <c r="T2426" s="11"/>
      <c r="U2426" s="12"/>
      <c r="V2426" s="14" t="e">
        <f>U2426*#REF!</f>
        <v>#REF!</v>
      </c>
      <c r="W2426" s="14"/>
      <c r="X2426" s="26"/>
      <c r="Y2426" s="13"/>
      <c r="Z2426" s="68" t="e">
        <f>VLOOKUP(Takeoffs!Y2426,Sheet1!$B$6:$C$124,2,FALSE)</f>
        <v>#N/A</v>
      </c>
      <c r="AA2426" s="68"/>
      <c r="AB2426" s="18"/>
      <c r="AC2426" s="18"/>
      <c r="AD2426" s="18"/>
      <c r="AE2426" s="60"/>
      <c r="AF2426" s="13"/>
      <c r="AG2426" s="68" t="e">
        <f>VLOOKUP(Takeoffs!AF2426,Sheet1!$B$6:$C$124,2,FALSE)</f>
        <v>#N/A</v>
      </c>
      <c r="AH2426" s="68"/>
      <c r="AI2426" s="18"/>
      <c r="AJ2426" s="18"/>
      <c r="AK2426" s="18"/>
      <c r="AL2426" s="60"/>
      <c r="AO2426" s="286"/>
      <c r="AP2426" s="284">
        <f t="shared" si="1004"/>
        <v>0</v>
      </c>
      <c r="AQ2426" s="281">
        <f t="shared" si="1005"/>
        <v>0</v>
      </c>
      <c r="AR2426" s="284">
        <f t="shared" si="1006"/>
        <v>0</v>
      </c>
      <c r="AS2426" s="281">
        <f t="shared" si="1007"/>
        <v>0</v>
      </c>
      <c r="AT2426" s="284">
        <f t="shared" si="1008"/>
        <v>0</v>
      </c>
    </row>
    <row r="2427" spans="1:46" customFormat="1" ht="15" customHeight="1" x14ac:dyDescent="0.8">
      <c r="A2427" s="262">
        <f t="shared" si="1009"/>
        <v>2427</v>
      </c>
      <c r="B2427" s="114"/>
      <c r="C2427" s="208"/>
      <c r="D2427" s="208"/>
      <c r="E2427" s="219"/>
      <c r="F2427" s="219"/>
      <c r="G2427" s="219"/>
      <c r="H2427" s="219"/>
      <c r="I2427" s="221"/>
      <c r="J2427" s="30"/>
      <c r="K2427" s="221"/>
      <c r="L2427" s="117"/>
      <c r="M2427" s="3"/>
      <c r="N2427" s="15" t="s">
        <v>117</v>
      </c>
      <c r="O2427" s="12" t="s">
        <v>135</v>
      </c>
      <c r="P2427" s="207"/>
      <c r="Q2427" s="12"/>
      <c r="R2427" s="12"/>
      <c r="S2427" s="28">
        <f>M2422</f>
        <v>10</v>
      </c>
      <c r="T2427" s="11"/>
      <c r="U2427" s="12"/>
      <c r="V2427" s="14" t="e">
        <f>U2427*#REF!</f>
        <v>#REF!</v>
      </c>
      <c r="W2427" s="14"/>
      <c r="X2427" s="26"/>
      <c r="Y2427" s="13"/>
      <c r="Z2427" s="68" t="e">
        <f>VLOOKUP(Takeoffs!Y2427,Sheet1!$B$6:$C$124,2,FALSE)</f>
        <v>#N/A</v>
      </c>
      <c r="AA2427" s="68"/>
      <c r="AB2427" s="18"/>
      <c r="AC2427" s="18"/>
      <c r="AD2427" s="18"/>
      <c r="AE2427" s="60"/>
      <c r="AF2427" s="13"/>
      <c r="AG2427" s="68" t="e">
        <f>VLOOKUP(Takeoffs!AF2427,Sheet1!$B$6:$C$124,2,FALSE)</f>
        <v>#N/A</v>
      </c>
      <c r="AH2427" s="68"/>
      <c r="AI2427" s="18"/>
      <c r="AJ2427" s="18"/>
      <c r="AK2427" s="18"/>
      <c r="AL2427" s="60"/>
      <c r="AO2427" s="286"/>
      <c r="AP2427" s="284">
        <f t="shared" si="1004"/>
        <v>0</v>
      </c>
      <c r="AQ2427" s="281">
        <f t="shared" si="1005"/>
        <v>0</v>
      </c>
      <c r="AR2427" s="284">
        <f t="shared" si="1006"/>
        <v>0</v>
      </c>
      <c r="AS2427" s="281">
        <f t="shared" si="1007"/>
        <v>0</v>
      </c>
      <c r="AT2427" s="284">
        <f t="shared" si="1008"/>
        <v>0</v>
      </c>
    </row>
    <row r="2428" spans="1:46" customFormat="1" ht="15" customHeight="1" x14ac:dyDescent="0.8">
      <c r="A2428" s="262">
        <f t="shared" si="1009"/>
        <v>2428</v>
      </c>
      <c r="B2428" s="114"/>
      <c r="C2428" s="208"/>
      <c r="D2428" s="208"/>
      <c r="E2428" s="219"/>
      <c r="F2428" s="219"/>
      <c r="G2428" s="219"/>
      <c r="H2428" s="219"/>
      <c r="I2428" s="221"/>
      <c r="J2428" s="30"/>
      <c r="K2428" s="221"/>
      <c r="L2428" s="117"/>
      <c r="M2428" s="3"/>
      <c r="N2428" s="15" t="s">
        <v>118</v>
      </c>
      <c r="O2428" s="12"/>
      <c r="P2428" s="207"/>
      <c r="Q2428" s="12"/>
      <c r="R2428" s="12"/>
      <c r="S2428" s="28">
        <f>M2422</f>
        <v>10</v>
      </c>
      <c r="T2428" s="11"/>
      <c r="U2428" s="12"/>
      <c r="V2428" s="14" t="e">
        <f>U2428*#REF!</f>
        <v>#REF!</v>
      </c>
      <c r="W2428" s="14"/>
      <c r="X2428" s="26"/>
      <c r="Y2428" s="13"/>
      <c r="Z2428" s="68" t="e">
        <f>VLOOKUP(Takeoffs!Y2428,Sheet1!$B$6:$C$124,2,FALSE)</f>
        <v>#N/A</v>
      </c>
      <c r="AA2428" s="68"/>
      <c r="AB2428" s="18"/>
      <c r="AC2428" s="18"/>
      <c r="AD2428" s="18"/>
      <c r="AE2428" s="60"/>
      <c r="AF2428" s="13"/>
      <c r="AG2428" s="68" t="e">
        <f>VLOOKUP(Takeoffs!AF2428,Sheet1!$B$6:$C$124,2,FALSE)</f>
        <v>#N/A</v>
      </c>
      <c r="AH2428" s="68"/>
      <c r="AI2428" s="18"/>
      <c r="AJ2428" s="18"/>
      <c r="AK2428" s="18"/>
      <c r="AL2428" s="60"/>
      <c r="AO2428" s="286"/>
      <c r="AP2428" s="284">
        <f t="shared" si="1004"/>
        <v>0</v>
      </c>
      <c r="AQ2428" s="281">
        <f t="shared" si="1005"/>
        <v>0</v>
      </c>
      <c r="AR2428" s="284">
        <f t="shared" si="1006"/>
        <v>0</v>
      </c>
      <c r="AS2428" s="281">
        <f t="shared" si="1007"/>
        <v>0</v>
      </c>
      <c r="AT2428" s="284">
        <f t="shared" si="1008"/>
        <v>0</v>
      </c>
    </row>
    <row r="2429" spans="1:46" customFormat="1" ht="15" customHeight="1" x14ac:dyDescent="0.8">
      <c r="A2429" s="262">
        <f t="shared" si="1009"/>
        <v>2429</v>
      </c>
      <c r="B2429" s="114"/>
      <c r="C2429" s="208"/>
      <c r="D2429" s="208"/>
      <c r="E2429" s="219"/>
      <c r="F2429" s="219"/>
      <c r="G2429" s="219"/>
      <c r="H2429" s="219"/>
      <c r="I2429" s="221"/>
      <c r="J2429" s="30"/>
      <c r="K2429" s="221"/>
      <c r="L2429" s="117"/>
      <c r="N2429" s="15" t="s">
        <v>119</v>
      </c>
      <c r="O2429" s="12"/>
      <c r="P2429" s="207"/>
      <c r="Q2429" s="12"/>
      <c r="R2429" s="12"/>
      <c r="S2429" s="28">
        <f>M2422</f>
        <v>10</v>
      </c>
      <c r="T2429" s="11"/>
      <c r="U2429" s="12"/>
      <c r="V2429" s="14" t="e">
        <f>U2429*#REF!</f>
        <v>#REF!</v>
      </c>
      <c r="W2429" s="14"/>
      <c r="X2429" s="26"/>
      <c r="Y2429" s="13"/>
      <c r="Z2429" s="68" t="e">
        <f>VLOOKUP(Takeoffs!Y2429,Sheet1!$B$6:$C$124,2,FALSE)</f>
        <v>#N/A</v>
      </c>
      <c r="AA2429" s="68"/>
      <c r="AB2429" s="18"/>
      <c r="AC2429" s="18"/>
      <c r="AD2429" s="18"/>
      <c r="AE2429" s="60"/>
      <c r="AF2429" s="13"/>
      <c r="AG2429" s="68" t="e">
        <f>VLOOKUP(Takeoffs!AF2429,Sheet1!$B$6:$C$124,2,FALSE)</f>
        <v>#N/A</v>
      </c>
      <c r="AH2429" s="68"/>
      <c r="AI2429" s="18"/>
      <c r="AJ2429" s="18"/>
      <c r="AK2429" s="18"/>
      <c r="AL2429" s="60"/>
      <c r="AO2429" s="286"/>
      <c r="AP2429" s="284">
        <f t="shared" si="1004"/>
        <v>0</v>
      </c>
      <c r="AQ2429" s="281">
        <f t="shared" si="1005"/>
        <v>0</v>
      </c>
      <c r="AR2429" s="284">
        <f t="shared" si="1006"/>
        <v>0</v>
      </c>
      <c r="AS2429" s="281">
        <f t="shared" si="1007"/>
        <v>0</v>
      </c>
      <c r="AT2429" s="284">
        <f t="shared" si="1008"/>
        <v>0</v>
      </c>
    </row>
    <row r="2430" spans="1:46" customFormat="1" ht="15" customHeight="1" x14ac:dyDescent="0.8">
      <c r="A2430" s="262">
        <f t="shared" si="1009"/>
        <v>2430</v>
      </c>
      <c r="B2430" s="114"/>
      <c r="C2430" s="208"/>
      <c r="D2430" s="208"/>
      <c r="E2430" s="219"/>
      <c r="F2430" s="219"/>
      <c r="G2430" s="219"/>
      <c r="H2430" s="219"/>
      <c r="I2430" s="221"/>
      <c r="J2430" s="30"/>
      <c r="K2430" s="221"/>
      <c r="L2430" s="117"/>
      <c r="N2430" s="15" t="s">
        <v>120</v>
      </c>
      <c r="O2430" s="12"/>
      <c r="P2430" s="207"/>
      <c r="Q2430" s="12"/>
      <c r="R2430" s="12"/>
      <c r="S2430" s="28">
        <f>M2422</f>
        <v>10</v>
      </c>
      <c r="T2430" s="11"/>
      <c r="U2430" s="12"/>
      <c r="V2430" s="14" t="e">
        <f>U2430*#REF!</f>
        <v>#REF!</v>
      </c>
      <c r="W2430" s="14"/>
      <c r="X2430" s="26"/>
      <c r="Y2430" s="13"/>
      <c r="Z2430" s="68" t="e">
        <f>VLOOKUP(Takeoffs!Y2430,Sheet1!$B$6:$C$124,2,FALSE)</f>
        <v>#N/A</v>
      </c>
      <c r="AA2430" s="68"/>
      <c r="AB2430" s="18"/>
      <c r="AC2430" s="18"/>
      <c r="AD2430" s="18"/>
      <c r="AE2430" s="60"/>
      <c r="AF2430" s="13"/>
      <c r="AG2430" s="68" t="e">
        <f>VLOOKUP(Takeoffs!AF2430,Sheet1!$B$6:$C$124,2,FALSE)</f>
        <v>#N/A</v>
      </c>
      <c r="AH2430" s="68"/>
      <c r="AI2430" s="18"/>
      <c r="AJ2430" s="18"/>
      <c r="AK2430" s="18"/>
      <c r="AL2430" s="60"/>
      <c r="AO2430" s="286"/>
      <c r="AP2430" s="284">
        <f t="shared" si="1004"/>
        <v>0</v>
      </c>
      <c r="AQ2430" s="281">
        <f t="shared" si="1005"/>
        <v>0</v>
      </c>
      <c r="AR2430" s="284">
        <f t="shared" si="1006"/>
        <v>0</v>
      </c>
      <c r="AS2430" s="281">
        <f t="shared" si="1007"/>
        <v>0</v>
      </c>
      <c r="AT2430" s="284">
        <f t="shared" si="1008"/>
        <v>0</v>
      </c>
    </row>
    <row r="2431" spans="1:46" customFormat="1" ht="15" customHeight="1" x14ac:dyDescent="0.8">
      <c r="A2431" s="262">
        <f t="shared" si="1009"/>
        <v>2431</v>
      </c>
      <c r="B2431" s="114"/>
      <c r="C2431" s="208"/>
      <c r="D2431" s="208"/>
      <c r="E2431" s="219"/>
      <c r="F2431" s="219"/>
      <c r="G2431" s="219"/>
      <c r="H2431" s="219"/>
      <c r="I2431" s="221"/>
      <c r="J2431" s="30"/>
      <c r="K2431" s="221"/>
      <c r="L2431" s="117"/>
      <c r="N2431" s="15" t="s">
        <v>121</v>
      </c>
      <c r="O2431" s="12"/>
      <c r="P2431" s="207"/>
      <c r="Q2431" s="12"/>
      <c r="R2431" s="12"/>
      <c r="S2431" s="28">
        <f>M2422</f>
        <v>10</v>
      </c>
      <c r="T2431" s="11"/>
      <c r="U2431" s="12"/>
      <c r="V2431" s="14" t="e">
        <f>U2431*#REF!</f>
        <v>#REF!</v>
      </c>
      <c r="W2431" s="14"/>
      <c r="X2431" s="26"/>
      <c r="Y2431" s="13"/>
      <c r="Z2431" s="68" t="e">
        <f>VLOOKUP(Takeoffs!Y2431,Sheet1!$B$6:$C$124,2,FALSE)</f>
        <v>#N/A</v>
      </c>
      <c r="AA2431" s="68"/>
      <c r="AB2431" s="18"/>
      <c r="AC2431" s="18"/>
      <c r="AD2431" s="18"/>
      <c r="AE2431" s="60"/>
      <c r="AF2431" s="13"/>
      <c r="AG2431" s="68" t="e">
        <f>VLOOKUP(Takeoffs!AF2431,Sheet1!$B$6:$C$124,2,FALSE)</f>
        <v>#N/A</v>
      </c>
      <c r="AH2431" s="68"/>
      <c r="AI2431" s="18"/>
      <c r="AJ2431" s="18"/>
      <c r="AK2431" s="18"/>
      <c r="AL2431" s="60"/>
      <c r="AO2431" s="286"/>
      <c r="AP2431" s="284">
        <f t="shared" si="1004"/>
        <v>0</v>
      </c>
      <c r="AQ2431" s="281">
        <f t="shared" si="1005"/>
        <v>0</v>
      </c>
      <c r="AR2431" s="284">
        <f t="shared" si="1006"/>
        <v>0</v>
      </c>
      <c r="AS2431" s="281">
        <f t="shared" si="1007"/>
        <v>0</v>
      </c>
      <c r="AT2431" s="284">
        <f t="shared" si="1008"/>
        <v>0</v>
      </c>
    </row>
    <row r="2432" spans="1:46" customFormat="1" ht="15" customHeight="1" x14ac:dyDescent="0.8">
      <c r="A2432" s="262">
        <f t="shared" si="1009"/>
        <v>2432</v>
      </c>
      <c r="B2432" s="114"/>
      <c r="C2432" s="208"/>
      <c r="D2432" s="208"/>
      <c r="E2432" s="219"/>
      <c r="F2432" s="219"/>
      <c r="G2432" s="219"/>
      <c r="H2432" s="219"/>
      <c r="I2432" s="221"/>
      <c r="J2432" s="30"/>
      <c r="K2432" s="221"/>
      <c r="L2432" s="117"/>
      <c r="N2432" s="15" t="s">
        <v>122</v>
      </c>
      <c r="O2432" s="12"/>
      <c r="P2432" s="207"/>
      <c r="Q2432" s="12"/>
      <c r="R2432" s="12"/>
      <c r="S2432" s="28">
        <f>M2422</f>
        <v>10</v>
      </c>
      <c r="T2432" s="11"/>
      <c r="U2432" s="12"/>
      <c r="V2432" s="14" t="e">
        <f>U2432*#REF!</f>
        <v>#REF!</v>
      </c>
      <c r="W2432" s="14"/>
      <c r="X2432" s="26"/>
      <c r="Y2432" s="13"/>
      <c r="Z2432" s="68" t="e">
        <f>VLOOKUP(Takeoffs!Y2432,Sheet1!$B$6:$C$124,2,FALSE)</f>
        <v>#N/A</v>
      </c>
      <c r="AA2432" s="68"/>
      <c r="AB2432" s="18"/>
      <c r="AC2432" s="18"/>
      <c r="AD2432" s="18"/>
      <c r="AE2432" s="60"/>
      <c r="AF2432" s="13"/>
      <c r="AG2432" s="68" t="e">
        <f>VLOOKUP(Takeoffs!AF2432,Sheet1!$B$6:$C$124,2,FALSE)</f>
        <v>#N/A</v>
      </c>
      <c r="AH2432" s="68"/>
      <c r="AI2432" s="18"/>
      <c r="AJ2432" s="18"/>
      <c r="AK2432" s="18"/>
      <c r="AL2432" s="60"/>
      <c r="AO2432" s="286"/>
      <c r="AP2432" s="284">
        <f t="shared" si="1004"/>
        <v>0</v>
      </c>
      <c r="AQ2432" s="281">
        <f t="shared" si="1005"/>
        <v>0</v>
      </c>
      <c r="AR2432" s="284">
        <f t="shared" si="1006"/>
        <v>0</v>
      </c>
      <c r="AS2432" s="281">
        <f t="shared" si="1007"/>
        <v>0</v>
      </c>
      <c r="AT2432" s="284">
        <f t="shared" si="1008"/>
        <v>0</v>
      </c>
    </row>
    <row r="2433" spans="1:46" customFormat="1" ht="15" customHeight="1" x14ac:dyDescent="0.8">
      <c r="A2433" s="262">
        <f t="shared" si="1009"/>
        <v>2433</v>
      </c>
      <c r="B2433" s="114"/>
      <c r="C2433" s="208"/>
      <c r="D2433" s="208"/>
      <c r="E2433" s="219"/>
      <c r="F2433" s="219"/>
      <c r="G2433" s="219"/>
      <c r="H2433" s="219"/>
      <c r="I2433" s="221"/>
      <c r="J2433" s="30"/>
      <c r="K2433" s="221"/>
      <c r="L2433" s="117"/>
      <c r="N2433" s="15" t="s">
        <v>123</v>
      </c>
      <c r="O2433" s="12"/>
      <c r="P2433" s="207"/>
      <c r="Q2433" s="12"/>
      <c r="R2433" s="12"/>
      <c r="S2433" s="28">
        <f>M2422</f>
        <v>10</v>
      </c>
      <c r="T2433" s="11"/>
      <c r="U2433" s="12"/>
      <c r="V2433" s="14" t="e">
        <f>U2433*#REF!</f>
        <v>#REF!</v>
      </c>
      <c r="W2433" s="14"/>
      <c r="X2433" s="26"/>
      <c r="Y2433" s="13"/>
      <c r="Z2433" s="68" t="e">
        <f>VLOOKUP(Takeoffs!Y2433,Sheet1!$B$6:$C$124,2,FALSE)</f>
        <v>#N/A</v>
      </c>
      <c r="AA2433" s="68"/>
      <c r="AB2433" s="18"/>
      <c r="AC2433" s="18"/>
      <c r="AD2433" s="18"/>
      <c r="AE2433" s="60"/>
      <c r="AF2433" s="13"/>
      <c r="AG2433" s="68" t="e">
        <f>VLOOKUP(Takeoffs!AF2433,Sheet1!$B$6:$C$124,2,FALSE)</f>
        <v>#N/A</v>
      </c>
      <c r="AH2433" s="68"/>
      <c r="AI2433" s="18"/>
      <c r="AJ2433" s="18"/>
      <c r="AK2433" s="18"/>
      <c r="AL2433" s="60"/>
      <c r="AO2433" s="286"/>
      <c r="AP2433" s="284">
        <f t="shared" si="1004"/>
        <v>0</v>
      </c>
      <c r="AQ2433" s="281">
        <f t="shared" si="1005"/>
        <v>0</v>
      </c>
      <c r="AR2433" s="284">
        <f t="shared" si="1006"/>
        <v>0</v>
      </c>
      <c r="AS2433" s="281">
        <f t="shared" si="1007"/>
        <v>0</v>
      </c>
      <c r="AT2433" s="284">
        <f t="shared" si="1008"/>
        <v>0</v>
      </c>
    </row>
    <row r="2434" spans="1:46" customFormat="1" ht="15" customHeight="1" x14ac:dyDescent="0.8">
      <c r="A2434" s="262">
        <f t="shared" si="1009"/>
        <v>2434</v>
      </c>
      <c r="B2434" s="114"/>
      <c r="C2434" s="208"/>
      <c r="D2434" s="208"/>
      <c r="E2434" s="219"/>
      <c r="F2434" s="219"/>
      <c r="G2434" s="219"/>
      <c r="H2434" s="219"/>
      <c r="I2434" s="221"/>
      <c r="J2434" s="30"/>
      <c r="K2434" s="221"/>
      <c r="L2434" s="117"/>
      <c r="N2434" s="15" t="s">
        <v>124</v>
      </c>
      <c r="O2434" s="12"/>
      <c r="P2434" s="207"/>
      <c r="Q2434" s="12"/>
      <c r="R2434" s="12"/>
      <c r="S2434" s="28">
        <f>M2422</f>
        <v>10</v>
      </c>
      <c r="T2434" s="11"/>
      <c r="U2434" s="12"/>
      <c r="V2434" s="14" t="e">
        <f>U2434*#REF!</f>
        <v>#REF!</v>
      </c>
      <c r="W2434" s="14"/>
      <c r="X2434" s="26"/>
      <c r="Y2434" s="13"/>
      <c r="Z2434" s="68" t="e">
        <f>VLOOKUP(Takeoffs!Y2434,Sheet1!$B$6:$C$124,2,FALSE)</f>
        <v>#N/A</v>
      </c>
      <c r="AA2434" s="68"/>
      <c r="AB2434" s="18"/>
      <c r="AC2434" s="18"/>
      <c r="AD2434" s="18"/>
      <c r="AE2434" s="60"/>
      <c r="AF2434" s="13"/>
      <c r="AG2434" s="68" t="e">
        <f>VLOOKUP(Takeoffs!AF2434,Sheet1!$B$6:$C$124,2,FALSE)</f>
        <v>#N/A</v>
      </c>
      <c r="AH2434" s="68"/>
      <c r="AI2434" s="18"/>
      <c r="AJ2434" s="18"/>
      <c r="AK2434" s="18"/>
      <c r="AL2434" s="60"/>
      <c r="AO2434" s="286"/>
      <c r="AP2434" s="284">
        <f t="shared" si="1004"/>
        <v>0</v>
      </c>
      <c r="AQ2434" s="281">
        <f t="shared" si="1005"/>
        <v>0</v>
      </c>
      <c r="AR2434" s="284">
        <f t="shared" si="1006"/>
        <v>0</v>
      </c>
      <c r="AS2434" s="281">
        <f t="shared" si="1007"/>
        <v>0</v>
      </c>
      <c r="AT2434" s="284">
        <f t="shared" si="1008"/>
        <v>0</v>
      </c>
    </row>
    <row r="2435" spans="1:46" customFormat="1" ht="15" customHeight="1" x14ac:dyDescent="0.8">
      <c r="A2435" s="262">
        <f t="shared" si="1009"/>
        <v>2435</v>
      </c>
      <c r="B2435" s="114"/>
      <c r="C2435" s="208"/>
      <c r="D2435" s="208"/>
      <c r="E2435" s="219"/>
      <c r="F2435" s="219"/>
      <c r="G2435" s="219"/>
      <c r="H2435" s="219"/>
      <c r="I2435" s="221"/>
      <c r="J2435" s="30"/>
      <c r="K2435" s="221"/>
      <c r="L2435" s="117"/>
      <c r="N2435" s="15" t="s">
        <v>125</v>
      </c>
      <c r="O2435" s="12"/>
      <c r="P2435" s="207"/>
      <c r="Q2435" s="12"/>
      <c r="R2435" s="12"/>
      <c r="S2435" s="28">
        <f>M2422</f>
        <v>10</v>
      </c>
      <c r="T2435" s="11"/>
      <c r="U2435" s="12"/>
      <c r="V2435" s="14" t="e">
        <f>U2435*#REF!</f>
        <v>#REF!</v>
      </c>
      <c r="W2435" s="14"/>
      <c r="X2435" s="26"/>
      <c r="Y2435" s="13"/>
      <c r="Z2435" s="68" t="e">
        <f>VLOOKUP(Takeoffs!Y2435,Sheet1!$B$6:$C$124,2,FALSE)</f>
        <v>#N/A</v>
      </c>
      <c r="AA2435" s="68"/>
      <c r="AB2435" s="18"/>
      <c r="AC2435" s="18"/>
      <c r="AD2435" s="18"/>
      <c r="AE2435" s="60"/>
      <c r="AF2435" s="13"/>
      <c r="AG2435" s="68" t="e">
        <f>VLOOKUP(Takeoffs!AF2435,Sheet1!$B$6:$C$124,2,FALSE)</f>
        <v>#N/A</v>
      </c>
      <c r="AH2435" s="68"/>
      <c r="AI2435" s="18"/>
      <c r="AJ2435" s="18"/>
      <c r="AK2435" s="18"/>
      <c r="AL2435" s="60"/>
      <c r="AO2435" s="286"/>
      <c r="AP2435" s="284">
        <f t="shared" si="1004"/>
        <v>0</v>
      </c>
      <c r="AQ2435" s="281">
        <f t="shared" si="1005"/>
        <v>0</v>
      </c>
      <c r="AR2435" s="284">
        <f t="shared" si="1006"/>
        <v>0</v>
      </c>
      <c r="AS2435" s="281">
        <f t="shared" si="1007"/>
        <v>0</v>
      </c>
      <c r="AT2435" s="284">
        <f t="shared" si="1008"/>
        <v>0</v>
      </c>
    </row>
    <row r="2436" spans="1:46" customFormat="1" ht="15" customHeight="1" x14ac:dyDescent="0.8">
      <c r="A2436" s="262">
        <f t="shared" si="1009"/>
        <v>2436</v>
      </c>
      <c r="B2436" s="114"/>
      <c r="C2436" s="208"/>
      <c r="D2436" s="208"/>
      <c r="E2436" s="219"/>
      <c r="F2436" s="219"/>
      <c r="G2436" s="219"/>
      <c r="H2436" s="219"/>
      <c r="I2436" s="221"/>
      <c r="J2436" s="30"/>
      <c r="K2436" s="221"/>
      <c r="L2436" s="117"/>
      <c r="N2436" s="15" t="s">
        <v>126</v>
      </c>
      <c r="O2436" s="12"/>
      <c r="P2436" s="207"/>
      <c r="Q2436" s="12"/>
      <c r="R2436" s="12"/>
      <c r="S2436" s="28">
        <f>M2422</f>
        <v>10</v>
      </c>
      <c r="T2436" s="11"/>
      <c r="U2436" s="12"/>
      <c r="V2436" s="14" t="e">
        <f>U2436*#REF!</f>
        <v>#REF!</v>
      </c>
      <c r="W2436" s="14"/>
      <c r="X2436" s="26"/>
      <c r="Y2436" s="13"/>
      <c r="Z2436" s="68" t="e">
        <f>VLOOKUP(Takeoffs!Y2436,Sheet1!$B$6:$C$124,2,FALSE)</f>
        <v>#N/A</v>
      </c>
      <c r="AA2436" s="68"/>
      <c r="AB2436" s="18"/>
      <c r="AC2436" s="18"/>
      <c r="AD2436" s="18"/>
      <c r="AE2436" s="60"/>
      <c r="AF2436" s="13"/>
      <c r="AG2436" s="68" t="e">
        <f>VLOOKUP(Takeoffs!AF2436,Sheet1!$B$6:$C$124,2,FALSE)</f>
        <v>#N/A</v>
      </c>
      <c r="AH2436" s="68"/>
      <c r="AI2436" s="18"/>
      <c r="AJ2436" s="18"/>
      <c r="AK2436" s="18"/>
      <c r="AL2436" s="60"/>
      <c r="AO2436" s="286"/>
      <c r="AP2436" s="284">
        <f t="shared" si="1004"/>
        <v>0</v>
      </c>
      <c r="AQ2436" s="281">
        <f t="shared" si="1005"/>
        <v>0</v>
      </c>
      <c r="AR2436" s="284">
        <f t="shared" si="1006"/>
        <v>0</v>
      </c>
      <c r="AS2436" s="281">
        <f t="shared" si="1007"/>
        <v>0</v>
      </c>
      <c r="AT2436" s="284">
        <f t="shared" si="1008"/>
        <v>0</v>
      </c>
    </row>
    <row r="2437" spans="1:46" customFormat="1" ht="15" customHeight="1" x14ac:dyDescent="0.8">
      <c r="A2437" s="262">
        <f t="shared" si="1009"/>
        <v>2437</v>
      </c>
      <c r="B2437" s="114"/>
      <c r="C2437" s="208"/>
      <c r="D2437" s="208"/>
      <c r="E2437" s="219"/>
      <c r="F2437" s="219"/>
      <c r="G2437" s="219"/>
      <c r="H2437" s="219"/>
      <c r="I2437" s="221"/>
      <c r="J2437" s="30"/>
      <c r="K2437" s="221"/>
      <c r="L2437" s="117"/>
      <c r="N2437" s="15" t="s">
        <v>127</v>
      </c>
      <c r="O2437" s="12"/>
      <c r="P2437" s="207"/>
      <c r="Q2437" s="12"/>
      <c r="R2437" s="12"/>
      <c r="S2437" s="28">
        <f>M2422</f>
        <v>10</v>
      </c>
      <c r="T2437" s="11"/>
      <c r="U2437" s="12"/>
      <c r="V2437" s="14" t="e">
        <f>U2437*#REF!</f>
        <v>#REF!</v>
      </c>
      <c r="W2437" s="14"/>
      <c r="X2437" s="26"/>
      <c r="Y2437" s="13"/>
      <c r="Z2437" s="68" t="e">
        <f>VLOOKUP(Takeoffs!Y2437,Sheet1!$B$6:$C$124,2,FALSE)</f>
        <v>#N/A</v>
      </c>
      <c r="AA2437" s="68"/>
      <c r="AB2437" s="18"/>
      <c r="AC2437" s="18"/>
      <c r="AD2437" s="18"/>
      <c r="AE2437" s="60"/>
      <c r="AF2437" s="13"/>
      <c r="AG2437" s="68" t="e">
        <f>VLOOKUP(Takeoffs!AF2437,Sheet1!$B$6:$C$124,2,FALSE)</f>
        <v>#N/A</v>
      </c>
      <c r="AH2437" s="68"/>
      <c r="AI2437" s="18"/>
      <c r="AJ2437" s="18"/>
      <c r="AK2437" s="18"/>
      <c r="AL2437" s="60"/>
      <c r="AO2437" s="286"/>
      <c r="AP2437" s="284">
        <f t="shared" si="1004"/>
        <v>0</v>
      </c>
      <c r="AQ2437" s="281">
        <f t="shared" si="1005"/>
        <v>0</v>
      </c>
      <c r="AR2437" s="284">
        <f t="shared" si="1006"/>
        <v>0</v>
      </c>
      <c r="AS2437" s="281">
        <f t="shared" si="1007"/>
        <v>0</v>
      </c>
      <c r="AT2437" s="284">
        <f t="shared" si="1008"/>
        <v>0</v>
      </c>
    </row>
    <row r="2438" spans="1:46" customFormat="1" ht="15" customHeight="1" x14ac:dyDescent="0.8">
      <c r="A2438" s="262">
        <f t="shared" si="1009"/>
        <v>2438</v>
      </c>
      <c r="B2438" s="114"/>
      <c r="C2438" s="208"/>
      <c r="D2438" s="208"/>
      <c r="E2438" s="219"/>
      <c r="F2438" s="219"/>
      <c r="G2438" s="219"/>
      <c r="H2438" s="219"/>
      <c r="I2438" s="221"/>
      <c r="J2438" s="30"/>
      <c r="K2438" s="221"/>
      <c r="L2438" s="117"/>
      <c r="N2438" s="15" t="s">
        <v>128</v>
      </c>
      <c r="O2438" s="12"/>
      <c r="P2438" s="207"/>
      <c r="Q2438" s="12"/>
      <c r="R2438" s="12"/>
      <c r="S2438" s="28">
        <f>M2422</f>
        <v>10</v>
      </c>
      <c r="T2438" s="11"/>
      <c r="U2438" s="12"/>
      <c r="V2438" s="14" t="e">
        <f>U2438*#REF!</f>
        <v>#REF!</v>
      </c>
      <c r="W2438" s="14"/>
      <c r="X2438" s="26"/>
      <c r="Y2438" s="13"/>
      <c r="Z2438" s="68" t="e">
        <f>VLOOKUP(Takeoffs!Y2438,Sheet1!$B$6:$C$124,2,FALSE)</f>
        <v>#N/A</v>
      </c>
      <c r="AA2438" s="68"/>
      <c r="AB2438" s="18"/>
      <c r="AC2438" s="18"/>
      <c r="AD2438" s="18"/>
      <c r="AE2438" s="60"/>
      <c r="AF2438" s="13"/>
      <c r="AG2438" s="68" t="e">
        <f>VLOOKUP(Takeoffs!AF2438,Sheet1!$B$6:$C$124,2,FALSE)</f>
        <v>#N/A</v>
      </c>
      <c r="AH2438" s="68"/>
      <c r="AI2438" s="18"/>
      <c r="AJ2438" s="18"/>
      <c r="AK2438" s="18"/>
      <c r="AL2438" s="60"/>
      <c r="AO2438" s="286"/>
      <c r="AP2438" s="284">
        <f t="shared" si="1004"/>
        <v>0</v>
      </c>
      <c r="AQ2438" s="281">
        <f t="shared" si="1005"/>
        <v>0</v>
      </c>
      <c r="AR2438" s="284">
        <f t="shared" si="1006"/>
        <v>0</v>
      </c>
      <c r="AS2438" s="281">
        <f t="shared" si="1007"/>
        <v>0</v>
      </c>
      <c r="AT2438" s="284">
        <f t="shared" si="1008"/>
        <v>0</v>
      </c>
    </row>
    <row r="2439" spans="1:46" customFormat="1" ht="15" customHeight="1" x14ac:dyDescent="0.8">
      <c r="A2439" s="262">
        <f t="shared" si="1009"/>
        <v>2439</v>
      </c>
      <c r="B2439" s="114"/>
      <c r="C2439" s="208"/>
      <c r="D2439" s="208"/>
      <c r="E2439" s="219"/>
      <c r="F2439" s="219"/>
      <c r="G2439" s="219"/>
      <c r="H2439" s="219"/>
      <c r="I2439" s="221"/>
      <c r="J2439" s="30"/>
      <c r="K2439" s="221"/>
      <c r="L2439" s="117"/>
      <c r="N2439" s="15" t="s">
        <v>129</v>
      </c>
      <c r="O2439" s="12"/>
      <c r="P2439" s="207"/>
      <c r="Q2439" s="12"/>
      <c r="R2439" s="12"/>
      <c r="S2439" s="28">
        <f>M2422</f>
        <v>10</v>
      </c>
      <c r="T2439" s="11"/>
      <c r="U2439" s="12"/>
      <c r="V2439" s="14" t="e">
        <f>U2439*#REF!</f>
        <v>#REF!</v>
      </c>
      <c r="W2439" s="14"/>
      <c r="X2439" s="26"/>
      <c r="Y2439" s="13"/>
      <c r="Z2439" s="68" t="e">
        <f>VLOOKUP(Takeoffs!Y2439,Sheet1!$B$6:$C$124,2,FALSE)</f>
        <v>#N/A</v>
      </c>
      <c r="AA2439" s="68"/>
      <c r="AB2439" s="18"/>
      <c r="AC2439" s="18"/>
      <c r="AD2439" s="18"/>
      <c r="AE2439" s="60"/>
      <c r="AF2439" s="13"/>
      <c r="AG2439" s="68" t="e">
        <f>VLOOKUP(Takeoffs!AF2439,Sheet1!$B$6:$C$124,2,FALSE)</f>
        <v>#N/A</v>
      </c>
      <c r="AH2439" s="68"/>
      <c r="AI2439" s="18"/>
      <c r="AJ2439" s="18"/>
      <c r="AK2439" s="18"/>
      <c r="AL2439" s="60"/>
      <c r="AO2439" s="286"/>
      <c r="AP2439" s="284">
        <f t="shared" si="1004"/>
        <v>0</v>
      </c>
      <c r="AQ2439" s="281">
        <f t="shared" si="1005"/>
        <v>0</v>
      </c>
      <c r="AR2439" s="284">
        <f t="shared" si="1006"/>
        <v>0</v>
      </c>
      <c r="AS2439" s="281">
        <f t="shared" si="1007"/>
        <v>0</v>
      </c>
      <c r="AT2439" s="284">
        <f t="shared" si="1008"/>
        <v>0</v>
      </c>
    </row>
    <row r="2440" spans="1:46" customFormat="1" ht="15" customHeight="1" x14ac:dyDescent="0.8">
      <c r="A2440" s="262">
        <f t="shared" si="1009"/>
        <v>2440</v>
      </c>
      <c r="B2440" s="114"/>
      <c r="C2440" s="208"/>
      <c r="D2440" s="208"/>
      <c r="E2440" s="219"/>
      <c r="F2440" s="219"/>
      <c r="G2440" s="219"/>
      <c r="H2440" s="219"/>
      <c r="I2440" s="221"/>
      <c r="J2440" s="30"/>
      <c r="K2440" s="221"/>
      <c r="L2440" s="117"/>
      <c r="N2440" s="15" t="s">
        <v>130</v>
      </c>
      <c r="O2440" s="12"/>
      <c r="P2440" s="207"/>
      <c r="Q2440" s="12"/>
      <c r="R2440" s="12"/>
      <c r="S2440" s="28">
        <f>M2422</f>
        <v>10</v>
      </c>
      <c r="T2440" s="11"/>
      <c r="U2440" s="12"/>
      <c r="V2440" s="14" t="e">
        <f>U2440*#REF!</f>
        <v>#REF!</v>
      </c>
      <c r="W2440" s="14"/>
      <c r="X2440" s="26"/>
      <c r="Y2440" s="13"/>
      <c r="Z2440" s="68" t="e">
        <f>VLOOKUP(Takeoffs!Y2440,Sheet1!$B$6:$C$124,2,FALSE)</f>
        <v>#N/A</v>
      </c>
      <c r="AA2440" s="68"/>
      <c r="AB2440" s="18"/>
      <c r="AC2440" s="18"/>
      <c r="AD2440" s="18"/>
      <c r="AE2440" s="60"/>
      <c r="AF2440" s="13"/>
      <c r="AG2440" s="68" t="e">
        <f>VLOOKUP(Takeoffs!AF2440,Sheet1!$B$6:$C$124,2,FALSE)</f>
        <v>#N/A</v>
      </c>
      <c r="AH2440" s="68"/>
      <c r="AI2440" s="18"/>
      <c r="AJ2440" s="18"/>
      <c r="AK2440" s="18"/>
      <c r="AL2440" s="60"/>
      <c r="AO2440" s="286"/>
      <c r="AP2440" s="284">
        <f t="shared" si="1004"/>
        <v>0</v>
      </c>
      <c r="AQ2440" s="281">
        <f t="shared" si="1005"/>
        <v>0</v>
      </c>
      <c r="AR2440" s="284">
        <f t="shared" si="1006"/>
        <v>0</v>
      </c>
      <c r="AS2440" s="281">
        <f t="shared" si="1007"/>
        <v>0</v>
      </c>
      <c r="AT2440" s="284">
        <f t="shared" si="1008"/>
        <v>0</v>
      </c>
    </row>
    <row r="2441" spans="1:46" customFormat="1" ht="15" customHeight="1" x14ac:dyDescent="0.8">
      <c r="A2441" s="262">
        <f t="shared" si="1009"/>
        <v>2441</v>
      </c>
      <c r="B2441" s="114"/>
      <c r="C2441" s="208"/>
      <c r="D2441" s="208"/>
      <c r="E2441" s="219"/>
      <c r="F2441" s="219"/>
      <c r="G2441" s="219"/>
      <c r="H2441" s="219"/>
      <c r="I2441" s="221"/>
      <c r="J2441" s="30"/>
      <c r="K2441" s="221"/>
      <c r="L2441" s="117"/>
      <c r="N2441" s="15" t="s">
        <v>131</v>
      </c>
      <c r="O2441" s="12"/>
      <c r="P2441" s="207"/>
      <c r="Q2441" s="12"/>
      <c r="R2441" s="12"/>
      <c r="S2441" s="28">
        <f>M2422</f>
        <v>10</v>
      </c>
      <c r="T2441" s="11"/>
      <c r="U2441" s="12"/>
      <c r="V2441" s="14" t="e">
        <f>U2441*#REF!</f>
        <v>#REF!</v>
      </c>
      <c r="W2441" s="14"/>
      <c r="X2441" s="26"/>
      <c r="Y2441" s="13"/>
      <c r="Z2441" s="68" t="e">
        <f>VLOOKUP(Takeoffs!Y2441,Sheet1!$B$6:$C$124,2,FALSE)</f>
        <v>#N/A</v>
      </c>
      <c r="AA2441" s="68"/>
      <c r="AB2441" s="18"/>
      <c r="AC2441" s="18"/>
      <c r="AD2441" s="18"/>
      <c r="AE2441" s="60"/>
      <c r="AF2441" s="13"/>
      <c r="AG2441" s="68" t="e">
        <f>VLOOKUP(Takeoffs!AF2441,Sheet1!$B$6:$C$124,2,FALSE)</f>
        <v>#N/A</v>
      </c>
      <c r="AH2441" s="68"/>
      <c r="AI2441" s="18"/>
      <c r="AJ2441" s="18"/>
      <c r="AK2441" s="18"/>
      <c r="AL2441" s="60"/>
      <c r="AO2441" s="286"/>
      <c r="AP2441" s="284">
        <f t="shared" si="1004"/>
        <v>0</v>
      </c>
      <c r="AQ2441" s="281">
        <f t="shared" si="1005"/>
        <v>0</v>
      </c>
      <c r="AR2441" s="284">
        <f t="shared" si="1006"/>
        <v>0</v>
      </c>
      <c r="AS2441" s="281">
        <f t="shared" si="1007"/>
        <v>0</v>
      </c>
      <c r="AT2441" s="284">
        <f t="shared" si="1008"/>
        <v>0</v>
      </c>
    </row>
    <row r="2442" spans="1:46" customFormat="1" ht="15" customHeight="1" x14ac:dyDescent="0.8">
      <c r="A2442" s="262">
        <f t="shared" si="1009"/>
        <v>2442</v>
      </c>
      <c r="B2442" s="114"/>
      <c r="C2442" s="208"/>
      <c r="D2442" s="208"/>
      <c r="E2442" s="219"/>
      <c r="F2442" s="219"/>
      <c r="G2442" s="219"/>
      <c r="H2442" s="219"/>
      <c r="I2442" s="221"/>
      <c r="J2442" s="30"/>
      <c r="K2442" s="221"/>
      <c r="L2442" s="117"/>
      <c r="N2442" s="15" t="s">
        <v>132</v>
      </c>
      <c r="O2442" s="12"/>
      <c r="P2442" s="207"/>
      <c r="Q2442" s="12"/>
      <c r="R2442" s="12"/>
      <c r="S2442" s="28">
        <f>M2422</f>
        <v>10</v>
      </c>
      <c r="T2442" s="11"/>
      <c r="U2442" s="12"/>
      <c r="V2442" s="14" t="e">
        <f>U2442*#REF!</f>
        <v>#REF!</v>
      </c>
      <c r="W2442" s="14"/>
      <c r="X2442" s="26"/>
      <c r="Y2442" s="13"/>
      <c r="Z2442" s="68" t="e">
        <f>VLOOKUP(Takeoffs!Y2442,Sheet1!$B$6:$C$124,2,FALSE)</f>
        <v>#N/A</v>
      </c>
      <c r="AA2442" s="68"/>
      <c r="AB2442" s="18"/>
      <c r="AC2442" s="18"/>
      <c r="AD2442" s="18"/>
      <c r="AE2442" s="60"/>
      <c r="AF2442" s="13"/>
      <c r="AG2442" s="68" t="e">
        <f>VLOOKUP(Takeoffs!AF2442,Sheet1!$B$6:$C$124,2,FALSE)</f>
        <v>#N/A</v>
      </c>
      <c r="AH2442" s="68"/>
      <c r="AI2442" s="18"/>
      <c r="AJ2442" s="18"/>
      <c r="AK2442" s="18"/>
      <c r="AL2442" s="60"/>
      <c r="AO2442" s="286"/>
      <c r="AP2442" s="284">
        <f t="shared" si="1004"/>
        <v>0</v>
      </c>
      <c r="AQ2442" s="281">
        <f t="shared" si="1005"/>
        <v>0</v>
      </c>
      <c r="AR2442" s="284">
        <f t="shared" si="1006"/>
        <v>0</v>
      </c>
      <c r="AS2442" s="281">
        <f t="shared" si="1007"/>
        <v>0</v>
      </c>
      <c r="AT2442" s="284">
        <f t="shared" si="1008"/>
        <v>0</v>
      </c>
    </row>
    <row r="2443" spans="1:46" s="21" customFormat="1" ht="33.75" customHeight="1" x14ac:dyDescent="0.8">
      <c r="A2443" s="262">
        <f t="shared" si="1009"/>
        <v>2443</v>
      </c>
      <c r="B2443" s="128"/>
      <c r="C2443" s="212"/>
      <c r="D2443" s="212"/>
      <c r="E2443" s="220"/>
      <c r="F2443" s="220"/>
      <c r="G2443" s="220"/>
      <c r="H2443" s="220"/>
      <c r="I2443" s="221"/>
      <c r="K2443" s="223"/>
      <c r="L2443" s="130"/>
      <c r="N2443" s="22"/>
      <c r="O2443" s="23"/>
      <c r="P2443" s="207"/>
      <c r="Q2443" s="23"/>
      <c r="R2443" s="23"/>
      <c r="S2443" s="23"/>
      <c r="T2443" s="24"/>
      <c r="U2443" s="23"/>
      <c r="V2443" s="24"/>
      <c r="W2443" s="24"/>
      <c r="X2443" s="26"/>
      <c r="Y2443" s="24"/>
      <c r="Z2443" s="68" t="e">
        <f>VLOOKUP(Takeoffs!Y2443,Sheet1!$B$6:$C$124,2,FALSE)</f>
        <v>#N/A</v>
      </c>
      <c r="AA2443" s="68"/>
      <c r="AB2443" s="31"/>
      <c r="AC2443" s="31"/>
      <c r="AD2443" s="31"/>
      <c r="AE2443" s="60"/>
      <c r="AF2443" s="24"/>
      <c r="AG2443" s="68" t="e">
        <f>VLOOKUP(Takeoffs!AF2443,Sheet1!$B$6:$C$124,2,FALSE)</f>
        <v>#N/A</v>
      </c>
      <c r="AH2443" s="68"/>
      <c r="AI2443" s="31"/>
      <c r="AJ2443" s="31"/>
      <c r="AK2443" s="31"/>
      <c r="AL2443" s="60"/>
      <c r="AO2443" s="286"/>
      <c r="AP2443" s="284">
        <f t="shared" si="1004"/>
        <v>0</v>
      </c>
      <c r="AQ2443" s="281">
        <f t="shared" si="1005"/>
        <v>0</v>
      </c>
      <c r="AR2443" s="284">
        <f t="shared" si="1006"/>
        <v>0</v>
      </c>
      <c r="AS2443" s="281">
        <f t="shared" si="1007"/>
        <v>0</v>
      </c>
      <c r="AT2443" s="284">
        <f t="shared" si="1008"/>
        <v>0</v>
      </c>
    </row>
    <row r="2444" spans="1:46" customFormat="1" ht="30.9" x14ac:dyDescent="0.8">
      <c r="A2444" s="262">
        <f t="shared" si="1009"/>
        <v>2444</v>
      </c>
      <c r="B2444" s="114"/>
      <c r="C2444" s="208"/>
      <c r="D2444" s="208"/>
      <c r="E2444" s="219"/>
      <c r="F2444" s="219"/>
      <c r="G2444" s="219"/>
      <c r="H2444" s="219"/>
      <c r="I2444" s="223"/>
      <c r="K2444" s="221"/>
      <c r="L2444" s="117"/>
      <c r="P2444" s="201"/>
      <c r="Q2444" s="32"/>
      <c r="R2444" s="32"/>
      <c r="T2444" s="8"/>
      <c r="W2444" s="32"/>
      <c r="X2444" s="25"/>
      <c r="Z2444" s="68" t="e">
        <f>VLOOKUP(Takeoffs!Y2444,Sheet1!$B$6:$C$124,2,FALSE)</f>
        <v>#N/A</v>
      </c>
      <c r="AA2444" s="68"/>
      <c r="AB2444" s="32"/>
      <c r="AC2444" s="32"/>
      <c r="AD2444" s="32"/>
      <c r="AE2444" s="25"/>
      <c r="AF2444" s="32"/>
      <c r="AG2444" s="68" t="e">
        <f>VLOOKUP(Takeoffs!AF2444,Sheet1!$B$6:$C$124,2,FALSE)</f>
        <v>#N/A</v>
      </c>
      <c r="AH2444" s="68"/>
      <c r="AI2444" s="32"/>
      <c r="AJ2444" s="32"/>
      <c r="AK2444" s="32"/>
      <c r="AL2444" s="25"/>
      <c r="AO2444" s="286"/>
      <c r="AP2444" s="284">
        <f t="shared" si="1004"/>
        <v>0</v>
      </c>
      <c r="AQ2444" s="281">
        <f t="shared" si="1005"/>
        <v>0</v>
      </c>
      <c r="AR2444" s="284">
        <f t="shared" si="1006"/>
        <v>0</v>
      </c>
      <c r="AS2444" s="281">
        <f t="shared" si="1007"/>
        <v>0</v>
      </c>
      <c r="AT2444" s="284">
        <f t="shared" si="1008"/>
        <v>0</v>
      </c>
    </row>
    <row r="2445" spans="1:46" customFormat="1" ht="30.9" x14ac:dyDescent="0.8">
      <c r="A2445" s="262">
        <f t="shared" si="1009"/>
        <v>2445</v>
      </c>
      <c r="B2445" s="114"/>
      <c r="C2445" s="208"/>
      <c r="D2445" s="208"/>
      <c r="E2445" s="219"/>
      <c r="F2445" s="219"/>
      <c r="G2445" s="219"/>
      <c r="H2445" s="219"/>
      <c r="I2445" s="221"/>
      <c r="K2445" s="221"/>
      <c r="L2445" s="117"/>
      <c r="P2445" s="201"/>
      <c r="Q2445" s="32"/>
      <c r="R2445" s="32"/>
      <c r="T2445" s="8"/>
      <c r="W2445" s="32"/>
      <c r="X2445" s="25"/>
      <c r="Z2445" s="68" t="e">
        <f>VLOOKUP(Takeoffs!Y2445,Sheet1!$B$6:$C$124,2,FALSE)</f>
        <v>#N/A</v>
      </c>
      <c r="AA2445" s="68"/>
      <c r="AB2445" s="32"/>
      <c r="AC2445" s="32"/>
      <c r="AD2445" s="32"/>
      <c r="AE2445" s="25"/>
      <c r="AF2445" s="32"/>
      <c r="AG2445" s="68" t="e">
        <f>VLOOKUP(Takeoffs!AF2445,Sheet1!$B$6:$C$124,2,FALSE)</f>
        <v>#N/A</v>
      </c>
      <c r="AH2445" s="68"/>
      <c r="AI2445" s="32"/>
      <c r="AJ2445" s="32"/>
      <c r="AK2445" s="32"/>
      <c r="AL2445" s="25"/>
      <c r="AO2445" s="286"/>
      <c r="AP2445" s="284">
        <f t="shared" si="1004"/>
        <v>0</v>
      </c>
      <c r="AQ2445" s="281">
        <f t="shared" si="1005"/>
        <v>0</v>
      </c>
      <c r="AR2445" s="284">
        <f t="shared" si="1006"/>
        <v>0</v>
      </c>
      <c r="AS2445" s="281">
        <f t="shared" si="1007"/>
        <v>0</v>
      </c>
      <c r="AT2445" s="284">
        <f t="shared" si="1008"/>
        <v>0</v>
      </c>
    </row>
    <row r="2446" spans="1:46" customFormat="1" ht="30.9" x14ac:dyDescent="0.8">
      <c r="A2446" s="262">
        <f t="shared" si="1009"/>
        <v>2446</v>
      </c>
      <c r="B2446" s="114"/>
      <c r="C2446" s="208"/>
      <c r="D2446" s="208"/>
      <c r="E2446" s="219"/>
      <c r="F2446" s="219"/>
      <c r="G2446" s="219"/>
      <c r="H2446" s="219"/>
      <c r="I2446" s="221"/>
      <c r="K2446" s="221"/>
      <c r="L2446" s="117"/>
      <c r="P2446" s="201"/>
      <c r="Q2446" s="32"/>
      <c r="R2446" s="32"/>
      <c r="T2446" s="8"/>
      <c r="W2446" s="32"/>
      <c r="X2446" s="25"/>
      <c r="Z2446" s="68" t="e">
        <f>VLOOKUP(Takeoffs!Y2446,Sheet1!$B$6:$C$124,2,FALSE)</f>
        <v>#N/A</v>
      </c>
      <c r="AA2446" s="68"/>
      <c r="AB2446" s="32"/>
      <c r="AC2446" s="32"/>
      <c r="AD2446" s="32"/>
      <c r="AE2446" s="25"/>
      <c r="AF2446" s="32"/>
      <c r="AG2446" s="68" t="e">
        <f>VLOOKUP(Takeoffs!AF2446,Sheet1!$B$6:$C$124,2,FALSE)</f>
        <v>#N/A</v>
      </c>
      <c r="AH2446" s="68"/>
      <c r="AI2446" s="32"/>
      <c r="AJ2446" s="32"/>
      <c r="AK2446" s="32"/>
      <c r="AL2446" s="25"/>
      <c r="AO2446" s="286"/>
      <c r="AP2446" s="284">
        <f t="shared" si="1004"/>
        <v>0</v>
      </c>
      <c r="AQ2446" s="281">
        <f t="shared" si="1005"/>
        <v>0</v>
      </c>
      <c r="AR2446" s="284">
        <f t="shared" si="1006"/>
        <v>0</v>
      </c>
      <c r="AS2446" s="281">
        <f t="shared" si="1007"/>
        <v>0</v>
      </c>
      <c r="AT2446" s="284">
        <f t="shared" si="1008"/>
        <v>0</v>
      </c>
    </row>
    <row r="2447" spans="1:46" s="2" customFormat="1" ht="62.25" customHeight="1" x14ac:dyDescent="0.8">
      <c r="A2447" s="262">
        <f t="shared" si="1009"/>
        <v>2447</v>
      </c>
      <c r="B2447" s="116"/>
      <c r="C2447" s="211"/>
      <c r="D2447" s="211"/>
      <c r="E2447" s="218"/>
      <c r="F2447" s="218"/>
      <c r="G2447" s="218"/>
      <c r="H2447" s="218"/>
      <c r="I2447" s="221"/>
      <c r="K2447" s="222"/>
      <c r="L2447" s="170"/>
      <c r="M2447" s="2" t="s">
        <v>107</v>
      </c>
      <c r="N2447" s="2" t="s">
        <v>108</v>
      </c>
      <c r="O2447" s="2" t="s">
        <v>4</v>
      </c>
      <c r="P2447" s="184" t="s">
        <v>5</v>
      </c>
      <c r="S2447" s="2" t="s">
        <v>0</v>
      </c>
      <c r="T2447" s="9"/>
      <c r="U2447" s="2" t="s">
        <v>109</v>
      </c>
      <c r="V2447" s="2" t="s">
        <v>110</v>
      </c>
      <c r="X2447" s="58"/>
      <c r="Y2447" s="2" t="s">
        <v>111</v>
      </c>
      <c r="Z2447" s="68" t="e">
        <f>VLOOKUP(Takeoffs!Y2447,Sheet1!$B$6:$C$124,2,FALSE)</f>
        <v>#N/A</v>
      </c>
      <c r="AA2447" s="68"/>
      <c r="AE2447" s="58"/>
      <c r="AF2447" s="2" t="s">
        <v>111</v>
      </c>
      <c r="AG2447" s="68" t="e">
        <f>VLOOKUP(Takeoffs!AF2447,Sheet1!$B$6:$C$124,2,FALSE)</f>
        <v>#N/A</v>
      </c>
      <c r="AH2447" s="68"/>
      <c r="AL2447" s="58"/>
      <c r="AO2447" s="288"/>
      <c r="AP2447" s="284">
        <f t="shared" si="1004"/>
        <v>0</v>
      </c>
      <c r="AQ2447" s="281">
        <f t="shared" si="1005"/>
        <v>0</v>
      </c>
      <c r="AR2447" s="284">
        <f t="shared" si="1006"/>
        <v>0</v>
      </c>
      <c r="AS2447" s="281">
        <f t="shared" si="1007"/>
        <v>0</v>
      </c>
      <c r="AT2447" s="284">
        <f t="shared" si="1008"/>
        <v>0</v>
      </c>
    </row>
    <row r="2448" spans="1:46" customFormat="1" ht="179.25" customHeight="1" x14ac:dyDescent="0.8">
      <c r="A2448" s="262">
        <f t="shared" si="1009"/>
        <v>2448</v>
      </c>
      <c r="B2448" s="114"/>
      <c r="C2448" s="208"/>
      <c r="D2448" s="208"/>
      <c r="E2448" s="219"/>
      <c r="F2448" s="219"/>
      <c r="G2448" s="219"/>
      <c r="H2448" s="219"/>
      <c r="I2448" s="222"/>
      <c r="J2448" s="30" t="str">
        <f>CONCATENATE(O2448," ",L2448, " (",M2448,") ",N2448,". Each includes supply and install of ",O2449,O2450,O2451,O2452,O2453,O2454,O2455,O2456,O2457,O2458,O2459,O2460,O2461,O2462,O2463,O2464,O2465,O2466,O2467,O2468,)</f>
        <v>Electrical power supply and controls cabling for  two (2) central airconditioning controllers. Each includes supply and install of circuit breaker, power supply fom MSSB, interconnect controls cablingand display installThis excludes supply or commissioning od central controller.</v>
      </c>
      <c r="K2448" s="221"/>
      <c r="L2448" s="123" t="str">
        <f>VLOOKUP(M2448,Sheet2!$D$2:$E$1024,2,FALSE)</f>
        <v>two</v>
      </c>
      <c r="M2448" s="12">
        <v>2</v>
      </c>
      <c r="N2448" s="27" t="s">
        <v>179</v>
      </c>
      <c r="O2448" s="12" t="s">
        <v>178</v>
      </c>
      <c r="P2448" s="207"/>
      <c r="Q2448" s="12"/>
      <c r="R2448" s="12"/>
      <c r="S2448" s="28"/>
      <c r="T2448" s="10"/>
      <c r="U2448" s="12"/>
      <c r="V2448" s="14" t="e">
        <f>U2448*#REF!</f>
        <v>#REF!</v>
      </c>
      <c r="W2448" s="14"/>
      <c r="X2448" s="26"/>
      <c r="Y2448" s="13"/>
      <c r="Z2448" s="68" t="e">
        <f>VLOOKUP(Takeoffs!Y2448,Sheet1!$B$6:$C$124,2,FALSE)</f>
        <v>#N/A</v>
      </c>
      <c r="AA2448" s="68"/>
      <c r="AB2448" s="18"/>
      <c r="AC2448" s="18"/>
      <c r="AD2448" s="18"/>
      <c r="AE2448" s="60"/>
      <c r="AF2448" s="13"/>
      <c r="AG2448" s="68" t="e">
        <f>VLOOKUP(Takeoffs!AF2448,Sheet1!$B$6:$C$124,2,FALSE)</f>
        <v>#N/A</v>
      </c>
      <c r="AH2448" s="68"/>
      <c r="AI2448" s="18"/>
      <c r="AJ2448" s="18"/>
      <c r="AK2448" s="18"/>
      <c r="AL2448" s="60"/>
      <c r="AO2448" s="286"/>
      <c r="AP2448" s="284">
        <f t="shared" si="1004"/>
        <v>0</v>
      </c>
      <c r="AQ2448" s="281">
        <f t="shared" si="1005"/>
        <v>0</v>
      </c>
      <c r="AR2448" s="284">
        <f t="shared" si="1006"/>
        <v>0</v>
      </c>
      <c r="AS2448" s="281">
        <f t="shared" si="1007"/>
        <v>0</v>
      </c>
      <c r="AT2448" s="284">
        <f t="shared" si="1008"/>
        <v>0</v>
      </c>
    </row>
    <row r="2449" spans="1:46" customFormat="1" ht="15" customHeight="1" x14ac:dyDescent="0.8">
      <c r="A2449" s="262">
        <f t="shared" si="1009"/>
        <v>2449</v>
      </c>
      <c r="B2449" s="114"/>
      <c r="C2449" s="208"/>
      <c r="D2449" s="208"/>
      <c r="E2449" s="219"/>
      <c r="F2449" s="219"/>
      <c r="G2449" s="219"/>
      <c r="H2449" s="219"/>
      <c r="I2449" s="221"/>
      <c r="J2449" s="30"/>
      <c r="K2449" s="221"/>
      <c r="L2449" s="117"/>
      <c r="M2449" s="3"/>
      <c r="N2449" s="15" t="s">
        <v>113</v>
      </c>
      <c r="O2449" s="12" t="s">
        <v>151</v>
      </c>
      <c r="P2449" s="207"/>
      <c r="Q2449" s="12"/>
      <c r="R2449" s="12"/>
      <c r="S2449" s="28">
        <f>M2448</f>
        <v>2</v>
      </c>
      <c r="T2449" s="11"/>
      <c r="U2449" s="12"/>
      <c r="V2449" s="14" t="e">
        <f>U2449*#REF!</f>
        <v>#REF!</v>
      </c>
      <c r="W2449" s="14"/>
      <c r="X2449" s="26"/>
      <c r="Y2449" s="13"/>
      <c r="Z2449" s="68" t="e">
        <f>VLOOKUP(Takeoffs!Y2449,Sheet1!$B$6:$C$124,2,FALSE)</f>
        <v>#N/A</v>
      </c>
      <c r="AA2449" s="68"/>
      <c r="AB2449" s="18"/>
      <c r="AC2449" s="18"/>
      <c r="AD2449" s="18"/>
      <c r="AE2449" s="60"/>
      <c r="AF2449" s="13"/>
      <c r="AG2449" s="68" t="e">
        <f>VLOOKUP(Takeoffs!AF2449,Sheet1!$B$6:$C$124,2,FALSE)</f>
        <v>#N/A</v>
      </c>
      <c r="AH2449" s="68"/>
      <c r="AI2449" s="18"/>
      <c r="AJ2449" s="18"/>
      <c r="AK2449" s="18"/>
      <c r="AL2449" s="60"/>
      <c r="AO2449" s="286"/>
      <c r="AP2449" s="284">
        <f t="shared" si="1004"/>
        <v>0</v>
      </c>
      <c r="AQ2449" s="281">
        <f t="shared" si="1005"/>
        <v>0</v>
      </c>
      <c r="AR2449" s="284">
        <f t="shared" si="1006"/>
        <v>0</v>
      </c>
      <c r="AS2449" s="281">
        <f t="shared" si="1007"/>
        <v>0</v>
      </c>
      <c r="AT2449" s="284">
        <f t="shared" si="1008"/>
        <v>0</v>
      </c>
    </row>
    <row r="2450" spans="1:46" customFormat="1" ht="15" customHeight="1" x14ac:dyDescent="0.8">
      <c r="A2450" s="262">
        <f t="shared" si="1009"/>
        <v>2450</v>
      </c>
      <c r="B2450" s="114"/>
      <c r="C2450" s="208"/>
      <c r="D2450" s="208"/>
      <c r="E2450" s="219"/>
      <c r="F2450" s="219"/>
      <c r="G2450" s="219"/>
      <c r="H2450" s="219"/>
      <c r="I2450" s="221"/>
      <c r="J2450" s="30"/>
      <c r="K2450" s="221"/>
      <c r="L2450" s="117"/>
      <c r="M2450" s="3"/>
      <c r="N2450" s="15" t="s">
        <v>114</v>
      </c>
      <c r="O2450" s="12" t="s">
        <v>181</v>
      </c>
      <c r="P2450" s="207"/>
      <c r="Q2450" s="12"/>
      <c r="R2450" s="12"/>
      <c r="S2450" s="28">
        <f>M2448</f>
        <v>2</v>
      </c>
      <c r="T2450" s="11"/>
      <c r="U2450" s="12"/>
      <c r="V2450" s="14" t="e">
        <f>U2450*#REF!</f>
        <v>#REF!</v>
      </c>
      <c r="W2450" s="14"/>
      <c r="X2450" s="26"/>
      <c r="Y2450" s="13"/>
      <c r="Z2450" s="68" t="e">
        <f>VLOOKUP(Takeoffs!Y2450,Sheet1!$B$6:$C$124,2,FALSE)</f>
        <v>#N/A</v>
      </c>
      <c r="AA2450" s="68"/>
      <c r="AB2450" s="18"/>
      <c r="AC2450" s="18"/>
      <c r="AD2450" s="18"/>
      <c r="AE2450" s="60"/>
      <c r="AF2450" s="13"/>
      <c r="AG2450" s="68" t="e">
        <f>VLOOKUP(Takeoffs!AF2450,Sheet1!$B$6:$C$124,2,FALSE)</f>
        <v>#N/A</v>
      </c>
      <c r="AH2450" s="68"/>
      <c r="AI2450" s="18"/>
      <c r="AJ2450" s="18"/>
      <c r="AK2450" s="18"/>
      <c r="AL2450" s="60"/>
      <c r="AO2450" s="286"/>
      <c r="AP2450" s="284">
        <f t="shared" si="1004"/>
        <v>0</v>
      </c>
      <c r="AQ2450" s="281">
        <f t="shared" si="1005"/>
        <v>0</v>
      </c>
      <c r="AR2450" s="284">
        <f t="shared" si="1006"/>
        <v>0</v>
      </c>
      <c r="AS2450" s="281">
        <f t="shared" si="1007"/>
        <v>0</v>
      </c>
      <c r="AT2450" s="284">
        <f t="shared" si="1008"/>
        <v>0</v>
      </c>
    </row>
    <row r="2451" spans="1:46" customFormat="1" ht="15" customHeight="1" x14ac:dyDescent="0.8">
      <c r="A2451" s="262">
        <f t="shared" si="1009"/>
        <v>2451</v>
      </c>
      <c r="B2451" s="114"/>
      <c r="C2451" s="208"/>
      <c r="D2451" s="208"/>
      <c r="E2451" s="219"/>
      <c r="F2451" s="219"/>
      <c r="G2451" s="219"/>
      <c r="H2451" s="219"/>
      <c r="I2451" s="221"/>
      <c r="J2451" s="30"/>
      <c r="K2451" s="221"/>
      <c r="L2451" s="117"/>
      <c r="M2451" s="3"/>
      <c r="N2451" s="15" t="s">
        <v>115</v>
      </c>
      <c r="O2451" s="12" t="s">
        <v>180</v>
      </c>
      <c r="P2451" s="207"/>
      <c r="Q2451" s="12"/>
      <c r="R2451" s="12"/>
      <c r="S2451" s="28">
        <f>M2448</f>
        <v>2</v>
      </c>
      <c r="T2451" s="11"/>
      <c r="U2451" s="12"/>
      <c r="V2451" s="14" t="e">
        <f>U2451*#REF!</f>
        <v>#REF!</v>
      </c>
      <c r="W2451" s="14"/>
      <c r="X2451" s="26"/>
      <c r="Y2451" s="13"/>
      <c r="Z2451" s="68" t="e">
        <f>VLOOKUP(Takeoffs!Y2451,Sheet1!$B$6:$C$124,2,FALSE)</f>
        <v>#N/A</v>
      </c>
      <c r="AA2451" s="68"/>
      <c r="AB2451" s="18"/>
      <c r="AC2451" s="18"/>
      <c r="AD2451" s="18"/>
      <c r="AE2451" s="60"/>
      <c r="AF2451" s="13"/>
      <c r="AG2451" s="68" t="e">
        <f>VLOOKUP(Takeoffs!AF2451,Sheet1!$B$6:$C$124,2,FALSE)</f>
        <v>#N/A</v>
      </c>
      <c r="AH2451" s="68"/>
      <c r="AI2451" s="18"/>
      <c r="AJ2451" s="18"/>
      <c r="AK2451" s="18"/>
      <c r="AL2451" s="60"/>
      <c r="AO2451" s="286"/>
      <c r="AP2451" s="284">
        <f t="shared" si="1004"/>
        <v>0</v>
      </c>
      <c r="AQ2451" s="281">
        <f t="shared" si="1005"/>
        <v>0</v>
      </c>
      <c r="AR2451" s="284">
        <f t="shared" si="1006"/>
        <v>0</v>
      </c>
      <c r="AS2451" s="281">
        <f t="shared" si="1007"/>
        <v>0</v>
      </c>
      <c r="AT2451" s="284">
        <f t="shared" si="1008"/>
        <v>0</v>
      </c>
    </row>
    <row r="2452" spans="1:46" customFormat="1" ht="15" customHeight="1" x14ac:dyDescent="0.8">
      <c r="A2452" s="262">
        <f t="shared" si="1009"/>
        <v>2452</v>
      </c>
      <c r="B2452" s="114"/>
      <c r="C2452" s="208"/>
      <c r="D2452" s="208"/>
      <c r="E2452" s="219"/>
      <c r="F2452" s="219"/>
      <c r="G2452" s="219"/>
      <c r="H2452" s="219"/>
      <c r="I2452" s="221"/>
      <c r="J2452" s="30"/>
      <c r="K2452" s="221"/>
      <c r="L2452" s="117"/>
      <c r="M2452" s="3"/>
      <c r="N2452" s="15" t="s">
        <v>116</v>
      </c>
      <c r="O2452" s="12" t="s">
        <v>182</v>
      </c>
      <c r="P2452" s="207"/>
      <c r="Q2452" s="12"/>
      <c r="R2452" s="12"/>
      <c r="S2452" s="28">
        <f>M2448</f>
        <v>2</v>
      </c>
      <c r="T2452" s="11"/>
      <c r="U2452" s="12"/>
      <c r="V2452" s="14" t="e">
        <f>U2452*#REF!</f>
        <v>#REF!</v>
      </c>
      <c r="W2452" s="14"/>
      <c r="X2452" s="26"/>
      <c r="Y2452" s="13"/>
      <c r="Z2452" s="68" t="e">
        <f>VLOOKUP(Takeoffs!Y2452,Sheet1!$B$6:$C$124,2,FALSE)</f>
        <v>#N/A</v>
      </c>
      <c r="AA2452" s="68"/>
      <c r="AB2452" s="18"/>
      <c r="AC2452" s="18"/>
      <c r="AD2452" s="18"/>
      <c r="AE2452" s="60"/>
      <c r="AF2452" s="13"/>
      <c r="AG2452" s="68" t="e">
        <f>VLOOKUP(Takeoffs!AF2452,Sheet1!$B$6:$C$124,2,FALSE)</f>
        <v>#N/A</v>
      </c>
      <c r="AH2452" s="68"/>
      <c r="AI2452" s="18"/>
      <c r="AJ2452" s="18"/>
      <c r="AK2452" s="18"/>
      <c r="AL2452" s="60"/>
      <c r="AO2452" s="286"/>
      <c r="AP2452" s="284">
        <f t="shared" si="1004"/>
        <v>0</v>
      </c>
      <c r="AQ2452" s="281">
        <f t="shared" si="1005"/>
        <v>0</v>
      </c>
      <c r="AR2452" s="284">
        <f t="shared" si="1006"/>
        <v>0</v>
      </c>
      <c r="AS2452" s="281">
        <f t="shared" si="1007"/>
        <v>0</v>
      </c>
      <c r="AT2452" s="284">
        <f t="shared" si="1008"/>
        <v>0</v>
      </c>
    </row>
    <row r="2453" spans="1:46" customFormat="1" ht="15" customHeight="1" x14ac:dyDescent="0.8">
      <c r="A2453" s="262">
        <f t="shared" si="1009"/>
        <v>2453</v>
      </c>
      <c r="B2453" s="114"/>
      <c r="C2453" s="208"/>
      <c r="D2453" s="208"/>
      <c r="E2453" s="219"/>
      <c r="F2453" s="219"/>
      <c r="G2453" s="219"/>
      <c r="H2453" s="219"/>
      <c r="I2453" s="221"/>
      <c r="J2453" s="30"/>
      <c r="K2453" s="221"/>
      <c r="L2453" s="117"/>
      <c r="M2453" s="3"/>
      <c r="N2453" s="15" t="s">
        <v>117</v>
      </c>
      <c r="O2453" s="12" t="s">
        <v>183</v>
      </c>
      <c r="P2453" s="207"/>
      <c r="Q2453" s="12"/>
      <c r="R2453" s="12"/>
      <c r="S2453" s="28">
        <f>M2448</f>
        <v>2</v>
      </c>
      <c r="T2453" s="11"/>
      <c r="U2453" s="12"/>
      <c r="V2453" s="14" t="e">
        <f>U2453*#REF!</f>
        <v>#REF!</v>
      </c>
      <c r="W2453" s="14"/>
      <c r="X2453" s="26"/>
      <c r="Y2453" s="13"/>
      <c r="Z2453" s="68" t="e">
        <f>VLOOKUP(Takeoffs!Y2453,Sheet1!$B$6:$C$124,2,FALSE)</f>
        <v>#N/A</v>
      </c>
      <c r="AA2453" s="68"/>
      <c r="AB2453" s="18"/>
      <c r="AC2453" s="18"/>
      <c r="AD2453" s="18"/>
      <c r="AE2453" s="60"/>
      <c r="AF2453" s="13"/>
      <c r="AG2453" s="68" t="e">
        <f>VLOOKUP(Takeoffs!AF2453,Sheet1!$B$6:$C$124,2,FALSE)</f>
        <v>#N/A</v>
      </c>
      <c r="AH2453" s="68"/>
      <c r="AI2453" s="18"/>
      <c r="AJ2453" s="18"/>
      <c r="AK2453" s="18"/>
      <c r="AL2453" s="60"/>
      <c r="AO2453" s="286"/>
      <c r="AP2453" s="284">
        <f t="shared" si="1004"/>
        <v>0</v>
      </c>
      <c r="AQ2453" s="281">
        <f t="shared" si="1005"/>
        <v>0</v>
      </c>
      <c r="AR2453" s="284">
        <f t="shared" si="1006"/>
        <v>0</v>
      </c>
      <c r="AS2453" s="281">
        <f t="shared" si="1007"/>
        <v>0</v>
      </c>
      <c r="AT2453" s="284">
        <f t="shared" si="1008"/>
        <v>0</v>
      </c>
    </row>
    <row r="2454" spans="1:46" customFormat="1" ht="15" customHeight="1" x14ac:dyDescent="0.8">
      <c r="A2454" s="262">
        <f t="shared" si="1009"/>
        <v>2454</v>
      </c>
      <c r="B2454" s="114"/>
      <c r="C2454" s="208"/>
      <c r="D2454" s="208"/>
      <c r="E2454" s="219"/>
      <c r="F2454" s="219"/>
      <c r="G2454" s="219"/>
      <c r="H2454" s="219"/>
      <c r="I2454" s="221"/>
      <c r="J2454" s="30"/>
      <c r="K2454" s="221"/>
      <c r="L2454" s="117"/>
      <c r="M2454" s="3"/>
      <c r="N2454" s="15" t="s">
        <v>118</v>
      </c>
      <c r="O2454" s="12"/>
      <c r="P2454" s="207"/>
      <c r="Q2454" s="12"/>
      <c r="R2454" s="12"/>
      <c r="S2454" s="28">
        <f>M2448</f>
        <v>2</v>
      </c>
      <c r="T2454" s="11"/>
      <c r="U2454" s="12"/>
      <c r="V2454" s="14" t="e">
        <f>U2454*#REF!</f>
        <v>#REF!</v>
      </c>
      <c r="W2454" s="14"/>
      <c r="X2454" s="26"/>
      <c r="Y2454" s="13"/>
      <c r="Z2454" s="68" t="e">
        <f>VLOOKUP(Takeoffs!Y2454,Sheet1!$B$6:$C$124,2,FALSE)</f>
        <v>#N/A</v>
      </c>
      <c r="AA2454" s="68"/>
      <c r="AB2454" s="18"/>
      <c r="AC2454" s="18"/>
      <c r="AD2454" s="18"/>
      <c r="AE2454" s="60"/>
      <c r="AF2454" s="13"/>
      <c r="AG2454" s="68" t="e">
        <f>VLOOKUP(Takeoffs!AF2454,Sheet1!$B$6:$C$124,2,FALSE)</f>
        <v>#N/A</v>
      </c>
      <c r="AH2454" s="68"/>
      <c r="AI2454" s="18"/>
      <c r="AJ2454" s="18"/>
      <c r="AK2454" s="18"/>
      <c r="AL2454" s="60"/>
      <c r="AO2454" s="286"/>
      <c r="AP2454" s="284">
        <f t="shared" si="1004"/>
        <v>0</v>
      </c>
      <c r="AQ2454" s="281">
        <f t="shared" si="1005"/>
        <v>0</v>
      </c>
      <c r="AR2454" s="284">
        <f t="shared" si="1006"/>
        <v>0</v>
      </c>
      <c r="AS2454" s="281">
        <f t="shared" si="1007"/>
        <v>0</v>
      </c>
      <c r="AT2454" s="284">
        <f t="shared" si="1008"/>
        <v>0</v>
      </c>
    </row>
    <row r="2455" spans="1:46" customFormat="1" ht="15" customHeight="1" x14ac:dyDescent="0.8">
      <c r="A2455" s="262">
        <f t="shared" si="1009"/>
        <v>2455</v>
      </c>
      <c r="B2455" s="114"/>
      <c r="C2455" s="208"/>
      <c r="D2455" s="208"/>
      <c r="E2455" s="219"/>
      <c r="F2455" s="219"/>
      <c r="G2455" s="219"/>
      <c r="H2455" s="219"/>
      <c r="I2455" s="221"/>
      <c r="J2455" s="30"/>
      <c r="K2455" s="221"/>
      <c r="L2455" s="117"/>
      <c r="N2455" s="15" t="s">
        <v>119</v>
      </c>
      <c r="O2455" s="12"/>
      <c r="P2455" s="207"/>
      <c r="Q2455" s="12"/>
      <c r="R2455" s="12"/>
      <c r="S2455" s="28">
        <f>M2448</f>
        <v>2</v>
      </c>
      <c r="T2455" s="11"/>
      <c r="U2455" s="12"/>
      <c r="V2455" s="14" t="e">
        <f>U2455*#REF!</f>
        <v>#REF!</v>
      </c>
      <c r="W2455" s="14"/>
      <c r="X2455" s="26"/>
      <c r="Y2455" s="13"/>
      <c r="Z2455" s="68" t="e">
        <f>VLOOKUP(Takeoffs!Y2455,Sheet1!$B$6:$C$124,2,FALSE)</f>
        <v>#N/A</v>
      </c>
      <c r="AA2455" s="68"/>
      <c r="AB2455" s="18"/>
      <c r="AC2455" s="18"/>
      <c r="AD2455" s="18"/>
      <c r="AE2455" s="60"/>
      <c r="AF2455" s="13"/>
      <c r="AG2455" s="68" t="e">
        <f>VLOOKUP(Takeoffs!AF2455,Sheet1!$B$6:$C$124,2,FALSE)</f>
        <v>#N/A</v>
      </c>
      <c r="AH2455" s="68"/>
      <c r="AI2455" s="18"/>
      <c r="AJ2455" s="18"/>
      <c r="AK2455" s="18"/>
      <c r="AL2455" s="60"/>
      <c r="AO2455" s="286"/>
      <c r="AP2455" s="284">
        <f t="shared" si="1004"/>
        <v>0</v>
      </c>
      <c r="AQ2455" s="281">
        <f t="shared" si="1005"/>
        <v>0</v>
      </c>
      <c r="AR2455" s="284">
        <f t="shared" si="1006"/>
        <v>0</v>
      </c>
      <c r="AS2455" s="281">
        <f t="shared" si="1007"/>
        <v>0</v>
      </c>
      <c r="AT2455" s="284">
        <f t="shared" si="1008"/>
        <v>0</v>
      </c>
    </row>
    <row r="2456" spans="1:46" customFormat="1" ht="15" customHeight="1" x14ac:dyDescent="0.8">
      <c r="A2456" s="262">
        <f t="shared" si="1009"/>
        <v>2456</v>
      </c>
      <c r="B2456" s="114"/>
      <c r="C2456" s="208"/>
      <c r="D2456" s="208"/>
      <c r="E2456" s="219"/>
      <c r="F2456" s="219"/>
      <c r="G2456" s="219"/>
      <c r="H2456" s="219"/>
      <c r="I2456" s="221"/>
      <c r="J2456" s="30"/>
      <c r="K2456" s="221"/>
      <c r="L2456" s="117"/>
      <c r="N2456" s="15" t="s">
        <v>120</v>
      </c>
      <c r="O2456" s="12"/>
      <c r="P2456" s="207"/>
      <c r="Q2456" s="12"/>
      <c r="R2456" s="12"/>
      <c r="S2456" s="28">
        <f>M2448</f>
        <v>2</v>
      </c>
      <c r="T2456" s="11"/>
      <c r="U2456" s="12"/>
      <c r="V2456" s="14" t="e">
        <f>U2456*#REF!</f>
        <v>#REF!</v>
      </c>
      <c r="W2456" s="14"/>
      <c r="X2456" s="26"/>
      <c r="Y2456" s="13"/>
      <c r="Z2456" s="68" t="e">
        <f>VLOOKUP(Takeoffs!Y2456,Sheet1!$B$6:$C$124,2,FALSE)</f>
        <v>#N/A</v>
      </c>
      <c r="AA2456" s="68"/>
      <c r="AB2456" s="18"/>
      <c r="AC2456" s="18"/>
      <c r="AD2456" s="18"/>
      <c r="AE2456" s="60"/>
      <c r="AF2456" s="13"/>
      <c r="AG2456" s="68" t="e">
        <f>VLOOKUP(Takeoffs!AF2456,Sheet1!$B$6:$C$124,2,FALSE)</f>
        <v>#N/A</v>
      </c>
      <c r="AH2456" s="68"/>
      <c r="AI2456" s="18"/>
      <c r="AJ2456" s="18"/>
      <c r="AK2456" s="18"/>
      <c r="AL2456" s="60"/>
      <c r="AO2456" s="286"/>
      <c r="AP2456" s="284">
        <f t="shared" si="1004"/>
        <v>0</v>
      </c>
      <c r="AQ2456" s="281">
        <f t="shared" si="1005"/>
        <v>0</v>
      </c>
      <c r="AR2456" s="284">
        <f t="shared" si="1006"/>
        <v>0</v>
      </c>
      <c r="AS2456" s="281">
        <f t="shared" si="1007"/>
        <v>0</v>
      </c>
      <c r="AT2456" s="284">
        <f t="shared" si="1008"/>
        <v>0</v>
      </c>
    </row>
    <row r="2457" spans="1:46" customFormat="1" ht="15" customHeight="1" x14ac:dyDescent="0.8">
      <c r="A2457" s="262">
        <f t="shared" si="1009"/>
        <v>2457</v>
      </c>
      <c r="B2457" s="114"/>
      <c r="C2457" s="208"/>
      <c r="D2457" s="208"/>
      <c r="E2457" s="219"/>
      <c r="F2457" s="219"/>
      <c r="G2457" s="219"/>
      <c r="H2457" s="219"/>
      <c r="I2457" s="221"/>
      <c r="J2457" s="30"/>
      <c r="K2457" s="221"/>
      <c r="L2457" s="117"/>
      <c r="N2457" s="15" t="s">
        <v>121</v>
      </c>
      <c r="O2457" s="12"/>
      <c r="P2457" s="207"/>
      <c r="Q2457" s="12"/>
      <c r="R2457" s="12"/>
      <c r="S2457" s="28">
        <f>M2448</f>
        <v>2</v>
      </c>
      <c r="T2457" s="11"/>
      <c r="U2457" s="12"/>
      <c r="V2457" s="14" t="e">
        <f>U2457*#REF!</f>
        <v>#REF!</v>
      </c>
      <c r="W2457" s="14"/>
      <c r="X2457" s="26"/>
      <c r="Y2457" s="13"/>
      <c r="Z2457" s="68" t="e">
        <f>VLOOKUP(Takeoffs!Y2457,Sheet1!$B$6:$C$124,2,FALSE)</f>
        <v>#N/A</v>
      </c>
      <c r="AA2457" s="68"/>
      <c r="AB2457" s="18"/>
      <c r="AC2457" s="18"/>
      <c r="AD2457" s="18"/>
      <c r="AE2457" s="60"/>
      <c r="AF2457" s="13"/>
      <c r="AG2457" s="68" t="e">
        <f>VLOOKUP(Takeoffs!AF2457,Sheet1!$B$6:$C$124,2,FALSE)</f>
        <v>#N/A</v>
      </c>
      <c r="AH2457" s="68"/>
      <c r="AI2457" s="18"/>
      <c r="AJ2457" s="18"/>
      <c r="AK2457" s="18"/>
      <c r="AL2457" s="60"/>
      <c r="AO2457" s="286"/>
      <c r="AP2457" s="284">
        <f t="shared" si="1004"/>
        <v>0</v>
      </c>
      <c r="AQ2457" s="281">
        <f t="shared" si="1005"/>
        <v>0</v>
      </c>
      <c r="AR2457" s="284">
        <f t="shared" si="1006"/>
        <v>0</v>
      </c>
      <c r="AS2457" s="281">
        <f t="shared" si="1007"/>
        <v>0</v>
      </c>
      <c r="AT2457" s="284">
        <f t="shared" si="1008"/>
        <v>0</v>
      </c>
    </row>
    <row r="2458" spans="1:46" customFormat="1" ht="15" customHeight="1" x14ac:dyDescent="0.8">
      <c r="A2458" s="262">
        <f t="shared" si="1009"/>
        <v>2458</v>
      </c>
      <c r="B2458" s="114"/>
      <c r="C2458" s="208"/>
      <c r="D2458" s="208"/>
      <c r="E2458" s="219"/>
      <c r="F2458" s="219"/>
      <c r="G2458" s="219"/>
      <c r="H2458" s="219"/>
      <c r="I2458" s="221"/>
      <c r="J2458" s="30"/>
      <c r="K2458" s="221"/>
      <c r="L2458" s="117"/>
      <c r="N2458" s="15" t="s">
        <v>122</v>
      </c>
      <c r="O2458" s="12"/>
      <c r="P2458" s="207"/>
      <c r="Q2458" s="12"/>
      <c r="R2458" s="12"/>
      <c r="S2458" s="28">
        <f>M2448</f>
        <v>2</v>
      </c>
      <c r="T2458" s="11"/>
      <c r="U2458" s="12"/>
      <c r="V2458" s="14" t="e">
        <f>U2458*#REF!</f>
        <v>#REF!</v>
      </c>
      <c r="W2458" s="14"/>
      <c r="X2458" s="26"/>
      <c r="Y2458" s="13"/>
      <c r="Z2458" s="68" t="e">
        <f>VLOOKUP(Takeoffs!Y2458,Sheet1!$B$6:$C$124,2,FALSE)</f>
        <v>#N/A</v>
      </c>
      <c r="AA2458" s="68"/>
      <c r="AB2458" s="18"/>
      <c r="AC2458" s="18"/>
      <c r="AD2458" s="18"/>
      <c r="AE2458" s="60"/>
      <c r="AF2458" s="13"/>
      <c r="AG2458" s="68" t="e">
        <f>VLOOKUP(Takeoffs!AF2458,Sheet1!$B$6:$C$124,2,FALSE)</f>
        <v>#N/A</v>
      </c>
      <c r="AH2458" s="68"/>
      <c r="AI2458" s="18"/>
      <c r="AJ2458" s="18"/>
      <c r="AK2458" s="18"/>
      <c r="AL2458" s="60"/>
      <c r="AO2458" s="286"/>
      <c r="AP2458" s="284">
        <f t="shared" si="1004"/>
        <v>0</v>
      </c>
      <c r="AQ2458" s="281">
        <f t="shared" si="1005"/>
        <v>0</v>
      </c>
      <c r="AR2458" s="284">
        <f t="shared" si="1006"/>
        <v>0</v>
      </c>
      <c r="AS2458" s="281">
        <f t="shared" si="1007"/>
        <v>0</v>
      </c>
      <c r="AT2458" s="284">
        <f t="shared" si="1008"/>
        <v>0</v>
      </c>
    </row>
    <row r="2459" spans="1:46" customFormat="1" ht="15" customHeight="1" x14ac:dyDescent="0.8">
      <c r="A2459" s="262">
        <f t="shared" si="1009"/>
        <v>2459</v>
      </c>
      <c r="B2459" s="114"/>
      <c r="C2459" s="208"/>
      <c r="D2459" s="208"/>
      <c r="E2459" s="219"/>
      <c r="F2459" s="219"/>
      <c r="G2459" s="219"/>
      <c r="H2459" s="219"/>
      <c r="I2459" s="221"/>
      <c r="J2459" s="30"/>
      <c r="K2459" s="221"/>
      <c r="L2459" s="117"/>
      <c r="N2459" s="15" t="s">
        <v>123</v>
      </c>
      <c r="O2459" s="12"/>
      <c r="P2459" s="207"/>
      <c r="Q2459" s="12"/>
      <c r="R2459" s="12"/>
      <c r="S2459" s="28">
        <f>M2448</f>
        <v>2</v>
      </c>
      <c r="T2459" s="11"/>
      <c r="U2459" s="12"/>
      <c r="V2459" s="14" t="e">
        <f>U2459*#REF!</f>
        <v>#REF!</v>
      </c>
      <c r="W2459" s="14"/>
      <c r="X2459" s="26"/>
      <c r="Y2459" s="13"/>
      <c r="Z2459" s="68" t="e">
        <f>VLOOKUP(Takeoffs!Y2459,Sheet1!$B$6:$C$124,2,FALSE)</f>
        <v>#N/A</v>
      </c>
      <c r="AA2459" s="68"/>
      <c r="AB2459" s="18"/>
      <c r="AC2459" s="18"/>
      <c r="AD2459" s="18"/>
      <c r="AE2459" s="60"/>
      <c r="AF2459" s="13"/>
      <c r="AG2459" s="68" t="e">
        <f>VLOOKUP(Takeoffs!AF2459,Sheet1!$B$6:$C$124,2,FALSE)</f>
        <v>#N/A</v>
      </c>
      <c r="AH2459" s="68"/>
      <c r="AI2459" s="18"/>
      <c r="AJ2459" s="18"/>
      <c r="AK2459" s="18"/>
      <c r="AL2459" s="60"/>
      <c r="AO2459" s="286"/>
      <c r="AP2459" s="284">
        <f t="shared" si="1004"/>
        <v>0</v>
      </c>
      <c r="AQ2459" s="281">
        <f t="shared" si="1005"/>
        <v>0</v>
      </c>
      <c r="AR2459" s="284">
        <f t="shared" si="1006"/>
        <v>0</v>
      </c>
      <c r="AS2459" s="281">
        <f t="shared" si="1007"/>
        <v>0</v>
      </c>
      <c r="AT2459" s="284">
        <f t="shared" si="1008"/>
        <v>0</v>
      </c>
    </row>
    <row r="2460" spans="1:46" customFormat="1" ht="15" customHeight="1" x14ac:dyDescent="0.8">
      <c r="A2460" s="262">
        <f t="shared" si="1009"/>
        <v>2460</v>
      </c>
      <c r="B2460" s="114"/>
      <c r="C2460" s="208"/>
      <c r="D2460" s="208"/>
      <c r="E2460" s="219"/>
      <c r="F2460" s="219"/>
      <c r="G2460" s="219"/>
      <c r="H2460" s="219"/>
      <c r="I2460" s="221"/>
      <c r="J2460" s="30"/>
      <c r="K2460" s="221"/>
      <c r="L2460" s="117"/>
      <c r="N2460" s="15" t="s">
        <v>124</v>
      </c>
      <c r="O2460" s="12"/>
      <c r="P2460" s="207"/>
      <c r="Q2460" s="12"/>
      <c r="R2460" s="12"/>
      <c r="S2460" s="28">
        <f>M2448</f>
        <v>2</v>
      </c>
      <c r="T2460" s="11"/>
      <c r="U2460" s="12"/>
      <c r="V2460" s="14" t="e">
        <f>U2460*#REF!</f>
        <v>#REF!</v>
      </c>
      <c r="W2460" s="14"/>
      <c r="X2460" s="26"/>
      <c r="Y2460" s="13"/>
      <c r="Z2460" s="68" t="e">
        <f>VLOOKUP(Takeoffs!Y2460,Sheet1!$B$6:$C$124,2,FALSE)</f>
        <v>#N/A</v>
      </c>
      <c r="AA2460" s="68"/>
      <c r="AB2460" s="18"/>
      <c r="AC2460" s="18"/>
      <c r="AD2460" s="18"/>
      <c r="AE2460" s="60"/>
      <c r="AF2460" s="13"/>
      <c r="AG2460" s="68" t="e">
        <f>VLOOKUP(Takeoffs!AF2460,Sheet1!$B$6:$C$124,2,FALSE)</f>
        <v>#N/A</v>
      </c>
      <c r="AH2460" s="68"/>
      <c r="AI2460" s="18"/>
      <c r="AJ2460" s="18"/>
      <c r="AK2460" s="18"/>
      <c r="AL2460" s="60"/>
      <c r="AO2460" s="286"/>
      <c r="AP2460" s="284">
        <f t="shared" si="1004"/>
        <v>0</v>
      </c>
      <c r="AQ2460" s="281">
        <f t="shared" si="1005"/>
        <v>0</v>
      </c>
      <c r="AR2460" s="284">
        <f t="shared" si="1006"/>
        <v>0</v>
      </c>
      <c r="AS2460" s="281">
        <f t="shared" si="1007"/>
        <v>0</v>
      </c>
      <c r="AT2460" s="284">
        <f t="shared" si="1008"/>
        <v>0</v>
      </c>
    </row>
    <row r="2461" spans="1:46" customFormat="1" ht="15" customHeight="1" x14ac:dyDescent="0.8">
      <c r="A2461" s="262">
        <f t="shared" si="1009"/>
        <v>2461</v>
      </c>
      <c r="B2461" s="114"/>
      <c r="C2461" s="208"/>
      <c r="D2461" s="208"/>
      <c r="E2461" s="219"/>
      <c r="F2461" s="219"/>
      <c r="G2461" s="219"/>
      <c r="H2461" s="219"/>
      <c r="I2461" s="221"/>
      <c r="J2461" s="30"/>
      <c r="K2461" s="221"/>
      <c r="L2461" s="117"/>
      <c r="N2461" s="15" t="s">
        <v>125</v>
      </c>
      <c r="O2461" s="12"/>
      <c r="P2461" s="207"/>
      <c r="Q2461" s="12"/>
      <c r="R2461" s="12"/>
      <c r="S2461" s="28">
        <f>M2448</f>
        <v>2</v>
      </c>
      <c r="T2461" s="11"/>
      <c r="U2461" s="12"/>
      <c r="V2461" s="14" t="e">
        <f>U2461*#REF!</f>
        <v>#REF!</v>
      </c>
      <c r="W2461" s="14"/>
      <c r="X2461" s="26"/>
      <c r="Y2461" s="13"/>
      <c r="Z2461" s="68" t="e">
        <f>VLOOKUP(Takeoffs!Y2461,Sheet1!$B$6:$C$124,2,FALSE)</f>
        <v>#N/A</v>
      </c>
      <c r="AA2461" s="68"/>
      <c r="AB2461" s="18"/>
      <c r="AC2461" s="18"/>
      <c r="AD2461" s="18"/>
      <c r="AE2461" s="60"/>
      <c r="AF2461" s="13"/>
      <c r="AG2461" s="68" t="e">
        <f>VLOOKUP(Takeoffs!AF2461,Sheet1!$B$6:$C$124,2,FALSE)</f>
        <v>#N/A</v>
      </c>
      <c r="AH2461" s="68"/>
      <c r="AI2461" s="18"/>
      <c r="AJ2461" s="18"/>
      <c r="AK2461" s="18"/>
      <c r="AL2461" s="60"/>
      <c r="AO2461" s="286"/>
      <c r="AP2461" s="284">
        <f t="shared" si="1004"/>
        <v>0</v>
      </c>
      <c r="AQ2461" s="281">
        <f t="shared" si="1005"/>
        <v>0</v>
      </c>
      <c r="AR2461" s="284">
        <f t="shared" si="1006"/>
        <v>0</v>
      </c>
      <c r="AS2461" s="281">
        <f t="shared" si="1007"/>
        <v>0</v>
      </c>
      <c r="AT2461" s="284">
        <f t="shared" si="1008"/>
        <v>0</v>
      </c>
    </row>
    <row r="2462" spans="1:46" customFormat="1" ht="15" customHeight="1" x14ac:dyDescent="0.8">
      <c r="A2462" s="262">
        <f t="shared" si="1009"/>
        <v>2462</v>
      </c>
      <c r="B2462" s="114"/>
      <c r="C2462" s="208"/>
      <c r="D2462" s="208"/>
      <c r="E2462" s="219"/>
      <c r="F2462" s="219"/>
      <c r="G2462" s="219"/>
      <c r="H2462" s="219"/>
      <c r="I2462" s="221"/>
      <c r="J2462" s="30"/>
      <c r="K2462" s="221"/>
      <c r="L2462" s="117"/>
      <c r="N2462" s="15" t="s">
        <v>126</v>
      </c>
      <c r="O2462" s="12"/>
      <c r="P2462" s="207"/>
      <c r="Q2462" s="12"/>
      <c r="R2462" s="12"/>
      <c r="S2462" s="28">
        <f>M2448</f>
        <v>2</v>
      </c>
      <c r="T2462" s="11"/>
      <c r="U2462" s="12"/>
      <c r="V2462" s="14" t="e">
        <f>U2462*#REF!</f>
        <v>#REF!</v>
      </c>
      <c r="W2462" s="14"/>
      <c r="X2462" s="26"/>
      <c r="Y2462" s="13"/>
      <c r="Z2462" s="68" t="e">
        <f>VLOOKUP(Takeoffs!Y2462,Sheet1!$B$6:$C$124,2,FALSE)</f>
        <v>#N/A</v>
      </c>
      <c r="AA2462" s="68"/>
      <c r="AB2462" s="18"/>
      <c r="AC2462" s="18"/>
      <c r="AD2462" s="18"/>
      <c r="AE2462" s="60"/>
      <c r="AF2462" s="13"/>
      <c r="AG2462" s="68" t="e">
        <f>VLOOKUP(Takeoffs!AF2462,Sheet1!$B$6:$C$124,2,FALSE)</f>
        <v>#N/A</v>
      </c>
      <c r="AH2462" s="68"/>
      <c r="AI2462" s="18"/>
      <c r="AJ2462" s="18"/>
      <c r="AK2462" s="18"/>
      <c r="AL2462" s="60"/>
      <c r="AO2462" s="286"/>
      <c r="AP2462" s="284">
        <f t="shared" si="1004"/>
        <v>0</v>
      </c>
      <c r="AQ2462" s="281">
        <f t="shared" si="1005"/>
        <v>0</v>
      </c>
      <c r="AR2462" s="284">
        <f t="shared" si="1006"/>
        <v>0</v>
      </c>
      <c r="AS2462" s="281">
        <f t="shared" si="1007"/>
        <v>0</v>
      </c>
      <c r="AT2462" s="284">
        <f t="shared" si="1008"/>
        <v>0</v>
      </c>
    </row>
    <row r="2463" spans="1:46" customFormat="1" ht="15" customHeight="1" x14ac:dyDescent="0.8">
      <c r="A2463" s="262">
        <f t="shared" si="1009"/>
        <v>2463</v>
      </c>
      <c r="B2463" s="114"/>
      <c r="C2463" s="208"/>
      <c r="D2463" s="208"/>
      <c r="E2463" s="219"/>
      <c r="F2463" s="219"/>
      <c r="G2463" s="219"/>
      <c r="H2463" s="219"/>
      <c r="I2463" s="221"/>
      <c r="J2463" s="30"/>
      <c r="K2463" s="221"/>
      <c r="L2463" s="117"/>
      <c r="N2463" s="15" t="s">
        <v>127</v>
      </c>
      <c r="O2463" s="12"/>
      <c r="P2463" s="207"/>
      <c r="Q2463" s="12"/>
      <c r="R2463" s="12"/>
      <c r="S2463" s="28">
        <f>M2448</f>
        <v>2</v>
      </c>
      <c r="T2463" s="11"/>
      <c r="U2463" s="12"/>
      <c r="V2463" s="14" t="e">
        <f>U2463*#REF!</f>
        <v>#REF!</v>
      </c>
      <c r="W2463" s="14"/>
      <c r="X2463" s="26"/>
      <c r="Y2463" s="13"/>
      <c r="Z2463" s="68" t="e">
        <f>VLOOKUP(Takeoffs!Y2463,Sheet1!$B$6:$C$124,2,FALSE)</f>
        <v>#N/A</v>
      </c>
      <c r="AA2463" s="68"/>
      <c r="AB2463" s="18"/>
      <c r="AC2463" s="18"/>
      <c r="AD2463" s="18"/>
      <c r="AE2463" s="60"/>
      <c r="AF2463" s="13"/>
      <c r="AG2463" s="68" t="e">
        <f>VLOOKUP(Takeoffs!AF2463,Sheet1!$B$6:$C$124,2,FALSE)</f>
        <v>#N/A</v>
      </c>
      <c r="AH2463" s="68"/>
      <c r="AI2463" s="18"/>
      <c r="AJ2463" s="18"/>
      <c r="AK2463" s="18"/>
      <c r="AL2463" s="60"/>
      <c r="AO2463" s="286"/>
      <c r="AP2463" s="284">
        <f t="shared" si="1004"/>
        <v>0</v>
      </c>
      <c r="AQ2463" s="281">
        <f t="shared" si="1005"/>
        <v>0</v>
      </c>
      <c r="AR2463" s="284">
        <f t="shared" si="1006"/>
        <v>0</v>
      </c>
      <c r="AS2463" s="281">
        <f t="shared" si="1007"/>
        <v>0</v>
      </c>
      <c r="AT2463" s="284">
        <f t="shared" si="1008"/>
        <v>0</v>
      </c>
    </row>
    <row r="2464" spans="1:46" customFormat="1" ht="15" customHeight="1" x14ac:dyDescent="0.8">
      <c r="A2464" s="262">
        <f t="shared" si="1009"/>
        <v>2464</v>
      </c>
      <c r="B2464" s="114"/>
      <c r="C2464" s="208"/>
      <c r="D2464" s="208"/>
      <c r="E2464" s="219"/>
      <c r="F2464" s="219"/>
      <c r="G2464" s="219"/>
      <c r="H2464" s="219"/>
      <c r="I2464" s="221"/>
      <c r="J2464" s="30"/>
      <c r="K2464" s="221"/>
      <c r="L2464" s="117"/>
      <c r="N2464" s="15" t="s">
        <v>128</v>
      </c>
      <c r="O2464" s="12"/>
      <c r="P2464" s="207"/>
      <c r="Q2464" s="12"/>
      <c r="R2464" s="12"/>
      <c r="S2464" s="28">
        <f>M2448</f>
        <v>2</v>
      </c>
      <c r="T2464" s="11"/>
      <c r="U2464" s="12"/>
      <c r="V2464" s="14" t="e">
        <f>U2464*#REF!</f>
        <v>#REF!</v>
      </c>
      <c r="W2464" s="14"/>
      <c r="X2464" s="26"/>
      <c r="Y2464" s="13"/>
      <c r="Z2464" s="68" t="e">
        <f>VLOOKUP(Takeoffs!Y2464,Sheet1!$B$6:$C$124,2,FALSE)</f>
        <v>#N/A</v>
      </c>
      <c r="AA2464" s="68"/>
      <c r="AB2464" s="18"/>
      <c r="AC2464" s="18"/>
      <c r="AD2464" s="18"/>
      <c r="AE2464" s="60"/>
      <c r="AF2464" s="13"/>
      <c r="AG2464" s="68" t="e">
        <f>VLOOKUP(Takeoffs!AF2464,Sheet1!$B$6:$C$124,2,FALSE)</f>
        <v>#N/A</v>
      </c>
      <c r="AH2464" s="68"/>
      <c r="AI2464" s="18"/>
      <c r="AJ2464" s="18"/>
      <c r="AK2464" s="18"/>
      <c r="AL2464" s="60"/>
      <c r="AO2464" s="286"/>
      <c r="AP2464" s="284">
        <f t="shared" si="1004"/>
        <v>0</v>
      </c>
      <c r="AQ2464" s="281">
        <f t="shared" si="1005"/>
        <v>0</v>
      </c>
      <c r="AR2464" s="284">
        <f t="shared" si="1006"/>
        <v>0</v>
      </c>
      <c r="AS2464" s="281">
        <f t="shared" si="1007"/>
        <v>0</v>
      </c>
      <c r="AT2464" s="284">
        <f t="shared" si="1008"/>
        <v>0</v>
      </c>
    </row>
    <row r="2465" spans="1:46" customFormat="1" ht="15" customHeight="1" x14ac:dyDescent="0.8">
      <c r="A2465" s="262">
        <f t="shared" si="1009"/>
        <v>2465</v>
      </c>
      <c r="B2465" s="114"/>
      <c r="C2465" s="208"/>
      <c r="D2465" s="208"/>
      <c r="E2465" s="219"/>
      <c r="F2465" s="219"/>
      <c r="G2465" s="219"/>
      <c r="H2465" s="219"/>
      <c r="I2465" s="221"/>
      <c r="J2465" s="30"/>
      <c r="K2465" s="221"/>
      <c r="L2465" s="117"/>
      <c r="N2465" s="15" t="s">
        <v>129</v>
      </c>
      <c r="O2465" s="12"/>
      <c r="P2465" s="207"/>
      <c r="Q2465" s="12"/>
      <c r="R2465" s="12"/>
      <c r="S2465" s="28">
        <f>M2448</f>
        <v>2</v>
      </c>
      <c r="T2465" s="11"/>
      <c r="U2465" s="12"/>
      <c r="V2465" s="14" t="e">
        <f>U2465*#REF!</f>
        <v>#REF!</v>
      </c>
      <c r="W2465" s="14"/>
      <c r="X2465" s="26"/>
      <c r="Y2465" s="13"/>
      <c r="Z2465" s="68" t="e">
        <f>VLOOKUP(Takeoffs!Y2465,Sheet1!$B$6:$C$124,2,FALSE)</f>
        <v>#N/A</v>
      </c>
      <c r="AA2465" s="68"/>
      <c r="AB2465" s="18"/>
      <c r="AC2465" s="18"/>
      <c r="AD2465" s="18"/>
      <c r="AE2465" s="60"/>
      <c r="AF2465" s="13"/>
      <c r="AG2465" s="68" t="e">
        <f>VLOOKUP(Takeoffs!AF2465,Sheet1!$B$6:$C$124,2,FALSE)</f>
        <v>#N/A</v>
      </c>
      <c r="AH2465" s="68"/>
      <c r="AI2465" s="18"/>
      <c r="AJ2465" s="18"/>
      <c r="AK2465" s="18"/>
      <c r="AL2465" s="60"/>
      <c r="AO2465" s="286"/>
      <c r="AP2465" s="284">
        <f t="shared" si="1004"/>
        <v>0</v>
      </c>
      <c r="AQ2465" s="281">
        <f t="shared" si="1005"/>
        <v>0</v>
      </c>
      <c r="AR2465" s="284">
        <f t="shared" si="1006"/>
        <v>0</v>
      </c>
      <c r="AS2465" s="281">
        <f t="shared" si="1007"/>
        <v>0</v>
      </c>
      <c r="AT2465" s="284">
        <f t="shared" si="1008"/>
        <v>0</v>
      </c>
    </row>
    <row r="2466" spans="1:46" customFormat="1" ht="15" customHeight="1" x14ac:dyDescent="0.8">
      <c r="A2466" s="262">
        <f t="shared" si="1009"/>
        <v>2466</v>
      </c>
      <c r="B2466" s="114"/>
      <c r="C2466" s="208"/>
      <c r="D2466" s="208"/>
      <c r="E2466" s="219"/>
      <c r="F2466" s="219"/>
      <c r="G2466" s="219"/>
      <c r="H2466" s="219"/>
      <c r="I2466" s="221"/>
      <c r="J2466" s="30"/>
      <c r="K2466" s="221"/>
      <c r="L2466" s="117"/>
      <c r="N2466" s="15" t="s">
        <v>130</v>
      </c>
      <c r="O2466" s="12"/>
      <c r="P2466" s="207"/>
      <c r="Q2466" s="12"/>
      <c r="R2466" s="12"/>
      <c r="S2466" s="28">
        <f>M2448</f>
        <v>2</v>
      </c>
      <c r="T2466" s="11"/>
      <c r="U2466" s="12"/>
      <c r="V2466" s="14" t="e">
        <f>U2466*#REF!</f>
        <v>#REF!</v>
      </c>
      <c r="W2466" s="14"/>
      <c r="X2466" s="26"/>
      <c r="Y2466" s="13"/>
      <c r="Z2466" s="68" t="e">
        <f>VLOOKUP(Takeoffs!Y2466,Sheet1!$B$6:$C$124,2,FALSE)</f>
        <v>#N/A</v>
      </c>
      <c r="AA2466" s="68"/>
      <c r="AB2466" s="18"/>
      <c r="AC2466" s="18"/>
      <c r="AD2466" s="18"/>
      <c r="AE2466" s="60"/>
      <c r="AF2466" s="13"/>
      <c r="AG2466" s="68" t="e">
        <f>VLOOKUP(Takeoffs!AF2466,Sheet1!$B$6:$C$124,2,FALSE)</f>
        <v>#N/A</v>
      </c>
      <c r="AH2466" s="68"/>
      <c r="AI2466" s="18"/>
      <c r="AJ2466" s="18"/>
      <c r="AK2466" s="18"/>
      <c r="AL2466" s="60"/>
      <c r="AO2466" s="286"/>
      <c r="AP2466" s="284">
        <f t="shared" si="1004"/>
        <v>0</v>
      </c>
      <c r="AQ2466" s="281">
        <f t="shared" si="1005"/>
        <v>0</v>
      </c>
      <c r="AR2466" s="284">
        <f t="shared" si="1006"/>
        <v>0</v>
      </c>
      <c r="AS2466" s="281">
        <f t="shared" si="1007"/>
        <v>0</v>
      </c>
      <c r="AT2466" s="284">
        <f t="shared" si="1008"/>
        <v>0</v>
      </c>
    </row>
    <row r="2467" spans="1:46" customFormat="1" ht="15" customHeight="1" x14ac:dyDescent="0.8">
      <c r="A2467" s="262">
        <f t="shared" si="1009"/>
        <v>2467</v>
      </c>
      <c r="B2467" s="114"/>
      <c r="C2467" s="208"/>
      <c r="D2467" s="208"/>
      <c r="E2467" s="219"/>
      <c r="F2467" s="219"/>
      <c r="G2467" s="219"/>
      <c r="H2467" s="219"/>
      <c r="I2467" s="221"/>
      <c r="J2467" s="30"/>
      <c r="K2467" s="221"/>
      <c r="L2467" s="117"/>
      <c r="N2467" s="15" t="s">
        <v>131</v>
      </c>
      <c r="O2467" s="12"/>
      <c r="P2467" s="207"/>
      <c r="Q2467" s="12"/>
      <c r="R2467" s="12"/>
      <c r="S2467" s="28">
        <f>M2448</f>
        <v>2</v>
      </c>
      <c r="T2467" s="11"/>
      <c r="U2467" s="12"/>
      <c r="V2467" s="14" t="e">
        <f>U2467*#REF!</f>
        <v>#REF!</v>
      </c>
      <c r="W2467" s="14"/>
      <c r="X2467" s="26"/>
      <c r="Y2467" s="13"/>
      <c r="Z2467" s="68" t="e">
        <f>VLOOKUP(Takeoffs!Y2467,Sheet1!$B$6:$C$124,2,FALSE)</f>
        <v>#N/A</v>
      </c>
      <c r="AA2467" s="68"/>
      <c r="AB2467" s="18"/>
      <c r="AC2467" s="18"/>
      <c r="AD2467" s="18"/>
      <c r="AE2467" s="60"/>
      <c r="AF2467" s="13"/>
      <c r="AG2467" s="68" t="e">
        <f>VLOOKUP(Takeoffs!AF2467,Sheet1!$B$6:$C$124,2,FALSE)</f>
        <v>#N/A</v>
      </c>
      <c r="AH2467" s="68"/>
      <c r="AI2467" s="18"/>
      <c r="AJ2467" s="18"/>
      <c r="AK2467" s="18"/>
      <c r="AL2467" s="60"/>
      <c r="AO2467" s="286"/>
      <c r="AP2467" s="284">
        <f t="shared" si="1004"/>
        <v>0</v>
      </c>
      <c r="AQ2467" s="281">
        <f t="shared" si="1005"/>
        <v>0</v>
      </c>
      <c r="AR2467" s="284">
        <f t="shared" si="1006"/>
        <v>0</v>
      </c>
      <c r="AS2467" s="281">
        <f t="shared" si="1007"/>
        <v>0</v>
      </c>
      <c r="AT2467" s="284">
        <f t="shared" si="1008"/>
        <v>0</v>
      </c>
    </row>
    <row r="2468" spans="1:46" customFormat="1" ht="15" customHeight="1" x14ac:dyDescent="0.8">
      <c r="A2468" s="262">
        <f t="shared" si="1009"/>
        <v>2468</v>
      </c>
      <c r="B2468" s="114"/>
      <c r="C2468" s="208"/>
      <c r="D2468" s="208"/>
      <c r="E2468" s="219"/>
      <c r="F2468" s="219"/>
      <c r="G2468" s="219"/>
      <c r="H2468" s="219"/>
      <c r="I2468" s="221"/>
      <c r="J2468" s="30"/>
      <c r="K2468" s="221"/>
      <c r="L2468" s="117"/>
      <c r="N2468" s="15" t="s">
        <v>132</v>
      </c>
      <c r="O2468" s="12"/>
      <c r="P2468" s="207"/>
      <c r="Q2468" s="12"/>
      <c r="R2468" s="12"/>
      <c r="S2468" s="28">
        <f>M2448</f>
        <v>2</v>
      </c>
      <c r="T2468" s="11"/>
      <c r="U2468" s="12"/>
      <c r="V2468" s="14" t="e">
        <f>U2468*#REF!</f>
        <v>#REF!</v>
      </c>
      <c r="W2468" s="14"/>
      <c r="X2468" s="26"/>
      <c r="Y2468" s="13"/>
      <c r="Z2468" s="68" t="e">
        <f>VLOOKUP(Takeoffs!Y2468,Sheet1!$B$6:$C$124,2,FALSE)</f>
        <v>#N/A</v>
      </c>
      <c r="AA2468" s="68"/>
      <c r="AB2468" s="18"/>
      <c r="AC2468" s="18"/>
      <c r="AD2468" s="18"/>
      <c r="AE2468" s="60"/>
      <c r="AF2468" s="13"/>
      <c r="AG2468" s="68" t="e">
        <f>VLOOKUP(Takeoffs!AF2468,Sheet1!$B$6:$C$124,2,FALSE)</f>
        <v>#N/A</v>
      </c>
      <c r="AH2468" s="68"/>
      <c r="AI2468" s="18"/>
      <c r="AJ2468" s="18"/>
      <c r="AK2468" s="18"/>
      <c r="AL2468" s="60"/>
      <c r="AO2468" s="286"/>
      <c r="AP2468" s="284">
        <f t="shared" si="1004"/>
        <v>0</v>
      </c>
      <c r="AQ2468" s="281">
        <f t="shared" si="1005"/>
        <v>0</v>
      </c>
      <c r="AR2468" s="284">
        <f t="shared" si="1006"/>
        <v>0</v>
      </c>
      <c r="AS2468" s="281">
        <f t="shared" si="1007"/>
        <v>0</v>
      </c>
      <c r="AT2468" s="284">
        <f t="shared" si="1008"/>
        <v>0</v>
      </c>
    </row>
    <row r="2469" spans="1:46" s="21" customFormat="1" ht="33.75" customHeight="1" x14ac:dyDescent="0.8">
      <c r="A2469" s="262">
        <f t="shared" si="1009"/>
        <v>2469</v>
      </c>
      <c r="B2469" s="128"/>
      <c r="C2469" s="212"/>
      <c r="D2469" s="212"/>
      <c r="E2469" s="220"/>
      <c r="F2469" s="220"/>
      <c r="G2469" s="220"/>
      <c r="H2469" s="220"/>
      <c r="I2469" s="221"/>
      <c r="K2469" s="223"/>
      <c r="L2469" s="130"/>
      <c r="N2469" s="22"/>
      <c r="O2469" s="23"/>
      <c r="P2469" s="207"/>
      <c r="Q2469" s="23"/>
      <c r="R2469" s="23"/>
      <c r="S2469" s="23"/>
      <c r="T2469" s="24"/>
      <c r="U2469" s="23"/>
      <c r="V2469" s="24"/>
      <c r="W2469" s="24"/>
      <c r="X2469" s="26"/>
      <c r="Y2469" s="24"/>
      <c r="Z2469" s="68" t="e">
        <f>VLOOKUP(Takeoffs!Y2469,Sheet1!$B$6:$C$124,2,FALSE)</f>
        <v>#N/A</v>
      </c>
      <c r="AA2469" s="68"/>
      <c r="AB2469" s="31"/>
      <c r="AC2469" s="31"/>
      <c r="AD2469" s="31"/>
      <c r="AE2469" s="60"/>
      <c r="AF2469" s="24"/>
      <c r="AG2469" s="68" t="e">
        <f>VLOOKUP(Takeoffs!AF2469,Sheet1!$B$6:$C$124,2,FALSE)</f>
        <v>#N/A</v>
      </c>
      <c r="AH2469" s="68"/>
      <c r="AI2469" s="31"/>
      <c r="AJ2469" s="31"/>
      <c r="AK2469" s="31"/>
      <c r="AL2469" s="60"/>
      <c r="AO2469" s="286"/>
      <c r="AP2469" s="284">
        <f t="shared" si="1004"/>
        <v>0</v>
      </c>
      <c r="AQ2469" s="281">
        <f t="shared" si="1005"/>
        <v>0</v>
      </c>
      <c r="AR2469" s="284">
        <f t="shared" si="1006"/>
        <v>0</v>
      </c>
      <c r="AS2469" s="281">
        <f t="shared" si="1007"/>
        <v>0</v>
      </c>
      <c r="AT2469" s="284">
        <f t="shared" si="1008"/>
        <v>0</v>
      </c>
    </row>
    <row r="2470" spans="1:46" customFormat="1" ht="30.9" x14ac:dyDescent="0.8">
      <c r="A2470" s="262">
        <f t="shared" si="1009"/>
        <v>2470</v>
      </c>
      <c r="B2470" s="114"/>
      <c r="C2470" s="208"/>
      <c r="D2470" s="208"/>
      <c r="E2470" s="219"/>
      <c r="F2470" s="219"/>
      <c r="G2470" s="219"/>
      <c r="H2470" s="219"/>
      <c r="I2470" s="223"/>
      <c r="K2470" s="221"/>
      <c r="L2470" s="117"/>
      <c r="P2470" s="201"/>
      <c r="Q2470" s="32"/>
      <c r="R2470" s="32"/>
      <c r="T2470" s="8"/>
      <c r="W2470" s="32"/>
      <c r="X2470" s="25"/>
      <c r="Z2470" s="68" t="e">
        <f>VLOOKUP(Takeoffs!Y2470,Sheet1!$B$6:$C$124,2,FALSE)</f>
        <v>#N/A</v>
      </c>
      <c r="AA2470" s="68"/>
      <c r="AB2470" s="32"/>
      <c r="AC2470" s="32"/>
      <c r="AD2470" s="32"/>
      <c r="AE2470" s="25"/>
      <c r="AF2470" s="32"/>
      <c r="AG2470" s="68" t="e">
        <f>VLOOKUP(Takeoffs!AF2470,Sheet1!$B$6:$C$124,2,FALSE)</f>
        <v>#N/A</v>
      </c>
      <c r="AH2470" s="68"/>
      <c r="AI2470" s="32"/>
      <c r="AJ2470" s="32"/>
      <c r="AK2470" s="32"/>
      <c r="AL2470" s="25"/>
      <c r="AO2470" s="286"/>
      <c r="AP2470" s="284">
        <f t="shared" si="1004"/>
        <v>0</v>
      </c>
      <c r="AQ2470" s="281">
        <f t="shared" si="1005"/>
        <v>0</v>
      </c>
      <c r="AR2470" s="284">
        <f t="shared" si="1006"/>
        <v>0</v>
      </c>
      <c r="AS2470" s="281">
        <f t="shared" si="1007"/>
        <v>0</v>
      </c>
      <c r="AT2470" s="284">
        <f t="shared" si="1008"/>
        <v>0</v>
      </c>
    </row>
    <row r="2471" spans="1:46" customFormat="1" ht="30.9" x14ac:dyDescent="0.8">
      <c r="A2471" s="262">
        <f t="shared" si="1009"/>
        <v>2471</v>
      </c>
      <c r="B2471" s="114"/>
      <c r="C2471" s="208"/>
      <c r="D2471" s="208"/>
      <c r="E2471" s="219"/>
      <c r="F2471" s="219"/>
      <c r="G2471" s="219"/>
      <c r="H2471" s="219"/>
      <c r="I2471" s="221"/>
      <c r="K2471" s="221"/>
      <c r="L2471" s="117"/>
      <c r="P2471" s="201"/>
      <c r="Q2471" s="32"/>
      <c r="R2471" s="32"/>
      <c r="T2471" s="8"/>
      <c r="W2471" s="32"/>
      <c r="X2471" s="25"/>
      <c r="Z2471" s="68" t="e">
        <f>VLOOKUP(Takeoffs!Y2471,Sheet1!$B$6:$C$124,2,FALSE)</f>
        <v>#N/A</v>
      </c>
      <c r="AA2471" s="68"/>
      <c r="AB2471" s="32"/>
      <c r="AC2471" s="32"/>
      <c r="AD2471" s="32"/>
      <c r="AE2471" s="25"/>
      <c r="AF2471" s="32"/>
      <c r="AG2471" s="68" t="e">
        <f>VLOOKUP(Takeoffs!AF2471,Sheet1!$B$6:$C$124,2,FALSE)</f>
        <v>#N/A</v>
      </c>
      <c r="AH2471" s="68"/>
      <c r="AI2471" s="32"/>
      <c r="AJ2471" s="32"/>
      <c r="AK2471" s="32"/>
      <c r="AL2471" s="25"/>
      <c r="AO2471" s="286"/>
      <c r="AP2471" s="284">
        <f t="shared" si="1004"/>
        <v>0</v>
      </c>
      <c r="AQ2471" s="281">
        <f t="shared" si="1005"/>
        <v>0</v>
      </c>
      <c r="AR2471" s="284">
        <f t="shared" si="1006"/>
        <v>0</v>
      </c>
      <c r="AS2471" s="281">
        <f t="shared" si="1007"/>
        <v>0</v>
      </c>
      <c r="AT2471" s="284">
        <f t="shared" si="1008"/>
        <v>0</v>
      </c>
    </row>
    <row r="2472" spans="1:46" s="2" customFormat="1" ht="62.25" customHeight="1" x14ac:dyDescent="0.8">
      <c r="A2472" s="262">
        <f t="shared" si="1009"/>
        <v>2472</v>
      </c>
      <c r="B2472" s="116"/>
      <c r="C2472" s="211"/>
      <c r="D2472" s="211"/>
      <c r="E2472" s="218"/>
      <c r="F2472" s="218"/>
      <c r="G2472" s="218"/>
      <c r="H2472" s="218"/>
      <c r="I2472" s="221"/>
      <c r="K2472" s="222"/>
      <c r="L2472" s="170"/>
      <c r="M2472" s="2" t="s">
        <v>107</v>
      </c>
      <c r="N2472" s="2" t="s">
        <v>108</v>
      </c>
      <c r="O2472" s="2" t="s">
        <v>4</v>
      </c>
      <c r="P2472" s="184" t="s">
        <v>5</v>
      </c>
      <c r="S2472" s="2" t="s">
        <v>0</v>
      </c>
      <c r="T2472" s="9"/>
      <c r="U2472" s="2" t="s">
        <v>109</v>
      </c>
      <c r="V2472" s="2" t="s">
        <v>110</v>
      </c>
      <c r="X2472" s="58"/>
      <c r="Y2472" s="2" t="s">
        <v>111</v>
      </c>
      <c r="Z2472" s="68" t="e">
        <f>VLOOKUP(Takeoffs!Y2472,Sheet1!$B$6:$C$124,2,FALSE)</f>
        <v>#N/A</v>
      </c>
      <c r="AA2472" s="68"/>
      <c r="AE2472" s="58"/>
      <c r="AF2472" s="2" t="s">
        <v>111</v>
      </c>
      <c r="AG2472" s="68" t="e">
        <f>VLOOKUP(Takeoffs!AF2472,Sheet1!$B$6:$C$124,2,FALSE)</f>
        <v>#N/A</v>
      </c>
      <c r="AH2472" s="68"/>
      <c r="AL2472" s="58"/>
      <c r="AO2472" s="288"/>
      <c r="AP2472" s="284">
        <f t="shared" si="1004"/>
        <v>0</v>
      </c>
      <c r="AQ2472" s="281">
        <f t="shared" si="1005"/>
        <v>0</v>
      </c>
      <c r="AR2472" s="284">
        <f t="shared" si="1006"/>
        <v>0</v>
      </c>
      <c r="AS2472" s="281">
        <f t="shared" si="1007"/>
        <v>0</v>
      </c>
      <c r="AT2472" s="284">
        <f t="shared" si="1008"/>
        <v>0</v>
      </c>
    </row>
    <row r="2473" spans="1:46" customFormat="1" ht="179.25" customHeight="1" x14ac:dyDescent="0.8">
      <c r="A2473" s="262">
        <f t="shared" si="1009"/>
        <v>2473</v>
      </c>
      <c r="B2473" s="114"/>
      <c r="C2473" s="208"/>
      <c r="D2473" s="208"/>
      <c r="E2473" s="219"/>
      <c r="F2473" s="219"/>
      <c r="G2473" s="219"/>
      <c r="H2473" s="219"/>
      <c r="I2473" s="222"/>
      <c r="J2473" s="30" t="str">
        <f>CONCATENATE(O2473," ",L2473, " (",M2473,") ",N2473,". Each includes supply and install of ",O2474,O2475,O2476,O2477,O2478,O2479,O2480,O2481,O2482,O2483,O2484,O2485,O2486,O2487,O2488,O2489,O2490,O2491,O2492,O2493,)</f>
        <v>Supply and install ninety-six (96) Typical apartment AC window interlocks ( no time delay). Each includes supply and install of Supply only of reed switch to be integrated into window frame by builders trade (2 per apartment), flush mounted junction box (1 per apartment)and controls cabling.Note we exclude AC interface card for window reed switches interface</v>
      </c>
      <c r="K2473" s="221"/>
      <c r="L2473" s="123" t="str">
        <f>VLOOKUP(M2473,Sheet2!$D$2:$E$1024,2,FALSE)</f>
        <v>ninety-six</v>
      </c>
      <c r="M2473" s="12">
        <f>32+32+32</f>
        <v>96</v>
      </c>
      <c r="N2473" s="27" t="s">
        <v>187</v>
      </c>
      <c r="O2473" s="12" t="s">
        <v>1</v>
      </c>
      <c r="P2473" s="207"/>
      <c r="Q2473" s="12"/>
      <c r="R2473" s="12"/>
      <c r="S2473" s="28"/>
      <c r="T2473" s="10"/>
      <c r="U2473" s="12"/>
      <c r="V2473" s="14" t="e">
        <f>U2473*#REF!</f>
        <v>#REF!</v>
      </c>
      <c r="W2473" s="14"/>
      <c r="X2473" s="26"/>
      <c r="Y2473" s="13"/>
      <c r="Z2473" s="68" t="e">
        <f>VLOOKUP(Takeoffs!Y2473,Sheet1!$B$6:$C$124,2,FALSE)</f>
        <v>#N/A</v>
      </c>
      <c r="AA2473" s="68"/>
      <c r="AB2473" s="18"/>
      <c r="AC2473" s="18"/>
      <c r="AD2473" s="18"/>
      <c r="AE2473" s="60"/>
      <c r="AF2473" s="13"/>
      <c r="AG2473" s="68" t="e">
        <f>VLOOKUP(Takeoffs!AF2473,Sheet1!$B$6:$C$124,2,FALSE)</f>
        <v>#N/A</v>
      </c>
      <c r="AH2473" s="68"/>
      <c r="AI2473" s="18"/>
      <c r="AJ2473" s="18"/>
      <c r="AK2473" s="18"/>
      <c r="AL2473" s="60"/>
      <c r="AO2473" s="286"/>
      <c r="AP2473" s="284">
        <f t="shared" si="1004"/>
        <v>0</v>
      </c>
      <c r="AQ2473" s="281">
        <f t="shared" si="1005"/>
        <v>0</v>
      </c>
      <c r="AR2473" s="284">
        <f t="shared" si="1006"/>
        <v>0</v>
      </c>
      <c r="AS2473" s="281">
        <f t="shared" si="1007"/>
        <v>0</v>
      </c>
      <c r="AT2473" s="284">
        <f t="shared" si="1008"/>
        <v>0</v>
      </c>
    </row>
    <row r="2474" spans="1:46" customFormat="1" ht="15" customHeight="1" x14ac:dyDescent="0.8">
      <c r="A2474" s="262">
        <f t="shared" si="1009"/>
        <v>2474</v>
      </c>
      <c r="B2474" s="114"/>
      <c r="C2474" s="208"/>
      <c r="D2474" s="208"/>
      <c r="E2474" s="219"/>
      <c r="F2474" s="219"/>
      <c r="G2474" s="219"/>
      <c r="H2474" s="219"/>
      <c r="I2474" s="221"/>
      <c r="J2474" s="30"/>
      <c r="K2474" s="221"/>
      <c r="L2474" s="117"/>
      <c r="M2474" s="3"/>
      <c r="N2474" s="15" t="s">
        <v>113</v>
      </c>
      <c r="O2474" t="s">
        <v>218</v>
      </c>
      <c r="P2474" s="207"/>
      <c r="Q2474" s="12"/>
      <c r="R2474" s="12"/>
      <c r="S2474" s="28">
        <f>M2473*2</f>
        <v>192</v>
      </c>
      <c r="T2474" s="11"/>
      <c r="U2474" s="12"/>
      <c r="V2474" s="14" t="e">
        <f>U2474*#REF!</f>
        <v>#REF!</v>
      </c>
      <c r="W2474" s="14"/>
      <c r="X2474" s="26"/>
      <c r="Y2474" s="13"/>
      <c r="Z2474" s="68" t="e">
        <f>VLOOKUP(Takeoffs!Y2474,Sheet1!$B$6:$C$124,2,FALSE)</f>
        <v>#N/A</v>
      </c>
      <c r="AA2474" s="68"/>
      <c r="AB2474" s="18"/>
      <c r="AC2474" s="18"/>
      <c r="AD2474" s="18"/>
      <c r="AE2474" s="60"/>
      <c r="AF2474" s="13"/>
      <c r="AG2474" s="68" t="e">
        <f>VLOOKUP(Takeoffs!AF2474,Sheet1!$B$6:$C$124,2,FALSE)</f>
        <v>#N/A</v>
      </c>
      <c r="AH2474" s="68"/>
      <c r="AI2474" s="18"/>
      <c r="AJ2474" s="18"/>
      <c r="AK2474" s="18"/>
      <c r="AL2474" s="60"/>
      <c r="AO2474" s="286"/>
      <c r="AP2474" s="284">
        <f t="shared" ref="AP2474:AP2537" si="1010">IF(I2474&gt;0,P2474,0)</f>
        <v>0</v>
      </c>
      <c r="AQ2474" s="281">
        <f t="shared" ref="AQ2474:AQ2537" si="1011">IF(I2474&gt;0,W2474,0)</f>
        <v>0</v>
      </c>
      <c r="AR2474" s="284">
        <f t="shared" ref="AR2474:AR2537" si="1012">IF(I2474&gt;0,AA2474,0)</f>
        <v>0</v>
      </c>
      <c r="AS2474" s="281">
        <f t="shared" ref="AS2474:AS2537" si="1013">IF(I2474&gt;0,AH2474,0)</f>
        <v>0</v>
      </c>
      <c r="AT2474" s="284">
        <f t="shared" ref="AT2474:AT2537" si="1014">IF(I2474&gt;0,AP2474-(AQ2474+AR2474+AS2474),0)</f>
        <v>0</v>
      </c>
    </row>
    <row r="2475" spans="1:46" customFormat="1" ht="15" customHeight="1" x14ac:dyDescent="0.8">
      <c r="A2475" s="262">
        <f t="shared" si="1009"/>
        <v>2475</v>
      </c>
      <c r="B2475" s="114"/>
      <c r="C2475" s="208"/>
      <c r="D2475" s="208"/>
      <c r="E2475" s="219"/>
      <c r="F2475" s="219"/>
      <c r="G2475" s="219"/>
      <c r="H2475" s="219"/>
      <c r="I2475" s="221"/>
      <c r="J2475" s="30"/>
      <c r="K2475" s="221"/>
      <c r="L2475" s="117"/>
      <c r="M2475" s="3"/>
      <c r="N2475" s="15" t="s">
        <v>114</v>
      </c>
      <c r="O2475" t="s">
        <v>184</v>
      </c>
      <c r="P2475" s="207"/>
      <c r="Q2475" s="12"/>
      <c r="R2475" s="12"/>
      <c r="S2475" s="28">
        <f>M2473</f>
        <v>96</v>
      </c>
      <c r="T2475" s="11"/>
      <c r="U2475" s="12"/>
      <c r="V2475" s="14" t="e">
        <f>U2475*#REF!</f>
        <v>#REF!</v>
      </c>
      <c r="W2475" s="14"/>
      <c r="X2475" s="26"/>
      <c r="Y2475" s="13"/>
      <c r="Z2475" s="68" t="e">
        <f>VLOOKUP(Takeoffs!Y2475,Sheet1!$B$6:$C$124,2,FALSE)</f>
        <v>#N/A</v>
      </c>
      <c r="AA2475" s="68"/>
      <c r="AB2475" s="18"/>
      <c r="AC2475" s="18"/>
      <c r="AD2475" s="18"/>
      <c r="AE2475" s="60"/>
      <c r="AF2475" s="13"/>
      <c r="AG2475" s="68" t="e">
        <f>VLOOKUP(Takeoffs!AF2475,Sheet1!$B$6:$C$124,2,FALSE)</f>
        <v>#N/A</v>
      </c>
      <c r="AH2475" s="68"/>
      <c r="AI2475" s="18"/>
      <c r="AJ2475" s="18"/>
      <c r="AK2475" s="18"/>
      <c r="AL2475" s="60"/>
      <c r="AO2475" s="286"/>
      <c r="AP2475" s="284">
        <f t="shared" si="1010"/>
        <v>0</v>
      </c>
      <c r="AQ2475" s="281">
        <f t="shared" si="1011"/>
        <v>0</v>
      </c>
      <c r="AR2475" s="284">
        <f t="shared" si="1012"/>
        <v>0</v>
      </c>
      <c r="AS2475" s="281">
        <f t="shared" si="1013"/>
        <v>0</v>
      </c>
      <c r="AT2475" s="284">
        <f t="shared" si="1014"/>
        <v>0</v>
      </c>
    </row>
    <row r="2476" spans="1:46" customFormat="1" ht="15" customHeight="1" x14ac:dyDescent="0.8">
      <c r="A2476" s="262">
        <f t="shared" si="1009"/>
        <v>2476</v>
      </c>
      <c r="B2476" s="114"/>
      <c r="C2476" s="208"/>
      <c r="D2476" s="208"/>
      <c r="E2476" s="219"/>
      <c r="F2476" s="219"/>
      <c r="G2476" s="219"/>
      <c r="H2476" s="219"/>
      <c r="I2476" s="221"/>
      <c r="J2476" s="30"/>
      <c r="K2476" s="221"/>
      <c r="L2476" s="117"/>
      <c r="M2476" s="3"/>
      <c r="N2476" s="15" t="s">
        <v>115</v>
      </c>
      <c r="O2476" t="s">
        <v>186</v>
      </c>
      <c r="P2476" s="207"/>
      <c r="Q2476" s="12"/>
      <c r="R2476" s="12"/>
      <c r="S2476" s="28">
        <f>M2473</f>
        <v>96</v>
      </c>
      <c r="T2476" s="11"/>
      <c r="U2476" s="12"/>
      <c r="V2476" s="14" t="e">
        <f>U2476*#REF!</f>
        <v>#REF!</v>
      </c>
      <c r="W2476" s="14"/>
      <c r="X2476" s="26"/>
      <c r="Y2476" s="13"/>
      <c r="Z2476" s="68" t="e">
        <f>VLOOKUP(Takeoffs!Y2476,Sheet1!$B$6:$C$124,2,FALSE)</f>
        <v>#N/A</v>
      </c>
      <c r="AA2476" s="68"/>
      <c r="AB2476" s="18"/>
      <c r="AC2476" s="18"/>
      <c r="AD2476" s="18"/>
      <c r="AE2476" s="60"/>
      <c r="AF2476" s="13"/>
      <c r="AG2476" s="68" t="e">
        <f>VLOOKUP(Takeoffs!AF2476,Sheet1!$B$6:$C$124,2,FALSE)</f>
        <v>#N/A</v>
      </c>
      <c r="AH2476" s="68"/>
      <c r="AI2476" s="18"/>
      <c r="AJ2476" s="18"/>
      <c r="AK2476" s="18"/>
      <c r="AL2476" s="60"/>
      <c r="AO2476" s="286"/>
      <c r="AP2476" s="284">
        <f t="shared" si="1010"/>
        <v>0</v>
      </c>
      <c r="AQ2476" s="281">
        <f t="shared" si="1011"/>
        <v>0</v>
      </c>
      <c r="AR2476" s="284">
        <f t="shared" si="1012"/>
        <v>0</v>
      </c>
      <c r="AS2476" s="281">
        <f t="shared" si="1013"/>
        <v>0</v>
      </c>
      <c r="AT2476" s="284">
        <f t="shared" si="1014"/>
        <v>0</v>
      </c>
    </row>
    <row r="2477" spans="1:46" customFormat="1" ht="15" customHeight="1" x14ac:dyDescent="0.8">
      <c r="A2477" s="262">
        <f t="shared" si="1009"/>
        <v>2477</v>
      </c>
      <c r="B2477" s="114"/>
      <c r="C2477" s="208"/>
      <c r="D2477" s="208"/>
      <c r="E2477" s="219"/>
      <c r="F2477" s="219"/>
      <c r="G2477" s="219"/>
      <c r="H2477" s="219"/>
      <c r="I2477" s="221"/>
      <c r="J2477" s="30"/>
      <c r="K2477" s="221"/>
      <c r="L2477" s="117"/>
      <c r="M2477" s="3"/>
      <c r="N2477" s="15" t="s">
        <v>116</v>
      </c>
      <c r="O2477" t="s">
        <v>185</v>
      </c>
      <c r="P2477" s="207"/>
      <c r="Q2477" s="12"/>
      <c r="R2477" s="12"/>
      <c r="S2477" s="28">
        <f>M2473</f>
        <v>96</v>
      </c>
      <c r="T2477" s="11"/>
      <c r="U2477" s="12"/>
      <c r="V2477" s="14" t="e">
        <f>U2477*#REF!</f>
        <v>#REF!</v>
      </c>
      <c r="W2477" s="14"/>
      <c r="X2477" s="26"/>
      <c r="Y2477" s="13"/>
      <c r="Z2477" s="68" t="e">
        <f>VLOOKUP(Takeoffs!Y2477,Sheet1!$B$6:$C$124,2,FALSE)</f>
        <v>#N/A</v>
      </c>
      <c r="AA2477" s="68"/>
      <c r="AB2477" s="18"/>
      <c r="AC2477" s="18"/>
      <c r="AD2477" s="18"/>
      <c r="AE2477" s="60"/>
      <c r="AF2477" s="13"/>
      <c r="AG2477" s="68" t="e">
        <f>VLOOKUP(Takeoffs!AF2477,Sheet1!$B$6:$C$124,2,FALSE)</f>
        <v>#N/A</v>
      </c>
      <c r="AH2477" s="68"/>
      <c r="AI2477" s="18"/>
      <c r="AJ2477" s="18"/>
      <c r="AK2477" s="18"/>
      <c r="AL2477" s="60"/>
      <c r="AO2477" s="286"/>
      <c r="AP2477" s="284">
        <f t="shared" si="1010"/>
        <v>0</v>
      </c>
      <c r="AQ2477" s="281">
        <f t="shared" si="1011"/>
        <v>0</v>
      </c>
      <c r="AR2477" s="284">
        <f t="shared" si="1012"/>
        <v>0</v>
      </c>
      <c r="AS2477" s="281">
        <f t="shared" si="1013"/>
        <v>0</v>
      </c>
      <c r="AT2477" s="284">
        <f t="shared" si="1014"/>
        <v>0</v>
      </c>
    </row>
    <row r="2478" spans="1:46" customFormat="1" ht="15" customHeight="1" x14ac:dyDescent="0.8">
      <c r="A2478" s="262">
        <f t="shared" si="1009"/>
        <v>2478</v>
      </c>
      <c r="B2478" s="114"/>
      <c r="C2478" s="208"/>
      <c r="D2478" s="208"/>
      <c r="E2478" s="219"/>
      <c r="F2478" s="219"/>
      <c r="G2478" s="219"/>
      <c r="H2478" s="219"/>
      <c r="I2478" s="221"/>
      <c r="J2478" s="30"/>
      <c r="K2478" s="221"/>
      <c r="L2478" s="117"/>
      <c r="M2478" s="3"/>
      <c r="N2478" s="15" t="s">
        <v>117</v>
      </c>
      <c r="O2478" s="12"/>
      <c r="P2478" s="207"/>
      <c r="Q2478" s="12"/>
      <c r="R2478" s="12"/>
      <c r="S2478" s="28">
        <f>M2473</f>
        <v>96</v>
      </c>
      <c r="T2478" s="11"/>
      <c r="U2478" s="12"/>
      <c r="V2478" s="14" t="e">
        <f>U2478*#REF!</f>
        <v>#REF!</v>
      </c>
      <c r="W2478" s="14"/>
      <c r="X2478" s="26"/>
      <c r="Y2478" s="13"/>
      <c r="Z2478" s="68" t="e">
        <f>VLOOKUP(Takeoffs!Y2478,Sheet1!$B$6:$C$124,2,FALSE)</f>
        <v>#N/A</v>
      </c>
      <c r="AA2478" s="68"/>
      <c r="AB2478" s="18"/>
      <c r="AC2478" s="18"/>
      <c r="AD2478" s="18"/>
      <c r="AE2478" s="60"/>
      <c r="AF2478" s="13"/>
      <c r="AG2478" s="68" t="e">
        <f>VLOOKUP(Takeoffs!AF2478,Sheet1!$B$6:$C$124,2,FALSE)</f>
        <v>#N/A</v>
      </c>
      <c r="AH2478" s="68"/>
      <c r="AI2478" s="18"/>
      <c r="AJ2478" s="18"/>
      <c r="AK2478" s="18"/>
      <c r="AL2478" s="60"/>
      <c r="AO2478" s="286"/>
      <c r="AP2478" s="284">
        <f t="shared" si="1010"/>
        <v>0</v>
      </c>
      <c r="AQ2478" s="281">
        <f t="shared" si="1011"/>
        <v>0</v>
      </c>
      <c r="AR2478" s="284">
        <f t="shared" si="1012"/>
        <v>0</v>
      </c>
      <c r="AS2478" s="281">
        <f t="shared" si="1013"/>
        <v>0</v>
      </c>
      <c r="AT2478" s="284">
        <f t="shared" si="1014"/>
        <v>0</v>
      </c>
    </row>
    <row r="2479" spans="1:46" customFormat="1" ht="15" customHeight="1" x14ac:dyDescent="0.8">
      <c r="A2479" s="262">
        <f t="shared" si="1009"/>
        <v>2479</v>
      </c>
      <c r="B2479" s="114"/>
      <c r="C2479" s="208"/>
      <c r="D2479" s="208"/>
      <c r="E2479" s="219"/>
      <c r="F2479" s="219"/>
      <c r="G2479" s="219"/>
      <c r="H2479" s="219"/>
      <c r="I2479" s="221"/>
      <c r="J2479" s="30"/>
      <c r="K2479" s="221"/>
      <c r="L2479" s="117"/>
      <c r="M2479" s="3"/>
      <c r="N2479" s="15" t="s">
        <v>118</v>
      </c>
      <c r="O2479" s="12"/>
      <c r="P2479" s="207"/>
      <c r="Q2479" s="12"/>
      <c r="R2479" s="12"/>
      <c r="S2479" s="28">
        <f>M2473</f>
        <v>96</v>
      </c>
      <c r="T2479" s="11"/>
      <c r="U2479" s="12"/>
      <c r="V2479" s="14" t="e">
        <f>U2479*#REF!</f>
        <v>#REF!</v>
      </c>
      <c r="W2479" s="14"/>
      <c r="X2479" s="26"/>
      <c r="Y2479" s="13"/>
      <c r="Z2479" s="68" t="e">
        <f>VLOOKUP(Takeoffs!Y2479,Sheet1!$B$6:$C$124,2,FALSE)</f>
        <v>#N/A</v>
      </c>
      <c r="AA2479" s="68"/>
      <c r="AB2479" s="18"/>
      <c r="AC2479" s="18"/>
      <c r="AD2479" s="18"/>
      <c r="AE2479" s="60"/>
      <c r="AF2479" s="13"/>
      <c r="AG2479" s="68" t="e">
        <f>VLOOKUP(Takeoffs!AF2479,Sheet1!$B$6:$C$124,2,FALSE)</f>
        <v>#N/A</v>
      </c>
      <c r="AH2479" s="68"/>
      <c r="AI2479" s="18"/>
      <c r="AJ2479" s="18"/>
      <c r="AK2479" s="18"/>
      <c r="AL2479" s="60"/>
      <c r="AO2479" s="286"/>
      <c r="AP2479" s="284">
        <f t="shared" si="1010"/>
        <v>0</v>
      </c>
      <c r="AQ2479" s="281">
        <f t="shared" si="1011"/>
        <v>0</v>
      </c>
      <c r="AR2479" s="284">
        <f t="shared" si="1012"/>
        <v>0</v>
      </c>
      <c r="AS2479" s="281">
        <f t="shared" si="1013"/>
        <v>0</v>
      </c>
      <c r="AT2479" s="284">
        <f t="shared" si="1014"/>
        <v>0</v>
      </c>
    </row>
    <row r="2480" spans="1:46" customFormat="1" ht="15" customHeight="1" x14ac:dyDescent="0.8">
      <c r="A2480" s="262">
        <f t="shared" si="1009"/>
        <v>2480</v>
      </c>
      <c r="B2480" s="114"/>
      <c r="C2480" s="208"/>
      <c r="D2480" s="208"/>
      <c r="E2480" s="219"/>
      <c r="F2480" s="219"/>
      <c r="G2480" s="219"/>
      <c r="H2480" s="219"/>
      <c r="I2480" s="221"/>
      <c r="J2480" s="30"/>
      <c r="K2480" s="221"/>
      <c r="L2480" s="117"/>
      <c r="N2480" s="15" t="s">
        <v>119</v>
      </c>
      <c r="O2480" s="12"/>
      <c r="P2480" s="207"/>
      <c r="Q2480" s="12"/>
      <c r="R2480" s="12"/>
      <c r="S2480" s="28">
        <f>M2473</f>
        <v>96</v>
      </c>
      <c r="T2480" s="11"/>
      <c r="U2480" s="12"/>
      <c r="V2480" s="14" t="e">
        <f>U2480*#REF!</f>
        <v>#REF!</v>
      </c>
      <c r="W2480" s="14"/>
      <c r="X2480" s="26"/>
      <c r="Y2480" s="13"/>
      <c r="Z2480" s="68" t="e">
        <f>VLOOKUP(Takeoffs!Y2480,Sheet1!$B$6:$C$124,2,FALSE)</f>
        <v>#N/A</v>
      </c>
      <c r="AA2480" s="68"/>
      <c r="AB2480" s="18"/>
      <c r="AC2480" s="18"/>
      <c r="AD2480" s="18"/>
      <c r="AE2480" s="60"/>
      <c r="AF2480" s="13"/>
      <c r="AG2480" s="68" t="e">
        <f>VLOOKUP(Takeoffs!AF2480,Sheet1!$B$6:$C$124,2,FALSE)</f>
        <v>#N/A</v>
      </c>
      <c r="AH2480" s="68"/>
      <c r="AI2480" s="18"/>
      <c r="AJ2480" s="18"/>
      <c r="AK2480" s="18"/>
      <c r="AL2480" s="60"/>
      <c r="AO2480" s="286"/>
      <c r="AP2480" s="284">
        <f t="shared" si="1010"/>
        <v>0</v>
      </c>
      <c r="AQ2480" s="281">
        <f t="shared" si="1011"/>
        <v>0</v>
      </c>
      <c r="AR2480" s="284">
        <f t="shared" si="1012"/>
        <v>0</v>
      </c>
      <c r="AS2480" s="281">
        <f t="shared" si="1013"/>
        <v>0</v>
      </c>
      <c r="AT2480" s="284">
        <f t="shared" si="1014"/>
        <v>0</v>
      </c>
    </row>
    <row r="2481" spans="1:46" customFormat="1" ht="15" customHeight="1" x14ac:dyDescent="0.8">
      <c r="A2481" s="262">
        <f t="shared" si="1009"/>
        <v>2481</v>
      </c>
      <c r="B2481" s="114"/>
      <c r="C2481" s="208"/>
      <c r="D2481" s="208"/>
      <c r="E2481" s="219"/>
      <c r="F2481" s="219"/>
      <c r="G2481" s="219"/>
      <c r="H2481" s="219"/>
      <c r="I2481" s="221"/>
      <c r="J2481" s="30"/>
      <c r="K2481" s="221"/>
      <c r="L2481" s="117"/>
      <c r="N2481" s="15" t="s">
        <v>120</v>
      </c>
      <c r="O2481" s="12"/>
      <c r="P2481" s="207"/>
      <c r="Q2481" s="12"/>
      <c r="R2481" s="12"/>
      <c r="S2481" s="28">
        <f>M2473</f>
        <v>96</v>
      </c>
      <c r="T2481" s="11"/>
      <c r="U2481" s="12"/>
      <c r="V2481" s="14" t="e">
        <f>U2481*#REF!</f>
        <v>#REF!</v>
      </c>
      <c r="W2481" s="14"/>
      <c r="X2481" s="26"/>
      <c r="Y2481" s="13"/>
      <c r="Z2481" s="68" t="e">
        <f>VLOOKUP(Takeoffs!Y2481,Sheet1!$B$6:$C$124,2,FALSE)</f>
        <v>#N/A</v>
      </c>
      <c r="AA2481" s="68"/>
      <c r="AB2481" s="18"/>
      <c r="AC2481" s="18"/>
      <c r="AD2481" s="18"/>
      <c r="AE2481" s="60"/>
      <c r="AF2481" s="13"/>
      <c r="AG2481" s="68" t="e">
        <f>VLOOKUP(Takeoffs!AF2481,Sheet1!$B$6:$C$124,2,FALSE)</f>
        <v>#N/A</v>
      </c>
      <c r="AH2481" s="68"/>
      <c r="AI2481" s="18"/>
      <c r="AJ2481" s="18"/>
      <c r="AK2481" s="18"/>
      <c r="AL2481" s="60"/>
      <c r="AO2481" s="286"/>
      <c r="AP2481" s="284">
        <f t="shared" si="1010"/>
        <v>0</v>
      </c>
      <c r="AQ2481" s="281">
        <f t="shared" si="1011"/>
        <v>0</v>
      </c>
      <c r="AR2481" s="284">
        <f t="shared" si="1012"/>
        <v>0</v>
      </c>
      <c r="AS2481" s="281">
        <f t="shared" si="1013"/>
        <v>0</v>
      </c>
      <c r="AT2481" s="284">
        <f t="shared" si="1014"/>
        <v>0</v>
      </c>
    </row>
    <row r="2482" spans="1:46" customFormat="1" ht="15" customHeight="1" x14ac:dyDescent="0.8">
      <c r="A2482" s="262">
        <f t="shared" si="1009"/>
        <v>2482</v>
      </c>
      <c r="B2482" s="114"/>
      <c r="C2482" s="208"/>
      <c r="D2482" s="208"/>
      <c r="E2482" s="219"/>
      <c r="F2482" s="219"/>
      <c r="G2482" s="219"/>
      <c r="H2482" s="219"/>
      <c r="I2482" s="221"/>
      <c r="J2482" s="30"/>
      <c r="K2482" s="221"/>
      <c r="L2482" s="117"/>
      <c r="N2482" s="15" t="s">
        <v>121</v>
      </c>
      <c r="O2482" s="12"/>
      <c r="P2482" s="207"/>
      <c r="Q2482" s="12"/>
      <c r="R2482" s="12"/>
      <c r="S2482" s="28">
        <f>M2473</f>
        <v>96</v>
      </c>
      <c r="T2482" s="11"/>
      <c r="U2482" s="12"/>
      <c r="V2482" s="14" t="e">
        <f>U2482*#REF!</f>
        <v>#REF!</v>
      </c>
      <c r="W2482" s="14"/>
      <c r="X2482" s="26"/>
      <c r="Y2482" s="13"/>
      <c r="Z2482" s="68" t="e">
        <f>VLOOKUP(Takeoffs!Y2482,Sheet1!$B$6:$C$124,2,FALSE)</f>
        <v>#N/A</v>
      </c>
      <c r="AA2482" s="68"/>
      <c r="AB2482" s="18"/>
      <c r="AC2482" s="18"/>
      <c r="AD2482" s="18"/>
      <c r="AE2482" s="60"/>
      <c r="AF2482" s="13"/>
      <c r="AG2482" s="68" t="e">
        <f>VLOOKUP(Takeoffs!AF2482,Sheet1!$B$6:$C$124,2,FALSE)</f>
        <v>#N/A</v>
      </c>
      <c r="AH2482" s="68"/>
      <c r="AI2482" s="18"/>
      <c r="AJ2482" s="18"/>
      <c r="AK2482" s="18"/>
      <c r="AL2482" s="60"/>
      <c r="AO2482" s="286"/>
      <c r="AP2482" s="284">
        <f t="shared" si="1010"/>
        <v>0</v>
      </c>
      <c r="AQ2482" s="281">
        <f t="shared" si="1011"/>
        <v>0</v>
      </c>
      <c r="AR2482" s="284">
        <f t="shared" si="1012"/>
        <v>0</v>
      </c>
      <c r="AS2482" s="281">
        <f t="shared" si="1013"/>
        <v>0</v>
      </c>
      <c r="AT2482" s="284">
        <f t="shared" si="1014"/>
        <v>0</v>
      </c>
    </row>
    <row r="2483" spans="1:46" customFormat="1" ht="15" customHeight="1" x14ac:dyDescent="0.8">
      <c r="A2483" s="262">
        <f t="shared" si="1009"/>
        <v>2483</v>
      </c>
      <c r="B2483" s="114"/>
      <c r="C2483" s="208"/>
      <c r="D2483" s="208"/>
      <c r="E2483" s="219"/>
      <c r="F2483" s="219"/>
      <c r="G2483" s="219"/>
      <c r="H2483" s="219"/>
      <c r="I2483" s="221"/>
      <c r="J2483" s="30"/>
      <c r="K2483" s="221"/>
      <c r="L2483" s="117"/>
      <c r="N2483" s="15" t="s">
        <v>122</v>
      </c>
      <c r="O2483" s="12"/>
      <c r="P2483" s="207"/>
      <c r="Q2483" s="12"/>
      <c r="R2483" s="12"/>
      <c r="S2483" s="28">
        <f>M2473</f>
        <v>96</v>
      </c>
      <c r="T2483" s="11"/>
      <c r="U2483" s="12"/>
      <c r="V2483" s="14" t="e">
        <f>U2483*#REF!</f>
        <v>#REF!</v>
      </c>
      <c r="W2483" s="14"/>
      <c r="X2483" s="26"/>
      <c r="Y2483" s="13"/>
      <c r="Z2483" s="68" t="e">
        <f>VLOOKUP(Takeoffs!Y2483,Sheet1!$B$6:$C$124,2,FALSE)</f>
        <v>#N/A</v>
      </c>
      <c r="AA2483" s="68"/>
      <c r="AB2483" s="18"/>
      <c r="AC2483" s="18"/>
      <c r="AD2483" s="18"/>
      <c r="AE2483" s="60"/>
      <c r="AF2483" s="13"/>
      <c r="AG2483" s="68" t="e">
        <f>VLOOKUP(Takeoffs!AF2483,Sheet1!$B$6:$C$124,2,FALSE)</f>
        <v>#N/A</v>
      </c>
      <c r="AH2483" s="68"/>
      <c r="AI2483" s="18"/>
      <c r="AJ2483" s="18"/>
      <c r="AK2483" s="18"/>
      <c r="AL2483" s="60"/>
      <c r="AO2483" s="286"/>
      <c r="AP2483" s="284">
        <f t="shared" si="1010"/>
        <v>0</v>
      </c>
      <c r="AQ2483" s="281">
        <f t="shared" si="1011"/>
        <v>0</v>
      </c>
      <c r="AR2483" s="284">
        <f t="shared" si="1012"/>
        <v>0</v>
      </c>
      <c r="AS2483" s="281">
        <f t="shared" si="1013"/>
        <v>0</v>
      </c>
      <c r="AT2483" s="284">
        <f t="shared" si="1014"/>
        <v>0</v>
      </c>
    </row>
    <row r="2484" spans="1:46" customFormat="1" ht="15" customHeight="1" x14ac:dyDescent="0.8">
      <c r="A2484" s="262">
        <f t="shared" si="1009"/>
        <v>2484</v>
      </c>
      <c r="B2484" s="114"/>
      <c r="C2484" s="208"/>
      <c r="D2484" s="208"/>
      <c r="E2484" s="219"/>
      <c r="F2484" s="219"/>
      <c r="G2484" s="219"/>
      <c r="H2484" s="219"/>
      <c r="I2484" s="221"/>
      <c r="J2484" s="30"/>
      <c r="K2484" s="221"/>
      <c r="L2484" s="117"/>
      <c r="N2484" s="15" t="s">
        <v>123</v>
      </c>
      <c r="O2484" s="12"/>
      <c r="P2484" s="207"/>
      <c r="Q2484" s="12"/>
      <c r="R2484" s="12"/>
      <c r="S2484" s="28">
        <f>M2473</f>
        <v>96</v>
      </c>
      <c r="T2484" s="11"/>
      <c r="U2484" s="12"/>
      <c r="V2484" s="14" t="e">
        <f>U2484*#REF!</f>
        <v>#REF!</v>
      </c>
      <c r="W2484" s="14"/>
      <c r="X2484" s="26"/>
      <c r="Y2484" s="13"/>
      <c r="Z2484" s="68" t="e">
        <f>VLOOKUP(Takeoffs!Y2484,Sheet1!$B$6:$C$124,2,FALSE)</f>
        <v>#N/A</v>
      </c>
      <c r="AA2484" s="68"/>
      <c r="AB2484" s="18"/>
      <c r="AC2484" s="18"/>
      <c r="AD2484" s="18"/>
      <c r="AE2484" s="60"/>
      <c r="AF2484" s="13"/>
      <c r="AG2484" s="68" t="e">
        <f>VLOOKUP(Takeoffs!AF2484,Sheet1!$B$6:$C$124,2,FALSE)</f>
        <v>#N/A</v>
      </c>
      <c r="AH2484" s="68"/>
      <c r="AI2484" s="18"/>
      <c r="AJ2484" s="18"/>
      <c r="AK2484" s="18"/>
      <c r="AL2484" s="60"/>
      <c r="AO2484" s="286"/>
      <c r="AP2484" s="284">
        <f t="shared" si="1010"/>
        <v>0</v>
      </c>
      <c r="AQ2484" s="281">
        <f t="shared" si="1011"/>
        <v>0</v>
      </c>
      <c r="AR2484" s="284">
        <f t="shared" si="1012"/>
        <v>0</v>
      </c>
      <c r="AS2484" s="281">
        <f t="shared" si="1013"/>
        <v>0</v>
      </c>
      <c r="AT2484" s="284">
        <f t="shared" si="1014"/>
        <v>0</v>
      </c>
    </row>
    <row r="2485" spans="1:46" customFormat="1" ht="15" customHeight="1" x14ac:dyDescent="0.8">
      <c r="A2485" s="262">
        <f t="shared" si="1009"/>
        <v>2485</v>
      </c>
      <c r="B2485" s="114"/>
      <c r="C2485" s="208"/>
      <c r="D2485" s="208"/>
      <c r="E2485" s="219"/>
      <c r="F2485" s="219"/>
      <c r="G2485" s="219"/>
      <c r="H2485" s="219"/>
      <c r="I2485" s="221"/>
      <c r="J2485" s="30"/>
      <c r="K2485" s="221"/>
      <c r="L2485" s="117"/>
      <c r="N2485" s="15" t="s">
        <v>124</v>
      </c>
      <c r="O2485" s="12"/>
      <c r="P2485" s="207"/>
      <c r="Q2485" s="12"/>
      <c r="R2485" s="12"/>
      <c r="S2485" s="28">
        <f>M2473</f>
        <v>96</v>
      </c>
      <c r="T2485" s="11"/>
      <c r="U2485" s="12"/>
      <c r="V2485" s="14" t="e">
        <f>U2485*#REF!</f>
        <v>#REF!</v>
      </c>
      <c r="W2485" s="14"/>
      <c r="X2485" s="26"/>
      <c r="Y2485" s="13"/>
      <c r="Z2485" s="68" t="e">
        <f>VLOOKUP(Takeoffs!Y2485,Sheet1!$B$6:$C$124,2,FALSE)</f>
        <v>#N/A</v>
      </c>
      <c r="AA2485" s="68"/>
      <c r="AB2485" s="18"/>
      <c r="AC2485" s="18"/>
      <c r="AD2485" s="18"/>
      <c r="AE2485" s="60"/>
      <c r="AF2485" s="13"/>
      <c r="AG2485" s="68" t="e">
        <f>VLOOKUP(Takeoffs!AF2485,Sheet1!$B$6:$C$124,2,FALSE)</f>
        <v>#N/A</v>
      </c>
      <c r="AH2485" s="68"/>
      <c r="AI2485" s="18"/>
      <c r="AJ2485" s="18"/>
      <c r="AK2485" s="18"/>
      <c r="AL2485" s="60"/>
      <c r="AO2485" s="286"/>
      <c r="AP2485" s="284">
        <f t="shared" si="1010"/>
        <v>0</v>
      </c>
      <c r="AQ2485" s="281">
        <f t="shared" si="1011"/>
        <v>0</v>
      </c>
      <c r="AR2485" s="284">
        <f t="shared" si="1012"/>
        <v>0</v>
      </c>
      <c r="AS2485" s="281">
        <f t="shared" si="1013"/>
        <v>0</v>
      </c>
      <c r="AT2485" s="284">
        <f t="shared" si="1014"/>
        <v>0</v>
      </c>
    </row>
    <row r="2486" spans="1:46" customFormat="1" ht="15" customHeight="1" x14ac:dyDescent="0.8">
      <c r="A2486" s="262">
        <f t="shared" ref="A2486:A2549" si="1015">A2485+1</f>
        <v>2486</v>
      </c>
      <c r="B2486" s="114"/>
      <c r="C2486" s="208"/>
      <c r="D2486" s="208"/>
      <c r="E2486" s="219"/>
      <c r="F2486" s="219"/>
      <c r="G2486" s="219"/>
      <c r="H2486" s="219"/>
      <c r="I2486" s="221"/>
      <c r="J2486" s="30"/>
      <c r="K2486" s="221"/>
      <c r="L2486" s="117"/>
      <c r="N2486" s="15" t="s">
        <v>125</v>
      </c>
      <c r="O2486" s="12"/>
      <c r="P2486" s="207"/>
      <c r="Q2486" s="12"/>
      <c r="R2486" s="12"/>
      <c r="S2486" s="28">
        <f>M2473</f>
        <v>96</v>
      </c>
      <c r="T2486" s="11"/>
      <c r="U2486" s="12"/>
      <c r="V2486" s="14" t="e">
        <f>U2486*#REF!</f>
        <v>#REF!</v>
      </c>
      <c r="W2486" s="14"/>
      <c r="X2486" s="26"/>
      <c r="Y2486" s="13"/>
      <c r="Z2486" s="68" t="e">
        <f>VLOOKUP(Takeoffs!Y2486,Sheet1!$B$6:$C$124,2,FALSE)</f>
        <v>#N/A</v>
      </c>
      <c r="AA2486" s="68"/>
      <c r="AB2486" s="18"/>
      <c r="AC2486" s="18"/>
      <c r="AD2486" s="18"/>
      <c r="AE2486" s="60"/>
      <c r="AF2486" s="13"/>
      <c r="AG2486" s="68" t="e">
        <f>VLOOKUP(Takeoffs!AF2486,Sheet1!$B$6:$C$124,2,FALSE)</f>
        <v>#N/A</v>
      </c>
      <c r="AH2486" s="68"/>
      <c r="AI2486" s="18"/>
      <c r="AJ2486" s="18"/>
      <c r="AK2486" s="18"/>
      <c r="AL2486" s="60"/>
      <c r="AO2486" s="286"/>
      <c r="AP2486" s="284">
        <f t="shared" si="1010"/>
        <v>0</v>
      </c>
      <c r="AQ2486" s="281">
        <f t="shared" si="1011"/>
        <v>0</v>
      </c>
      <c r="AR2486" s="284">
        <f t="shared" si="1012"/>
        <v>0</v>
      </c>
      <c r="AS2486" s="281">
        <f t="shared" si="1013"/>
        <v>0</v>
      </c>
      <c r="AT2486" s="284">
        <f t="shared" si="1014"/>
        <v>0</v>
      </c>
    </row>
    <row r="2487" spans="1:46" customFormat="1" ht="15" customHeight="1" x14ac:dyDescent="0.8">
      <c r="A2487" s="262">
        <f t="shared" si="1015"/>
        <v>2487</v>
      </c>
      <c r="B2487" s="114"/>
      <c r="C2487" s="208"/>
      <c r="D2487" s="208"/>
      <c r="E2487" s="219"/>
      <c r="F2487" s="219"/>
      <c r="G2487" s="219"/>
      <c r="H2487" s="219"/>
      <c r="I2487" s="221"/>
      <c r="J2487" s="30"/>
      <c r="K2487" s="221"/>
      <c r="L2487" s="117"/>
      <c r="N2487" s="15" t="s">
        <v>126</v>
      </c>
      <c r="O2487" s="12"/>
      <c r="P2487" s="207"/>
      <c r="Q2487" s="12"/>
      <c r="R2487" s="12"/>
      <c r="S2487" s="28">
        <f>M2473</f>
        <v>96</v>
      </c>
      <c r="T2487" s="11"/>
      <c r="U2487" s="12"/>
      <c r="V2487" s="14" t="e">
        <f>U2487*#REF!</f>
        <v>#REF!</v>
      </c>
      <c r="W2487" s="14"/>
      <c r="X2487" s="26"/>
      <c r="Y2487" s="13"/>
      <c r="Z2487" s="68" t="e">
        <f>VLOOKUP(Takeoffs!Y2487,Sheet1!$B$6:$C$124,2,FALSE)</f>
        <v>#N/A</v>
      </c>
      <c r="AA2487" s="68"/>
      <c r="AB2487" s="18"/>
      <c r="AC2487" s="18"/>
      <c r="AD2487" s="18"/>
      <c r="AE2487" s="60"/>
      <c r="AF2487" s="13"/>
      <c r="AG2487" s="68" t="e">
        <f>VLOOKUP(Takeoffs!AF2487,Sheet1!$B$6:$C$124,2,FALSE)</f>
        <v>#N/A</v>
      </c>
      <c r="AH2487" s="68"/>
      <c r="AI2487" s="18"/>
      <c r="AJ2487" s="18"/>
      <c r="AK2487" s="18"/>
      <c r="AL2487" s="60"/>
      <c r="AO2487" s="286"/>
      <c r="AP2487" s="284">
        <f t="shared" si="1010"/>
        <v>0</v>
      </c>
      <c r="AQ2487" s="281">
        <f t="shared" si="1011"/>
        <v>0</v>
      </c>
      <c r="AR2487" s="284">
        <f t="shared" si="1012"/>
        <v>0</v>
      </c>
      <c r="AS2487" s="281">
        <f t="shared" si="1013"/>
        <v>0</v>
      </c>
      <c r="AT2487" s="284">
        <f t="shared" si="1014"/>
        <v>0</v>
      </c>
    </row>
    <row r="2488" spans="1:46" customFormat="1" ht="15" customHeight="1" x14ac:dyDescent="0.8">
      <c r="A2488" s="262">
        <f t="shared" si="1015"/>
        <v>2488</v>
      </c>
      <c r="B2488" s="114"/>
      <c r="C2488" s="208"/>
      <c r="D2488" s="208"/>
      <c r="E2488" s="219"/>
      <c r="F2488" s="219"/>
      <c r="G2488" s="219"/>
      <c r="H2488" s="219"/>
      <c r="I2488" s="221"/>
      <c r="J2488" s="30"/>
      <c r="K2488" s="221"/>
      <c r="L2488" s="117"/>
      <c r="N2488" s="15" t="s">
        <v>127</v>
      </c>
      <c r="O2488" s="12"/>
      <c r="P2488" s="207"/>
      <c r="Q2488" s="12"/>
      <c r="R2488" s="12"/>
      <c r="S2488" s="28">
        <f>M2473</f>
        <v>96</v>
      </c>
      <c r="T2488" s="11"/>
      <c r="U2488" s="12"/>
      <c r="V2488" s="14" t="e">
        <f>U2488*#REF!</f>
        <v>#REF!</v>
      </c>
      <c r="W2488" s="14"/>
      <c r="X2488" s="26"/>
      <c r="Y2488" s="13"/>
      <c r="Z2488" s="68" t="e">
        <f>VLOOKUP(Takeoffs!Y2488,Sheet1!$B$6:$C$124,2,FALSE)</f>
        <v>#N/A</v>
      </c>
      <c r="AA2488" s="68"/>
      <c r="AB2488" s="18"/>
      <c r="AC2488" s="18"/>
      <c r="AD2488" s="18"/>
      <c r="AE2488" s="60"/>
      <c r="AF2488" s="13"/>
      <c r="AG2488" s="68" t="e">
        <f>VLOOKUP(Takeoffs!AF2488,Sheet1!$B$6:$C$124,2,FALSE)</f>
        <v>#N/A</v>
      </c>
      <c r="AH2488" s="68"/>
      <c r="AI2488" s="18"/>
      <c r="AJ2488" s="18"/>
      <c r="AK2488" s="18"/>
      <c r="AL2488" s="60"/>
      <c r="AO2488" s="286"/>
      <c r="AP2488" s="284">
        <f t="shared" si="1010"/>
        <v>0</v>
      </c>
      <c r="AQ2488" s="281">
        <f t="shared" si="1011"/>
        <v>0</v>
      </c>
      <c r="AR2488" s="284">
        <f t="shared" si="1012"/>
        <v>0</v>
      </c>
      <c r="AS2488" s="281">
        <f t="shared" si="1013"/>
        <v>0</v>
      </c>
      <c r="AT2488" s="284">
        <f t="shared" si="1014"/>
        <v>0</v>
      </c>
    </row>
    <row r="2489" spans="1:46" customFormat="1" ht="15" customHeight="1" x14ac:dyDescent="0.8">
      <c r="A2489" s="262">
        <f t="shared" si="1015"/>
        <v>2489</v>
      </c>
      <c r="B2489" s="114"/>
      <c r="C2489" s="208"/>
      <c r="D2489" s="208"/>
      <c r="E2489" s="219"/>
      <c r="F2489" s="219"/>
      <c r="G2489" s="219"/>
      <c r="H2489" s="219"/>
      <c r="I2489" s="221"/>
      <c r="J2489" s="30"/>
      <c r="K2489" s="221"/>
      <c r="L2489" s="117"/>
      <c r="N2489" s="15" t="s">
        <v>128</v>
      </c>
      <c r="O2489" s="12"/>
      <c r="P2489" s="207"/>
      <c r="Q2489" s="12"/>
      <c r="R2489" s="12"/>
      <c r="S2489" s="28">
        <f>M2473</f>
        <v>96</v>
      </c>
      <c r="T2489" s="11"/>
      <c r="U2489" s="12"/>
      <c r="V2489" s="14" t="e">
        <f>U2489*#REF!</f>
        <v>#REF!</v>
      </c>
      <c r="W2489" s="14"/>
      <c r="X2489" s="26"/>
      <c r="Y2489" s="13"/>
      <c r="Z2489" s="68" t="e">
        <f>VLOOKUP(Takeoffs!Y2489,Sheet1!$B$6:$C$124,2,FALSE)</f>
        <v>#N/A</v>
      </c>
      <c r="AA2489" s="68"/>
      <c r="AB2489" s="18"/>
      <c r="AC2489" s="18"/>
      <c r="AD2489" s="18"/>
      <c r="AE2489" s="60"/>
      <c r="AF2489" s="13"/>
      <c r="AG2489" s="68" t="e">
        <f>VLOOKUP(Takeoffs!AF2489,Sheet1!$B$6:$C$124,2,FALSE)</f>
        <v>#N/A</v>
      </c>
      <c r="AH2489" s="68"/>
      <c r="AI2489" s="18"/>
      <c r="AJ2489" s="18"/>
      <c r="AK2489" s="18"/>
      <c r="AL2489" s="60"/>
      <c r="AO2489" s="286"/>
      <c r="AP2489" s="284">
        <f t="shared" si="1010"/>
        <v>0</v>
      </c>
      <c r="AQ2489" s="281">
        <f t="shared" si="1011"/>
        <v>0</v>
      </c>
      <c r="AR2489" s="284">
        <f t="shared" si="1012"/>
        <v>0</v>
      </c>
      <c r="AS2489" s="281">
        <f t="shared" si="1013"/>
        <v>0</v>
      </c>
      <c r="AT2489" s="284">
        <f t="shared" si="1014"/>
        <v>0</v>
      </c>
    </row>
    <row r="2490" spans="1:46" customFormat="1" ht="15" customHeight="1" x14ac:dyDescent="0.8">
      <c r="A2490" s="262">
        <f t="shared" si="1015"/>
        <v>2490</v>
      </c>
      <c r="B2490" s="114"/>
      <c r="C2490" s="208"/>
      <c r="D2490" s="208"/>
      <c r="E2490" s="219"/>
      <c r="F2490" s="219"/>
      <c r="G2490" s="219"/>
      <c r="H2490" s="219"/>
      <c r="I2490" s="221"/>
      <c r="J2490" s="30"/>
      <c r="K2490" s="221"/>
      <c r="L2490" s="117"/>
      <c r="N2490" s="15" t="s">
        <v>129</v>
      </c>
      <c r="O2490" s="12"/>
      <c r="P2490" s="207"/>
      <c r="Q2490" s="12"/>
      <c r="R2490" s="12"/>
      <c r="S2490" s="28">
        <f>M2473</f>
        <v>96</v>
      </c>
      <c r="T2490" s="11"/>
      <c r="U2490" s="12"/>
      <c r="V2490" s="14" t="e">
        <f>U2490*#REF!</f>
        <v>#REF!</v>
      </c>
      <c r="W2490" s="14"/>
      <c r="X2490" s="26"/>
      <c r="Y2490" s="13"/>
      <c r="Z2490" s="68" t="e">
        <f>VLOOKUP(Takeoffs!Y2490,Sheet1!$B$6:$C$124,2,FALSE)</f>
        <v>#N/A</v>
      </c>
      <c r="AA2490" s="68"/>
      <c r="AB2490" s="18"/>
      <c r="AC2490" s="18"/>
      <c r="AD2490" s="18"/>
      <c r="AE2490" s="60"/>
      <c r="AF2490" s="13"/>
      <c r="AG2490" s="68" t="e">
        <f>VLOOKUP(Takeoffs!AF2490,Sheet1!$B$6:$C$124,2,FALSE)</f>
        <v>#N/A</v>
      </c>
      <c r="AH2490" s="68"/>
      <c r="AI2490" s="18"/>
      <c r="AJ2490" s="18"/>
      <c r="AK2490" s="18"/>
      <c r="AL2490" s="60"/>
      <c r="AO2490" s="286"/>
      <c r="AP2490" s="284">
        <f t="shared" si="1010"/>
        <v>0</v>
      </c>
      <c r="AQ2490" s="281">
        <f t="shared" si="1011"/>
        <v>0</v>
      </c>
      <c r="AR2490" s="284">
        <f t="shared" si="1012"/>
        <v>0</v>
      </c>
      <c r="AS2490" s="281">
        <f t="shared" si="1013"/>
        <v>0</v>
      </c>
      <c r="AT2490" s="284">
        <f t="shared" si="1014"/>
        <v>0</v>
      </c>
    </row>
    <row r="2491" spans="1:46" customFormat="1" ht="15" customHeight="1" x14ac:dyDescent="0.8">
      <c r="A2491" s="262">
        <f t="shared" si="1015"/>
        <v>2491</v>
      </c>
      <c r="B2491" s="114"/>
      <c r="C2491" s="208"/>
      <c r="D2491" s="208"/>
      <c r="E2491" s="219"/>
      <c r="F2491" s="219"/>
      <c r="G2491" s="219"/>
      <c r="H2491" s="219"/>
      <c r="I2491" s="221"/>
      <c r="J2491" s="30"/>
      <c r="K2491" s="221"/>
      <c r="L2491" s="117"/>
      <c r="N2491" s="15" t="s">
        <v>130</v>
      </c>
      <c r="O2491" s="12"/>
      <c r="P2491" s="207"/>
      <c r="Q2491" s="12"/>
      <c r="R2491" s="12"/>
      <c r="S2491" s="28">
        <f>M2473</f>
        <v>96</v>
      </c>
      <c r="T2491" s="11"/>
      <c r="U2491" s="12"/>
      <c r="V2491" s="14" t="e">
        <f>U2491*#REF!</f>
        <v>#REF!</v>
      </c>
      <c r="W2491" s="14"/>
      <c r="X2491" s="26"/>
      <c r="Y2491" s="13"/>
      <c r="Z2491" s="68" t="e">
        <f>VLOOKUP(Takeoffs!Y2491,Sheet1!$B$6:$C$124,2,FALSE)</f>
        <v>#N/A</v>
      </c>
      <c r="AA2491" s="68"/>
      <c r="AB2491" s="18"/>
      <c r="AC2491" s="18"/>
      <c r="AD2491" s="18"/>
      <c r="AE2491" s="60"/>
      <c r="AF2491" s="13"/>
      <c r="AG2491" s="68" t="e">
        <f>VLOOKUP(Takeoffs!AF2491,Sheet1!$B$6:$C$124,2,FALSE)</f>
        <v>#N/A</v>
      </c>
      <c r="AH2491" s="68"/>
      <c r="AI2491" s="18"/>
      <c r="AJ2491" s="18"/>
      <c r="AK2491" s="18"/>
      <c r="AL2491" s="60"/>
      <c r="AO2491" s="286"/>
      <c r="AP2491" s="284">
        <f t="shared" si="1010"/>
        <v>0</v>
      </c>
      <c r="AQ2491" s="281">
        <f t="shared" si="1011"/>
        <v>0</v>
      </c>
      <c r="AR2491" s="284">
        <f t="shared" si="1012"/>
        <v>0</v>
      </c>
      <c r="AS2491" s="281">
        <f t="shared" si="1013"/>
        <v>0</v>
      </c>
      <c r="AT2491" s="284">
        <f t="shared" si="1014"/>
        <v>0</v>
      </c>
    </row>
    <row r="2492" spans="1:46" customFormat="1" ht="15" customHeight="1" x14ac:dyDescent="0.8">
      <c r="A2492" s="262">
        <f t="shared" si="1015"/>
        <v>2492</v>
      </c>
      <c r="B2492" s="114"/>
      <c r="C2492" s="208"/>
      <c r="D2492" s="208"/>
      <c r="E2492" s="219"/>
      <c r="F2492" s="219"/>
      <c r="G2492" s="219"/>
      <c r="H2492" s="219"/>
      <c r="I2492" s="221"/>
      <c r="J2492" s="30"/>
      <c r="K2492" s="221"/>
      <c r="L2492" s="117"/>
      <c r="N2492" s="15" t="s">
        <v>131</v>
      </c>
      <c r="O2492" s="12"/>
      <c r="P2492" s="207"/>
      <c r="Q2492" s="12"/>
      <c r="R2492" s="12"/>
      <c r="S2492" s="28">
        <f>M2473</f>
        <v>96</v>
      </c>
      <c r="T2492" s="11"/>
      <c r="U2492" s="12"/>
      <c r="V2492" s="14" t="e">
        <f>U2492*#REF!</f>
        <v>#REF!</v>
      </c>
      <c r="W2492" s="14"/>
      <c r="X2492" s="26"/>
      <c r="Y2492" s="13"/>
      <c r="Z2492" s="68" t="e">
        <f>VLOOKUP(Takeoffs!Y2492,Sheet1!$B$6:$C$124,2,FALSE)</f>
        <v>#N/A</v>
      </c>
      <c r="AA2492" s="68"/>
      <c r="AB2492" s="18"/>
      <c r="AC2492" s="18"/>
      <c r="AD2492" s="18"/>
      <c r="AE2492" s="60"/>
      <c r="AF2492" s="13"/>
      <c r="AG2492" s="68" t="e">
        <f>VLOOKUP(Takeoffs!AF2492,Sheet1!$B$6:$C$124,2,FALSE)</f>
        <v>#N/A</v>
      </c>
      <c r="AH2492" s="68"/>
      <c r="AI2492" s="18"/>
      <c r="AJ2492" s="18"/>
      <c r="AK2492" s="18"/>
      <c r="AL2492" s="60"/>
      <c r="AO2492" s="286"/>
      <c r="AP2492" s="284">
        <f t="shared" si="1010"/>
        <v>0</v>
      </c>
      <c r="AQ2492" s="281">
        <f t="shared" si="1011"/>
        <v>0</v>
      </c>
      <c r="AR2492" s="284">
        <f t="shared" si="1012"/>
        <v>0</v>
      </c>
      <c r="AS2492" s="281">
        <f t="shared" si="1013"/>
        <v>0</v>
      </c>
      <c r="AT2492" s="284">
        <f t="shared" si="1014"/>
        <v>0</v>
      </c>
    </row>
    <row r="2493" spans="1:46" customFormat="1" ht="15" customHeight="1" x14ac:dyDescent="0.8">
      <c r="A2493" s="262">
        <f t="shared" si="1015"/>
        <v>2493</v>
      </c>
      <c r="B2493" s="114"/>
      <c r="C2493" s="208"/>
      <c r="D2493" s="208"/>
      <c r="E2493" s="219"/>
      <c r="F2493" s="219"/>
      <c r="G2493" s="219"/>
      <c r="H2493" s="219"/>
      <c r="I2493" s="221"/>
      <c r="J2493" s="30"/>
      <c r="K2493" s="221"/>
      <c r="L2493" s="117"/>
      <c r="N2493" s="15" t="s">
        <v>132</v>
      </c>
      <c r="O2493" s="12"/>
      <c r="P2493" s="207"/>
      <c r="Q2493" s="12"/>
      <c r="R2493" s="12"/>
      <c r="S2493" s="28">
        <f>M2473</f>
        <v>96</v>
      </c>
      <c r="T2493" s="11"/>
      <c r="U2493" s="12"/>
      <c r="V2493" s="14" t="e">
        <f>U2493*#REF!</f>
        <v>#REF!</v>
      </c>
      <c r="W2493" s="14"/>
      <c r="X2493" s="26"/>
      <c r="Y2493" s="13"/>
      <c r="Z2493" s="68" t="e">
        <f>VLOOKUP(Takeoffs!Y2493,Sheet1!$B$6:$C$124,2,FALSE)</f>
        <v>#N/A</v>
      </c>
      <c r="AA2493" s="68"/>
      <c r="AB2493" s="18"/>
      <c r="AC2493" s="18"/>
      <c r="AD2493" s="18"/>
      <c r="AE2493" s="60"/>
      <c r="AF2493" s="13"/>
      <c r="AG2493" s="68" t="e">
        <f>VLOOKUP(Takeoffs!AF2493,Sheet1!$B$6:$C$124,2,FALSE)</f>
        <v>#N/A</v>
      </c>
      <c r="AH2493" s="68"/>
      <c r="AI2493" s="18"/>
      <c r="AJ2493" s="18"/>
      <c r="AK2493" s="18"/>
      <c r="AL2493" s="60"/>
      <c r="AO2493" s="286"/>
      <c r="AP2493" s="284">
        <f t="shared" si="1010"/>
        <v>0</v>
      </c>
      <c r="AQ2493" s="281">
        <f t="shared" si="1011"/>
        <v>0</v>
      </c>
      <c r="AR2493" s="284">
        <f t="shared" si="1012"/>
        <v>0</v>
      </c>
      <c r="AS2493" s="281">
        <f t="shared" si="1013"/>
        <v>0</v>
      </c>
      <c r="AT2493" s="284">
        <f t="shared" si="1014"/>
        <v>0</v>
      </c>
    </row>
    <row r="2494" spans="1:46" s="21" customFormat="1" ht="33.75" customHeight="1" x14ac:dyDescent="0.8">
      <c r="A2494" s="262">
        <f t="shared" si="1015"/>
        <v>2494</v>
      </c>
      <c r="B2494" s="128"/>
      <c r="C2494" s="212"/>
      <c r="D2494" s="212"/>
      <c r="E2494" s="220"/>
      <c r="F2494" s="220"/>
      <c r="G2494" s="220"/>
      <c r="H2494" s="220"/>
      <c r="I2494" s="221"/>
      <c r="K2494" s="223"/>
      <c r="L2494" s="130"/>
      <c r="N2494" s="22"/>
      <c r="O2494" s="23"/>
      <c r="P2494" s="207"/>
      <c r="Q2494" s="23"/>
      <c r="R2494" s="23"/>
      <c r="S2494" s="23"/>
      <c r="T2494" s="24"/>
      <c r="U2494" s="23"/>
      <c r="V2494" s="24"/>
      <c r="W2494" s="24"/>
      <c r="X2494" s="26"/>
      <c r="Y2494" s="24"/>
      <c r="Z2494" s="68" t="e">
        <f>VLOOKUP(Takeoffs!Y2494,Sheet1!$B$6:$C$124,2,FALSE)</f>
        <v>#N/A</v>
      </c>
      <c r="AA2494" s="68"/>
      <c r="AB2494" s="31"/>
      <c r="AC2494" s="31"/>
      <c r="AD2494" s="31"/>
      <c r="AE2494" s="60"/>
      <c r="AF2494" s="24"/>
      <c r="AG2494" s="68" t="e">
        <f>VLOOKUP(Takeoffs!AF2494,Sheet1!$B$6:$C$124,2,FALSE)</f>
        <v>#N/A</v>
      </c>
      <c r="AH2494" s="68"/>
      <c r="AI2494" s="31"/>
      <c r="AJ2494" s="31"/>
      <c r="AK2494" s="31"/>
      <c r="AL2494" s="60"/>
      <c r="AO2494" s="286"/>
      <c r="AP2494" s="284">
        <f t="shared" si="1010"/>
        <v>0</v>
      </c>
      <c r="AQ2494" s="281">
        <f t="shared" si="1011"/>
        <v>0</v>
      </c>
      <c r="AR2494" s="284">
        <f t="shared" si="1012"/>
        <v>0</v>
      </c>
      <c r="AS2494" s="281">
        <f t="shared" si="1013"/>
        <v>0</v>
      </c>
      <c r="AT2494" s="284">
        <f t="shared" si="1014"/>
        <v>0</v>
      </c>
    </row>
    <row r="2495" spans="1:46" customFormat="1" ht="30.9" x14ac:dyDescent="0.8">
      <c r="A2495" s="262">
        <f t="shared" si="1015"/>
        <v>2495</v>
      </c>
      <c r="B2495" s="114"/>
      <c r="C2495" s="208"/>
      <c r="D2495" s="208"/>
      <c r="E2495" s="219"/>
      <c r="F2495" s="219"/>
      <c r="G2495" s="219"/>
      <c r="H2495" s="219"/>
      <c r="I2495" s="223"/>
      <c r="K2495" s="221"/>
      <c r="L2495" s="117"/>
      <c r="P2495" s="201"/>
      <c r="Q2495" s="32"/>
      <c r="R2495" s="32"/>
      <c r="T2495" s="8"/>
      <c r="W2495" s="32"/>
      <c r="X2495" s="25"/>
      <c r="Z2495" s="68" t="e">
        <f>VLOOKUP(Takeoffs!Y2495,Sheet1!$B$6:$C$124,2,FALSE)</f>
        <v>#N/A</v>
      </c>
      <c r="AA2495" s="68"/>
      <c r="AB2495" s="32"/>
      <c r="AC2495" s="32"/>
      <c r="AD2495" s="32"/>
      <c r="AE2495" s="25"/>
      <c r="AF2495" s="32"/>
      <c r="AG2495" s="68" t="e">
        <f>VLOOKUP(Takeoffs!AF2495,Sheet1!$B$6:$C$124,2,FALSE)</f>
        <v>#N/A</v>
      </c>
      <c r="AH2495" s="68"/>
      <c r="AI2495" s="32"/>
      <c r="AJ2495" s="32"/>
      <c r="AK2495" s="32"/>
      <c r="AL2495" s="25"/>
      <c r="AO2495" s="286"/>
      <c r="AP2495" s="284">
        <f t="shared" si="1010"/>
        <v>0</v>
      </c>
      <c r="AQ2495" s="281">
        <f t="shared" si="1011"/>
        <v>0</v>
      </c>
      <c r="AR2495" s="284">
        <f t="shared" si="1012"/>
        <v>0</v>
      </c>
      <c r="AS2495" s="281">
        <f t="shared" si="1013"/>
        <v>0</v>
      </c>
      <c r="AT2495" s="284">
        <f t="shared" si="1014"/>
        <v>0</v>
      </c>
    </row>
    <row r="2496" spans="1:46" customFormat="1" ht="30.9" x14ac:dyDescent="0.8">
      <c r="A2496" s="262">
        <f t="shared" si="1015"/>
        <v>2496</v>
      </c>
      <c r="B2496" s="114"/>
      <c r="C2496" s="208"/>
      <c r="D2496" s="208"/>
      <c r="E2496" s="219"/>
      <c r="F2496" s="219"/>
      <c r="G2496" s="219"/>
      <c r="H2496" s="219"/>
      <c r="I2496" s="221"/>
      <c r="K2496" s="221"/>
      <c r="L2496" s="117"/>
      <c r="P2496" s="201"/>
      <c r="Q2496" s="32"/>
      <c r="R2496" s="32"/>
      <c r="T2496" s="8"/>
      <c r="W2496" s="32"/>
      <c r="X2496" s="25"/>
      <c r="Z2496" s="68" t="e">
        <f>VLOOKUP(Takeoffs!Y2496,Sheet1!$B$6:$C$124,2,FALSE)</f>
        <v>#N/A</v>
      </c>
      <c r="AA2496" s="68"/>
      <c r="AB2496" s="32"/>
      <c r="AC2496" s="32"/>
      <c r="AD2496" s="32"/>
      <c r="AE2496" s="25"/>
      <c r="AF2496" s="32"/>
      <c r="AG2496" s="68" t="e">
        <f>VLOOKUP(Takeoffs!AF2496,Sheet1!$B$6:$C$124,2,FALSE)</f>
        <v>#N/A</v>
      </c>
      <c r="AH2496" s="68"/>
      <c r="AI2496" s="32"/>
      <c r="AJ2496" s="32"/>
      <c r="AK2496" s="32"/>
      <c r="AL2496" s="25"/>
      <c r="AO2496" s="286"/>
      <c r="AP2496" s="284">
        <f t="shared" si="1010"/>
        <v>0</v>
      </c>
      <c r="AQ2496" s="281">
        <f t="shared" si="1011"/>
        <v>0</v>
      </c>
      <c r="AR2496" s="284">
        <f t="shared" si="1012"/>
        <v>0</v>
      </c>
      <c r="AS2496" s="281">
        <f t="shared" si="1013"/>
        <v>0</v>
      </c>
      <c r="AT2496" s="284">
        <f t="shared" si="1014"/>
        <v>0</v>
      </c>
    </row>
    <row r="2497" spans="1:46" customFormat="1" ht="30.9" x14ac:dyDescent="0.8">
      <c r="A2497" s="262">
        <f t="shared" si="1015"/>
        <v>2497</v>
      </c>
      <c r="B2497" s="114"/>
      <c r="C2497" s="208"/>
      <c r="D2497" s="208"/>
      <c r="E2497" s="219"/>
      <c r="F2497" s="219"/>
      <c r="G2497" s="219"/>
      <c r="H2497" s="219"/>
      <c r="I2497" s="221"/>
      <c r="K2497" s="221"/>
      <c r="L2497" s="117"/>
      <c r="P2497" s="201"/>
      <c r="Q2497" s="32"/>
      <c r="R2497" s="32"/>
      <c r="T2497" s="8"/>
      <c r="W2497" s="32"/>
      <c r="X2497" s="25"/>
      <c r="Z2497" s="68" t="e">
        <f>VLOOKUP(Takeoffs!Y2497,Sheet1!$B$6:$C$124,2,FALSE)</f>
        <v>#N/A</v>
      </c>
      <c r="AA2497" s="68"/>
      <c r="AB2497" s="32"/>
      <c r="AC2497" s="32"/>
      <c r="AD2497" s="32"/>
      <c r="AE2497" s="25"/>
      <c r="AF2497" s="32"/>
      <c r="AG2497" s="68" t="e">
        <f>VLOOKUP(Takeoffs!AF2497,Sheet1!$B$6:$C$124,2,FALSE)</f>
        <v>#N/A</v>
      </c>
      <c r="AH2497" s="68"/>
      <c r="AI2497" s="32"/>
      <c r="AJ2497" s="32"/>
      <c r="AK2497" s="32"/>
      <c r="AL2497" s="25"/>
      <c r="AO2497" s="286"/>
      <c r="AP2497" s="284">
        <f t="shared" si="1010"/>
        <v>0</v>
      </c>
      <c r="AQ2497" s="281">
        <f t="shared" si="1011"/>
        <v>0</v>
      </c>
      <c r="AR2497" s="284">
        <f t="shared" si="1012"/>
        <v>0</v>
      </c>
      <c r="AS2497" s="281">
        <f t="shared" si="1013"/>
        <v>0</v>
      </c>
      <c r="AT2497" s="284">
        <f t="shared" si="1014"/>
        <v>0</v>
      </c>
    </row>
    <row r="2498" spans="1:46" customFormat="1" ht="30.9" x14ac:dyDescent="0.8">
      <c r="A2498" s="262">
        <f t="shared" si="1015"/>
        <v>2498</v>
      </c>
      <c r="B2498" s="114"/>
      <c r="C2498" s="208"/>
      <c r="D2498" s="208"/>
      <c r="E2498" s="219"/>
      <c r="F2498" s="219"/>
      <c r="G2498" s="219"/>
      <c r="H2498" s="219"/>
      <c r="I2498" s="221"/>
      <c r="K2498" s="221"/>
      <c r="L2498" s="117"/>
      <c r="P2498" s="201"/>
      <c r="Q2498" s="32"/>
      <c r="R2498" s="32"/>
      <c r="T2498" s="8"/>
      <c r="W2498" s="32"/>
      <c r="X2498" s="25"/>
      <c r="Z2498" s="68" t="e">
        <f>VLOOKUP(Takeoffs!Y2498,Sheet1!$B$6:$C$124,2,FALSE)</f>
        <v>#N/A</v>
      </c>
      <c r="AA2498" s="68"/>
      <c r="AB2498" s="32"/>
      <c r="AC2498" s="32"/>
      <c r="AD2498" s="32"/>
      <c r="AE2498" s="25"/>
      <c r="AF2498" s="32"/>
      <c r="AG2498" s="68" t="e">
        <f>VLOOKUP(Takeoffs!AF2498,Sheet1!$B$6:$C$124,2,FALSE)</f>
        <v>#N/A</v>
      </c>
      <c r="AH2498" s="68"/>
      <c r="AI2498" s="32"/>
      <c r="AJ2498" s="32"/>
      <c r="AK2498" s="32"/>
      <c r="AL2498" s="25"/>
      <c r="AO2498" s="286"/>
      <c r="AP2498" s="284">
        <f t="shared" si="1010"/>
        <v>0</v>
      </c>
      <c r="AQ2498" s="281">
        <f t="shared" si="1011"/>
        <v>0</v>
      </c>
      <c r="AR2498" s="284">
        <f t="shared" si="1012"/>
        <v>0</v>
      </c>
      <c r="AS2498" s="281">
        <f t="shared" si="1013"/>
        <v>0</v>
      </c>
      <c r="AT2498" s="284">
        <f t="shared" si="1014"/>
        <v>0</v>
      </c>
    </row>
    <row r="2499" spans="1:46" s="2" customFormat="1" ht="62.25" customHeight="1" x14ac:dyDescent="0.8">
      <c r="A2499" s="262">
        <f t="shared" si="1015"/>
        <v>2499</v>
      </c>
      <c r="B2499" s="116"/>
      <c r="C2499" s="211"/>
      <c r="D2499" s="211"/>
      <c r="E2499" s="218"/>
      <c r="F2499" s="218"/>
      <c r="G2499" s="218"/>
      <c r="H2499" s="218"/>
      <c r="I2499" s="221"/>
      <c r="K2499" s="222"/>
      <c r="L2499" s="170"/>
      <c r="M2499" s="2" t="s">
        <v>107</v>
      </c>
      <c r="N2499" s="2" t="s">
        <v>108</v>
      </c>
      <c r="O2499" s="2" t="s">
        <v>4</v>
      </c>
      <c r="P2499" s="184" t="s">
        <v>5</v>
      </c>
      <c r="S2499" s="2" t="s">
        <v>0</v>
      </c>
      <c r="T2499" s="9"/>
      <c r="U2499" s="2" t="s">
        <v>109</v>
      </c>
      <c r="V2499" s="2" t="s">
        <v>110</v>
      </c>
      <c r="X2499" s="58"/>
      <c r="Y2499" s="2" t="s">
        <v>111</v>
      </c>
      <c r="Z2499" s="68" t="e">
        <f>VLOOKUP(Takeoffs!Y2499,Sheet1!$B$6:$C$124,2,FALSE)</f>
        <v>#N/A</v>
      </c>
      <c r="AA2499" s="68"/>
      <c r="AE2499" s="58"/>
      <c r="AF2499" s="2" t="s">
        <v>111</v>
      </c>
      <c r="AG2499" s="68" t="e">
        <f>VLOOKUP(Takeoffs!AF2499,Sheet1!$B$6:$C$124,2,FALSE)</f>
        <v>#N/A</v>
      </c>
      <c r="AH2499" s="68"/>
      <c r="AL2499" s="58"/>
      <c r="AO2499" s="288"/>
      <c r="AP2499" s="284">
        <f t="shared" si="1010"/>
        <v>0</v>
      </c>
      <c r="AQ2499" s="281">
        <f t="shared" si="1011"/>
        <v>0</v>
      </c>
      <c r="AR2499" s="284">
        <f t="shared" si="1012"/>
        <v>0</v>
      </c>
      <c r="AS2499" s="281">
        <f t="shared" si="1013"/>
        <v>0</v>
      </c>
      <c r="AT2499" s="284">
        <f t="shared" si="1014"/>
        <v>0</v>
      </c>
    </row>
    <row r="2500" spans="1:46" customFormat="1" ht="179.25" customHeight="1" x14ac:dyDescent="0.8">
      <c r="A2500" s="262">
        <f t="shared" si="1015"/>
        <v>2500</v>
      </c>
      <c r="B2500" s="114"/>
      <c r="C2500" s="208"/>
      <c r="D2500" s="208"/>
      <c r="E2500" s="219"/>
      <c r="F2500" s="219"/>
      <c r="G2500" s="219"/>
      <c r="H2500" s="219"/>
      <c r="I2500" s="222"/>
      <c r="J2500" s="30" t="str">
        <f>CONCATENATE(O2500," ",L2500, " (",M2500,") ",N2500,". Each includes supply and install of ",O2501,O2502,O2503,O2504,O2505,O2506,O2507,O2508,O2509,O2510,O2511,O2512,O2513,O2514,O2515,O2516,O2517,O2518,O2519,O2520,)</f>
        <v>Supply and install fourteen (14) Common area door-AC interlocks ( with time delay). Each includes supply and install of reed switch integrated into door frame,  flush mounted junction boxdelay timerand controls cabling.Note we exclude AC interface card for window reed switches interface</v>
      </c>
      <c r="K2500" s="221"/>
      <c r="L2500" s="123" t="str">
        <f>VLOOKUP(M2500,Sheet2!$D$2:$E$1024,2,FALSE)</f>
        <v>fourteen</v>
      </c>
      <c r="M2500" s="12">
        <v>14</v>
      </c>
      <c r="N2500" s="27" t="s">
        <v>188</v>
      </c>
      <c r="O2500" s="12" t="s">
        <v>1</v>
      </c>
      <c r="P2500" s="207"/>
      <c r="Q2500" s="12"/>
      <c r="R2500" s="12"/>
      <c r="S2500" s="28"/>
      <c r="T2500" s="10"/>
      <c r="U2500" s="12"/>
      <c r="V2500" s="14" t="e">
        <f>U2500*#REF!</f>
        <v>#REF!</v>
      </c>
      <c r="W2500" s="14"/>
      <c r="X2500" s="26"/>
      <c r="Y2500" s="13"/>
      <c r="Z2500" s="68" t="e">
        <f>VLOOKUP(Takeoffs!Y2500,Sheet1!$B$6:$C$124,2,FALSE)</f>
        <v>#N/A</v>
      </c>
      <c r="AA2500" s="68"/>
      <c r="AB2500" s="18"/>
      <c r="AC2500" s="18"/>
      <c r="AD2500" s="18"/>
      <c r="AE2500" s="60"/>
      <c r="AF2500" s="13"/>
      <c r="AG2500" s="68" t="e">
        <f>VLOOKUP(Takeoffs!AF2500,Sheet1!$B$6:$C$124,2,FALSE)</f>
        <v>#N/A</v>
      </c>
      <c r="AH2500" s="68"/>
      <c r="AI2500" s="18"/>
      <c r="AJ2500" s="18"/>
      <c r="AK2500" s="18"/>
      <c r="AL2500" s="60"/>
      <c r="AO2500" s="286"/>
      <c r="AP2500" s="284">
        <f t="shared" si="1010"/>
        <v>0</v>
      </c>
      <c r="AQ2500" s="281">
        <f t="shared" si="1011"/>
        <v>0</v>
      </c>
      <c r="AR2500" s="284">
        <f t="shared" si="1012"/>
        <v>0</v>
      </c>
      <c r="AS2500" s="281">
        <f t="shared" si="1013"/>
        <v>0</v>
      </c>
      <c r="AT2500" s="284">
        <f t="shared" si="1014"/>
        <v>0</v>
      </c>
    </row>
    <row r="2501" spans="1:46" customFormat="1" ht="15" customHeight="1" x14ac:dyDescent="0.8">
      <c r="A2501" s="262">
        <f t="shared" si="1015"/>
        <v>2501</v>
      </c>
      <c r="B2501" s="114"/>
      <c r="C2501" s="208"/>
      <c r="D2501" s="208"/>
      <c r="E2501" s="219"/>
      <c r="F2501" s="219"/>
      <c r="G2501" s="219"/>
      <c r="H2501" s="219"/>
      <c r="I2501" s="221"/>
      <c r="J2501" s="30"/>
      <c r="K2501" s="221"/>
      <c r="L2501" s="117"/>
      <c r="M2501" s="3"/>
      <c r="N2501" s="15" t="s">
        <v>113</v>
      </c>
      <c r="O2501" t="s">
        <v>189</v>
      </c>
      <c r="P2501" s="207"/>
      <c r="Q2501" s="12"/>
      <c r="R2501" s="12"/>
      <c r="S2501" s="28">
        <f>M2500</f>
        <v>14</v>
      </c>
      <c r="T2501" s="11"/>
      <c r="U2501" s="12"/>
      <c r="V2501" s="14" t="e">
        <f>U2501*#REF!</f>
        <v>#REF!</v>
      </c>
      <c r="W2501" s="14"/>
      <c r="X2501" s="26"/>
      <c r="Y2501" s="13"/>
      <c r="Z2501" s="68" t="e">
        <f>VLOOKUP(Takeoffs!Y2501,Sheet1!$B$6:$C$124,2,FALSE)</f>
        <v>#N/A</v>
      </c>
      <c r="AA2501" s="68"/>
      <c r="AB2501" s="18"/>
      <c r="AC2501" s="18"/>
      <c r="AD2501" s="18"/>
      <c r="AE2501" s="60"/>
      <c r="AF2501" s="13"/>
      <c r="AG2501" s="68" t="e">
        <f>VLOOKUP(Takeoffs!AF2501,Sheet1!$B$6:$C$124,2,FALSE)</f>
        <v>#N/A</v>
      </c>
      <c r="AH2501" s="68"/>
      <c r="AI2501" s="18"/>
      <c r="AJ2501" s="18"/>
      <c r="AK2501" s="18"/>
      <c r="AL2501" s="60"/>
      <c r="AO2501" s="286"/>
      <c r="AP2501" s="284">
        <f t="shared" si="1010"/>
        <v>0</v>
      </c>
      <c r="AQ2501" s="281">
        <f t="shared" si="1011"/>
        <v>0</v>
      </c>
      <c r="AR2501" s="284">
        <f t="shared" si="1012"/>
        <v>0</v>
      </c>
      <c r="AS2501" s="281">
        <f t="shared" si="1013"/>
        <v>0</v>
      </c>
      <c r="AT2501" s="284">
        <f t="shared" si="1014"/>
        <v>0</v>
      </c>
    </row>
    <row r="2502" spans="1:46" customFormat="1" ht="15" customHeight="1" x14ac:dyDescent="0.8">
      <c r="A2502" s="262">
        <f t="shared" si="1015"/>
        <v>2502</v>
      </c>
      <c r="B2502" s="114"/>
      <c r="C2502" s="208"/>
      <c r="D2502" s="208"/>
      <c r="E2502" s="219"/>
      <c r="F2502" s="219"/>
      <c r="G2502" s="219"/>
      <c r="H2502" s="219"/>
      <c r="I2502" s="221"/>
      <c r="J2502" s="30"/>
      <c r="K2502" s="221"/>
      <c r="L2502" s="117"/>
      <c r="M2502" s="3"/>
      <c r="N2502" s="15" t="s">
        <v>114</v>
      </c>
      <c r="O2502" t="s">
        <v>2</v>
      </c>
      <c r="P2502" s="207"/>
      <c r="Q2502" s="12"/>
      <c r="R2502" s="12"/>
      <c r="S2502" s="28">
        <f>M2500</f>
        <v>14</v>
      </c>
      <c r="T2502" s="11"/>
      <c r="U2502" s="12"/>
      <c r="V2502" s="14" t="e">
        <f>U2502*#REF!</f>
        <v>#REF!</v>
      </c>
      <c r="W2502" s="14"/>
      <c r="X2502" s="26"/>
      <c r="Y2502" s="13"/>
      <c r="Z2502" s="68" t="e">
        <f>VLOOKUP(Takeoffs!Y2502,Sheet1!$B$6:$C$124,2,FALSE)</f>
        <v>#N/A</v>
      </c>
      <c r="AA2502" s="68"/>
      <c r="AB2502" s="18"/>
      <c r="AC2502" s="18"/>
      <c r="AD2502" s="18"/>
      <c r="AE2502" s="60"/>
      <c r="AF2502" s="13"/>
      <c r="AG2502" s="68" t="e">
        <f>VLOOKUP(Takeoffs!AF2502,Sheet1!$B$6:$C$124,2,FALSE)</f>
        <v>#N/A</v>
      </c>
      <c r="AH2502" s="68"/>
      <c r="AI2502" s="18"/>
      <c r="AJ2502" s="18"/>
      <c r="AK2502" s="18"/>
      <c r="AL2502" s="60"/>
      <c r="AO2502" s="286"/>
      <c r="AP2502" s="284">
        <f t="shared" si="1010"/>
        <v>0</v>
      </c>
      <c r="AQ2502" s="281">
        <f t="shared" si="1011"/>
        <v>0</v>
      </c>
      <c r="AR2502" s="284">
        <f t="shared" si="1012"/>
        <v>0</v>
      </c>
      <c r="AS2502" s="281">
        <f t="shared" si="1013"/>
        <v>0</v>
      </c>
      <c r="AT2502" s="284">
        <f t="shared" si="1014"/>
        <v>0</v>
      </c>
    </row>
    <row r="2503" spans="1:46" customFormat="1" ht="15" customHeight="1" x14ac:dyDescent="0.8">
      <c r="A2503" s="262">
        <f t="shared" si="1015"/>
        <v>2503</v>
      </c>
      <c r="B2503" s="114"/>
      <c r="C2503" s="208"/>
      <c r="D2503" s="208"/>
      <c r="E2503" s="219"/>
      <c r="F2503" s="219"/>
      <c r="G2503" s="219"/>
      <c r="H2503" s="219"/>
      <c r="I2503" s="221"/>
      <c r="J2503" s="30"/>
      <c r="K2503" s="221"/>
      <c r="L2503" s="117"/>
      <c r="M2503" s="3"/>
      <c r="N2503" s="15" t="s">
        <v>115</v>
      </c>
      <c r="O2503" t="s">
        <v>190</v>
      </c>
      <c r="P2503" s="207"/>
      <c r="Q2503" s="12"/>
      <c r="R2503" s="12"/>
      <c r="S2503" s="28">
        <f>M2500</f>
        <v>14</v>
      </c>
      <c r="T2503" s="11"/>
      <c r="U2503" s="12"/>
      <c r="V2503" s="14" t="e">
        <f>U2503*#REF!</f>
        <v>#REF!</v>
      </c>
      <c r="W2503" s="14"/>
      <c r="X2503" s="26"/>
      <c r="Y2503" s="13"/>
      <c r="Z2503" s="68" t="e">
        <f>VLOOKUP(Takeoffs!Y2503,Sheet1!$B$6:$C$124,2,FALSE)</f>
        <v>#N/A</v>
      </c>
      <c r="AA2503" s="68"/>
      <c r="AB2503" s="18"/>
      <c r="AC2503" s="18"/>
      <c r="AD2503" s="18"/>
      <c r="AE2503" s="60"/>
      <c r="AF2503" s="13"/>
      <c r="AG2503" s="68" t="e">
        <f>VLOOKUP(Takeoffs!AF2503,Sheet1!$B$6:$C$124,2,FALSE)</f>
        <v>#N/A</v>
      </c>
      <c r="AH2503" s="68"/>
      <c r="AI2503" s="18"/>
      <c r="AJ2503" s="18"/>
      <c r="AK2503" s="18"/>
      <c r="AL2503" s="60"/>
      <c r="AO2503" s="286"/>
      <c r="AP2503" s="284">
        <f t="shared" si="1010"/>
        <v>0</v>
      </c>
      <c r="AQ2503" s="281">
        <f t="shared" si="1011"/>
        <v>0</v>
      </c>
      <c r="AR2503" s="284">
        <f t="shared" si="1012"/>
        <v>0</v>
      </c>
      <c r="AS2503" s="281">
        <f t="shared" si="1013"/>
        <v>0</v>
      </c>
      <c r="AT2503" s="284">
        <f t="shared" si="1014"/>
        <v>0</v>
      </c>
    </row>
    <row r="2504" spans="1:46" customFormat="1" ht="15" customHeight="1" x14ac:dyDescent="0.8">
      <c r="A2504" s="262">
        <f t="shared" si="1015"/>
        <v>2504</v>
      </c>
      <c r="B2504" s="114"/>
      <c r="C2504" s="208"/>
      <c r="D2504" s="208"/>
      <c r="E2504" s="219"/>
      <c r="F2504" s="219"/>
      <c r="G2504" s="219"/>
      <c r="H2504" s="219"/>
      <c r="I2504" s="221"/>
      <c r="J2504" s="30"/>
      <c r="K2504" s="221"/>
      <c r="L2504" s="117"/>
      <c r="M2504" s="3"/>
      <c r="N2504" s="15" t="s">
        <v>116</v>
      </c>
      <c r="O2504" t="s">
        <v>186</v>
      </c>
      <c r="P2504" s="207"/>
      <c r="Q2504" s="12"/>
      <c r="R2504" s="12"/>
      <c r="S2504" s="28">
        <f>M2500</f>
        <v>14</v>
      </c>
      <c r="T2504" s="11"/>
      <c r="U2504" s="12"/>
      <c r="V2504" s="14" t="e">
        <f>U2504*#REF!</f>
        <v>#REF!</v>
      </c>
      <c r="W2504" s="14"/>
      <c r="X2504" s="26"/>
      <c r="Y2504" s="13"/>
      <c r="Z2504" s="68" t="e">
        <f>VLOOKUP(Takeoffs!Y2504,Sheet1!$B$6:$C$124,2,FALSE)</f>
        <v>#N/A</v>
      </c>
      <c r="AA2504" s="68"/>
      <c r="AB2504" s="18"/>
      <c r="AC2504" s="18"/>
      <c r="AD2504" s="18"/>
      <c r="AE2504" s="60"/>
      <c r="AF2504" s="13"/>
      <c r="AG2504" s="68" t="e">
        <f>VLOOKUP(Takeoffs!AF2504,Sheet1!$B$6:$C$124,2,FALSE)</f>
        <v>#N/A</v>
      </c>
      <c r="AH2504" s="68"/>
      <c r="AI2504" s="18"/>
      <c r="AJ2504" s="18"/>
      <c r="AK2504" s="18"/>
      <c r="AL2504" s="60"/>
      <c r="AO2504" s="286"/>
      <c r="AP2504" s="284">
        <f t="shared" si="1010"/>
        <v>0</v>
      </c>
      <c r="AQ2504" s="281">
        <f t="shared" si="1011"/>
        <v>0</v>
      </c>
      <c r="AR2504" s="284">
        <f t="shared" si="1012"/>
        <v>0</v>
      </c>
      <c r="AS2504" s="281">
        <f t="shared" si="1013"/>
        <v>0</v>
      </c>
      <c r="AT2504" s="284">
        <f t="shared" si="1014"/>
        <v>0</v>
      </c>
    </row>
    <row r="2505" spans="1:46" customFormat="1" ht="15" customHeight="1" x14ac:dyDescent="0.8">
      <c r="A2505" s="262">
        <f t="shared" si="1015"/>
        <v>2505</v>
      </c>
      <c r="B2505" s="114"/>
      <c r="C2505" s="208"/>
      <c r="D2505" s="208"/>
      <c r="E2505" s="219"/>
      <c r="F2505" s="219"/>
      <c r="G2505" s="219"/>
      <c r="H2505" s="219"/>
      <c r="I2505" s="221"/>
      <c r="J2505" s="30"/>
      <c r="K2505" s="221"/>
      <c r="L2505" s="117"/>
      <c r="M2505" s="3"/>
      <c r="N2505" s="15" t="s">
        <v>117</v>
      </c>
      <c r="O2505" t="s">
        <v>185</v>
      </c>
      <c r="P2505" s="207"/>
      <c r="Q2505" s="12"/>
      <c r="R2505" s="12"/>
      <c r="S2505" s="28">
        <f>M2500</f>
        <v>14</v>
      </c>
      <c r="T2505" s="11"/>
      <c r="U2505" s="12"/>
      <c r="V2505" s="14" t="e">
        <f>U2505*#REF!</f>
        <v>#REF!</v>
      </c>
      <c r="W2505" s="14"/>
      <c r="X2505" s="26"/>
      <c r="Y2505" s="13"/>
      <c r="Z2505" s="68" t="e">
        <f>VLOOKUP(Takeoffs!Y2505,Sheet1!$B$6:$C$124,2,FALSE)</f>
        <v>#N/A</v>
      </c>
      <c r="AA2505" s="68"/>
      <c r="AB2505" s="18"/>
      <c r="AC2505" s="18"/>
      <c r="AD2505" s="18"/>
      <c r="AE2505" s="60"/>
      <c r="AF2505" s="13"/>
      <c r="AG2505" s="68" t="e">
        <f>VLOOKUP(Takeoffs!AF2505,Sheet1!$B$6:$C$124,2,FALSE)</f>
        <v>#N/A</v>
      </c>
      <c r="AH2505" s="68"/>
      <c r="AI2505" s="18"/>
      <c r="AJ2505" s="18"/>
      <c r="AK2505" s="18"/>
      <c r="AL2505" s="60"/>
      <c r="AO2505" s="286"/>
      <c r="AP2505" s="284">
        <f t="shared" si="1010"/>
        <v>0</v>
      </c>
      <c r="AQ2505" s="281">
        <f t="shared" si="1011"/>
        <v>0</v>
      </c>
      <c r="AR2505" s="284">
        <f t="shared" si="1012"/>
        <v>0</v>
      </c>
      <c r="AS2505" s="281">
        <f t="shared" si="1013"/>
        <v>0</v>
      </c>
      <c r="AT2505" s="284">
        <f t="shared" si="1014"/>
        <v>0</v>
      </c>
    </row>
    <row r="2506" spans="1:46" customFormat="1" ht="15" customHeight="1" x14ac:dyDescent="0.8">
      <c r="A2506" s="262">
        <f t="shared" si="1015"/>
        <v>2506</v>
      </c>
      <c r="B2506" s="114"/>
      <c r="C2506" s="208"/>
      <c r="D2506" s="208"/>
      <c r="E2506" s="219"/>
      <c r="F2506" s="219"/>
      <c r="G2506" s="219"/>
      <c r="H2506" s="219"/>
      <c r="I2506" s="221"/>
      <c r="J2506" s="30"/>
      <c r="K2506" s="221"/>
      <c r="L2506" s="117"/>
      <c r="M2506" s="3"/>
      <c r="N2506" s="15" t="s">
        <v>118</v>
      </c>
      <c r="O2506" s="12"/>
      <c r="P2506" s="207"/>
      <c r="Q2506" s="12"/>
      <c r="R2506" s="12"/>
      <c r="S2506" s="28">
        <f>M2500</f>
        <v>14</v>
      </c>
      <c r="T2506" s="11"/>
      <c r="U2506" s="12"/>
      <c r="V2506" s="14" t="e">
        <f>U2506*#REF!</f>
        <v>#REF!</v>
      </c>
      <c r="W2506" s="14"/>
      <c r="X2506" s="26"/>
      <c r="Y2506" s="13"/>
      <c r="Z2506" s="68" t="e">
        <f>VLOOKUP(Takeoffs!Y2506,Sheet1!$B$6:$C$124,2,FALSE)</f>
        <v>#N/A</v>
      </c>
      <c r="AA2506" s="68"/>
      <c r="AB2506" s="18"/>
      <c r="AC2506" s="18"/>
      <c r="AD2506" s="18"/>
      <c r="AE2506" s="60"/>
      <c r="AF2506" s="13"/>
      <c r="AG2506" s="68" t="e">
        <f>VLOOKUP(Takeoffs!AF2506,Sheet1!$B$6:$C$124,2,FALSE)</f>
        <v>#N/A</v>
      </c>
      <c r="AH2506" s="68"/>
      <c r="AI2506" s="18"/>
      <c r="AJ2506" s="18"/>
      <c r="AK2506" s="18"/>
      <c r="AL2506" s="60"/>
      <c r="AO2506" s="286"/>
      <c r="AP2506" s="284">
        <f t="shared" si="1010"/>
        <v>0</v>
      </c>
      <c r="AQ2506" s="281">
        <f t="shared" si="1011"/>
        <v>0</v>
      </c>
      <c r="AR2506" s="284">
        <f t="shared" si="1012"/>
        <v>0</v>
      </c>
      <c r="AS2506" s="281">
        <f t="shared" si="1013"/>
        <v>0</v>
      </c>
      <c r="AT2506" s="284">
        <f t="shared" si="1014"/>
        <v>0</v>
      </c>
    </row>
    <row r="2507" spans="1:46" customFormat="1" ht="15" customHeight="1" x14ac:dyDescent="0.8">
      <c r="A2507" s="262">
        <f t="shared" si="1015"/>
        <v>2507</v>
      </c>
      <c r="B2507" s="114"/>
      <c r="C2507" s="208"/>
      <c r="D2507" s="208"/>
      <c r="E2507" s="219"/>
      <c r="F2507" s="219"/>
      <c r="G2507" s="219"/>
      <c r="H2507" s="219"/>
      <c r="I2507" s="221"/>
      <c r="J2507" s="30"/>
      <c r="K2507" s="221"/>
      <c r="L2507" s="117"/>
      <c r="N2507" s="15" t="s">
        <v>119</v>
      </c>
      <c r="O2507" s="12"/>
      <c r="P2507" s="207"/>
      <c r="Q2507" s="12"/>
      <c r="R2507" s="12"/>
      <c r="S2507" s="28">
        <f>M2500</f>
        <v>14</v>
      </c>
      <c r="T2507" s="11"/>
      <c r="U2507" s="12"/>
      <c r="V2507" s="14" t="e">
        <f>U2507*#REF!</f>
        <v>#REF!</v>
      </c>
      <c r="W2507" s="14"/>
      <c r="X2507" s="26"/>
      <c r="Y2507" s="13"/>
      <c r="Z2507" s="68" t="e">
        <f>VLOOKUP(Takeoffs!Y2507,Sheet1!$B$6:$C$124,2,FALSE)</f>
        <v>#N/A</v>
      </c>
      <c r="AA2507" s="68"/>
      <c r="AB2507" s="18"/>
      <c r="AC2507" s="18"/>
      <c r="AD2507" s="18"/>
      <c r="AE2507" s="60"/>
      <c r="AF2507" s="13"/>
      <c r="AG2507" s="68" t="e">
        <f>VLOOKUP(Takeoffs!AF2507,Sheet1!$B$6:$C$124,2,FALSE)</f>
        <v>#N/A</v>
      </c>
      <c r="AH2507" s="68"/>
      <c r="AI2507" s="18"/>
      <c r="AJ2507" s="18"/>
      <c r="AK2507" s="18"/>
      <c r="AL2507" s="60"/>
      <c r="AO2507" s="286"/>
      <c r="AP2507" s="284">
        <f t="shared" si="1010"/>
        <v>0</v>
      </c>
      <c r="AQ2507" s="281">
        <f t="shared" si="1011"/>
        <v>0</v>
      </c>
      <c r="AR2507" s="284">
        <f t="shared" si="1012"/>
        <v>0</v>
      </c>
      <c r="AS2507" s="281">
        <f t="shared" si="1013"/>
        <v>0</v>
      </c>
      <c r="AT2507" s="284">
        <f t="shared" si="1014"/>
        <v>0</v>
      </c>
    </row>
    <row r="2508" spans="1:46" customFormat="1" ht="15" customHeight="1" x14ac:dyDescent="0.8">
      <c r="A2508" s="262">
        <f t="shared" si="1015"/>
        <v>2508</v>
      </c>
      <c r="B2508" s="114"/>
      <c r="C2508" s="208"/>
      <c r="D2508" s="208"/>
      <c r="E2508" s="219"/>
      <c r="F2508" s="219"/>
      <c r="G2508" s="219"/>
      <c r="H2508" s="219"/>
      <c r="I2508" s="221"/>
      <c r="J2508" s="30"/>
      <c r="K2508" s="221"/>
      <c r="L2508" s="117"/>
      <c r="N2508" s="15" t="s">
        <v>120</v>
      </c>
      <c r="O2508" s="12"/>
      <c r="P2508" s="207"/>
      <c r="Q2508" s="12"/>
      <c r="R2508" s="12"/>
      <c r="S2508" s="28">
        <f>M2500</f>
        <v>14</v>
      </c>
      <c r="T2508" s="11"/>
      <c r="U2508" s="12"/>
      <c r="V2508" s="14" t="e">
        <f>U2508*#REF!</f>
        <v>#REF!</v>
      </c>
      <c r="W2508" s="14"/>
      <c r="X2508" s="26"/>
      <c r="Y2508" s="13"/>
      <c r="Z2508" s="68" t="e">
        <f>VLOOKUP(Takeoffs!Y2508,Sheet1!$B$6:$C$124,2,FALSE)</f>
        <v>#N/A</v>
      </c>
      <c r="AA2508" s="68"/>
      <c r="AB2508" s="18"/>
      <c r="AC2508" s="18"/>
      <c r="AD2508" s="18"/>
      <c r="AE2508" s="60"/>
      <c r="AF2508" s="13"/>
      <c r="AG2508" s="68" t="e">
        <f>VLOOKUP(Takeoffs!AF2508,Sheet1!$B$6:$C$124,2,FALSE)</f>
        <v>#N/A</v>
      </c>
      <c r="AH2508" s="68"/>
      <c r="AI2508" s="18"/>
      <c r="AJ2508" s="18"/>
      <c r="AK2508" s="18"/>
      <c r="AL2508" s="60"/>
      <c r="AO2508" s="286"/>
      <c r="AP2508" s="284">
        <f t="shared" si="1010"/>
        <v>0</v>
      </c>
      <c r="AQ2508" s="281">
        <f t="shared" si="1011"/>
        <v>0</v>
      </c>
      <c r="AR2508" s="284">
        <f t="shared" si="1012"/>
        <v>0</v>
      </c>
      <c r="AS2508" s="281">
        <f t="shared" si="1013"/>
        <v>0</v>
      </c>
      <c r="AT2508" s="284">
        <f t="shared" si="1014"/>
        <v>0</v>
      </c>
    </row>
    <row r="2509" spans="1:46" customFormat="1" ht="15" customHeight="1" x14ac:dyDescent="0.8">
      <c r="A2509" s="262">
        <f t="shared" si="1015"/>
        <v>2509</v>
      </c>
      <c r="B2509" s="114"/>
      <c r="C2509" s="208"/>
      <c r="D2509" s="208"/>
      <c r="E2509" s="219"/>
      <c r="F2509" s="219"/>
      <c r="G2509" s="219"/>
      <c r="H2509" s="219"/>
      <c r="I2509" s="221"/>
      <c r="J2509" s="30"/>
      <c r="K2509" s="221"/>
      <c r="L2509" s="117"/>
      <c r="N2509" s="15" t="s">
        <v>121</v>
      </c>
      <c r="O2509" s="12"/>
      <c r="P2509" s="207"/>
      <c r="Q2509" s="12"/>
      <c r="R2509" s="12"/>
      <c r="S2509" s="28">
        <f>M2500</f>
        <v>14</v>
      </c>
      <c r="T2509" s="11"/>
      <c r="U2509" s="12"/>
      <c r="V2509" s="14" t="e">
        <f>U2509*#REF!</f>
        <v>#REF!</v>
      </c>
      <c r="W2509" s="14"/>
      <c r="X2509" s="26"/>
      <c r="Y2509" s="13"/>
      <c r="Z2509" s="68" t="e">
        <f>VLOOKUP(Takeoffs!Y2509,Sheet1!$B$6:$C$124,2,FALSE)</f>
        <v>#N/A</v>
      </c>
      <c r="AA2509" s="68"/>
      <c r="AB2509" s="18"/>
      <c r="AC2509" s="18"/>
      <c r="AD2509" s="18"/>
      <c r="AE2509" s="60"/>
      <c r="AF2509" s="13"/>
      <c r="AG2509" s="68" t="e">
        <f>VLOOKUP(Takeoffs!AF2509,Sheet1!$B$6:$C$124,2,FALSE)</f>
        <v>#N/A</v>
      </c>
      <c r="AH2509" s="68"/>
      <c r="AI2509" s="18"/>
      <c r="AJ2509" s="18"/>
      <c r="AK2509" s="18"/>
      <c r="AL2509" s="60"/>
      <c r="AO2509" s="286"/>
      <c r="AP2509" s="284">
        <f t="shared" si="1010"/>
        <v>0</v>
      </c>
      <c r="AQ2509" s="281">
        <f t="shared" si="1011"/>
        <v>0</v>
      </c>
      <c r="AR2509" s="284">
        <f t="shared" si="1012"/>
        <v>0</v>
      </c>
      <c r="AS2509" s="281">
        <f t="shared" si="1013"/>
        <v>0</v>
      </c>
      <c r="AT2509" s="284">
        <f t="shared" si="1014"/>
        <v>0</v>
      </c>
    </row>
    <row r="2510" spans="1:46" customFormat="1" ht="15" customHeight="1" x14ac:dyDescent="0.8">
      <c r="A2510" s="262">
        <f t="shared" si="1015"/>
        <v>2510</v>
      </c>
      <c r="B2510" s="114"/>
      <c r="C2510" s="208"/>
      <c r="D2510" s="208"/>
      <c r="E2510" s="219"/>
      <c r="F2510" s="219"/>
      <c r="G2510" s="219"/>
      <c r="H2510" s="219"/>
      <c r="I2510" s="221"/>
      <c r="J2510" s="30"/>
      <c r="K2510" s="221"/>
      <c r="L2510" s="117"/>
      <c r="N2510" s="15" t="s">
        <v>122</v>
      </c>
      <c r="O2510" s="12"/>
      <c r="P2510" s="207"/>
      <c r="Q2510" s="12"/>
      <c r="R2510" s="12"/>
      <c r="S2510" s="28">
        <f>M2500</f>
        <v>14</v>
      </c>
      <c r="T2510" s="11"/>
      <c r="U2510" s="12"/>
      <c r="V2510" s="14" t="e">
        <f>U2510*#REF!</f>
        <v>#REF!</v>
      </c>
      <c r="W2510" s="14"/>
      <c r="X2510" s="26"/>
      <c r="Y2510" s="13"/>
      <c r="Z2510" s="68" t="e">
        <f>VLOOKUP(Takeoffs!Y2510,Sheet1!$B$6:$C$124,2,FALSE)</f>
        <v>#N/A</v>
      </c>
      <c r="AA2510" s="68"/>
      <c r="AB2510" s="18"/>
      <c r="AC2510" s="18"/>
      <c r="AD2510" s="18"/>
      <c r="AE2510" s="60"/>
      <c r="AF2510" s="13"/>
      <c r="AG2510" s="68" t="e">
        <f>VLOOKUP(Takeoffs!AF2510,Sheet1!$B$6:$C$124,2,FALSE)</f>
        <v>#N/A</v>
      </c>
      <c r="AH2510" s="68"/>
      <c r="AI2510" s="18"/>
      <c r="AJ2510" s="18"/>
      <c r="AK2510" s="18"/>
      <c r="AL2510" s="60"/>
      <c r="AO2510" s="286"/>
      <c r="AP2510" s="284">
        <f t="shared" si="1010"/>
        <v>0</v>
      </c>
      <c r="AQ2510" s="281">
        <f t="shared" si="1011"/>
        <v>0</v>
      </c>
      <c r="AR2510" s="284">
        <f t="shared" si="1012"/>
        <v>0</v>
      </c>
      <c r="AS2510" s="281">
        <f t="shared" si="1013"/>
        <v>0</v>
      </c>
      <c r="AT2510" s="284">
        <f t="shared" si="1014"/>
        <v>0</v>
      </c>
    </row>
    <row r="2511" spans="1:46" customFormat="1" ht="15" customHeight="1" x14ac:dyDescent="0.8">
      <c r="A2511" s="262">
        <f t="shared" si="1015"/>
        <v>2511</v>
      </c>
      <c r="B2511" s="114"/>
      <c r="C2511" s="208"/>
      <c r="D2511" s="208"/>
      <c r="E2511" s="219"/>
      <c r="F2511" s="219"/>
      <c r="G2511" s="219"/>
      <c r="H2511" s="219"/>
      <c r="I2511" s="221"/>
      <c r="J2511" s="30"/>
      <c r="K2511" s="221"/>
      <c r="L2511" s="117"/>
      <c r="N2511" s="15" t="s">
        <v>123</v>
      </c>
      <c r="O2511" s="12"/>
      <c r="P2511" s="207"/>
      <c r="Q2511" s="12"/>
      <c r="R2511" s="12"/>
      <c r="S2511" s="28">
        <f>M2500</f>
        <v>14</v>
      </c>
      <c r="T2511" s="11"/>
      <c r="U2511" s="12"/>
      <c r="V2511" s="14" t="e">
        <f>U2511*#REF!</f>
        <v>#REF!</v>
      </c>
      <c r="W2511" s="14"/>
      <c r="X2511" s="26"/>
      <c r="Y2511" s="13"/>
      <c r="Z2511" s="68" t="e">
        <f>VLOOKUP(Takeoffs!Y2511,Sheet1!$B$6:$C$124,2,FALSE)</f>
        <v>#N/A</v>
      </c>
      <c r="AA2511" s="68"/>
      <c r="AB2511" s="18"/>
      <c r="AC2511" s="18"/>
      <c r="AD2511" s="18"/>
      <c r="AE2511" s="60"/>
      <c r="AF2511" s="13"/>
      <c r="AG2511" s="68" t="e">
        <f>VLOOKUP(Takeoffs!AF2511,Sheet1!$B$6:$C$124,2,FALSE)</f>
        <v>#N/A</v>
      </c>
      <c r="AH2511" s="68"/>
      <c r="AI2511" s="18"/>
      <c r="AJ2511" s="18"/>
      <c r="AK2511" s="18"/>
      <c r="AL2511" s="60"/>
      <c r="AO2511" s="286"/>
      <c r="AP2511" s="284">
        <f t="shared" si="1010"/>
        <v>0</v>
      </c>
      <c r="AQ2511" s="281">
        <f t="shared" si="1011"/>
        <v>0</v>
      </c>
      <c r="AR2511" s="284">
        <f t="shared" si="1012"/>
        <v>0</v>
      </c>
      <c r="AS2511" s="281">
        <f t="shared" si="1013"/>
        <v>0</v>
      </c>
      <c r="AT2511" s="284">
        <f t="shared" si="1014"/>
        <v>0</v>
      </c>
    </row>
    <row r="2512" spans="1:46" customFormat="1" ht="15" customHeight="1" x14ac:dyDescent="0.8">
      <c r="A2512" s="262">
        <f t="shared" si="1015"/>
        <v>2512</v>
      </c>
      <c r="B2512" s="114"/>
      <c r="C2512" s="208"/>
      <c r="D2512" s="208"/>
      <c r="E2512" s="219"/>
      <c r="F2512" s="219"/>
      <c r="G2512" s="219"/>
      <c r="H2512" s="219"/>
      <c r="I2512" s="221"/>
      <c r="J2512" s="30"/>
      <c r="K2512" s="221"/>
      <c r="L2512" s="117"/>
      <c r="N2512" s="15" t="s">
        <v>124</v>
      </c>
      <c r="O2512" s="12"/>
      <c r="P2512" s="207"/>
      <c r="Q2512" s="12"/>
      <c r="R2512" s="12"/>
      <c r="S2512" s="28">
        <f>M2500</f>
        <v>14</v>
      </c>
      <c r="T2512" s="11"/>
      <c r="U2512" s="12"/>
      <c r="V2512" s="14" t="e">
        <f>U2512*#REF!</f>
        <v>#REF!</v>
      </c>
      <c r="W2512" s="14"/>
      <c r="X2512" s="26"/>
      <c r="Y2512" s="13"/>
      <c r="Z2512" s="68" t="e">
        <f>VLOOKUP(Takeoffs!Y2512,Sheet1!$B$6:$C$124,2,FALSE)</f>
        <v>#N/A</v>
      </c>
      <c r="AA2512" s="68"/>
      <c r="AB2512" s="18"/>
      <c r="AC2512" s="18"/>
      <c r="AD2512" s="18"/>
      <c r="AE2512" s="60"/>
      <c r="AF2512" s="13"/>
      <c r="AG2512" s="68" t="e">
        <f>VLOOKUP(Takeoffs!AF2512,Sheet1!$B$6:$C$124,2,FALSE)</f>
        <v>#N/A</v>
      </c>
      <c r="AH2512" s="68"/>
      <c r="AI2512" s="18"/>
      <c r="AJ2512" s="18"/>
      <c r="AK2512" s="18"/>
      <c r="AL2512" s="60"/>
      <c r="AO2512" s="286"/>
      <c r="AP2512" s="284">
        <f t="shared" si="1010"/>
        <v>0</v>
      </c>
      <c r="AQ2512" s="281">
        <f t="shared" si="1011"/>
        <v>0</v>
      </c>
      <c r="AR2512" s="284">
        <f t="shared" si="1012"/>
        <v>0</v>
      </c>
      <c r="AS2512" s="281">
        <f t="shared" si="1013"/>
        <v>0</v>
      </c>
      <c r="AT2512" s="284">
        <f t="shared" si="1014"/>
        <v>0</v>
      </c>
    </row>
    <row r="2513" spans="1:46" customFormat="1" ht="15" customHeight="1" x14ac:dyDescent="0.8">
      <c r="A2513" s="262">
        <f t="shared" si="1015"/>
        <v>2513</v>
      </c>
      <c r="B2513" s="114"/>
      <c r="C2513" s="208"/>
      <c r="D2513" s="208"/>
      <c r="E2513" s="219"/>
      <c r="F2513" s="219"/>
      <c r="G2513" s="219"/>
      <c r="H2513" s="219"/>
      <c r="I2513" s="221"/>
      <c r="J2513" s="30"/>
      <c r="K2513" s="221"/>
      <c r="L2513" s="117"/>
      <c r="N2513" s="15" t="s">
        <v>125</v>
      </c>
      <c r="O2513" s="12"/>
      <c r="P2513" s="207"/>
      <c r="Q2513" s="12"/>
      <c r="R2513" s="12"/>
      <c r="S2513" s="28">
        <f>M2500</f>
        <v>14</v>
      </c>
      <c r="T2513" s="11"/>
      <c r="U2513" s="12"/>
      <c r="V2513" s="14" t="e">
        <f>U2513*#REF!</f>
        <v>#REF!</v>
      </c>
      <c r="W2513" s="14"/>
      <c r="X2513" s="26"/>
      <c r="Y2513" s="13"/>
      <c r="Z2513" s="68" t="e">
        <f>VLOOKUP(Takeoffs!Y2513,Sheet1!$B$6:$C$124,2,FALSE)</f>
        <v>#N/A</v>
      </c>
      <c r="AA2513" s="68"/>
      <c r="AB2513" s="18"/>
      <c r="AC2513" s="18"/>
      <c r="AD2513" s="18"/>
      <c r="AE2513" s="60"/>
      <c r="AF2513" s="13"/>
      <c r="AG2513" s="68" t="e">
        <f>VLOOKUP(Takeoffs!AF2513,Sheet1!$B$6:$C$124,2,FALSE)</f>
        <v>#N/A</v>
      </c>
      <c r="AH2513" s="68"/>
      <c r="AI2513" s="18"/>
      <c r="AJ2513" s="18"/>
      <c r="AK2513" s="18"/>
      <c r="AL2513" s="60"/>
      <c r="AO2513" s="286"/>
      <c r="AP2513" s="284">
        <f t="shared" si="1010"/>
        <v>0</v>
      </c>
      <c r="AQ2513" s="281">
        <f t="shared" si="1011"/>
        <v>0</v>
      </c>
      <c r="AR2513" s="284">
        <f t="shared" si="1012"/>
        <v>0</v>
      </c>
      <c r="AS2513" s="281">
        <f t="shared" si="1013"/>
        <v>0</v>
      </c>
      <c r="AT2513" s="284">
        <f t="shared" si="1014"/>
        <v>0</v>
      </c>
    </row>
    <row r="2514" spans="1:46" customFormat="1" ht="15" customHeight="1" x14ac:dyDescent="0.8">
      <c r="A2514" s="262">
        <f t="shared" si="1015"/>
        <v>2514</v>
      </c>
      <c r="B2514" s="114"/>
      <c r="C2514" s="208"/>
      <c r="D2514" s="208"/>
      <c r="E2514" s="219"/>
      <c r="F2514" s="219"/>
      <c r="G2514" s="219"/>
      <c r="H2514" s="219"/>
      <c r="I2514" s="221"/>
      <c r="J2514" s="30"/>
      <c r="K2514" s="221"/>
      <c r="L2514" s="117"/>
      <c r="N2514" s="15" t="s">
        <v>126</v>
      </c>
      <c r="O2514" s="12"/>
      <c r="P2514" s="207"/>
      <c r="Q2514" s="12"/>
      <c r="R2514" s="12"/>
      <c r="S2514" s="28">
        <f>M2500</f>
        <v>14</v>
      </c>
      <c r="T2514" s="11"/>
      <c r="U2514" s="12"/>
      <c r="V2514" s="14" t="e">
        <f>U2514*#REF!</f>
        <v>#REF!</v>
      </c>
      <c r="W2514" s="14"/>
      <c r="X2514" s="26"/>
      <c r="Y2514" s="13"/>
      <c r="Z2514" s="68" t="e">
        <f>VLOOKUP(Takeoffs!Y2514,Sheet1!$B$6:$C$124,2,FALSE)</f>
        <v>#N/A</v>
      </c>
      <c r="AA2514" s="68"/>
      <c r="AB2514" s="18"/>
      <c r="AC2514" s="18"/>
      <c r="AD2514" s="18"/>
      <c r="AE2514" s="60"/>
      <c r="AF2514" s="13"/>
      <c r="AG2514" s="68" t="e">
        <f>VLOOKUP(Takeoffs!AF2514,Sheet1!$B$6:$C$124,2,FALSE)</f>
        <v>#N/A</v>
      </c>
      <c r="AH2514" s="68"/>
      <c r="AI2514" s="18"/>
      <c r="AJ2514" s="18"/>
      <c r="AK2514" s="18"/>
      <c r="AL2514" s="60"/>
      <c r="AO2514" s="286"/>
      <c r="AP2514" s="284">
        <f t="shared" si="1010"/>
        <v>0</v>
      </c>
      <c r="AQ2514" s="281">
        <f t="shared" si="1011"/>
        <v>0</v>
      </c>
      <c r="AR2514" s="284">
        <f t="shared" si="1012"/>
        <v>0</v>
      </c>
      <c r="AS2514" s="281">
        <f t="shared" si="1013"/>
        <v>0</v>
      </c>
      <c r="AT2514" s="284">
        <f t="shared" si="1014"/>
        <v>0</v>
      </c>
    </row>
    <row r="2515" spans="1:46" customFormat="1" ht="15" customHeight="1" x14ac:dyDescent="0.8">
      <c r="A2515" s="262">
        <f t="shared" si="1015"/>
        <v>2515</v>
      </c>
      <c r="B2515" s="114"/>
      <c r="C2515" s="208"/>
      <c r="D2515" s="208"/>
      <c r="E2515" s="219"/>
      <c r="F2515" s="219"/>
      <c r="G2515" s="219"/>
      <c r="H2515" s="219"/>
      <c r="I2515" s="221"/>
      <c r="J2515" s="30"/>
      <c r="K2515" s="221"/>
      <c r="L2515" s="117"/>
      <c r="N2515" s="15" t="s">
        <v>127</v>
      </c>
      <c r="O2515" s="12"/>
      <c r="P2515" s="207"/>
      <c r="Q2515" s="12"/>
      <c r="R2515" s="12"/>
      <c r="S2515" s="28">
        <f>M2500</f>
        <v>14</v>
      </c>
      <c r="T2515" s="11"/>
      <c r="U2515" s="12"/>
      <c r="V2515" s="14" t="e">
        <f>U2515*#REF!</f>
        <v>#REF!</v>
      </c>
      <c r="W2515" s="14"/>
      <c r="X2515" s="26"/>
      <c r="Y2515" s="13"/>
      <c r="Z2515" s="68" t="e">
        <f>VLOOKUP(Takeoffs!Y2515,Sheet1!$B$6:$C$124,2,FALSE)</f>
        <v>#N/A</v>
      </c>
      <c r="AA2515" s="68"/>
      <c r="AB2515" s="18"/>
      <c r="AC2515" s="18"/>
      <c r="AD2515" s="18"/>
      <c r="AE2515" s="60"/>
      <c r="AF2515" s="13"/>
      <c r="AG2515" s="68" t="e">
        <f>VLOOKUP(Takeoffs!AF2515,Sheet1!$B$6:$C$124,2,FALSE)</f>
        <v>#N/A</v>
      </c>
      <c r="AH2515" s="68"/>
      <c r="AI2515" s="18"/>
      <c r="AJ2515" s="18"/>
      <c r="AK2515" s="18"/>
      <c r="AL2515" s="60"/>
      <c r="AO2515" s="286"/>
      <c r="AP2515" s="284">
        <f t="shared" si="1010"/>
        <v>0</v>
      </c>
      <c r="AQ2515" s="281">
        <f t="shared" si="1011"/>
        <v>0</v>
      </c>
      <c r="AR2515" s="284">
        <f t="shared" si="1012"/>
        <v>0</v>
      </c>
      <c r="AS2515" s="281">
        <f t="shared" si="1013"/>
        <v>0</v>
      </c>
      <c r="AT2515" s="284">
        <f t="shared" si="1014"/>
        <v>0</v>
      </c>
    </row>
    <row r="2516" spans="1:46" customFormat="1" ht="15" customHeight="1" x14ac:dyDescent="0.8">
      <c r="A2516" s="262">
        <f t="shared" si="1015"/>
        <v>2516</v>
      </c>
      <c r="B2516" s="114"/>
      <c r="C2516" s="208"/>
      <c r="D2516" s="208"/>
      <c r="E2516" s="219"/>
      <c r="F2516" s="219"/>
      <c r="G2516" s="219"/>
      <c r="H2516" s="219"/>
      <c r="I2516" s="221"/>
      <c r="J2516" s="30"/>
      <c r="K2516" s="221"/>
      <c r="L2516" s="117"/>
      <c r="N2516" s="15" t="s">
        <v>128</v>
      </c>
      <c r="O2516" s="12"/>
      <c r="P2516" s="207"/>
      <c r="Q2516" s="12"/>
      <c r="R2516" s="12"/>
      <c r="S2516" s="28">
        <f>M2500</f>
        <v>14</v>
      </c>
      <c r="T2516" s="11"/>
      <c r="U2516" s="12"/>
      <c r="V2516" s="14" t="e">
        <f>U2516*#REF!</f>
        <v>#REF!</v>
      </c>
      <c r="W2516" s="14"/>
      <c r="X2516" s="26"/>
      <c r="Y2516" s="13"/>
      <c r="Z2516" s="68" t="e">
        <f>VLOOKUP(Takeoffs!Y2516,Sheet1!$B$6:$C$124,2,FALSE)</f>
        <v>#N/A</v>
      </c>
      <c r="AA2516" s="68"/>
      <c r="AB2516" s="18"/>
      <c r="AC2516" s="18"/>
      <c r="AD2516" s="18"/>
      <c r="AE2516" s="60"/>
      <c r="AF2516" s="13"/>
      <c r="AG2516" s="68" t="e">
        <f>VLOOKUP(Takeoffs!AF2516,Sheet1!$B$6:$C$124,2,FALSE)</f>
        <v>#N/A</v>
      </c>
      <c r="AH2516" s="68"/>
      <c r="AI2516" s="18"/>
      <c r="AJ2516" s="18"/>
      <c r="AK2516" s="18"/>
      <c r="AL2516" s="60"/>
      <c r="AO2516" s="286"/>
      <c r="AP2516" s="284">
        <f t="shared" si="1010"/>
        <v>0</v>
      </c>
      <c r="AQ2516" s="281">
        <f t="shared" si="1011"/>
        <v>0</v>
      </c>
      <c r="AR2516" s="284">
        <f t="shared" si="1012"/>
        <v>0</v>
      </c>
      <c r="AS2516" s="281">
        <f t="shared" si="1013"/>
        <v>0</v>
      </c>
      <c r="AT2516" s="284">
        <f t="shared" si="1014"/>
        <v>0</v>
      </c>
    </row>
    <row r="2517" spans="1:46" customFormat="1" ht="15" customHeight="1" x14ac:dyDescent="0.8">
      <c r="A2517" s="262">
        <f t="shared" si="1015"/>
        <v>2517</v>
      </c>
      <c r="B2517" s="114"/>
      <c r="C2517" s="208"/>
      <c r="D2517" s="208"/>
      <c r="E2517" s="219"/>
      <c r="F2517" s="219"/>
      <c r="G2517" s="219"/>
      <c r="H2517" s="219"/>
      <c r="I2517" s="221"/>
      <c r="J2517" s="30"/>
      <c r="K2517" s="221"/>
      <c r="L2517" s="117"/>
      <c r="N2517" s="15" t="s">
        <v>129</v>
      </c>
      <c r="O2517" s="12"/>
      <c r="P2517" s="207"/>
      <c r="Q2517" s="12"/>
      <c r="R2517" s="12"/>
      <c r="S2517" s="28">
        <f>M2500</f>
        <v>14</v>
      </c>
      <c r="T2517" s="11"/>
      <c r="U2517" s="12"/>
      <c r="V2517" s="14" t="e">
        <f>U2517*#REF!</f>
        <v>#REF!</v>
      </c>
      <c r="W2517" s="14"/>
      <c r="X2517" s="26"/>
      <c r="Y2517" s="13"/>
      <c r="Z2517" s="68" t="e">
        <f>VLOOKUP(Takeoffs!Y2517,Sheet1!$B$6:$C$124,2,FALSE)</f>
        <v>#N/A</v>
      </c>
      <c r="AA2517" s="68"/>
      <c r="AB2517" s="18"/>
      <c r="AC2517" s="18"/>
      <c r="AD2517" s="18"/>
      <c r="AE2517" s="60"/>
      <c r="AF2517" s="13"/>
      <c r="AG2517" s="68" t="e">
        <f>VLOOKUP(Takeoffs!AF2517,Sheet1!$B$6:$C$124,2,FALSE)</f>
        <v>#N/A</v>
      </c>
      <c r="AH2517" s="68"/>
      <c r="AI2517" s="18"/>
      <c r="AJ2517" s="18"/>
      <c r="AK2517" s="18"/>
      <c r="AL2517" s="60"/>
      <c r="AO2517" s="286"/>
      <c r="AP2517" s="284">
        <f t="shared" si="1010"/>
        <v>0</v>
      </c>
      <c r="AQ2517" s="281">
        <f t="shared" si="1011"/>
        <v>0</v>
      </c>
      <c r="AR2517" s="284">
        <f t="shared" si="1012"/>
        <v>0</v>
      </c>
      <c r="AS2517" s="281">
        <f t="shared" si="1013"/>
        <v>0</v>
      </c>
      <c r="AT2517" s="284">
        <f t="shared" si="1014"/>
        <v>0</v>
      </c>
    </row>
    <row r="2518" spans="1:46" customFormat="1" ht="15" customHeight="1" x14ac:dyDescent="0.8">
      <c r="A2518" s="262">
        <f t="shared" si="1015"/>
        <v>2518</v>
      </c>
      <c r="B2518" s="114"/>
      <c r="C2518" s="208"/>
      <c r="D2518" s="208"/>
      <c r="E2518" s="219"/>
      <c r="F2518" s="219"/>
      <c r="G2518" s="219"/>
      <c r="H2518" s="219"/>
      <c r="I2518" s="221"/>
      <c r="J2518" s="30"/>
      <c r="K2518" s="221"/>
      <c r="L2518" s="117"/>
      <c r="N2518" s="15" t="s">
        <v>130</v>
      </c>
      <c r="O2518" s="12"/>
      <c r="P2518" s="207"/>
      <c r="Q2518" s="12"/>
      <c r="R2518" s="12"/>
      <c r="S2518" s="28">
        <f>M2500</f>
        <v>14</v>
      </c>
      <c r="T2518" s="11"/>
      <c r="U2518" s="12"/>
      <c r="V2518" s="14" t="e">
        <f>U2518*#REF!</f>
        <v>#REF!</v>
      </c>
      <c r="W2518" s="14"/>
      <c r="X2518" s="26"/>
      <c r="Y2518" s="13"/>
      <c r="Z2518" s="68" t="e">
        <f>VLOOKUP(Takeoffs!Y2518,Sheet1!$B$6:$C$124,2,FALSE)</f>
        <v>#N/A</v>
      </c>
      <c r="AA2518" s="68"/>
      <c r="AB2518" s="18"/>
      <c r="AC2518" s="18"/>
      <c r="AD2518" s="18"/>
      <c r="AE2518" s="60"/>
      <c r="AF2518" s="13"/>
      <c r="AG2518" s="68" t="e">
        <f>VLOOKUP(Takeoffs!AF2518,Sheet1!$B$6:$C$124,2,FALSE)</f>
        <v>#N/A</v>
      </c>
      <c r="AH2518" s="68"/>
      <c r="AI2518" s="18"/>
      <c r="AJ2518" s="18"/>
      <c r="AK2518" s="18"/>
      <c r="AL2518" s="60"/>
      <c r="AO2518" s="286"/>
      <c r="AP2518" s="284">
        <f t="shared" si="1010"/>
        <v>0</v>
      </c>
      <c r="AQ2518" s="281">
        <f t="shared" si="1011"/>
        <v>0</v>
      </c>
      <c r="AR2518" s="284">
        <f t="shared" si="1012"/>
        <v>0</v>
      </c>
      <c r="AS2518" s="281">
        <f t="shared" si="1013"/>
        <v>0</v>
      </c>
      <c r="AT2518" s="284">
        <f t="shared" si="1014"/>
        <v>0</v>
      </c>
    </row>
    <row r="2519" spans="1:46" customFormat="1" ht="15" customHeight="1" x14ac:dyDescent="0.8">
      <c r="A2519" s="262">
        <f t="shared" si="1015"/>
        <v>2519</v>
      </c>
      <c r="B2519" s="114"/>
      <c r="C2519" s="208"/>
      <c r="D2519" s="208"/>
      <c r="E2519" s="219"/>
      <c r="F2519" s="219"/>
      <c r="G2519" s="219"/>
      <c r="H2519" s="219"/>
      <c r="I2519" s="221"/>
      <c r="J2519" s="30"/>
      <c r="K2519" s="221"/>
      <c r="L2519" s="117"/>
      <c r="N2519" s="15" t="s">
        <v>131</v>
      </c>
      <c r="O2519" s="12"/>
      <c r="P2519" s="207"/>
      <c r="Q2519" s="12"/>
      <c r="R2519" s="12"/>
      <c r="S2519" s="28">
        <f>M2500</f>
        <v>14</v>
      </c>
      <c r="T2519" s="11"/>
      <c r="U2519" s="12"/>
      <c r="V2519" s="14" t="e">
        <f>U2519*#REF!</f>
        <v>#REF!</v>
      </c>
      <c r="W2519" s="14"/>
      <c r="X2519" s="26"/>
      <c r="Y2519" s="13"/>
      <c r="Z2519" s="68" t="e">
        <f>VLOOKUP(Takeoffs!Y2519,Sheet1!$B$6:$C$124,2,FALSE)</f>
        <v>#N/A</v>
      </c>
      <c r="AA2519" s="68"/>
      <c r="AB2519" s="18"/>
      <c r="AC2519" s="18"/>
      <c r="AD2519" s="18"/>
      <c r="AE2519" s="60"/>
      <c r="AF2519" s="13"/>
      <c r="AG2519" s="68" t="e">
        <f>VLOOKUP(Takeoffs!AF2519,Sheet1!$B$6:$C$124,2,FALSE)</f>
        <v>#N/A</v>
      </c>
      <c r="AH2519" s="68"/>
      <c r="AI2519" s="18"/>
      <c r="AJ2519" s="18"/>
      <c r="AK2519" s="18"/>
      <c r="AL2519" s="60"/>
      <c r="AO2519" s="286"/>
      <c r="AP2519" s="284">
        <f t="shared" si="1010"/>
        <v>0</v>
      </c>
      <c r="AQ2519" s="281">
        <f t="shared" si="1011"/>
        <v>0</v>
      </c>
      <c r="AR2519" s="284">
        <f t="shared" si="1012"/>
        <v>0</v>
      </c>
      <c r="AS2519" s="281">
        <f t="shared" si="1013"/>
        <v>0</v>
      </c>
      <c r="AT2519" s="284">
        <f t="shared" si="1014"/>
        <v>0</v>
      </c>
    </row>
    <row r="2520" spans="1:46" customFormat="1" ht="15" customHeight="1" x14ac:dyDescent="0.8">
      <c r="A2520" s="262">
        <f t="shared" si="1015"/>
        <v>2520</v>
      </c>
      <c r="B2520" s="114"/>
      <c r="C2520" s="208"/>
      <c r="D2520" s="208"/>
      <c r="E2520" s="208"/>
      <c r="F2520" s="208"/>
      <c r="G2520" s="208"/>
      <c r="H2520" s="208"/>
      <c r="I2520" s="221"/>
      <c r="J2520" s="30"/>
      <c r="K2520" s="221"/>
      <c r="L2520" s="117"/>
      <c r="N2520" s="15" t="s">
        <v>132</v>
      </c>
      <c r="O2520" s="12"/>
      <c r="P2520" s="207"/>
      <c r="Q2520" s="12"/>
      <c r="R2520" s="12"/>
      <c r="S2520" s="28">
        <f>M2500</f>
        <v>14</v>
      </c>
      <c r="T2520" s="11"/>
      <c r="U2520" s="12"/>
      <c r="V2520" s="14" t="e">
        <f>U2520*#REF!</f>
        <v>#REF!</v>
      </c>
      <c r="W2520" s="14"/>
      <c r="X2520" s="26"/>
      <c r="Y2520" s="13"/>
      <c r="Z2520" s="68" t="e">
        <f>VLOOKUP(Takeoffs!Y2520,Sheet1!$B$6:$C$124,2,FALSE)</f>
        <v>#N/A</v>
      </c>
      <c r="AA2520" s="68"/>
      <c r="AB2520" s="18"/>
      <c r="AC2520" s="18"/>
      <c r="AD2520" s="18"/>
      <c r="AE2520" s="60"/>
      <c r="AF2520" s="13"/>
      <c r="AG2520" s="68" t="e">
        <f>VLOOKUP(Takeoffs!AF2520,Sheet1!$B$6:$C$124,2,FALSE)</f>
        <v>#N/A</v>
      </c>
      <c r="AH2520" s="68"/>
      <c r="AI2520" s="18"/>
      <c r="AJ2520" s="18"/>
      <c r="AK2520" s="18"/>
      <c r="AL2520" s="60"/>
      <c r="AO2520" s="286"/>
      <c r="AP2520" s="284">
        <f t="shared" si="1010"/>
        <v>0</v>
      </c>
      <c r="AQ2520" s="281">
        <f t="shared" si="1011"/>
        <v>0</v>
      </c>
      <c r="AR2520" s="284">
        <f t="shared" si="1012"/>
        <v>0</v>
      </c>
      <c r="AS2520" s="281">
        <f t="shared" si="1013"/>
        <v>0</v>
      </c>
      <c r="AT2520" s="284">
        <f t="shared" si="1014"/>
        <v>0</v>
      </c>
    </row>
    <row r="2521" spans="1:46" s="21" customFormat="1" ht="33.75" customHeight="1" x14ac:dyDescent="0.8">
      <c r="A2521" s="262">
        <f t="shared" si="1015"/>
        <v>2521</v>
      </c>
      <c r="B2521" s="128"/>
      <c r="C2521" s="212"/>
      <c r="D2521" s="212"/>
      <c r="E2521" s="212"/>
      <c r="F2521" s="212"/>
      <c r="G2521" s="212"/>
      <c r="H2521" s="212"/>
      <c r="I2521" s="224"/>
      <c r="K2521" s="223"/>
      <c r="L2521" s="130"/>
      <c r="N2521" s="22"/>
      <c r="O2521" s="23"/>
      <c r="P2521" s="207"/>
      <c r="Q2521" s="23"/>
      <c r="R2521" s="23"/>
      <c r="S2521" s="23"/>
      <c r="T2521" s="24"/>
      <c r="U2521" s="23"/>
      <c r="V2521" s="24"/>
      <c r="W2521" s="24"/>
      <c r="X2521" s="26"/>
      <c r="Y2521" s="24"/>
      <c r="Z2521" s="68" t="e">
        <f>VLOOKUP(Takeoffs!Y2521,Sheet1!$B$6:$C$124,2,FALSE)</f>
        <v>#N/A</v>
      </c>
      <c r="AA2521" s="68"/>
      <c r="AB2521" s="31"/>
      <c r="AC2521" s="31"/>
      <c r="AD2521" s="31"/>
      <c r="AE2521" s="60"/>
      <c r="AF2521" s="24"/>
      <c r="AG2521" s="68" t="e">
        <f>VLOOKUP(Takeoffs!AF2521,Sheet1!$B$6:$C$124,2,FALSE)</f>
        <v>#N/A</v>
      </c>
      <c r="AH2521" s="68"/>
      <c r="AI2521" s="31"/>
      <c r="AJ2521" s="31"/>
      <c r="AK2521" s="31"/>
      <c r="AL2521" s="60"/>
      <c r="AO2521" s="286"/>
      <c r="AP2521" s="284">
        <f t="shared" si="1010"/>
        <v>0</v>
      </c>
      <c r="AQ2521" s="281">
        <f t="shared" si="1011"/>
        <v>0</v>
      </c>
      <c r="AR2521" s="284">
        <f t="shared" si="1012"/>
        <v>0</v>
      </c>
      <c r="AS2521" s="281">
        <f t="shared" si="1013"/>
        <v>0</v>
      </c>
      <c r="AT2521" s="284">
        <f t="shared" si="1014"/>
        <v>0</v>
      </c>
    </row>
    <row r="2522" spans="1:46" customFormat="1" ht="30.9" x14ac:dyDescent="0.8">
      <c r="A2522" s="262">
        <f t="shared" si="1015"/>
        <v>2522</v>
      </c>
      <c r="B2522" s="114"/>
      <c r="C2522" s="208"/>
      <c r="D2522" s="208"/>
      <c r="E2522" s="208"/>
      <c r="F2522" s="208"/>
      <c r="G2522" s="208"/>
      <c r="H2522" s="208"/>
      <c r="I2522" s="228"/>
      <c r="K2522" s="221"/>
      <c r="L2522" s="117"/>
      <c r="P2522" s="201"/>
      <c r="Q2522" s="32"/>
      <c r="R2522" s="32"/>
      <c r="T2522" s="8"/>
      <c r="W2522" s="32"/>
      <c r="X2522" s="25"/>
      <c r="Z2522" s="68" t="e">
        <f>VLOOKUP(Takeoffs!Y2522,Sheet1!$B$6:$C$124,2,FALSE)</f>
        <v>#N/A</v>
      </c>
      <c r="AA2522" s="68"/>
      <c r="AB2522" s="32"/>
      <c r="AC2522" s="32"/>
      <c r="AD2522" s="32"/>
      <c r="AE2522" s="25"/>
      <c r="AF2522" s="32"/>
      <c r="AG2522" s="68" t="e">
        <f>VLOOKUP(Takeoffs!AF2522,Sheet1!$B$6:$C$124,2,FALSE)</f>
        <v>#N/A</v>
      </c>
      <c r="AH2522" s="68"/>
      <c r="AI2522" s="32"/>
      <c r="AJ2522" s="32"/>
      <c r="AK2522" s="32"/>
      <c r="AL2522" s="25"/>
      <c r="AO2522" s="286"/>
      <c r="AP2522" s="284">
        <f t="shared" si="1010"/>
        <v>0</v>
      </c>
      <c r="AQ2522" s="281">
        <f t="shared" si="1011"/>
        <v>0</v>
      </c>
      <c r="AR2522" s="284">
        <f t="shared" si="1012"/>
        <v>0</v>
      </c>
      <c r="AS2522" s="281">
        <f t="shared" si="1013"/>
        <v>0</v>
      </c>
      <c r="AT2522" s="284">
        <f t="shared" si="1014"/>
        <v>0</v>
      </c>
    </row>
    <row r="2523" spans="1:46" customFormat="1" ht="30.9" x14ac:dyDescent="0.8">
      <c r="A2523" s="262">
        <f t="shared" si="1015"/>
        <v>2523</v>
      </c>
      <c r="B2523" s="114"/>
      <c r="C2523" s="208"/>
      <c r="D2523" s="208"/>
      <c r="E2523" s="208"/>
      <c r="F2523" s="208"/>
      <c r="G2523" s="208"/>
      <c r="H2523" s="208"/>
      <c r="I2523" s="224"/>
      <c r="K2523" s="221"/>
      <c r="L2523" s="117"/>
      <c r="P2523" s="201"/>
      <c r="Q2523" s="32"/>
      <c r="R2523" s="32"/>
      <c r="T2523" s="8"/>
      <c r="W2523" s="32"/>
      <c r="X2523" s="25"/>
      <c r="Z2523" s="68" t="e">
        <f>VLOOKUP(Takeoffs!Y2523,Sheet1!$B$6:$C$124,2,FALSE)</f>
        <v>#N/A</v>
      </c>
      <c r="AA2523" s="68"/>
      <c r="AB2523" s="32"/>
      <c r="AC2523" s="32"/>
      <c r="AD2523" s="32"/>
      <c r="AE2523" s="25"/>
      <c r="AF2523" s="32"/>
      <c r="AG2523" s="68" t="e">
        <f>VLOOKUP(Takeoffs!AF2523,Sheet1!$B$6:$C$124,2,FALSE)</f>
        <v>#N/A</v>
      </c>
      <c r="AH2523" s="68"/>
      <c r="AI2523" s="32"/>
      <c r="AJ2523" s="32"/>
      <c r="AK2523" s="32"/>
      <c r="AL2523" s="25"/>
      <c r="AO2523" s="286"/>
      <c r="AP2523" s="284">
        <f t="shared" si="1010"/>
        <v>0</v>
      </c>
      <c r="AQ2523" s="281">
        <f t="shared" si="1011"/>
        <v>0</v>
      </c>
      <c r="AR2523" s="284">
        <f t="shared" si="1012"/>
        <v>0</v>
      </c>
      <c r="AS2523" s="281">
        <f t="shared" si="1013"/>
        <v>0</v>
      </c>
      <c r="AT2523" s="284">
        <f t="shared" si="1014"/>
        <v>0</v>
      </c>
    </row>
    <row r="2524" spans="1:46" customFormat="1" ht="30.9" x14ac:dyDescent="0.8">
      <c r="A2524" s="262">
        <f t="shared" si="1015"/>
        <v>2524</v>
      </c>
      <c r="B2524" s="114"/>
      <c r="C2524" s="208"/>
      <c r="D2524" s="208"/>
      <c r="E2524" s="208"/>
      <c r="F2524" s="208"/>
      <c r="G2524" s="208"/>
      <c r="H2524" s="208"/>
      <c r="I2524" s="224"/>
      <c r="K2524" s="221"/>
      <c r="L2524" s="117"/>
      <c r="P2524" s="201"/>
      <c r="Q2524" s="32"/>
      <c r="R2524" s="32"/>
      <c r="T2524" s="8"/>
      <c r="W2524" s="32"/>
      <c r="X2524" s="25"/>
      <c r="Z2524" s="68" t="e">
        <f>VLOOKUP(Takeoffs!Y2524,Sheet1!$B$6:$C$124,2,FALSE)</f>
        <v>#N/A</v>
      </c>
      <c r="AA2524" s="68"/>
      <c r="AB2524" s="32"/>
      <c r="AC2524" s="32"/>
      <c r="AD2524" s="32"/>
      <c r="AE2524" s="25"/>
      <c r="AF2524" s="32"/>
      <c r="AG2524" s="68" t="e">
        <f>VLOOKUP(Takeoffs!AF2524,Sheet1!$B$6:$C$124,2,FALSE)</f>
        <v>#N/A</v>
      </c>
      <c r="AH2524" s="68"/>
      <c r="AI2524" s="32"/>
      <c r="AJ2524" s="32"/>
      <c r="AK2524" s="32"/>
      <c r="AL2524" s="25"/>
      <c r="AO2524" s="286"/>
      <c r="AP2524" s="284">
        <f t="shared" si="1010"/>
        <v>0</v>
      </c>
      <c r="AQ2524" s="281">
        <f t="shared" si="1011"/>
        <v>0</v>
      </c>
      <c r="AR2524" s="284">
        <f t="shared" si="1012"/>
        <v>0</v>
      </c>
      <c r="AS2524" s="281">
        <f t="shared" si="1013"/>
        <v>0</v>
      </c>
      <c r="AT2524" s="284">
        <f t="shared" si="1014"/>
        <v>0</v>
      </c>
    </row>
    <row r="2525" spans="1:46" s="2" customFormat="1" ht="62.25" customHeight="1" x14ac:dyDescent="0.8">
      <c r="A2525" s="262">
        <f t="shared" si="1015"/>
        <v>2525</v>
      </c>
      <c r="B2525" s="116"/>
      <c r="C2525" s="211"/>
      <c r="D2525" s="211"/>
      <c r="E2525" s="211"/>
      <c r="F2525" s="211"/>
      <c r="G2525" s="211"/>
      <c r="H2525" s="211"/>
      <c r="I2525" s="224"/>
      <c r="K2525" s="222"/>
      <c r="L2525" s="170"/>
      <c r="M2525" s="2" t="s">
        <v>107</v>
      </c>
      <c r="N2525" s="2" t="s">
        <v>108</v>
      </c>
      <c r="O2525" s="2" t="s">
        <v>4</v>
      </c>
      <c r="P2525" s="184" t="s">
        <v>5</v>
      </c>
      <c r="S2525" s="2" t="s">
        <v>0</v>
      </c>
      <c r="T2525" s="9"/>
      <c r="U2525" s="2" t="s">
        <v>109</v>
      </c>
      <c r="V2525" s="2" t="s">
        <v>110</v>
      </c>
      <c r="X2525" s="58"/>
      <c r="Y2525" s="2" t="s">
        <v>111</v>
      </c>
      <c r="Z2525" s="68" t="e">
        <f>VLOOKUP(Takeoffs!Y2525,Sheet1!$B$6:$C$124,2,FALSE)</f>
        <v>#N/A</v>
      </c>
      <c r="AA2525" s="68"/>
      <c r="AE2525" s="58"/>
      <c r="AF2525" s="2" t="s">
        <v>111</v>
      </c>
      <c r="AG2525" s="68" t="e">
        <f>VLOOKUP(Takeoffs!AF2525,Sheet1!$B$6:$C$124,2,FALSE)</f>
        <v>#N/A</v>
      </c>
      <c r="AH2525" s="68"/>
      <c r="AL2525" s="58"/>
      <c r="AO2525" s="288"/>
      <c r="AP2525" s="284">
        <f t="shared" si="1010"/>
        <v>0</v>
      </c>
      <c r="AQ2525" s="281">
        <f t="shared" si="1011"/>
        <v>0</v>
      </c>
      <c r="AR2525" s="284">
        <f t="shared" si="1012"/>
        <v>0</v>
      </c>
      <c r="AS2525" s="281">
        <f t="shared" si="1013"/>
        <v>0</v>
      </c>
      <c r="AT2525" s="284">
        <f t="shared" si="1014"/>
        <v>0</v>
      </c>
    </row>
    <row r="2526" spans="1:46" customFormat="1" ht="179.25" customHeight="1" x14ac:dyDescent="0.8">
      <c r="A2526" s="262">
        <f t="shared" si="1015"/>
        <v>2526</v>
      </c>
      <c r="B2526" s="114"/>
      <c r="C2526" s="208"/>
      <c r="D2526" s="208"/>
      <c r="E2526" s="208"/>
      <c r="F2526" s="208"/>
      <c r="G2526" s="208"/>
      <c r="H2526" s="208"/>
      <c r="I2526" s="227"/>
      <c r="J2526" s="30" t="str">
        <f>CONCATENATE(O2526," ",L2526, " (",M2526,") ",N2526,". Each includes supply and install of ",O2527,O2528,O2529,O2530,O2531,O2532,O2533,O2534,O2535,O2536,O2537,O2538,O2539,O2540,O2541,O2542,O2543,O2544,O2545,O2546,)</f>
        <v>Supply and install twenty (20) common area window-AC interlocks ( no time delay). Each includes supply and install of micro switch integrated into window frame,  flush mounted junction box,and controls cabling.Note we exclude AC interface card for window reed switches interface</v>
      </c>
      <c r="K2526" s="221"/>
      <c r="L2526" s="123" t="str">
        <f>VLOOKUP(M2526,Sheet2!$D$2:$E$1024,2,FALSE)</f>
        <v>twenty</v>
      </c>
      <c r="M2526" s="12">
        <v>20</v>
      </c>
      <c r="N2526" s="27" t="s">
        <v>193</v>
      </c>
      <c r="O2526" s="12" t="s">
        <v>1</v>
      </c>
      <c r="P2526" s="207"/>
      <c r="Q2526" s="12"/>
      <c r="R2526" s="12"/>
      <c r="S2526" s="28"/>
      <c r="T2526" s="10"/>
      <c r="U2526" s="12"/>
      <c r="V2526" s="14" t="e">
        <f>U2526*#REF!</f>
        <v>#REF!</v>
      </c>
      <c r="W2526" s="14"/>
      <c r="X2526" s="26"/>
      <c r="Y2526" s="13"/>
      <c r="Z2526" s="68" t="e">
        <f>VLOOKUP(Takeoffs!Y2526,Sheet1!$B$6:$C$124,2,FALSE)</f>
        <v>#N/A</v>
      </c>
      <c r="AA2526" s="68"/>
      <c r="AB2526" s="18"/>
      <c r="AC2526" s="18"/>
      <c r="AD2526" s="18"/>
      <c r="AE2526" s="60"/>
      <c r="AF2526" s="13"/>
      <c r="AG2526" s="68" t="e">
        <f>VLOOKUP(Takeoffs!AF2526,Sheet1!$B$6:$C$124,2,FALSE)</f>
        <v>#N/A</v>
      </c>
      <c r="AH2526" s="68"/>
      <c r="AI2526" s="18"/>
      <c r="AJ2526" s="18"/>
      <c r="AK2526" s="18"/>
      <c r="AL2526" s="60"/>
      <c r="AO2526" s="286"/>
      <c r="AP2526" s="284">
        <f t="shared" si="1010"/>
        <v>0</v>
      </c>
      <c r="AQ2526" s="281">
        <f t="shared" si="1011"/>
        <v>0</v>
      </c>
      <c r="AR2526" s="284">
        <f t="shared" si="1012"/>
        <v>0</v>
      </c>
      <c r="AS2526" s="281">
        <f t="shared" si="1013"/>
        <v>0</v>
      </c>
      <c r="AT2526" s="284">
        <f t="shared" si="1014"/>
        <v>0</v>
      </c>
    </row>
    <row r="2527" spans="1:46" customFormat="1" ht="15" customHeight="1" x14ac:dyDescent="0.8">
      <c r="A2527" s="262">
        <f t="shared" si="1015"/>
        <v>2527</v>
      </c>
      <c r="B2527" s="114"/>
      <c r="C2527" s="208"/>
      <c r="D2527" s="208"/>
      <c r="E2527" s="208"/>
      <c r="F2527" s="208"/>
      <c r="G2527" s="208"/>
      <c r="H2527" s="208"/>
      <c r="I2527" s="224"/>
      <c r="J2527" s="30"/>
      <c r="K2527" s="221"/>
      <c r="L2527" s="117"/>
      <c r="M2527" s="3"/>
      <c r="N2527" s="15" t="s">
        <v>113</v>
      </c>
      <c r="O2527" t="s">
        <v>192</v>
      </c>
      <c r="P2527" s="207"/>
      <c r="Q2527" s="12"/>
      <c r="R2527" s="12"/>
      <c r="S2527" s="28">
        <f>M2526</f>
        <v>20</v>
      </c>
      <c r="T2527" s="11"/>
      <c r="U2527" s="12"/>
      <c r="V2527" s="14" t="e">
        <f>U2527*#REF!</f>
        <v>#REF!</v>
      </c>
      <c r="W2527" s="14"/>
      <c r="X2527" s="26"/>
      <c r="Y2527" s="13"/>
      <c r="Z2527" s="68" t="e">
        <f>VLOOKUP(Takeoffs!Y2527,Sheet1!$B$6:$C$124,2,FALSE)</f>
        <v>#N/A</v>
      </c>
      <c r="AA2527" s="68"/>
      <c r="AB2527" s="18"/>
      <c r="AC2527" s="18"/>
      <c r="AD2527" s="18"/>
      <c r="AE2527" s="60"/>
      <c r="AF2527" s="13"/>
      <c r="AG2527" s="68" t="e">
        <f>VLOOKUP(Takeoffs!AF2527,Sheet1!$B$6:$C$124,2,FALSE)</f>
        <v>#N/A</v>
      </c>
      <c r="AH2527" s="68"/>
      <c r="AI2527" s="18"/>
      <c r="AJ2527" s="18"/>
      <c r="AK2527" s="18"/>
      <c r="AL2527" s="60"/>
      <c r="AO2527" s="286"/>
      <c r="AP2527" s="284">
        <f t="shared" si="1010"/>
        <v>0</v>
      </c>
      <c r="AQ2527" s="281">
        <f t="shared" si="1011"/>
        <v>0</v>
      </c>
      <c r="AR2527" s="284">
        <f t="shared" si="1012"/>
        <v>0</v>
      </c>
      <c r="AS2527" s="281">
        <f t="shared" si="1013"/>
        <v>0</v>
      </c>
      <c r="AT2527" s="284">
        <f t="shared" si="1014"/>
        <v>0</v>
      </c>
    </row>
    <row r="2528" spans="1:46" customFormat="1" ht="15" customHeight="1" x14ac:dyDescent="0.8">
      <c r="A2528" s="262">
        <f t="shared" si="1015"/>
        <v>2528</v>
      </c>
      <c r="B2528" s="114"/>
      <c r="C2528" s="208"/>
      <c r="D2528" s="208"/>
      <c r="E2528" s="208"/>
      <c r="F2528" s="208"/>
      <c r="G2528" s="208"/>
      <c r="H2528" s="208"/>
      <c r="I2528" s="224"/>
      <c r="J2528" s="30"/>
      <c r="K2528" s="221"/>
      <c r="L2528" s="117"/>
      <c r="M2528" s="3"/>
      <c r="N2528" s="15" t="s">
        <v>114</v>
      </c>
      <c r="O2528" t="s">
        <v>191</v>
      </c>
      <c r="P2528" s="207"/>
      <c r="Q2528" s="12"/>
      <c r="R2528" s="12"/>
      <c r="S2528" s="28">
        <f>M2526</f>
        <v>20</v>
      </c>
      <c r="T2528" s="11"/>
      <c r="U2528" s="12"/>
      <c r="V2528" s="14" t="e">
        <f>U2528*#REF!</f>
        <v>#REF!</v>
      </c>
      <c r="W2528" s="14"/>
      <c r="X2528" s="26"/>
      <c r="Y2528" s="13"/>
      <c r="Z2528" s="68" t="e">
        <f>VLOOKUP(Takeoffs!Y2528,Sheet1!$B$6:$C$124,2,FALSE)</f>
        <v>#N/A</v>
      </c>
      <c r="AA2528" s="68"/>
      <c r="AB2528" s="18"/>
      <c r="AC2528" s="18"/>
      <c r="AD2528" s="18"/>
      <c r="AE2528" s="60"/>
      <c r="AF2528" s="13"/>
      <c r="AG2528" s="68" t="e">
        <f>VLOOKUP(Takeoffs!AF2528,Sheet1!$B$6:$C$124,2,FALSE)</f>
        <v>#N/A</v>
      </c>
      <c r="AH2528" s="68"/>
      <c r="AI2528" s="18"/>
      <c r="AJ2528" s="18"/>
      <c r="AK2528" s="18"/>
      <c r="AL2528" s="60"/>
      <c r="AO2528" s="286"/>
      <c r="AP2528" s="284">
        <f t="shared" si="1010"/>
        <v>0</v>
      </c>
      <c r="AQ2528" s="281">
        <f t="shared" si="1011"/>
        <v>0</v>
      </c>
      <c r="AR2528" s="284">
        <f t="shared" si="1012"/>
        <v>0</v>
      </c>
      <c r="AS2528" s="281">
        <f t="shared" si="1013"/>
        <v>0</v>
      </c>
      <c r="AT2528" s="284">
        <f t="shared" si="1014"/>
        <v>0</v>
      </c>
    </row>
    <row r="2529" spans="1:46" customFormat="1" ht="15" customHeight="1" x14ac:dyDescent="0.8">
      <c r="A2529" s="262">
        <f t="shared" si="1015"/>
        <v>2529</v>
      </c>
      <c r="B2529" s="114"/>
      <c r="C2529" s="208"/>
      <c r="D2529" s="208"/>
      <c r="E2529" s="208"/>
      <c r="F2529" s="208"/>
      <c r="G2529" s="208"/>
      <c r="H2529" s="208"/>
      <c r="I2529" s="224"/>
      <c r="J2529" s="30"/>
      <c r="K2529" s="221"/>
      <c r="L2529" s="117"/>
      <c r="M2529" s="3"/>
      <c r="N2529" s="15" t="s">
        <v>115</v>
      </c>
      <c r="O2529" t="s">
        <v>186</v>
      </c>
      <c r="P2529" s="207"/>
      <c r="Q2529" s="12"/>
      <c r="R2529" s="12"/>
      <c r="S2529" s="28">
        <f>M2526</f>
        <v>20</v>
      </c>
      <c r="T2529" s="11"/>
      <c r="U2529" s="12"/>
      <c r="V2529" s="14" t="e">
        <f>U2529*#REF!</f>
        <v>#REF!</v>
      </c>
      <c r="W2529" s="14"/>
      <c r="X2529" s="26"/>
      <c r="Y2529" s="13"/>
      <c r="Z2529" s="68" t="e">
        <f>VLOOKUP(Takeoffs!Y2529,Sheet1!$B$6:$C$124,2,FALSE)</f>
        <v>#N/A</v>
      </c>
      <c r="AA2529" s="68"/>
      <c r="AB2529" s="18"/>
      <c r="AC2529" s="18"/>
      <c r="AD2529" s="18"/>
      <c r="AE2529" s="60"/>
      <c r="AF2529" s="13"/>
      <c r="AG2529" s="68" t="e">
        <f>VLOOKUP(Takeoffs!AF2529,Sheet1!$B$6:$C$124,2,FALSE)</f>
        <v>#N/A</v>
      </c>
      <c r="AH2529" s="68"/>
      <c r="AI2529" s="18"/>
      <c r="AJ2529" s="18"/>
      <c r="AK2529" s="18"/>
      <c r="AL2529" s="60"/>
      <c r="AO2529" s="286"/>
      <c r="AP2529" s="284">
        <f t="shared" si="1010"/>
        <v>0</v>
      </c>
      <c r="AQ2529" s="281">
        <f t="shared" si="1011"/>
        <v>0</v>
      </c>
      <c r="AR2529" s="284">
        <f t="shared" si="1012"/>
        <v>0</v>
      </c>
      <c r="AS2529" s="281">
        <f t="shared" si="1013"/>
        <v>0</v>
      </c>
      <c r="AT2529" s="284">
        <f t="shared" si="1014"/>
        <v>0</v>
      </c>
    </row>
    <row r="2530" spans="1:46" customFormat="1" ht="15" customHeight="1" x14ac:dyDescent="0.8">
      <c r="A2530" s="262">
        <f t="shared" si="1015"/>
        <v>2530</v>
      </c>
      <c r="B2530" s="114"/>
      <c r="C2530" s="208"/>
      <c r="D2530" s="208"/>
      <c r="E2530" s="208"/>
      <c r="F2530" s="208"/>
      <c r="G2530" s="208"/>
      <c r="H2530" s="208"/>
      <c r="I2530" s="224"/>
      <c r="J2530" s="30"/>
      <c r="K2530" s="221"/>
      <c r="L2530" s="117"/>
      <c r="M2530" s="3"/>
      <c r="N2530" s="15" t="s">
        <v>116</v>
      </c>
      <c r="O2530" t="s">
        <v>185</v>
      </c>
      <c r="P2530" s="207"/>
      <c r="Q2530" s="12"/>
      <c r="R2530" s="12"/>
      <c r="S2530" s="28">
        <f>M2526</f>
        <v>20</v>
      </c>
      <c r="T2530" s="11"/>
      <c r="U2530" s="12"/>
      <c r="V2530" s="14" t="e">
        <f>U2530*#REF!</f>
        <v>#REF!</v>
      </c>
      <c r="W2530" s="14"/>
      <c r="X2530" s="26"/>
      <c r="Y2530" s="13"/>
      <c r="Z2530" s="68" t="e">
        <f>VLOOKUP(Takeoffs!Y2530,Sheet1!$B$6:$C$124,2,FALSE)</f>
        <v>#N/A</v>
      </c>
      <c r="AA2530" s="68"/>
      <c r="AB2530" s="18"/>
      <c r="AC2530" s="18"/>
      <c r="AD2530" s="18"/>
      <c r="AE2530" s="60"/>
      <c r="AF2530" s="13"/>
      <c r="AG2530" s="68" t="e">
        <f>VLOOKUP(Takeoffs!AF2530,Sheet1!$B$6:$C$124,2,FALSE)</f>
        <v>#N/A</v>
      </c>
      <c r="AH2530" s="68"/>
      <c r="AI2530" s="18"/>
      <c r="AJ2530" s="18"/>
      <c r="AK2530" s="18"/>
      <c r="AL2530" s="60"/>
      <c r="AO2530" s="286"/>
      <c r="AP2530" s="284">
        <f t="shared" si="1010"/>
        <v>0</v>
      </c>
      <c r="AQ2530" s="281">
        <f t="shared" si="1011"/>
        <v>0</v>
      </c>
      <c r="AR2530" s="284">
        <f t="shared" si="1012"/>
        <v>0</v>
      </c>
      <c r="AS2530" s="281">
        <f t="shared" si="1013"/>
        <v>0</v>
      </c>
      <c r="AT2530" s="284">
        <f t="shared" si="1014"/>
        <v>0</v>
      </c>
    </row>
    <row r="2531" spans="1:46" customFormat="1" ht="15" customHeight="1" x14ac:dyDescent="0.8">
      <c r="A2531" s="262">
        <f t="shared" si="1015"/>
        <v>2531</v>
      </c>
      <c r="B2531" s="114"/>
      <c r="C2531" s="208"/>
      <c r="D2531" s="208"/>
      <c r="E2531" s="208"/>
      <c r="F2531" s="208"/>
      <c r="G2531" s="208"/>
      <c r="H2531" s="208"/>
      <c r="I2531" s="224"/>
      <c r="J2531" s="30"/>
      <c r="K2531" s="221"/>
      <c r="L2531" s="117"/>
      <c r="M2531" s="3"/>
      <c r="N2531" s="15" t="s">
        <v>117</v>
      </c>
      <c r="P2531" s="207"/>
      <c r="Q2531" s="12"/>
      <c r="R2531" s="12"/>
      <c r="S2531" s="28">
        <f>M2526</f>
        <v>20</v>
      </c>
      <c r="T2531" s="11"/>
      <c r="U2531" s="12"/>
      <c r="V2531" s="14" t="e">
        <f>U2531*#REF!</f>
        <v>#REF!</v>
      </c>
      <c r="W2531" s="14"/>
      <c r="X2531" s="26"/>
      <c r="Y2531" s="13"/>
      <c r="Z2531" s="68" t="e">
        <f>VLOOKUP(Takeoffs!Y2531,Sheet1!$B$6:$C$124,2,FALSE)</f>
        <v>#N/A</v>
      </c>
      <c r="AA2531" s="68"/>
      <c r="AB2531" s="18"/>
      <c r="AC2531" s="18"/>
      <c r="AD2531" s="18"/>
      <c r="AE2531" s="60"/>
      <c r="AF2531" s="13"/>
      <c r="AG2531" s="68" t="e">
        <f>VLOOKUP(Takeoffs!AF2531,Sheet1!$B$6:$C$124,2,FALSE)</f>
        <v>#N/A</v>
      </c>
      <c r="AH2531" s="68"/>
      <c r="AI2531" s="18"/>
      <c r="AJ2531" s="18"/>
      <c r="AK2531" s="18"/>
      <c r="AL2531" s="60"/>
      <c r="AO2531" s="286"/>
      <c r="AP2531" s="284">
        <f t="shared" si="1010"/>
        <v>0</v>
      </c>
      <c r="AQ2531" s="281">
        <f t="shared" si="1011"/>
        <v>0</v>
      </c>
      <c r="AR2531" s="284">
        <f t="shared" si="1012"/>
        <v>0</v>
      </c>
      <c r="AS2531" s="281">
        <f t="shared" si="1013"/>
        <v>0</v>
      </c>
      <c r="AT2531" s="284">
        <f t="shared" si="1014"/>
        <v>0</v>
      </c>
    </row>
    <row r="2532" spans="1:46" customFormat="1" ht="15" customHeight="1" x14ac:dyDescent="0.8">
      <c r="A2532" s="262">
        <f t="shared" si="1015"/>
        <v>2532</v>
      </c>
      <c r="B2532" s="114"/>
      <c r="C2532" s="208"/>
      <c r="D2532" s="208"/>
      <c r="E2532" s="208"/>
      <c r="F2532" s="208"/>
      <c r="G2532" s="208"/>
      <c r="H2532" s="208"/>
      <c r="I2532" s="224"/>
      <c r="J2532" s="30"/>
      <c r="K2532" s="221"/>
      <c r="L2532" s="117"/>
      <c r="M2532" s="3"/>
      <c r="N2532" s="15" t="s">
        <v>118</v>
      </c>
      <c r="O2532" s="12"/>
      <c r="P2532" s="207"/>
      <c r="Q2532" s="12"/>
      <c r="R2532" s="12"/>
      <c r="S2532" s="28">
        <f>M2526</f>
        <v>20</v>
      </c>
      <c r="T2532" s="11"/>
      <c r="U2532" s="12"/>
      <c r="V2532" s="14" t="e">
        <f>U2532*#REF!</f>
        <v>#REF!</v>
      </c>
      <c r="W2532" s="14"/>
      <c r="X2532" s="26"/>
      <c r="Y2532" s="13"/>
      <c r="Z2532" s="68" t="e">
        <f>VLOOKUP(Takeoffs!Y2532,Sheet1!$B$6:$C$124,2,FALSE)</f>
        <v>#N/A</v>
      </c>
      <c r="AA2532" s="68"/>
      <c r="AB2532" s="18"/>
      <c r="AC2532" s="18"/>
      <c r="AD2532" s="18"/>
      <c r="AE2532" s="60"/>
      <c r="AF2532" s="13"/>
      <c r="AG2532" s="68" t="e">
        <f>VLOOKUP(Takeoffs!AF2532,Sheet1!$B$6:$C$124,2,FALSE)</f>
        <v>#N/A</v>
      </c>
      <c r="AH2532" s="68"/>
      <c r="AI2532" s="18"/>
      <c r="AJ2532" s="18"/>
      <c r="AK2532" s="18"/>
      <c r="AL2532" s="60"/>
      <c r="AO2532" s="286"/>
      <c r="AP2532" s="284">
        <f t="shared" si="1010"/>
        <v>0</v>
      </c>
      <c r="AQ2532" s="281">
        <f t="shared" si="1011"/>
        <v>0</v>
      </c>
      <c r="AR2532" s="284">
        <f t="shared" si="1012"/>
        <v>0</v>
      </c>
      <c r="AS2532" s="281">
        <f t="shared" si="1013"/>
        <v>0</v>
      </c>
      <c r="AT2532" s="284">
        <f t="shared" si="1014"/>
        <v>0</v>
      </c>
    </row>
    <row r="2533" spans="1:46" customFormat="1" ht="15" customHeight="1" x14ac:dyDescent="0.8">
      <c r="A2533" s="262">
        <f t="shared" si="1015"/>
        <v>2533</v>
      </c>
      <c r="B2533" s="114"/>
      <c r="C2533" s="208"/>
      <c r="D2533" s="208"/>
      <c r="E2533" s="208"/>
      <c r="F2533" s="208"/>
      <c r="G2533" s="208"/>
      <c r="H2533" s="208"/>
      <c r="I2533" s="224"/>
      <c r="J2533" s="30"/>
      <c r="K2533" s="221"/>
      <c r="L2533" s="117"/>
      <c r="N2533" s="15" t="s">
        <v>119</v>
      </c>
      <c r="O2533" s="12"/>
      <c r="P2533" s="207"/>
      <c r="Q2533" s="12"/>
      <c r="R2533" s="12"/>
      <c r="S2533" s="28">
        <f>M2526</f>
        <v>20</v>
      </c>
      <c r="T2533" s="11"/>
      <c r="U2533" s="12"/>
      <c r="V2533" s="14" t="e">
        <f>U2533*#REF!</f>
        <v>#REF!</v>
      </c>
      <c r="W2533" s="14"/>
      <c r="X2533" s="26"/>
      <c r="Y2533" s="13"/>
      <c r="Z2533" s="68" t="e">
        <f>VLOOKUP(Takeoffs!Y2533,Sheet1!$B$6:$C$124,2,FALSE)</f>
        <v>#N/A</v>
      </c>
      <c r="AA2533" s="68"/>
      <c r="AB2533" s="18"/>
      <c r="AC2533" s="18"/>
      <c r="AD2533" s="18"/>
      <c r="AE2533" s="60"/>
      <c r="AF2533" s="13"/>
      <c r="AG2533" s="68" t="e">
        <f>VLOOKUP(Takeoffs!AF2533,Sheet1!$B$6:$C$124,2,FALSE)</f>
        <v>#N/A</v>
      </c>
      <c r="AH2533" s="68"/>
      <c r="AI2533" s="18"/>
      <c r="AJ2533" s="18"/>
      <c r="AK2533" s="18"/>
      <c r="AL2533" s="60"/>
      <c r="AO2533" s="286"/>
      <c r="AP2533" s="284">
        <f t="shared" si="1010"/>
        <v>0</v>
      </c>
      <c r="AQ2533" s="281">
        <f t="shared" si="1011"/>
        <v>0</v>
      </c>
      <c r="AR2533" s="284">
        <f t="shared" si="1012"/>
        <v>0</v>
      </c>
      <c r="AS2533" s="281">
        <f t="shared" si="1013"/>
        <v>0</v>
      </c>
      <c r="AT2533" s="284">
        <f t="shared" si="1014"/>
        <v>0</v>
      </c>
    </row>
    <row r="2534" spans="1:46" customFormat="1" ht="15" customHeight="1" x14ac:dyDescent="0.8">
      <c r="A2534" s="262">
        <f t="shared" si="1015"/>
        <v>2534</v>
      </c>
      <c r="B2534" s="114"/>
      <c r="C2534" s="208"/>
      <c r="D2534" s="208"/>
      <c r="E2534" s="208"/>
      <c r="F2534" s="208"/>
      <c r="G2534" s="208"/>
      <c r="H2534" s="208"/>
      <c r="I2534" s="224"/>
      <c r="J2534" s="30"/>
      <c r="K2534" s="221"/>
      <c r="L2534" s="117"/>
      <c r="N2534" s="15" t="s">
        <v>120</v>
      </c>
      <c r="O2534" s="12"/>
      <c r="P2534" s="207"/>
      <c r="Q2534" s="12"/>
      <c r="R2534" s="12"/>
      <c r="S2534" s="28">
        <f>M2526</f>
        <v>20</v>
      </c>
      <c r="T2534" s="11"/>
      <c r="U2534" s="12"/>
      <c r="V2534" s="14" t="e">
        <f>U2534*#REF!</f>
        <v>#REF!</v>
      </c>
      <c r="W2534" s="14"/>
      <c r="X2534" s="26"/>
      <c r="Y2534" s="13"/>
      <c r="Z2534" s="68" t="e">
        <f>VLOOKUP(Takeoffs!Y2534,Sheet1!$B$6:$C$124,2,FALSE)</f>
        <v>#N/A</v>
      </c>
      <c r="AA2534" s="68"/>
      <c r="AB2534" s="18"/>
      <c r="AC2534" s="18"/>
      <c r="AD2534" s="18"/>
      <c r="AE2534" s="60"/>
      <c r="AF2534" s="13"/>
      <c r="AG2534" s="68" t="e">
        <f>VLOOKUP(Takeoffs!AF2534,Sheet1!$B$6:$C$124,2,FALSE)</f>
        <v>#N/A</v>
      </c>
      <c r="AH2534" s="68"/>
      <c r="AI2534" s="18"/>
      <c r="AJ2534" s="18"/>
      <c r="AK2534" s="18"/>
      <c r="AL2534" s="60"/>
      <c r="AO2534" s="286"/>
      <c r="AP2534" s="284">
        <f t="shared" si="1010"/>
        <v>0</v>
      </c>
      <c r="AQ2534" s="281">
        <f t="shared" si="1011"/>
        <v>0</v>
      </c>
      <c r="AR2534" s="284">
        <f t="shared" si="1012"/>
        <v>0</v>
      </c>
      <c r="AS2534" s="281">
        <f t="shared" si="1013"/>
        <v>0</v>
      </c>
      <c r="AT2534" s="284">
        <f t="shared" si="1014"/>
        <v>0</v>
      </c>
    </row>
    <row r="2535" spans="1:46" customFormat="1" ht="15" customHeight="1" x14ac:dyDescent="0.8">
      <c r="A2535" s="262">
        <f t="shared" si="1015"/>
        <v>2535</v>
      </c>
      <c r="B2535" s="114"/>
      <c r="C2535" s="208"/>
      <c r="D2535" s="208"/>
      <c r="E2535" s="208"/>
      <c r="F2535" s="208"/>
      <c r="G2535" s="208"/>
      <c r="H2535" s="208"/>
      <c r="I2535" s="224"/>
      <c r="J2535" s="30"/>
      <c r="K2535" s="221"/>
      <c r="L2535" s="117"/>
      <c r="N2535" s="15" t="s">
        <v>121</v>
      </c>
      <c r="O2535" s="12"/>
      <c r="P2535" s="207"/>
      <c r="Q2535" s="12"/>
      <c r="R2535" s="12"/>
      <c r="S2535" s="28">
        <f>M2526</f>
        <v>20</v>
      </c>
      <c r="T2535" s="11"/>
      <c r="U2535" s="12"/>
      <c r="V2535" s="14" t="e">
        <f>U2535*#REF!</f>
        <v>#REF!</v>
      </c>
      <c r="W2535" s="14"/>
      <c r="X2535" s="26"/>
      <c r="Y2535" s="13"/>
      <c r="Z2535" s="68" t="e">
        <f>VLOOKUP(Takeoffs!Y2535,Sheet1!$B$6:$C$124,2,FALSE)</f>
        <v>#N/A</v>
      </c>
      <c r="AA2535" s="68"/>
      <c r="AB2535" s="18"/>
      <c r="AC2535" s="18"/>
      <c r="AD2535" s="18"/>
      <c r="AE2535" s="60"/>
      <c r="AF2535" s="13"/>
      <c r="AG2535" s="68" t="e">
        <f>VLOOKUP(Takeoffs!AF2535,Sheet1!$B$6:$C$124,2,FALSE)</f>
        <v>#N/A</v>
      </c>
      <c r="AH2535" s="68"/>
      <c r="AI2535" s="18"/>
      <c r="AJ2535" s="18"/>
      <c r="AK2535" s="18"/>
      <c r="AL2535" s="60"/>
      <c r="AO2535" s="286"/>
      <c r="AP2535" s="284">
        <f t="shared" si="1010"/>
        <v>0</v>
      </c>
      <c r="AQ2535" s="281">
        <f t="shared" si="1011"/>
        <v>0</v>
      </c>
      <c r="AR2535" s="284">
        <f t="shared" si="1012"/>
        <v>0</v>
      </c>
      <c r="AS2535" s="281">
        <f t="shared" si="1013"/>
        <v>0</v>
      </c>
      <c r="AT2535" s="284">
        <f t="shared" si="1014"/>
        <v>0</v>
      </c>
    </row>
    <row r="2536" spans="1:46" customFormat="1" ht="15" customHeight="1" x14ac:dyDescent="0.8">
      <c r="A2536" s="262">
        <f t="shared" si="1015"/>
        <v>2536</v>
      </c>
      <c r="B2536" s="114"/>
      <c r="C2536" s="208"/>
      <c r="D2536" s="208"/>
      <c r="E2536" s="208"/>
      <c r="F2536" s="208"/>
      <c r="G2536" s="208"/>
      <c r="H2536" s="208"/>
      <c r="I2536" s="224"/>
      <c r="J2536" s="30"/>
      <c r="K2536" s="221"/>
      <c r="L2536" s="117"/>
      <c r="N2536" s="15" t="s">
        <v>122</v>
      </c>
      <c r="O2536" s="12"/>
      <c r="P2536" s="207"/>
      <c r="Q2536" s="12"/>
      <c r="R2536" s="12"/>
      <c r="S2536" s="28">
        <f>M2526</f>
        <v>20</v>
      </c>
      <c r="T2536" s="11"/>
      <c r="U2536" s="12"/>
      <c r="V2536" s="14" t="e">
        <f>U2536*#REF!</f>
        <v>#REF!</v>
      </c>
      <c r="W2536" s="14"/>
      <c r="X2536" s="26"/>
      <c r="Y2536" s="13"/>
      <c r="Z2536" s="68" t="e">
        <f>VLOOKUP(Takeoffs!Y2536,Sheet1!$B$6:$C$124,2,FALSE)</f>
        <v>#N/A</v>
      </c>
      <c r="AA2536" s="68"/>
      <c r="AB2536" s="18"/>
      <c r="AC2536" s="18"/>
      <c r="AD2536" s="18"/>
      <c r="AE2536" s="60"/>
      <c r="AF2536" s="13"/>
      <c r="AG2536" s="68" t="e">
        <f>VLOOKUP(Takeoffs!AF2536,Sheet1!$B$6:$C$124,2,FALSE)</f>
        <v>#N/A</v>
      </c>
      <c r="AH2536" s="68"/>
      <c r="AI2536" s="18"/>
      <c r="AJ2536" s="18"/>
      <c r="AK2536" s="18"/>
      <c r="AL2536" s="60"/>
      <c r="AO2536" s="286"/>
      <c r="AP2536" s="284">
        <f t="shared" si="1010"/>
        <v>0</v>
      </c>
      <c r="AQ2536" s="281">
        <f t="shared" si="1011"/>
        <v>0</v>
      </c>
      <c r="AR2536" s="284">
        <f t="shared" si="1012"/>
        <v>0</v>
      </c>
      <c r="AS2536" s="281">
        <f t="shared" si="1013"/>
        <v>0</v>
      </c>
      <c r="AT2536" s="284">
        <f t="shared" si="1014"/>
        <v>0</v>
      </c>
    </row>
    <row r="2537" spans="1:46" customFormat="1" ht="15" customHeight="1" x14ac:dyDescent="0.8">
      <c r="A2537" s="262">
        <f t="shared" si="1015"/>
        <v>2537</v>
      </c>
      <c r="B2537" s="114"/>
      <c r="C2537" s="208"/>
      <c r="D2537" s="208"/>
      <c r="E2537" s="208"/>
      <c r="F2537" s="208"/>
      <c r="G2537" s="208"/>
      <c r="H2537" s="208"/>
      <c r="I2537" s="224"/>
      <c r="J2537" s="30"/>
      <c r="K2537" s="221"/>
      <c r="L2537" s="117"/>
      <c r="N2537" s="15" t="s">
        <v>123</v>
      </c>
      <c r="O2537" s="12"/>
      <c r="P2537" s="207"/>
      <c r="Q2537" s="12"/>
      <c r="R2537" s="12"/>
      <c r="S2537" s="28">
        <f>M2526</f>
        <v>20</v>
      </c>
      <c r="T2537" s="11"/>
      <c r="U2537" s="12"/>
      <c r="V2537" s="14" t="e">
        <f>U2537*#REF!</f>
        <v>#REF!</v>
      </c>
      <c r="W2537" s="14"/>
      <c r="X2537" s="26"/>
      <c r="Y2537" s="13"/>
      <c r="Z2537" s="68" t="e">
        <f>VLOOKUP(Takeoffs!Y2537,Sheet1!$B$6:$C$124,2,FALSE)</f>
        <v>#N/A</v>
      </c>
      <c r="AA2537" s="68"/>
      <c r="AB2537" s="18"/>
      <c r="AC2537" s="18"/>
      <c r="AD2537" s="18"/>
      <c r="AE2537" s="60"/>
      <c r="AF2537" s="13"/>
      <c r="AG2537" s="68" t="e">
        <f>VLOOKUP(Takeoffs!AF2537,Sheet1!$B$6:$C$124,2,FALSE)</f>
        <v>#N/A</v>
      </c>
      <c r="AH2537" s="68"/>
      <c r="AI2537" s="18"/>
      <c r="AJ2537" s="18"/>
      <c r="AK2537" s="18"/>
      <c r="AL2537" s="60"/>
      <c r="AO2537" s="286"/>
      <c r="AP2537" s="284">
        <f t="shared" si="1010"/>
        <v>0</v>
      </c>
      <c r="AQ2537" s="281">
        <f t="shared" si="1011"/>
        <v>0</v>
      </c>
      <c r="AR2537" s="284">
        <f t="shared" si="1012"/>
        <v>0</v>
      </c>
      <c r="AS2537" s="281">
        <f t="shared" si="1013"/>
        <v>0</v>
      </c>
      <c r="AT2537" s="284">
        <f t="shared" si="1014"/>
        <v>0</v>
      </c>
    </row>
    <row r="2538" spans="1:46" customFormat="1" ht="15" customHeight="1" x14ac:dyDescent="0.8">
      <c r="A2538" s="262">
        <f t="shared" si="1015"/>
        <v>2538</v>
      </c>
      <c r="B2538" s="114"/>
      <c r="C2538" s="208"/>
      <c r="D2538" s="208"/>
      <c r="E2538" s="208"/>
      <c r="F2538" s="208"/>
      <c r="G2538" s="208"/>
      <c r="H2538" s="208"/>
      <c r="I2538" s="224"/>
      <c r="J2538" s="30"/>
      <c r="K2538" s="221"/>
      <c r="L2538" s="117"/>
      <c r="N2538" s="15" t="s">
        <v>124</v>
      </c>
      <c r="O2538" s="12"/>
      <c r="P2538" s="207"/>
      <c r="Q2538" s="12"/>
      <c r="R2538" s="12"/>
      <c r="S2538" s="28">
        <f>M2526</f>
        <v>20</v>
      </c>
      <c r="T2538" s="11"/>
      <c r="U2538" s="12"/>
      <c r="V2538" s="14" t="e">
        <f>U2538*#REF!</f>
        <v>#REF!</v>
      </c>
      <c r="W2538" s="14"/>
      <c r="X2538" s="26"/>
      <c r="Y2538" s="13"/>
      <c r="Z2538" s="68" t="e">
        <f>VLOOKUP(Takeoffs!Y2538,Sheet1!$B$6:$C$124,2,FALSE)</f>
        <v>#N/A</v>
      </c>
      <c r="AA2538" s="68"/>
      <c r="AB2538" s="18"/>
      <c r="AC2538" s="18"/>
      <c r="AD2538" s="18"/>
      <c r="AE2538" s="60"/>
      <c r="AF2538" s="13"/>
      <c r="AG2538" s="68" t="e">
        <f>VLOOKUP(Takeoffs!AF2538,Sheet1!$B$6:$C$124,2,FALSE)</f>
        <v>#N/A</v>
      </c>
      <c r="AH2538" s="68"/>
      <c r="AI2538" s="18"/>
      <c r="AJ2538" s="18"/>
      <c r="AK2538" s="18"/>
      <c r="AL2538" s="60"/>
      <c r="AO2538" s="286"/>
      <c r="AP2538" s="284">
        <f t="shared" ref="AP2538:AP2599" si="1016">IF(I2538&gt;0,P2538,0)</f>
        <v>0</v>
      </c>
      <c r="AQ2538" s="281">
        <f t="shared" ref="AQ2538:AQ2599" si="1017">IF(I2538&gt;0,W2538,0)</f>
        <v>0</v>
      </c>
      <c r="AR2538" s="284">
        <f t="shared" ref="AR2538:AR2599" si="1018">IF(I2538&gt;0,AA2538,0)</f>
        <v>0</v>
      </c>
      <c r="AS2538" s="281">
        <f t="shared" ref="AS2538:AS2599" si="1019">IF(I2538&gt;0,AH2538,0)</f>
        <v>0</v>
      </c>
      <c r="AT2538" s="284">
        <f t="shared" ref="AT2538:AT2599" si="1020">IF(I2538&gt;0,AP2538-(AQ2538+AR2538+AS2538),0)</f>
        <v>0</v>
      </c>
    </row>
    <row r="2539" spans="1:46" customFormat="1" ht="15" customHeight="1" x14ac:dyDescent="0.8">
      <c r="A2539" s="262">
        <f t="shared" si="1015"/>
        <v>2539</v>
      </c>
      <c r="B2539" s="114"/>
      <c r="C2539" s="208"/>
      <c r="D2539" s="208"/>
      <c r="E2539" s="208"/>
      <c r="F2539" s="208"/>
      <c r="G2539" s="208"/>
      <c r="H2539" s="208"/>
      <c r="I2539" s="224"/>
      <c r="J2539" s="30"/>
      <c r="K2539" s="221"/>
      <c r="L2539" s="117"/>
      <c r="N2539" s="15" t="s">
        <v>125</v>
      </c>
      <c r="O2539" s="12"/>
      <c r="P2539" s="207"/>
      <c r="Q2539" s="12"/>
      <c r="R2539" s="12"/>
      <c r="S2539" s="28">
        <f>M2526</f>
        <v>20</v>
      </c>
      <c r="T2539" s="11"/>
      <c r="U2539" s="12"/>
      <c r="V2539" s="14" t="e">
        <f>U2539*#REF!</f>
        <v>#REF!</v>
      </c>
      <c r="W2539" s="14"/>
      <c r="X2539" s="26"/>
      <c r="Y2539" s="13"/>
      <c r="Z2539" s="68" t="e">
        <f>VLOOKUP(Takeoffs!Y2539,Sheet1!$B$6:$C$124,2,FALSE)</f>
        <v>#N/A</v>
      </c>
      <c r="AA2539" s="68"/>
      <c r="AB2539" s="18"/>
      <c r="AC2539" s="18"/>
      <c r="AD2539" s="18"/>
      <c r="AE2539" s="60"/>
      <c r="AF2539" s="13"/>
      <c r="AG2539" s="68" t="e">
        <f>VLOOKUP(Takeoffs!AF2539,Sheet1!$B$6:$C$124,2,FALSE)</f>
        <v>#N/A</v>
      </c>
      <c r="AH2539" s="68"/>
      <c r="AI2539" s="18"/>
      <c r="AJ2539" s="18"/>
      <c r="AK2539" s="18"/>
      <c r="AL2539" s="60"/>
      <c r="AO2539" s="286"/>
      <c r="AP2539" s="284">
        <f t="shared" si="1016"/>
        <v>0</v>
      </c>
      <c r="AQ2539" s="281">
        <f t="shared" si="1017"/>
        <v>0</v>
      </c>
      <c r="AR2539" s="284">
        <f t="shared" si="1018"/>
        <v>0</v>
      </c>
      <c r="AS2539" s="281">
        <f t="shared" si="1019"/>
        <v>0</v>
      </c>
      <c r="AT2539" s="284">
        <f t="shared" si="1020"/>
        <v>0</v>
      </c>
    </row>
    <row r="2540" spans="1:46" customFormat="1" ht="15" customHeight="1" x14ac:dyDescent="0.8">
      <c r="A2540" s="262">
        <f t="shared" si="1015"/>
        <v>2540</v>
      </c>
      <c r="B2540" s="114"/>
      <c r="C2540" s="208"/>
      <c r="D2540" s="208"/>
      <c r="E2540" s="208"/>
      <c r="F2540" s="208"/>
      <c r="G2540" s="208"/>
      <c r="H2540" s="208"/>
      <c r="I2540" s="224"/>
      <c r="J2540" s="30"/>
      <c r="K2540" s="221"/>
      <c r="L2540" s="117"/>
      <c r="N2540" s="15" t="s">
        <v>126</v>
      </c>
      <c r="O2540" s="12"/>
      <c r="P2540" s="207"/>
      <c r="Q2540" s="12"/>
      <c r="R2540" s="12"/>
      <c r="S2540" s="28">
        <f>M2526</f>
        <v>20</v>
      </c>
      <c r="T2540" s="11"/>
      <c r="U2540" s="12"/>
      <c r="V2540" s="14" t="e">
        <f>U2540*#REF!</f>
        <v>#REF!</v>
      </c>
      <c r="W2540" s="14"/>
      <c r="X2540" s="26"/>
      <c r="Y2540" s="13"/>
      <c r="Z2540" s="68" t="e">
        <f>VLOOKUP(Takeoffs!Y2540,Sheet1!$B$6:$C$124,2,FALSE)</f>
        <v>#N/A</v>
      </c>
      <c r="AA2540" s="68"/>
      <c r="AB2540" s="18"/>
      <c r="AC2540" s="18"/>
      <c r="AD2540" s="18"/>
      <c r="AE2540" s="60"/>
      <c r="AF2540" s="13"/>
      <c r="AG2540" s="68" t="e">
        <f>VLOOKUP(Takeoffs!AF2540,Sheet1!$B$6:$C$124,2,FALSE)</f>
        <v>#N/A</v>
      </c>
      <c r="AH2540" s="68"/>
      <c r="AI2540" s="18"/>
      <c r="AJ2540" s="18"/>
      <c r="AK2540" s="18"/>
      <c r="AL2540" s="60"/>
      <c r="AO2540" s="286"/>
      <c r="AP2540" s="284">
        <f t="shared" si="1016"/>
        <v>0</v>
      </c>
      <c r="AQ2540" s="281">
        <f t="shared" si="1017"/>
        <v>0</v>
      </c>
      <c r="AR2540" s="284">
        <f t="shared" si="1018"/>
        <v>0</v>
      </c>
      <c r="AS2540" s="281">
        <f t="shared" si="1019"/>
        <v>0</v>
      </c>
      <c r="AT2540" s="284">
        <f t="shared" si="1020"/>
        <v>0</v>
      </c>
    </row>
    <row r="2541" spans="1:46" customFormat="1" ht="15" customHeight="1" x14ac:dyDescent="0.8">
      <c r="A2541" s="262">
        <f t="shared" si="1015"/>
        <v>2541</v>
      </c>
      <c r="B2541" s="114"/>
      <c r="C2541" s="208"/>
      <c r="D2541" s="208"/>
      <c r="E2541" s="208"/>
      <c r="F2541" s="208"/>
      <c r="G2541" s="208"/>
      <c r="H2541" s="208"/>
      <c r="I2541" s="224"/>
      <c r="J2541" s="30"/>
      <c r="K2541" s="221"/>
      <c r="L2541" s="117"/>
      <c r="N2541" s="15" t="s">
        <v>127</v>
      </c>
      <c r="O2541" s="12"/>
      <c r="P2541" s="207"/>
      <c r="Q2541" s="12"/>
      <c r="R2541" s="12"/>
      <c r="S2541" s="28">
        <f>M2526</f>
        <v>20</v>
      </c>
      <c r="T2541" s="11"/>
      <c r="U2541" s="12"/>
      <c r="V2541" s="14" t="e">
        <f>U2541*#REF!</f>
        <v>#REF!</v>
      </c>
      <c r="W2541" s="14"/>
      <c r="X2541" s="26"/>
      <c r="Y2541" s="13"/>
      <c r="Z2541" s="68" t="e">
        <f>VLOOKUP(Takeoffs!Y2541,Sheet1!$B$6:$C$124,2,FALSE)</f>
        <v>#N/A</v>
      </c>
      <c r="AA2541" s="68"/>
      <c r="AB2541" s="18"/>
      <c r="AC2541" s="18"/>
      <c r="AD2541" s="18"/>
      <c r="AE2541" s="60"/>
      <c r="AF2541" s="13"/>
      <c r="AG2541" s="68" t="e">
        <f>VLOOKUP(Takeoffs!AF2541,Sheet1!$B$6:$C$124,2,FALSE)</f>
        <v>#N/A</v>
      </c>
      <c r="AH2541" s="68"/>
      <c r="AI2541" s="18"/>
      <c r="AJ2541" s="18"/>
      <c r="AK2541" s="18"/>
      <c r="AL2541" s="60"/>
      <c r="AO2541" s="286"/>
      <c r="AP2541" s="284">
        <f t="shared" si="1016"/>
        <v>0</v>
      </c>
      <c r="AQ2541" s="281">
        <f t="shared" si="1017"/>
        <v>0</v>
      </c>
      <c r="AR2541" s="284">
        <f t="shared" si="1018"/>
        <v>0</v>
      </c>
      <c r="AS2541" s="281">
        <f t="shared" si="1019"/>
        <v>0</v>
      </c>
      <c r="AT2541" s="284">
        <f t="shared" si="1020"/>
        <v>0</v>
      </c>
    </row>
    <row r="2542" spans="1:46" customFormat="1" ht="15" customHeight="1" x14ac:dyDescent="0.8">
      <c r="A2542" s="262">
        <f t="shared" si="1015"/>
        <v>2542</v>
      </c>
      <c r="B2542" s="114"/>
      <c r="C2542" s="208"/>
      <c r="D2542" s="208"/>
      <c r="E2542" s="208"/>
      <c r="F2542" s="208"/>
      <c r="G2542" s="208"/>
      <c r="H2542" s="208"/>
      <c r="I2542" s="224"/>
      <c r="J2542" s="30"/>
      <c r="K2542" s="221"/>
      <c r="L2542" s="117"/>
      <c r="N2542" s="15" t="s">
        <v>128</v>
      </c>
      <c r="O2542" s="12"/>
      <c r="P2542" s="207"/>
      <c r="Q2542" s="12"/>
      <c r="R2542" s="12"/>
      <c r="S2542" s="28">
        <f>M2526</f>
        <v>20</v>
      </c>
      <c r="T2542" s="11"/>
      <c r="U2542" s="12"/>
      <c r="V2542" s="14" t="e">
        <f>U2542*#REF!</f>
        <v>#REF!</v>
      </c>
      <c r="W2542" s="14"/>
      <c r="X2542" s="26"/>
      <c r="Y2542" s="13"/>
      <c r="Z2542" s="68" t="e">
        <f>VLOOKUP(Takeoffs!Y2542,Sheet1!$B$6:$C$124,2,FALSE)</f>
        <v>#N/A</v>
      </c>
      <c r="AA2542" s="68"/>
      <c r="AB2542" s="18"/>
      <c r="AC2542" s="18"/>
      <c r="AD2542" s="18"/>
      <c r="AE2542" s="60"/>
      <c r="AF2542" s="13"/>
      <c r="AG2542" s="68" t="e">
        <f>VLOOKUP(Takeoffs!AF2542,Sheet1!$B$6:$C$124,2,FALSE)</f>
        <v>#N/A</v>
      </c>
      <c r="AH2542" s="68"/>
      <c r="AI2542" s="18"/>
      <c r="AJ2542" s="18"/>
      <c r="AK2542" s="18"/>
      <c r="AL2542" s="60"/>
      <c r="AO2542" s="286"/>
      <c r="AP2542" s="284">
        <f t="shared" si="1016"/>
        <v>0</v>
      </c>
      <c r="AQ2542" s="281">
        <f t="shared" si="1017"/>
        <v>0</v>
      </c>
      <c r="AR2542" s="284">
        <f t="shared" si="1018"/>
        <v>0</v>
      </c>
      <c r="AS2542" s="281">
        <f t="shared" si="1019"/>
        <v>0</v>
      </c>
      <c r="AT2542" s="284">
        <f t="shared" si="1020"/>
        <v>0</v>
      </c>
    </row>
    <row r="2543" spans="1:46" customFormat="1" ht="15" customHeight="1" x14ac:dyDescent="0.8">
      <c r="A2543" s="262">
        <f t="shared" si="1015"/>
        <v>2543</v>
      </c>
      <c r="B2543" s="114"/>
      <c r="C2543" s="208"/>
      <c r="D2543" s="208"/>
      <c r="E2543" s="208"/>
      <c r="F2543" s="208"/>
      <c r="G2543" s="208"/>
      <c r="H2543" s="208"/>
      <c r="I2543" s="224"/>
      <c r="J2543" s="30"/>
      <c r="K2543" s="221"/>
      <c r="L2543" s="117"/>
      <c r="N2543" s="15" t="s">
        <v>129</v>
      </c>
      <c r="O2543" s="12"/>
      <c r="P2543" s="207"/>
      <c r="Q2543" s="12"/>
      <c r="R2543" s="12"/>
      <c r="S2543" s="28">
        <f>M2526</f>
        <v>20</v>
      </c>
      <c r="T2543" s="11"/>
      <c r="U2543" s="12"/>
      <c r="V2543" s="14" t="e">
        <f>U2543*#REF!</f>
        <v>#REF!</v>
      </c>
      <c r="W2543" s="14"/>
      <c r="X2543" s="26"/>
      <c r="Y2543" s="13"/>
      <c r="Z2543" s="68" t="e">
        <f>VLOOKUP(Takeoffs!Y2543,Sheet1!$B$6:$C$124,2,FALSE)</f>
        <v>#N/A</v>
      </c>
      <c r="AA2543" s="68"/>
      <c r="AB2543" s="18"/>
      <c r="AC2543" s="18"/>
      <c r="AD2543" s="18"/>
      <c r="AE2543" s="60"/>
      <c r="AF2543" s="13"/>
      <c r="AG2543" s="68" t="e">
        <f>VLOOKUP(Takeoffs!AF2543,Sheet1!$B$6:$C$124,2,FALSE)</f>
        <v>#N/A</v>
      </c>
      <c r="AH2543" s="68"/>
      <c r="AI2543" s="18"/>
      <c r="AJ2543" s="18"/>
      <c r="AK2543" s="18"/>
      <c r="AL2543" s="60"/>
      <c r="AO2543" s="286"/>
      <c r="AP2543" s="284">
        <f t="shared" si="1016"/>
        <v>0</v>
      </c>
      <c r="AQ2543" s="281">
        <f t="shared" si="1017"/>
        <v>0</v>
      </c>
      <c r="AR2543" s="284">
        <f t="shared" si="1018"/>
        <v>0</v>
      </c>
      <c r="AS2543" s="281">
        <f t="shared" si="1019"/>
        <v>0</v>
      </c>
      <c r="AT2543" s="284">
        <f t="shared" si="1020"/>
        <v>0</v>
      </c>
    </row>
    <row r="2544" spans="1:46" customFormat="1" ht="15" customHeight="1" x14ac:dyDescent="0.8">
      <c r="A2544" s="262">
        <f t="shared" si="1015"/>
        <v>2544</v>
      </c>
      <c r="B2544" s="114"/>
      <c r="C2544" s="208"/>
      <c r="D2544" s="208"/>
      <c r="E2544" s="208"/>
      <c r="F2544" s="208"/>
      <c r="G2544" s="208"/>
      <c r="H2544" s="208"/>
      <c r="I2544" s="224"/>
      <c r="J2544" s="30"/>
      <c r="K2544" s="221"/>
      <c r="L2544" s="117"/>
      <c r="N2544" s="15" t="s">
        <v>130</v>
      </c>
      <c r="O2544" s="12"/>
      <c r="P2544" s="207"/>
      <c r="Q2544" s="12"/>
      <c r="R2544" s="12"/>
      <c r="S2544" s="28">
        <f>M2526</f>
        <v>20</v>
      </c>
      <c r="T2544" s="11"/>
      <c r="U2544" s="12"/>
      <c r="V2544" s="14" t="e">
        <f>U2544*#REF!</f>
        <v>#REF!</v>
      </c>
      <c r="W2544" s="14"/>
      <c r="X2544" s="26"/>
      <c r="Y2544" s="13"/>
      <c r="Z2544" s="68" t="e">
        <f>VLOOKUP(Takeoffs!Y2544,Sheet1!$B$6:$C$124,2,FALSE)</f>
        <v>#N/A</v>
      </c>
      <c r="AA2544" s="68"/>
      <c r="AB2544" s="18"/>
      <c r="AC2544" s="18"/>
      <c r="AD2544" s="18"/>
      <c r="AE2544" s="60"/>
      <c r="AF2544" s="13"/>
      <c r="AG2544" s="68" t="e">
        <f>VLOOKUP(Takeoffs!AF2544,Sheet1!$B$6:$C$124,2,FALSE)</f>
        <v>#N/A</v>
      </c>
      <c r="AH2544" s="68"/>
      <c r="AI2544" s="18"/>
      <c r="AJ2544" s="18"/>
      <c r="AK2544" s="18"/>
      <c r="AL2544" s="60"/>
      <c r="AO2544" s="286"/>
      <c r="AP2544" s="284">
        <f t="shared" si="1016"/>
        <v>0</v>
      </c>
      <c r="AQ2544" s="281">
        <f t="shared" si="1017"/>
        <v>0</v>
      </c>
      <c r="AR2544" s="284">
        <f t="shared" si="1018"/>
        <v>0</v>
      </c>
      <c r="AS2544" s="281">
        <f t="shared" si="1019"/>
        <v>0</v>
      </c>
      <c r="AT2544" s="284">
        <f t="shared" si="1020"/>
        <v>0</v>
      </c>
    </row>
    <row r="2545" spans="1:46" customFormat="1" ht="15" customHeight="1" x14ac:dyDescent="0.8">
      <c r="A2545" s="262">
        <f t="shared" si="1015"/>
        <v>2545</v>
      </c>
      <c r="B2545" s="114"/>
      <c r="C2545" s="208"/>
      <c r="D2545" s="208"/>
      <c r="E2545" s="208"/>
      <c r="F2545" s="208"/>
      <c r="G2545" s="208"/>
      <c r="H2545" s="208"/>
      <c r="I2545" s="224"/>
      <c r="J2545" s="30"/>
      <c r="K2545" s="221"/>
      <c r="L2545" s="117"/>
      <c r="N2545" s="15" t="s">
        <v>131</v>
      </c>
      <c r="O2545" s="12"/>
      <c r="P2545" s="207"/>
      <c r="Q2545" s="12"/>
      <c r="R2545" s="12"/>
      <c r="S2545" s="28">
        <f>M2526</f>
        <v>20</v>
      </c>
      <c r="T2545" s="11"/>
      <c r="U2545" s="12"/>
      <c r="V2545" s="14" t="e">
        <f>U2545*#REF!</f>
        <v>#REF!</v>
      </c>
      <c r="W2545" s="14"/>
      <c r="X2545" s="26"/>
      <c r="Y2545" s="13"/>
      <c r="Z2545" s="68" t="e">
        <f>VLOOKUP(Takeoffs!Y2545,Sheet1!$B$6:$C$124,2,FALSE)</f>
        <v>#N/A</v>
      </c>
      <c r="AA2545" s="68"/>
      <c r="AB2545" s="18"/>
      <c r="AC2545" s="18"/>
      <c r="AD2545" s="18"/>
      <c r="AE2545" s="60"/>
      <c r="AF2545" s="13"/>
      <c r="AG2545" s="68" t="e">
        <f>VLOOKUP(Takeoffs!AF2545,Sheet1!$B$6:$C$124,2,FALSE)</f>
        <v>#N/A</v>
      </c>
      <c r="AH2545" s="68"/>
      <c r="AI2545" s="18"/>
      <c r="AJ2545" s="18"/>
      <c r="AK2545" s="18"/>
      <c r="AL2545" s="60"/>
      <c r="AO2545" s="286"/>
      <c r="AP2545" s="284">
        <f t="shared" si="1016"/>
        <v>0</v>
      </c>
      <c r="AQ2545" s="281">
        <f t="shared" si="1017"/>
        <v>0</v>
      </c>
      <c r="AR2545" s="284">
        <f t="shared" si="1018"/>
        <v>0</v>
      </c>
      <c r="AS2545" s="281">
        <f t="shared" si="1019"/>
        <v>0</v>
      </c>
      <c r="AT2545" s="284">
        <f t="shared" si="1020"/>
        <v>0</v>
      </c>
    </row>
    <row r="2546" spans="1:46" customFormat="1" ht="15" customHeight="1" x14ac:dyDescent="0.8">
      <c r="A2546" s="262">
        <f t="shared" si="1015"/>
        <v>2546</v>
      </c>
      <c r="B2546" s="114"/>
      <c r="C2546" s="208"/>
      <c r="D2546" s="208"/>
      <c r="E2546" s="208"/>
      <c r="F2546" s="208"/>
      <c r="G2546" s="208"/>
      <c r="H2546" s="208"/>
      <c r="I2546" s="224"/>
      <c r="J2546" s="30"/>
      <c r="K2546" s="221"/>
      <c r="L2546" s="117"/>
      <c r="N2546" s="15" t="s">
        <v>132</v>
      </c>
      <c r="O2546" s="12"/>
      <c r="P2546" s="207"/>
      <c r="Q2546" s="12"/>
      <c r="R2546" s="12"/>
      <c r="S2546" s="28">
        <f>M2526</f>
        <v>20</v>
      </c>
      <c r="T2546" s="11"/>
      <c r="U2546" s="12"/>
      <c r="V2546" s="14" t="e">
        <f>U2546*#REF!</f>
        <v>#REF!</v>
      </c>
      <c r="W2546" s="14"/>
      <c r="X2546" s="26"/>
      <c r="Y2546" s="13"/>
      <c r="Z2546" s="68" t="e">
        <f>VLOOKUP(Takeoffs!Y2546,Sheet1!$B$6:$C$124,2,FALSE)</f>
        <v>#N/A</v>
      </c>
      <c r="AA2546" s="68"/>
      <c r="AB2546" s="18"/>
      <c r="AC2546" s="18"/>
      <c r="AD2546" s="18"/>
      <c r="AE2546" s="60"/>
      <c r="AF2546" s="13"/>
      <c r="AG2546" s="68" t="e">
        <f>VLOOKUP(Takeoffs!AF2546,Sheet1!$B$6:$C$124,2,FALSE)</f>
        <v>#N/A</v>
      </c>
      <c r="AH2546" s="68"/>
      <c r="AI2546" s="18"/>
      <c r="AJ2546" s="18"/>
      <c r="AK2546" s="18"/>
      <c r="AL2546" s="60"/>
      <c r="AO2546" s="286"/>
      <c r="AP2546" s="284">
        <f t="shared" si="1016"/>
        <v>0</v>
      </c>
      <c r="AQ2546" s="281">
        <f t="shared" si="1017"/>
        <v>0</v>
      </c>
      <c r="AR2546" s="284">
        <f t="shared" si="1018"/>
        <v>0</v>
      </c>
      <c r="AS2546" s="281">
        <f t="shared" si="1019"/>
        <v>0</v>
      </c>
      <c r="AT2546" s="284">
        <f t="shared" si="1020"/>
        <v>0</v>
      </c>
    </row>
    <row r="2547" spans="1:46" s="21" customFormat="1" ht="33.75" customHeight="1" x14ac:dyDescent="0.8">
      <c r="A2547" s="262">
        <f t="shared" si="1015"/>
        <v>2547</v>
      </c>
      <c r="B2547" s="128"/>
      <c r="C2547" s="212"/>
      <c r="D2547" s="212"/>
      <c r="E2547" s="212"/>
      <c r="F2547" s="212"/>
      <c r="G2547" s="212"/>
      <c r="H2547" s="212"/>
      <c r="I2547" s="224"/>
      <c r="K2547" s="223"/>
      <c r="L2547" s="130"/>
      <c r="N2547" s="22"/>
      <c r="O2547" s="23"/>
      <c r="P2547" s="207"/>
      <c r="Q2547" s="23"/>
      <c r="R2547" s="23"/>
      <c r="S2547" s="23"/>
      <c r="T2547" s="24"/>
      <c r="U2547" s="23"/>
      <c r="V2547" s="24"/>
      <c r="W2547" s="24"/>
      <c r="X2547" s="26"/>
      <c r="Y2547" s="24"/>
      <c r="Z2547" s="68" t="e">
        <f>VLOOKUP(Takeoffs!Y2547,Sheet1!$B$6:$C$124,2,FALSE)</f>
        <v>#N/A</v>
      </c>
      <c r="AA2547" s="68"/>
      <c r="AB2547" s="31"/>
      <c r="AC2547" s="31"/>
      <c r="AD2547" s="31"/>
      <c r="AE2547" s="60"/>
      <c r="AF2547" s="24"/>
      <c r="AG2547" s="68" t="e">
        <f>VLOOKUP(Takeoffs!AF2547,Sheet1!$B$6:$C$124,2,FALSE)</f>
        <v>#N/A</v>
      </c>
      <c r="AH2547" s="68"/>
      <c r="AI2547" s="31"/>
      <c r="AJ2547" s="31"/>
      <c r="AK2547" s="31"/>
      <c r="AL2547" s="60"/>
      <c r="AO2547" s="286"/>
      <c r="AP2547" s="284">
        <f t="shared" si="1016"/>
        <v>0</v>
      </c>
      <c r="AQ2547" s="281">
        <f t="shared" si="1017"/>
        <v>0</v>
      </c>
      <c r="AR2547" s="284">
        <f t="shared" si="1018"/>
        <v>0</v>
      </c>
      <c r="AS2547" s="281">
        <f t="shared" si="1019"/>
        <v>0</v>
      </c>
      <c r="AT2547" s="284">
        <f t="shared" si="1020"/>
        <v>0</v>
      </c>
    </row>
    <row r="2548" spans="1:46" customFormat="1" ht="30.9" x14ac:dyDescent="0.8">
      <c r="A2548" s="262">
        <f t="shared" si="1015"/>
        <v>2548</v>
      </c>
      <c r="B2548" s="114"/>
      <c r="C2548" s="208"/>
      <c r="D2548" s="208"/>
      <c r="E2548" s="208"/>
      <c r="F2548" s="208"/>
      <c r="G2548" s="208"/>
      <c r="H2548" s="208"/>
      <c r="I2548" s="228"/>
      <c r="K2548" s="221"/>
      <c r="L2548" s="117"/>
      <c r="P2548" s="201"/>
      <c r="Q2548" s="32"/>
      <c r="R2548" s="32"/>
      <c r="T2548" s="8"/>
      <c r="W2548" s="32"/>
      <c r="X2548" s="25"/>
      <c r="Z2548" s="68" t="e">
        <f>VLOOKUP(Takeoffs!Y2548,Sheet1!$B$6:$C$124,2,FALSE)</f>
        <v>#N/A</v>
      </c>
      <c r="AA2548" s="68"/>
      <c r="AB2548" s="32"/>
      <c r="AC2548" s="32"/>
      <c r="AD2548" s="32"/>
      <c r="AE2548" s="25"/>
      <c r="AF2548" s="32"/>
      <c r="AG2548" s="68" t="e">
        <f>VLOOKUP(Takeoffs!AF2548,Sheet1!$B$6:$C$124,2,FALSE)</f>
        <v>#N/A</v>
      </c>
      <c r="AH2548" s="68"/>
      <c r="AI2548" s="32"/>
      <c r="AJ2548" s="32"/>
      <c r="AK2548" s="32"/>
      <c r="AL2548" s="25"/>
      <c r="AO2548" s="286"/>
      <c r="AP2548" s="284">
        <f t="shared" si="1016"/>
        <v>0</v>
      </c>
      <c r="AQ2548" s="281">
        <f t="shared" si="1017"/>
        <v>0</v>
      </c>
      <c r="AR2548" s="284">
        <f t="shared" si="1018"/>
        <v>0</v>
      </c>
      <c r="AS2548" s="281">
        <f t="shared" si="1019"/>
        <v>0</v>
      </c>
      <c r="AT2548" s="284">
        <f t="shared" si="1020"/>
        <v>0</v>
      </c>
    </row>
    <row r="2549" spans="1:46" customFormat="1" ht="30.9" x14ac:dyDescent="0.8">
      <c r="A2549" s="262">
        <f t="shared" si="1015"/>
        <v>2549</v>
      </c>
      <c r="B2549" s="114"/>
      <c r="C2549" s="208"/>
      <c r="D2549" s="208"/>
      <c r="E2549" s="208"/>
      <c r="F2549" s="208"/>
      <c r="G2549" s="208"/>
      <c r="H2549" s="208"/>
      <c r="I2549" s="224"/>
      <c r="K2549" s="221"/>
      <c r="L2549" s="117"/>
      <c r="P2549" s="201"/>
      <c r="Q2549" s="32"/>
      <c r="R2549" s="32"/>
      <c r="T2549" s="8"/>
      <c r="W2549" s="32"/>
      <c r="X2549" s="25"/>
      <c r="Z2549" s="68" t="e">
        <f>VLOOKUP(Takeoffs!Y2549,Sheet1!$B$6:$C$124,2,FALSE)</f>
        <v>#N/A</v>
      </c>
      <c r="AA2549" s="68"/>
      <c r="AB2549" s="32"/>
      <c r="AC2549" s="32"/>
      <c r="AD2549" s="32"/>
      <c r="AE2549" s="25"/>
      <c r="AF2549" s="32"/>
      <c r="AG2549" s="68" t="e">
        <f>VLOOKUP(Takeoffs!AF2549,Sheet1!$B$6:$C$124,2,FALSE)</f>
        <v>#N/A</v>
      </c>
      <c r="AH2549" s="68"/>
      <c r="AI2549" s="32"/>
      <c r="AJ2549" s="32"/>
      <c r="AK2549" s="32"/>
      <c r="AL2549" s="25"/>
      <c r="AO2549" s="286"/>
      <c r="AP2549" s="284">
        <f t="shared" si="1016"/>
        <v>0</v>
      </c>
      <c r="AQ2549" s="281">
        <f t="shared" si="1017"/>
        <v>0</v>
      </c>
      <c r="AR2549" s="284">
        <f t="shared" si="1018"/>
        <v>0</v>
      </c>
      <c r="AS2549" s="281">
        <f t="shared" si="1019"/>
        <v>0</v>
      </c>
      <c r="AT2549" s="284">
        <f t="shared" si="1020"/>
        <v>0</v>
      </c>
    </row>
    <row r="2550" spans="1:46" s="2" customFormat="1" ht="62.25" customHeight="1" x14ac:dyDescent="0.8">
      <c r="A2550" s="262">
        <f t="shared" ref="A2550:A2602" si="1021">A2549+1</f>
        <v>2550</v>
      </c>
      <c r="B2550" s="116"/>
      <c r="C2550" s="211"/>
      <c r="D2550" s="211"/>
      <c r="E2550" s="211"/>
      <c r="F2550" s="211"/>
      <c r="G2550" s="211"/>
      <c r="H2550" s="211"/>
      <c r="I2550" s="224"/>
      <c r="K2550" s="222"/>
      <c r="L2550" s="170"/>
      <c r="M2550" s="2" t="s">
        <v>107</v>
      </c>
      <c r="N2550" s="2" t="s">
        <v>108</v>
      </c>
      <c r="O2550" s="2" t="s">
        <v>4</v>
      </c>
      <c r="P2550" s="184" t="s">
        <v>5</v>
      </c>
      <c r="S2550" s="2" t="s">
        <v>0</v>
      </c>
      <c r="T2550" s="9"/>
      <c r="U2550" s="2" t="s">
        <v>109</v>
      </c>
      <c r="V2550" s="2" t="s">
        <v>110</v>
      </c>
      <c r="X2550" s="58"/>
      <c r="Y2550" s="2" t="s">
        <v>111</v>
      </c>
      <c r="Z2550" s="68" t="e">
        <f>VLOOKUP(Takeoffs!Y2550,Sheet1!$B$6:$C$124,2,FALSE)</f>
        <v>#N/A</v>
      </c>
      <c r="AA2550" s="68"/>
      <c r="AE2550" s="58"/>
      <c r="AF2550" s="2" t="s">
        <v>111</v>
      </c>
      <c r="AG2550" s="68" t="e">
        <f>VLOOKUP(Takeoffs!AF2550,Sheet1!$B$6:$C$124,2,FALSE)</f>
        <v>#N/A</v>
      </c>
      <c r="AH2550" s="68"/>
      <c r="AL2550" s="58"/>
      <c r="AO2550" s="288"/>
      <c r="AP2550" s="284">
        <f t="shared" si="1016"/>
        <v>0</v>
      </c>
      <c r="AQ2550" s="281">
        <f t="shared" si="1017"/>
        <v>0</v>
      </c>
      <c r="AR2550" s="284">
        <f t="shared" si="1018"/>
        <v>0</v>
      </c>
      <c r="AS2550" s="281">
        <f t="shared" si="1019"/>
        <v>0</v>
      </c>
      <c r="AT2550" s="284">
        <f t="shared" si="1020"/>
        <v>0</v>
      </c>
    </row>
    <row r="2551" spans="1:46" customFormat="1" ht="179.25" customHeight="1" x14ac:dyDescent="0.8">
      <c r="A2551" s="262">
        <f t="shared" si="1021"/>
        <v>2551</v>
      </c>
      <c r="B2551" s="114"/>
      <c r="C2551" s="208"/>
      <c r="D2551" s="208"/>
      <c r="E2551" s="208"/>
      <c r="F2551" s="208"/>
      <c r="G2551" s="208"/>
      <c r="H2551" s="208"/>
      <c r="I2551" s="227"/>
      <c r="J2551" s="30" t="str">
        <f>CONCATENATE(O2551," ",L2551, " (",M2551,") ",N2551,". Each includes supply and install of ",O2552,O2553,O2554,O2556,O2557,O2558,O2559,O2560,O2561,O2562,O2563,O2564,O2565,O2566,O2567,O2568,O2569,O2570,O2571,O2572,)</f>
        <v>Electrical services for four (4) cold/freezer rooms. Each includes supply and install of internal lighting ( spec 12.10.2) and LED lighting to illuminate shelving behing insert doors (spec 12.3.6). For the freezer room(only), installation will include two powersupply circuits for underfloor heating.For the freezer room(only), installation will include powersupply for the door heater.Note: Powersupply for  room and  shelving lighting to be plovided in a junction box by electrical trade). Underfloor and door heating elements by others.</v>
      </c>
      <c r="K2551" s="221"/>
      <c r="L2551" s="123" t="str">
        <f>VLOOKUP(M2551,Sheet2!$D$2:$E$1024,2,FALSE)</f>
        <v>four</v>
      </c>
      <c r="M2551" s="12">
        <v>4</v>
      </c>
      <c r="N2551" s="27" t="s">
        <v>194</v>
      </c>
      <c r="O2551" s="12" t="s">
        <v>195</v>
      </c>
      <c r="P2551" s="207"/>
      <c r="Q2551" s="12"/>
      <c r="R2551" s="12"/>
      <c r="S2551" s="28"/>
      <c r="T2551" s="10"/>
      <c r="U2551" s="12"/>
      <c r="V2551" s="14" t="e">
        <f>U2551*#REF!</f>
        <v>#REF!</v>
      </c>
      <c r="W2551" s="14"/>
      <c r="X2551" s="26"/>
      <c r="Y2551" s="13"/>
      <c r="Z2551" s="68" t="e">
        <f>VLOOKUP(Takeoffs!Y2551,Sheet1!$B$6:$C$124,2,FALSE)</f>
        <v>#N/A</v>
      </c>
      <c r="AA2551" s="68"/>
      <c r="AB2551" s="18"/>
      <c r="AC2551" s="18"/>
      <c r="AD2551" s="18"/>
      <c r="AE2551" s="60"/>
      <c r="AF2551" s="13"/>
      <c r="AG2551" s="68" t="e">
        <f>VLOOKUP(Takeoffs!AF2551,Sheet1!$B$6:$C$124,2,FALSE)</f>
        <v>#N/A</v>
      </c>
      <c r="AH2551" s="68"/>
      <c r="AI2551" s="18"/>
      <c r="AJ2551" s="18"/>
      <c r="AK2551" s="18"/>
      <c r="AL2551" s="60"/>
      <c r="AO2551" s="286"/>
      <c r="AP2551" s="284">
        <f t="shared" si="1016"/>
        <v>0</v>
      </c>
      <c r="AQ2551" s="281">
        <f t="shared" si="1017"/>
        <v>0</v>
      </c>
      <c r="AR2551" s="284">
        <f t="shared" si="1018"/>
        <v>0</v>
      </c>
      <c r="AS2551" s="281">
        <f t="shared" si="1019"/>
        <v>0</v>
      </c>
      <c r="AT2551" s="284">
        <f t="shared" si="1020"/>
        <v>0</v>
      </c>
    </row>
    <row r="2552" spans="1:46" customFormat="1" ht="15" customHeight="1" x14ac:dyDescent="0.8">
      <c r="A2552" s="262">
        <f t="shared" si="1021"/>
        <v>2552</v>
      </c>
      <c r="B2552" s="114"/>
      <c r="C2552" s="208"/>
      <c r="D2552" s="208"/>
      <c r="E2552" s="208"/>
      <c r="F2552" s="208"/>
      <c r="G2552" s="208"/>
      <c r="H2552" s="208"/>
      <c r="I2552" s="224"/>
      <c r="J2552" s="30"/>
      <c r="K2552" s="221"/>
      <c r="L2552" s="117"/>
      <c r="M2552" s="3"/>
      <c r="N2552" s="15" t="s">
        <v>113</v>
      </c>
      <c r="P2552" s="207"/>
      <c r="Q2552" s="12"/>
      <c r="R2552" s="12"/>
      <c r="S2552" s="28">
        <f>M2551</f>
        <v>4</v>
      </c>
      <c r="T2552" s="11"/>
      <c r="U2552" s="12"/>
      <c r="V2552" s="14" t="e">
        <f>U2552*#REF!</f>
        <v>#REF!</v>
      </c>
      <c r="W2552" s="14"/>
      <c r="X2552" s="26"/>
      <c r="Y2552" s="13"/>
      <c r="Z2552" s="68" t="e">
        <f>VLOOKUP(Takeoffs!Y2552,Sheet1!$B$6:$C$124,2,FALSE)</f>
        <v>#N/A</v>
      </c>
      <c r="AA2552" s="68"/>
      <c r="AB2552" s="18"/>
      <c r="AC2552" s="18"/>
      <c r="AD2552" s="18"/>
      <c r="AE2552" s="60"/>
      <c r="AF2552" s="13"/>
      <c r="AG2552" s="68" t="e">
        <f>VLOOKUP(Takeoffs!AF2552,Sheet1!$B$6:$C$124,2,FALSE)</f>
        <v>#N/A</v>
      </c>
      <c r="AH2552" s="68"/>
      <c r="AI2552" s="18"/>
      <c r="AJ2552" s="18"/>
      <c r="AK2552" s="18"/>
      <c r="AL2552" s="60"/>
      <c r="AO2552" s="286"/>
      <c r="AP2552" s="284">
        <f t="shared" si="1016"/>
        <v>0</v>
      </c>
      <c r="AQ2552" s="281">
        <f t="shared" si="1017"/>
        <v>0</v>
      </c>
      <c r="AR2552" s="284">
        <f t="shared" si="1018"/>
        <v>0</v>
      </c>
      <c r="AS2552" s="281">
        <f t="shared" si="1019"/>
        <v>0</v>
      </c>
      <c r="AT2552" s="284">
        <f t="shared" si="1020"/>
        <v>0</v>
      </c>
    </row>
    <row r="2553" spans="1:46" customFormat="1" ht="15" customHeight="1" x14ac:dyDescent="0.8">
      <c r="A2553" s="262">
        <f t="shared" si="1021"/>
        <v>2553</v>
      </c>
      <c r="B2553" s="114"/>
      <c r="C2553" s="208"/>
      <c r="D2553" s="208"/>
      <c r="E2553" s="208"/>
      <c r="F2553" s="208"/>
      <c r="G2553" s="208"/>
      <c r="H2553" s="208"/>
      <c r="I2553" s="224"/>
      <c r="J2553" s="30"/>
      <c r="K2553" s="221"/>
      <c r="L2553" s="117"/>
      <c r="M2553" s="3"/>
      <c r="N2553" s="15" t="s">
        <v>114</v>
      </c>
      <c r="P2553" s="207"/>
      <c r="Q2553" s="12"/>
      <c r="R2553" s="12"/>
      <c r="S2553" s="28">
        <f>M2551</f>
        <v>4</v>
      </c>
      <c r="T2553" s="11"/>
      <c r="U2553" s="12"/>
      <c r="V2553" s="14" t="e">
        <f>U2553*#REF!</f>
        <v>#REF!</v>
      </c>
      <c r="W2553" s="14"/>
      <c r="X2553" s="26"/>
      <c r="Y2553" s="13"/>
      <c r="Z2553" s="68" t="e">
        <f>VLOOKUP(Takeoffs!Y2553,Sheet1!$B$6:$C$124,2,FALSE)</f>
        <v>#N/A</v>
      </c>
      <c r="AA2553" s="68"/>
      <c r="AB2553" s="18"/>
      <c r="AC2553" s="18"/>
      <c r="AD2553" s="18"/>
      <c r="AE2553" s="60"/>
      <c r="AF2553" s="13"/>
      <c r="AG2553" s="68" t="e">
        <f>VLOOKUP(Takeoffs!AF2553,Sheet1!$B$6:$C$124,2,FALSE)</f>
        <v>#N/A</v>
      </c>
      <c r="AH2553" s="68"/>
      <c r="AI2553" s="18"/>
      <c r="AJ2553" s="18"/>
      <c r="AK2553" s="18"/>
      <c r="AL2553" s="60"/>
      <c r="AO2553" s="286"/>
      <c r="AP2553" s="284">
        <f t="shared" si="1016"/>
        <v>0</v>
      </c>
      <c r="AQ2553" s="281">
        <f t="shared" si="1017"/>
        <v>0</v>
      </c>
      <c r="AR2553" s="284">
        <f t="shared" si="1018"/>
        <v>0</v>
      </c>
      <c r="AS2553" s="281">
        <f t="shared" si="1019"/>
        <v>0</v>
      </c>
      <c r="AT2553" s="284">
        <f t="shared" si="1020"/>
        <v>0</v>
      </c>
    </row>
    <row r="2554" spans="1:46" customFormat="1" ht="15" customHeight="1" x14ac:dyDescent="0.8">
      <c r="A2554" s="262">
        <f t="shared" si="1021"/>
        <v>2554</v>
      </c>
      <c r="B2554" s="114"/>
      <c r="C2554" s="208"/>
      <c r="D2554" s="208"/>
      <c r="E2554" s="208"/>
      <c r="F2554" s="208"/>
      <c r="G2554" s="208"/>
      <c r="H2554" s="208"/>
      <c r="I2554" s="224"/>
      <c r="J2554" s="30"/>
      <c r="K2554" s="221"/>
      <c r="L2554" s="117"/>
      <c r="M2554" s="3"/>
      <c r="N2554" s="15" t="s">
        <v>115</v>
      </c>
      <c r="O2554" t="s">
        <v>198</v>
      </c>
      <c r="P2554" s="207"/>
      <c r="Q2554" s="12"/>
      <c r="R2554" s="12"/>
      <c r="S2554" s="28">
        <f>M2551</f>
        <v>4</v>
      </c>
      <c r="T2554" s="11"/>
      <c r="U2554" s="12"/>
      <c r="V2554" s="14" t="e">
        <f>U2554*#REF!</f>
        <v>#REF!</v>
      </c>
      <c r="W2554" s="14"/>
      <c r="X2554" s="26"/>
      <c r="Y2554" s="13"/>
      <c r="Z2554" s="68" t="e">
        <f>VLOOKUP(Takeoffs!Y2554,Sheet1!$B$6:$C$124,2,FALSE)</f>
        <v>#N/A</v>
      </c>
      <c r="AA2554" s="68"/>
      <c r="AB2554" s="18"/>
      <c r="AC2554" s="18"/>
      <c r="AD2554" s="18"/>
      <c r="AE2554" s="60"/>
      <c r="AF2554" s="13"/>
      <c r="AG2554" s="68" t="e">
        <f>VLOOKUP(Takeoffs!AF2554,Sheet1!$B$6:$C$124,2,FALSE)</f>
        <v>#N/A</v>
      </c>
      <c r="AH2554" s="68"/>
      <c r="AI2554" s="18"/>
      <c r="AJ2554" s="18"/>
      <c r="AK2554" s="18"/>
      <c r="AL2554" s="60"/>
      <c r="AO2554" s="286"/>
      <c r="AP2554" s="284">
        <f t="shared" si="1016"/>
        <v>0</v>
      </c>
      <c r="AQ2554" s="281">
        <f t="shared" si="1017"/>
        <v>0</v>
      </c>
      <c r="AR2554" s="284">
        <f t="shared" si="1018"/>
        <v>0</v>
      </c>
      <c r="AS2554" s="281">
        <f t="shared" si="1019"/>
        <v>0</v>
      </c>
      <c r="AT2554" s="284">
        <f t="shared" si="1020"/>
        <v>0</v>
      </c>
    </row>
    <row r="2555" spans="1:46" customFormat="1" ht="15" customHeight="1" x14ac:dyDescent="0.8">
      <c r="A2555" s="262">
        <f t="shared" si="1021"/>
        <v>2555</v>
      </c>
      <c r="B2555" s="114"/>
      <c r="C2555" s="208"/>
      <c r="D2555" s="208"/>
      <c r="E2555" s="208"/>
      <c r="F2555" s="208"/>
      <c r="G2555" s="208"/>
      <c r="H2555" s="208"/>
      <c r="I2555" s="224"/>
      <c r="J2555" s="30"/>
      <c r="K2555" s="221"/>
      <c r="L2555" s="117"/>
      <c r="M2555" s="3"/>
      <c r="N2555" s="15"/>
      <c r="O2555" t="s">
        <v>197</v>
      </c>
      <c r="P2555" s="207"/>
      <c r="Q2555" s="12"/>
      <c r="R2555" s="12"/>
      <c r="S2555" s="28"/>
      <c r="T2555" s="11"/>
      <c r="U2555" s="12"/>
      <c r="V2555" s="14"/>
      <c r="W2555" s="14"/>
      <c r="X2555" s="26"/>
      <c r="Y2555" s="13"/>
      <c r="Z2555" s="68" t="e">
        <f>VLOOKUP(Takeoffs!Y2555,Sheet1!$B$6:$C$124,2,FALSE)</f>
        <v>#N/A</v>
      </c>
      <c r="AA2555" s="68"/>
      <c r="AB2555" s="18"/>
      <c r="AC2555" s="18"/>
      <c r="AD2555" s="18"/>
      <c r="AE2555" s="60"/>
      <c r="AF2555" s="13"/>
      <c r="AG2555" s="68" t="e">
        <f>VLOOKUP(Takeoffs!AF2555,Sheet1!$B$6:$C$124,2,FALSE)</f>
        <v>#N/A</v>
      </c>
      <c r="AH2555" s="68"/>
      <c r="AI2555" s="18"/>
      <c r="AJ2555" s="18"/>
      <c r="AK2555" s="18"/>
      <c r="AL2555" s="60"/>
      <c r="AO2555" s="286"/>
      <c r="AP2555" s="284">
        <f t="shared" si="1016"/>
        <v>0</v>
      </c>
      <c r="AQ2555" s="281">
        <f t="shared" si="1017"/>
        <v>0</v>
      </c>
      <c r="AR2555" s="284">
        <f t="shared" si="1018"/>
        <v>0</v>
      </c>
      <c r="AS2555" s="281">
        <f t="shared" si="1019"/>
        <v>0</v>
      </c>
      <c r="AT2555" s="284">
        <f t="shared" si="1020"/>
        <v>0</v>
      </c>
    </row>
    <row r="2556" spans="1:46" customFormat="1" ht="15" customHeight="1" x14ac:dyDescent="0.8">
      <c r="A2556" s="262">
        <f t="shared" si="1021"/>
        <v>2556</v>
      </c>
      <c r="B2556" s="114"/>
      <c r="C2556" s="208"/>
      <c r="D2556" s="208"/>
      <c r="E2556" s="208"/>
      <c r="F2556" s="208"/>
      <c r="G2556" s="208"/>
      <c r="H2556" s="208"/>
      <c r="I2556" s="224"/>
      <c r="J2556" s="30"/>
      <c r="K2556" s="221"/>
      <c r="L2556" s="117"/>
      <c r="M2556" s="3"/>
      <c r="N2556" s="15" t="s">
        <v>116</v>
      </c>
      <c r="O2556" t="s">
        <v>199</v>
      </c>
      <c r="P2556" s="207"/>
      <c r="Q2556" s="12"/>
      <c r="R2556" s="12"/>
      <c r="S2556" s="28">
        <f>M2551</f>
        <v>4</v>
      </c>
      <c r="T2556" s="11"/>
      <c r="U2556" s="12"/>
      <c r="V2556" s="14" t="e">
        <f>U2556*#REF!</f>
        <v>#REF!</v>
      </c>
      <c r="W2556" s="14"/>
      <c r="X2556" s="26"/>
      <c r="Y2556" s="13"/>
      <c r="Z2556" s="68" t="e">
        <f>VLOOKUP(Takeoffs!Y2556,Sheet1!$B$6:$C$124,2,FALSE)</f>
        <v>#N/A</v>
      </c>
      <c r="AA2556" s="68"/>
      <c r="AB2556" s="18"/>
      <c r="AC2556" s="18"/>
      <c r="AD2556" s="18"/>
      <c r="AE2556" s="60"/>
      <c r="AF2556" s="13"/>
      <c r="AG2556" s="68" t="e">
        <f>VLOOKUP(Takeoffs!AF2556,Sheet1!$B$6:$C$124,2,FALSE)</f>
        <v>#N/A</v>
      </c>
      <c r="AH2556" s="68"/>
      <c r="AI2556" s="18"/>
      <c r="AJ2556" s="18"/>
      <c r="AK2556" s="18"/>
      <c r="AL2556" s="60"/>
      <c r="AO2556" s="286"/>
      <c r="AP2556" s="284">
        <f t="shared" si="1016"/>
        <v>0</v>
      </c>
      <c r="AQ2556" s="281">
        <f t="shared" si="1017"/>
        <v>0</v>
      </c>
      <c r="AR2556" s="284">
        <f t="shared" si="1018"/>
        <v>0</v>
      </c>
      <c r="AS2556" s="281">
        <f t="shared" si="1019"/>
        <v>0</v>
      </c>
      <c r="AT2556" s="284">
        <f t="shared" si="1020"/>
        <v>0</v>
      </c>
    </row>
    <row r="2557" spans="1:46" customFormat="1" ht="15" customHeight="1" x14ac:dyDescent="0.8">
      <c r="A2557" s="262">
        <f t="shared" si="1021"/>
        <v>2557</v>
      </c>
      <c r="B2557" s="114"/>
      <c r="C2557" s="208"/>
      <c r="D2557" s="208"/>
      <c r="E2557" s="208"/>
      <c r="F2557" s="208"/>
      <c r="G2557" s="208"/>
      <c r="H2557" s="208"/>
      <c r="I2557" s="224"/>
      <c r="J2557" s="30"/>
      <c r="K2557" s="221"/>
      <c r="L2557" s="117"/>
      <c r="M2557" s="3"/>
      <c r="N2557" s="15" t="s">
        <v>117</v>
      </c>
      <c r="O2557" t="s">
        <v>196</v>
      </c>
      <c r="P2557" s="207"/>
      <c r="Q2557" s="12"/>
      <c r="R2557" s="12"/>
      <c r="S2557" s="28">
        <v>1</v>
      </c>
      <c r="T2557" s="11"/>
      <c r="U2557" s="12"/>
      <c r="V2557" s="14" t="e">
        <f>U2557*#REF!</f>
        <v>#REF!</v>
      </c>
      <c r="W2557" s="14"/>
      <c r="X2557" s="26"/>
      <c r="Y2557" s="13"/>
      <c r="Z2557" s="68" t="e">
        <f>VLOOKUP(Takeoffs!Y2557,Sheet1!$B$6:$C$124,2,FALSE)</f>
        <v>#N/A</v>
      </c>
      <c r="AA2557" s="68"/>
      <c r="AB2557" s="18"/>
      <c r="AC2557" s="18"/>
      <c r="AD2557" s="18"/>
      <c r="AE2557" s="60"/>
      <c r="AF2557" s="13"/>
      <c r="AG2557" s="68" t="e">
        <f>VLOOKUP(Takeoffs!AF2557,Sheet1!$B$6:$C$124,2,FALSE)</f>
        <v>#N/A</v>
      </c>
      <c r="AH2557" s="68"/>
      <c r="AI2557" s="18"/>
      <c r="AJ2557" s="18"/>
      <c r="AK2557" s="18"/>
      <c r="AL2557" s="60"/>
      <c r="AO2557" s="286"/>
      <c r="AP2557" s="284">
        <f t="shared" si="1016"/>
        <v>0</v>
      </c>
      <c r="AQ2557" s="281">
        <f t="shared" si="1017"/>
        <v>0</v>
      </c>
      <c r="AR2557" s="284">
        <f t="shared" si="1018"/>
        <v>0</v>
      </c>
      <c r="AS2557" s="281">
        <f t="shared" si="1019"/>
        <v>0</v>
      </c>
      <c r="AT2557" s="284">
        <f t="shared" si="1020"/>
        <v>0</v>
      </c>
    </row>
    <row r="2558" spans="1:46" customFormat="1" ht="15" customHeight="1" x14ac:dyDescent="0.8">
      <c r="A2558" s="262">
        <f t="shared" si="1021"/>
        <v>2558</v>
      </c>
      <c r="B2558" s="114"/>
      <c r="C2558" s="208"/>
      <c r="D2558" s="208"/>
      <c r="E2558" s="208"/>
      <c r="F2558" s="208"/>
      <c r="G2558" s="208"/>
      <c r="H2558" s="208"/>
      <c r="I2558" s="224"/>
      <c r="J2558" s="30"/>
      <c r="K2558" s="221"/>
      <c r="L2558" s="117"/>
      <c r="M2558" s="3"/>
      <c r="N2558" s="15" t="s">
        <v>118</v>
      </c>
      <c r="O2558" t="s">
        <v>201</v>
      </c>
      <c r="P2558" s="207"/>
      <c r="Q2558" s="12"/>
      <c r="R2558" s="12"/>
      <c r="S2558" s="28">
        <v>1</v>
      </c>
      <c r="T2558" s="11"/>
      <c r="U2558" s="12"/>
      <c r="V2558" s="14" t="e">
        <f>U2558*#REF!</f>
        <v>#REF!</v>
      </c>
      <c r="W2558" s="14"/>
      <c r="X2558" s="26"/>
      <c r="Y2558" s="13"/>
      <c r="Z2558" s="68" t="e">
        <f>VLOOKUP(Takeoffs!Y2558,Sheet1!$B$6:$C$124,2,FALSE)</f>
        <v>#N/A</v>
      </c>
      <c r="AA2558" s="68"/>
      <c r="AB2558" s="18"/>
      <c r="AC2558" s="18"/>
      <c r="AD2558" s="18"/>
      <c r="AE2558" s="60"/>
      <c r="AF2558" s="13"/>
      <c r="AG2558" s="68" t="e">
        <f>VLOOKUP(Takeoffs!AF2558,Sheet1!$B$6:$C$124,2,FALSE)</f>
        <v>#N/A</v>
      </c>
      <c r="AH2558" s="68"/>
      <c r="AI2558" s="18"/>
      <c r="AJ2558" s="18"/>
      <c r="AK2558" s="18"/>
      <c r="AL2558" s="60"/>
      <c r="AO2558" s="286"/>
      <c r="AP2558" s="284">
        <f t="shared" si="1016"/>
        <v>0</v>
      </c>
      <c r="AQ2558" s="281">
        <f t="shared" si="1017"/>
        <v>0</v>
      </c>
      <c r="AR2558" s="284">
        <f t="shared" si="1018"/>
        <v>0</v>
      </c>
      <c r="AS2558" s="281">
        <f t="shared" si="1019"/>
        <v>0</v>
      </c>
      <c r="AT2558" s="284">
        <f t="shared" si="1020"/>
        <v>0</v>
      </c>
    </row>
    <row r="2559" spans="1:46" customFormat="1" ht="15" customHeight="1" x14ac:dyDescent="0.8">
      <c r="A2559" s="262">
        <f t="shared" si="1021"/>
        <v>2559</v>
      </c>
      <c r="B2559" s="114"/>
      <c r="C2559" s="208"/>
      <c r="D2559" s="208"/>
      <c r="E2559" s="208"/>
      <c r="F2559" s="208"/>
      <c r="G2559" s="208"/>
      <c r="H2559" s="208"/>
      <c r="I2559" s="224"/>
      <c r="J2559" s="30"/>
      <c r="K2559" s="221"/>
      <c r="L2559" s="117"/>
      <c r="N2559" s="15" t="s">
        <v>119</v>
      </c>
      <c r="O2559" s="12" t="s">
        <v>200</v>
      </c>
      <c r="P2559" s="207"/>
      <c r="Q2559" s="12"/>
      <c r="R2559" s="12"/>
      <c r="S2559" s="28">
        <f>M2551</f>
        <v>4</v>
      </c>
      <c r="T2559" s="11"/>
      <c r="U2559" s="12"/>
      <c r="V2559" s="14" t="e">
        <f>U2559*#REF!</f>
        <v>#REF!</v>
      </c>
      <c r="W2559" s="14"/>
      <c r="X2559" s="26"/>
      <c r="Y2559" s="13"/>
      <c r="Z2559" s="68" t="e">
        <f>VLOOKUP(Takeoffs!Y2559,Sheet1!$B$6:$C$124,2,FALSE)</f>
        <v>#N/A</v>
      </c>
      <c r="AA2559" s="68"/>
      <c r="AB2559" s="18"/>
      <c r="AC2559" s="18"/>
      <c r="AD2559" s="18"/>
      <c r="AE2559" s="60"/>
      <c r="AF2559" s="13"/>
      <c r="AG2559" s="68" t="e">
        <f>VLOOKUP(Takeoffs!AF2559,Sheet1!$B$6:$C$124,2,FALSE)</f>
        <v>#N/A</v>
      </c>
      <c r="AH2559" s="68"/>
      <c r="AI2559" s="18"/>
      <c r="AJ2559" s="18"/>
      <c r="AK2559" s="18"/>
      <c r="AL2559" s="60"/>
      <c r="AO2559" s="286"/>
      <c r="AP2559" s="284">
        <f t="shared" si="1016"/>
        <v>0</v>
      </c>
      <c r="AQ2559" s="281">
        <f t="shared" si="1017"/>
        <v>0</v>
      </c>
      <c r="AR2559" s="284">
        <f t="shared" si="1018"/>
        <v>0</v>
      </c>
      <c r="AS2559" s="281">
        <f t="shared" si="1019"/>
        <v>0</v>
      </c>
      <c r="AT2559" s="284">
        <f t="shared" si="1020"/>
        <v>0</v>
      </c>
    </row>
    <row r="2560" spans="1:46" customFormat="1" ht="15" customHeight="1" x14ac:dyDescent="0.8">
      <c r="A2560" s="262">
        <f t="shared" si="1021"/>
        <v>2560</v>
      </c>
      <c r="B2560" s="114"/>
      <c r="C2560" s="208"/>
      <c r="D2560" s="208"/>
      <c r="E2560" s="208"/>
      <c r="F2560" s="208"/>
      <c r="G2560" s="208"/>
      <c r="H2560" s="208"/>
      <c r="I2560" s="224"/>
      <c r="J2560" s="30"/>
      <c r="K2560" s="221"/>
      <c r="L2560" s="117"/>
      <c r="N2560" s="15" t="s">
        <v>120</v>
      </c>
      <c r="O2560" s="12"/>
      <c r="P2560" s="207"/>
      <c r="Q2560" s="12"/>
      <c r="R2560" s="12"/>
      <c r="S2560" s="28">
        <f>M2551</f>
        <v>4</v>
      </c>
      <c r="T2560" s="11"/>
      <c r="U2560" s="12"/>
      <c r="V2560" s="14" t="e">
        <f>U2560*#REF!</f>
        <v>#REF!</v>
      </c>
      <c r="W2560" s="14"/>
      <c r="X2560" s="26"/>
      <c r="Y2560" s="13"/>
      <c r="Z2560" s="68" t="e">
        <f>VLOOKUP(Takeoffs!Y2560,Sheet1!$B$6:$C$124,2,FALSE)</f>
        <v>#N/A</v>
      </c>
      <c r="AA2560" s="68"/>
      <c r="AB2560" s="18"/>
      <c r="AC2560" s="18"/>
      <c r="AD2560" s="18"/>
      <c r="AE2560" s="60"/>
      <c r="AF2560" s="13"/>
      <c r="AG2560" s="68" t="e">
        <f>VLOOKUP(Takeoffs!AF2560,Sheet1!$B$6:$C$124,2,FALSE)</f>
        <v>#N/A</v>
      </c>
      <c r="AH2560" s="68"/>
      <c r="AI2560" s="18"/>
      <c r="AJ2560" s="18"/>
      <c r="AK2560" s="18"/>
      <c r="AL2560" s="60"/>
      <c r="AO2560" s="286"/>
      <c r="AP2560" s="284">
        <f t="shared" si="1016"/>
        <v>0</v>
      </c>
      <c r="AQ2560" s="281">
        <f t="shared" si="1017"/>
        <v>0</v>
      </c>
      <c r="AR2560" s="284">
        <f t="shared" si="1018"/>
        <v>0</v>
      </c>
      <c r="AS2560" s="281">
        <f t="shared" si="1019"/>
        <v>0</v>
      </c>
      <c r="AT2560" s="284">
        <f t="shared" si="1020"/>
        <v>0</v>
      </c>
    </row>
    <row r="2561" spans="1:46" customFormat="1" ht="15" customHeight="1" x14ac:dyDescent="0.8">
      <c r="A2561" s="262">
        <f t="shared" si="1021"/>
        <v>2561</v>
      </c>
      <c r="B2561" s="114"/>
      <c r="C2561" s="208"/>
      <c r="D2561" s="208"/>
      <c r="E2561" s="208"/>
      <c r="F2561" s="208"/>
      <c r="G2561" s="208"/>
      <c r="H2561" s="208"/>
      <c r="I2561" s="224"/>
      <c r="J2561" s="30"/>
      <c r="K2561" s="221"/>
      <c r="L2561" s="117"/>
      <c r="N2561" s="15" t="s">
        <v>121</v>
      </c>
      <c r="O2561" s="12"/>
      <c r="P2561" s="207"/>
      <c r="Q2561" s="12"/>
      <c r="R2561" s="12"/>
      <c r="S2561" s="28">
        <f>M2551</f>
        <v>4</v>
      </c>
      <c r="T2561" s="11"/>
      <c r="U2561" s="12"/>
      <c r="V2561" s="14" t="e">
        <f>U2561*#REF!</f>
        <v>#REF!</v>
      </c>
      <c r="W2561" s="14"/>
      <c r="X2561" s="26"/>
      <c r="Y2561" s="13"/>
      <c r="Z2561" s="68" t="e">
        <f>VLOOKUP(Takeoffs!Y2561,Sheet1!$B$6:$C$124,2,FALSE)</f>
        <v>#N/A</v>
      </c>
      <c r="AA2561" s="68"/>
      <c r="AB2561" s="18"/>
      <c r="AC2561" s="18"/>
      <c r="AD2561" s="18"/>
      <c r="AE2561" s="60"/>
      <c r="AF2561" s="13"/>
      <c r="AG2561" s="68" t="e">
        <f>VLOOKUP(Takeoffs!AF2561,Sheet1!$B$6:$C$124,2,FALSE)</f>
        <v>#N/A</v>
      </c>
      <c r="AH2561" s="68"/>
      <c r="AI2561" s="18"/>
      <c r="AJ2561" s="18"/>
      <c r="AK2561" s="18"/>
      <c r="AL2561" s="60"/>
      <c r="AO2561" s="286"/>
      <c r="AP2561" s="284">
        <f t="shared" si="1016"/>
        <v>0</v>
      </c>
      <c r="AQ2561" s="281">
        <f t="shared" si="1017"/>
        <v>0</v>
      </c>
      <c r="AR2561" s="284">
        <f t="shared" si="1018"/>
        <v>0</v>
      </c>
      <c r="AS2561" s="281">
        <f t="shared" si="1019"/>
        <v>0</v>
      </c>
      <c r="AT2561" s="284">
        <f t="shared" si="1020"/>
        <v>0</v>
      </c>
    </row>
    <row r="2562" spans="1:46" customFormat="1" ht="15" customHeight="1" x14ac:dyDescent="0.8">
      <c r="A2562" s="262">
        <f t="shared" si="1021"/>
        <v>2562</v>
      </c>
      <c r="B2562" s="114"/>
      <c r="C2562" s="208"/>
      <c r="D2562" s="208"/>
      <c r="E2562" s="208"/>
      <c r="F2562" s="208"/>
      <c r="G2562" s="208"/>
      <c r="H2562" s="208"/>
      <c r="I2562" s="224"/>
      <c r="J2562" s="30"/>
      <c r="K2562" s="221"/>
      <c r="L2562" s="117"/>
      <c r="N2562" s="15" t="s">
        <v>122</v>
      </c>
      <c r="O2562" s="12"/>
      <c r="P2562" s="207"/>
      <c r="Q2562" s="12"/>
      <c r="R2562" s="12"/>
      <c r="S2562" s="28">
        <f>M2551</f>
        <v>4</v>
      </c>
      <c r="T2562" s="11"/>
      <c r="U2562" s="12"/>
      <c r="V2562" s="14" t="e">
        <f>U2562*#REF!</f>
        <v>#REF!</v>
      </c>
      <c r="W2562" s="14"/>
      <c r="X2562" s="26"/>
      <c r="Y2562" s="13"/>
      <c r="Z2562" s="68" t="e">
        <f>VLOOKUP(Takeoffs!Y2562,Sheet1!$B$6:$C$124,2,FALSE)</f>
        <v>#N/A</v>
      </c>
      <c r="AA2562" s="68"/>
      <c r="AB2562" s="18"/>
      <c r="AC2562" s="18"/>
      <c r="AD2562" s="18"/>
      <c r="AE2562" s="60"/>
      <c r="AF2562" s="13"/>
      <c r="AG2562" s="68" t="e">
        <f>VLOOKUP(Takeoffs!AF2562,Sheet1!$B$6:$C$124,2,FALSE)</f>
        <v>#N/A</v>
      </c>
      <c r="AH2562" s="68"/>
      <c r="AI2562" s="18"/>
      <c r="AJ2562" s="18"/>
      <c r="AK2562" s="18"/>
      <c r="AL2562" s="60"/>
      <c r="AO2562" s="286"/>
      <c r="AP2562" s="284">
        <f t="shared" si="1016"/>
        <v>0</v>
      </c>
      <c r="AQ2562" s="281">
        <f t="shared" si="1017"/>
        <v>0</v>
      </c>
      <c r="AR2562" s="284">
        <f t="shared" si="1018"/>
        <v>0</v>
      </c>
      <c r="AS2562" s="281">
        <f t="shared" si="1019"/>
        <v>0</v>
      </c>
      <c r="AT2562" s="284">
        <f t="shared" si="1020"/>
        <v>0</v>
      </c>
    </row>
    <row r="2563" spans="1:46" customFormat="1" ht="15" customHeight="1" x14ac:dyDescent="0.8">
      <c r="A2563" s="262">
        <f t="shared" si="1021"/>
        <v>2563</v>
      </c>
      <c r="B2563" s="114"/>
      <c r="C2563" s="208"/>
      <c r="D2563" s="208"/>
      <c r="E2563" s="208"/>
      <c r="F2563" s="208"/>
      <c r="G2563" s="208"/>
      <c r="H2563" s="208"/>
      <c r="I2563" s="224"/>
      <c r="J2563" s="30"/>
      <c r="K2563" s="221"/>
      <c r="L2563" s="117"/>
      <c r="N2563" s="15" t="s">
        <v>123</v>
      </c>
      <c r="O2563" s="12"/>
      <c r="P2563" s="207"/>
      <c r="Q2563" s="12"/>
      <c r="R2563" s="12"/>
      <c r="S2563" s="28">
        <f>M2551</f>
        <v>4</v>
      </c>
      <c r="T2563" s="11"/>
      <c r="U2563" s="12"/>
      <c r="V2563" s="14" t="e">
        <f>U2563*#REF!</f>
        <v>#REF!</v>
      </c>
      <c r="W2563" s="14"/>
      <c r="X2563" s="26"/>
      <c r="Y2563" s="13"/>
      <c r="Z2563" s="68" t="e">
        <f>VLOOKUP(Takeoffs!Y2563,Sheet1!$B$6:$C$124,2,FALSE)</f>
        <v>#N/A</v>
      </c>
      <c r="AA2563" s="68"/>
      <c r="AB2563" s="18"/>
      <c r="AC2563" s="18"/>
      <c r="AD2563" s="18"/>
      <c r="AE2563" s="60"/>
      <c r="AF2563" s="13"/>
      <c r="AG2563" s="68" t="e">
        <f>VLOOKUP(Takeoffs!AF2563,Sheet1!$B$6:$C$124,2,FALSE)</f>
        <v>#N/A</v>
      </c>
      <c r="AH2563" s="68"/>
      <c r="AI2563" s="18"/>
      <c r="AJ2563" s="18"/>
      <c r="AK2563" s="18"/>
      <c r="AL2563" s="60"/>
      <c r="AO2563" s="286"/>
      <c r="AP2563" s="284">
        <f t="shared" si="1016"/>
        <v>0</v>
      </c>
      <c r="AQ2563" s="281">
        <f t="shared" si="1017"/>
        <v>0</v>
      </c>
      <c r="AR2563" s="284">
        <f t="shared" si="1018"/>
        <v>0</v>
      </c>
      <c r="AS2563" s="281">
        <f t="shared" si="1019"/>
        <v>0</v>
      </c>
      <c r="AT2563" s="284">
        <f t="shared" si="1020"/>
        <v>0</v>
      </c>
    </row>
    <row r="2564" spans="1:46" customFormat="1" ht="15" customHeight="1" x14ac:dyDescent="0.8">
      <c r="A2564" s="262">
        <f t="shared" si="1021"/>
        <v>2564</v>
      </c>
      <c r="B2564" s="114"/>
      <c r="C2564" s="208"/>
      <c r="D2564" s="208"/>
      <c r="E2564" s="208"/>
      <c r="F2564" s="208"/>
      <c r="G2564" s="208"/>
      <c r="H2564" s="208"/>
      <c r="I2564" s="224"/>
      <c r="J2564" s="30"/>
      <c r="K2564" s="221"/>
      <c r="L2564" s="117"/>
      <c r="N2564" s="15" t="s">
        <v>124</v>
      </c>
      <c r="O2564" s="12"/>
      <c r="P2564" s="207"/>
      <c r="Q2564" s="12"/>
      <c r="R2564" s="12"/>
      <c r="S2564" s="28">
        <f>M2551</f>
        <v>4</v>
      </c>
      <c r="T2564" s="11"/>
      <c r="U2564" s="12"/>
      <c r="V2564" s="14" t="e">
        <f>U2564*#REF!</f>
        <v>#REF!</v>
      </c>
      <c r="W2564" s="14"/>
      <c r="X2564" s="26"/>
      <c r="Y2564" s="13"/>
      <c r="Z2564" s="68" t="e">
        <f>VLOOKUP(Takeoffs!Y2564,Sheet1!$B$6:$C$124,2,FALSE)</f>
        <v>#N/A</v>
      </c>
      <c r="AA2564" s="68"/>
      <c r="AB2564" s="18"/>
      <c r="AC2564" s="18"/>
      <c r="AD2564" s="18"/>
      <c r="AE2564" s="60"/>
      <c r="AF2564" s="13"/>
      <c r="AG2564" s="68" t="e">
        <f>VLOOKUP(Takeoffs!AF2564,Sheet1!$B$6:$C$124,2,FALSE)</f>
        <v>#N/A</v>
      </c>
      <c r="AH2564" s="68"/>
      <c r="AI2564" s="18"/>
      <c r="AJ2564" s="18"/>
      <c r="AK2564" s="18"/>
      <c r="AL2564" s="60"/>
      <c r="AO2564" s="286"/>
      <c r="AP2564" s="284">
        <f t="shared" si="1016"/>
        <v>0</v>
      </c>
      <c r="AQ2564" s="281">
        <f t="shared" si="1017"/>
        <v>0</v>
      </c>
      <c r="AR2564" s="284">
        <f t="shared" si="1018"/>
        <v>0</v>
      </c>
      <c r="AS2564" s="281">
        <f t="shared" si="1019"/>
        <v>0</v>
      </c>
      <c r="AT2564" s="284">
        <f t="shared" si="1020"/>
        <v>0</v>
      </c>
    </row>
    <row r="2565" spans="1:46" customFormat="1" ht="15" customHeight="1" x14ac:dyDescent="0.8">
      <c r="A2565" s="262">
        <f t="shared" si="1021"/>
        <v>2565</v>
      </c>
      <c r="B2565" s="114"/>
      <c r="C2565" s="208"/>
      <c r="D2565" s="208"/>
      <c r="E2565" s="208"/>
      <c r="F2565" s="208"/>
      <c r="G2565" s="208"/>
      <c r="H2565" s="208"/>
      <c r="I2565" s="224"/>
      <c r="J2565" s="30"/>
      <c r="K2565" s="221"/>
      <c r="L2565" s="117"/>
      <c r="N2565" s="15" t="s">
        <v>125</v>
      </c>
      <c r="O2565" s="12"/>
      <c r="P2565" s="207"/>
      <c r="Q2565" s="12"/>
      <c r="R2565" s="12"/>
      <c r="S2565" s="28">
        <f>M2551</f>
        <v>4</v>
      </c>
      <c r="T2565" s="11"/>
      <c r="U2565" s="12"/>
      <c r="V2565" s="14" t="e">
        <f>U2565*#REF!</f>
        <v>#REF!</v>
      </c>
      <c r="W2565" s="14"/>
      <c r="X2565" s="26"/>
      <c r="Y2565" s="13"/>
      <c r="Z2565" s="68" t="e">
        <f>VLOOKUP(Takeoffs!Y2565,Sheet1!$B$6:$C$124,2,FALSE)</f>
        <v>#N/A</v>
      </c>
      <c r="AA2565" s="68"/>
      <c r="AB2565" s="18"/>
      <c r="AC2565" s="18"/>
      <c r="AD2565" s="18"/>
      <c r="AE2565" s="60"/>
      <c r="AF2565" s="13"/>
      <c r="AG2565" s="68" t="e">
        <f>VLOOKUP(Takeoffs!AF2565,Sheet1!$B$6:$C$124,2,FALSE)</f>
        <v>#N/A</v>
      </c>
      <c r="AH2565" s="68"/>
      <c r="AI2565" s="18"/>
      <c r="AJ2565" s="18"/>
      <c r="AK2565" s="18"/>
      <c r="AL2565" s="60"/>
      <c r="AO2565" s="286"/>
      <c r="AP2565" s="284">
        <f t="shared" si="1016"/>
        <v>0</v>
      </c>
      <c r="AQ2565" s="281">
        <f t="shared" si="1017"/>
        <v>0</v>
      </c>
      <c r="AR2565" s="284">
        <f t="shared" si="1018"/>
        <v>0</v>
      </c>
      <c r="AS2565" s="281">
        <f t="shared" si="1019"/>
        <v>0</v>
      </c>
      <c r="AT2565" s="284">
        <f t="shared" si="1020"/>
        <v>0</v>
      </c>
    </row>
    <row r="2566" spans="1:46" customFormat="1" ht="15" customHeight="1" x14ac:dyDescent="0.8">
      <c r="A2566" s="262">
        <f t="shared" si="1021"/>
        <v>2566</v>
      </c>
      <c r="B2566" s="114"/>
      <c r="C2566" s="208"/>
      <c r="D2566" s="208"/>
      <c r="E2566" s="208"/>
      <c r="F2566" s="208"/>
      <c r="G2566" s="208"/>
      <c r="H2566" s="208"/>
      <c r="I2566" s="224"/>
      <c r="J2566" s="30"/>
      <c r="K2566" s="221"/>
      <c r="L2566" s="117"/>
      <c r="N2566" s="15" t="s">
        <v>126</v>
      </c>
      <c r="O2566" s="12"/>
      <c r="P2566" s="207"/>
      <c r="Q2566" s="12"/>
      <c r="R2566" s="12"/>
      <c r="S2566" s="28">
        <f>M2551</f>
        <v>4</v>
      </c>
      <c r="T2566" s="11"/>
      <c r="U2566" s="12"/>
      <c r="V2566" s="14" t="e">
        <f>U2566*#REF!</f>
        <v>#REF!</v>
      </c>
      <c r="W2566" s="14"/>
      <c r="X2566" s="26"/>
      <c r="Y2566" s="13"/>
      <c r="Z2566" s="68" t="e">
        <f>VLOOKUP(Takeoffs!Y2566,Sheet1!$B$6:$C$124,2,FALSE)</f>
        <v>#N/A</v>
      </c>
      <c r="AA2566" s="68"/>
      <c r="AB2566" s="18"/>
      <c r="AC2566" s="18"/>
      <c r="AD2566" s="18"/>
      <c r="AE2566" s="60"/>
      <c r="AF2566" s="13"/>
      <c r="AG2566" s="68" t="e">
        <f>VLOOKUP(Takeoffs!AF2566,Sheet1!$B$6:$C$124,2,FALSE)</f>
        <v>#N/A</v>
      </c>
      <c r="AH2566" s="68"/>
      <c r="AI2566" s="18"/>
      <c r="AJ2566" s="18"/>
      <c r="AK2566" s="18"/>
      <c r="AL2566" s="60"/>
      <c r="AO2566" s="286"/>
      <c r="AP2566" s="284">
        <f t="shared" si="1016"/>
        <v>0</v>
      </c>
      <c r="AQ2566" s="281">
        <f t="shared" si="1017"/>
        <v>0</v>
      </c>
      <c r="AR2566" s="284">
        <f t="shared" si="1018"/>
        <v>0</v>
      </c>
      <c r="AS2566" s="281">
        <f t="shared" si="1019"/>
        <v>0</v>
      </c>
      <c r="AT2566" s="284">
        <f t="shared" si="1020"/>
        <v>0</v>
      </c>
    </row>
    <row r="2567" spans="1:46" customFormat="1" ht="15" customHeight="1" x14ac:dyDescent="0.8">
      <c r="A2567" s="262">
        <f t="shared" si="1021"/>
        <v>2567</v>
      </c>
      <c r="B2567" s="114"/>
      <c r="C2567" s="208"/>
      <c r="D2567" s="208"/>
      <c r="E2567" s="208"/>
      <c r="F2567" s="208"/>
      <c r="G2567" s="208"/>
      <c r="H2567" s="208"/>
      <c r="I2567" s="224"/>
      <c r="J2567" s="30"/>
      <c r="K2567" s="221"/>
      <c r="L2567" s="117"/>
      <c r="N2567" s="15" t="s">
        <v>127</v>
      </c>
      <c r="O2567" s="12"/>
      <c r="P2567" s="207"/>
      <c r="Q2567" s="12"/>
      <c r="R2567" s="12"/>
      <c r="S2567" s="28">
        <f>M2551</f>
        <v>4</v>
      </c>
      <c r="T2567" s="11"/>
      <c r="U2567" s="12"/>
      <c r="V2567" s="14" t="e">
        <f>U2567*#REF!</f>
        <v>#REF!</v>
      </c>
      <c r="W2567" s="14"/>
      <c r="X2567" s="26"/>
      <c r="Y2567" s="13"/>
      <c r="Z2567" s="68" t="e">
        <f>VLOOKUP(Takeoffs!Y2567,Sheet1!$B$6:$C$124,2,FALSE)</f>
        <v>#N/A</v>
      </c>
      <c r="AA2567" s="68"/>
      <c r="AB2567" s="18"/>
      <c r="AC2567" s="18"/>
      <c r="AD2567" s="18"/>
      <c r="AE2567" s="60"/>
      <c r="AF2567" s="13"/>
      <c r="AG2567" s="68" t="e">
        <f>VLOOKUP(Takeoffs!AF2567,Sheet1!$B$6:$C$124,2,FALSE)</f>
        <v>#N/A</v>
      </c>
      <c r="AH2567" s="68"/>
      <c r="AI2567" s="18"/>
      <c r="AJ2567" s="18"/>
      <c r="AK2567" s="18"/>
      <c r="AL2567" s="60"/>
      <c r="AO2567" s="286"/>
      <c r="AP2567" s="284">
        <f t="shared" si="1016"/>
        <v>0</v>
      </c>
      <c r="AQ2567" s="281">
        <f t="shared" si="1017"/>
        <v>0</v>
      </c>
      <c r="AR2567" s="284">
        <f t="shared" si="1018"/>
        <v>0</v>
      </c>
      <c r="AS2567" s="281">
        <f t="shared" si="1019"/>
        <v>0</v>
      </c>
      <c r="AT2567" s="284">
        <f t="shared" si="1020"/>
        <v>0</v>
      </c>
    </row>
    <row r="2568" spans="1:46" customFormat="1" ht="15" customHeight="1" x14ac:dyDescent="0.8">
      <c r="A2568" s="262">
        <f t="shared" si="1021"/>
        <v>2568</v>
      </c>
      <c r="B2568" s="114"/>
      <c r="C2568" s="208"/>
      <c r="D2568" s="208"/>
      <c r="E2568" s="208"/>
      <c r="F2568" s="208"/>
      <c r="G2568" s="208"/>
      <c r="H2568" s="208"/>
      <c r="I2568" s="224"/>
      <c r="J2568" s="30"/>
      <c r="K2568" s="221"/>
      <c r="L2568" s="117"/>
      <c r="N2568" s="15" t="s">
        <v>128</v>
      </c>
      <c r="O2568" s="12"/>
      <c r="P2568" s="207"/>
      <c r="Q2568" s="12"/>
      <c r="R2568" s="12"/>
      <c r="S2568" s="28">
        <f>M2551</f>
        <v>4</v>
      </c>
      <c r="T2568" s="11"/>
      <c r="U2568" s="12"/>
      <c r="V2568" s="14" t="e">
        <f>U2568*#REF!</f>
        <v>#REF!</v>
      </c>
      <c r="W2568" s="14"/>
      <c r="X2568" s="26"/>
      <c r="Y2568" s="13"/>
      <c r="Z2568" s="68" t="e">
        <f>VLOOKUP(Takeoffs!Y2568,Sheet1!$B$6:$C$124,2,FALSE)</f>
        <v>#N/A</v>
      </c>
      <c r="AA2568" s="68"/>
      <c r="AB2568" s="18"/>
      <c r="AC2568" s="18"/>
      <c r="AD2568" s="18"/>
      <c r="AE2568" s="60"/>
      <c r="AF2568" s="13"/>
      <c r="AG2568" s="68" t="e">
        <f>VLOOKUP(Takeoffs!AF2568,Sheet1!$B$6:$C$124,2,FALSE)</f>
        <v>#N/A</v>
      </c>
      <c r="AH2568" s="68"/>
      <c r="AI2568" s="18"/>
      <c r="AJ2568" s="18"/>
      <c r="AK2568" s="18"/>
      <c r="AL2568" s="60"/>
      <c r="AO2568" s="286"/>
      <c r="AP2568" s="284">
        <f t="shared" si="1016"/>
        <v>0</v>
      </c>
      <c r="AQ2568" s="281">
        <f t="shared" si="1017"/>
        <v>0</v>
      </c>
      <c r="AR2568" s="284">
        <f t="shared" si="1018"/>
        <v>0</v>
      </c>
      <c r="AS2568" s="281">
        <f t="shared" si="1019"/>
        <v>0</v>
      </c>
      <c r="AT2568" s="284">
        <f t="shared" si="1020"/>
        <v>0</v>
      </c>
    </row>
    <row r="2569" spans="1:46" customFormat="1" ht="15" customHeight="1" x14ac:dyDescent="0.8">
      <c r="A2569" s="262">
        <f t="shared" si="1021"/>
        <v>2569</v>
      </c>
      <c r="B2569" s="114"/>
      <c r="C2569" s="208"/>
      <c r="D2569" s="208"/>
      <c r="E2569" s="208"/>
      <c r="F2569" s="208"/>
      <c r="G2569" s="208"/>
      <c r="H2569" s="208"/>
      <c r="I2569" s="224"/>
      <c r="J2569" s="30"/>
      <c r="K2569" s="221"/>
      <c r="L2569" s="117"/>
      <c r="N2569" s="15" t="s">
        <v>129</v>
      </c>
      <c r="O2569" s="12"/>
      <c r="P2569" s="207"/>
      <c r="Q2569" s="12"/>
      <c r="R2569" s="12"/>
      <c r="S2569" s="28">
        <f>M2551</f>
        <v>4</v>
      </c>
      <c r="T2569" s="11"/>
      <c r="U2569" s="12"/>
      <c r="V2569" s="14" t="e">
        <f>U2569*#REF!</f>
        <v>#REF!</v>
      </c>
      <c r="W2569" s="14"/>
      <c r="X2569" s="26"/>
      <c r="Y2569" s="13"/>
      <c r="Z2569" s="68" t="e">
        <f>VLOOKUP(Takeoffs!Y2569,Sheet1!$B$6:$C$124,2,FALSE)</f>
        <v>#N/A</v>
      </c>
      <c r="AA2569" s="68"/>
      <c r="AB2569" s="18"/>
      <c r="AC2569" s="18"/>
      <c r="AD2569" s="18"/>
      <c r="AE2569" s="60"/>
      <c r="AF2569" s="13"/>
      <c r="AG2569" s="68" t="e">
        <f>VLOOKUP(Takeoffs!AF2569,Sheet1!$B$6:$C$124,2,FALSE)</f>
        <v>#N/A</v>
      </c>
      <c r="AH2569" s="68"/>
      <c r="AI2569" s="18"/>
      <c r="AJ2569" s="18"/>
      <c r="AK2569" s="18"/>
      <c r="AL2569" s="60"/>
      <c r="AO2569" s="286"/>
      <c r="AP2569" s="284">
        <f t="shared" si="1016"/>
        <v>0</v>
      </c>
      <c r="AQ2569" s="281">
        <f t="shared" si="1017"/>
        <v>0</v>
      </c>
      <c r="AR2569" s="284">
        <f t="shared" si="1018"/>
        <v>0</v>
      </c>
      <c r="AS2569" s="281">
        <f t="shared" si="1019"/>
        <v>0</v>
      </c>
      <c r="AT2569" s="284">
        <f t="shared" si="1020"/>
        <v>0</v>
      </c>
    </row>
    <row r="2570" spans="1:46" customFormat="1" ht="15" customHeight="1" x14ac:dyDescent="0.8">
      <c r="A2570" s="262">
        <f t="shared" si="1021"/>
        <v>2570</v>
      </c>
      <c r="B2570" s="114"/>
      <c r="C2570" s="208"/>
      <c r="D2570" s="208"/>
      <c r="E2570" s="208"/>
      <c r="F2570" s="208"/>
      <c r="G2570" s="208"/>
      <c r="H2570" s="208"/>
      <c r="I2570" s="224"/>
      <c r="J2570" s="30"/>
      <c r="K2570" s="221"/>
      <c r="L2570" s="117"/>
      <c r="N2570" s="15" t="s">
        <v>130</v>
      </c>
      <c r="O2570" s="12"/>
      <c r="P2570" s="207"/>
      <c r="Q2570" s="12"/>
      <c r="R2570" s="12"/>
      <c r="S2570" s="28">
        <f>M2551</f>
        <v>4</v>
      </c>
      <c r="T2570" s="11"/>
      <c r="U2570" s="12"/>
      <c r="V2570" s="14" t="e">
        <f>U2570*#REF!</f>
        <v>#REF!</v>
      </c>
      <c r="W2570" s="14"/>
      <c r="X2570" s="26"/>
      <c r="Y2570" s="13"/>
      <c r="Z2570" s="68" t="e">
        <f>VLOOKUP(Takeoffs!Y2570,Sheet1!$B$6:$C$124,2,FALSE)</f>
        <v>#N/A</v>
      </c>
      <c r="AA2570" s="68"/>
      <c r="AB2570" s="18"/>
      <c r="AC2570" s="18"/>
      <c r="AD2570" s="18"/>
      <c r="AE2570" s="60"/>
      <c r="AF2570" s="13"/>
      <c r="AG2570" s="68" t="e">
        <f>VLOOKUP(Takeoffs!AF2570,Sheet1!$B$6:$C$124,2,FALSE)</f>
        <v>#N/A</v>
      </c>
      <c r="AH2570" s="68"/>
      <c r="AI2570" s="18"/>
      <c r="AJ2570" s="18"/>
      <c r="AK2570" s="18"/>
      <c r="AL2570" s="60"/>
      <c r="AO2570" s="286"/>
      <c r="AP2570" s="284">
        <f t="shared" si="1016"/>
        <v>0</v>
      </c>
      <c r="AQ2570" s="281">
        <f t="shared" si="1017"/>
        <v>0</v>
      </c>
      <c r="AR2570" s="284">
        <f t="shared" si="1018"/>
        <v>0</v>
      </c>
      <c r="AS2570" s="281">
        <f t="shared" si="1019"/>
        <v>0</v>
      </c>
      <c r="AT2570" s="284">
        <f t="shared" si="1020"/>
        <v>0</v>
      </c>
    </row>
    <row r="2571" spans="1:46" customFormat="1" ht="15" customHeight="1" x14ac:dyDescent="0.8">
      <c r="A2571" s="262">
        <f t="shared" si="1021"/>
        <v>2571</v>
      </c>
      <c r="B2571" s="114"/>
      <c r="C2571" s="208"/>
      <c r="D2571" s="208"/>
      <c r="E2571" s="208"/>
      <c r="F2571" s="208"/>
      <c r="G2571" s="208"/>
      <c r="H2571" s="208"/>
      <c r="I2571" s="224"/>
      <c r="J2571" s="30"/>
      <c r="K2571" s="221"/>
      <c r="L2571" s="117"/>
      <c r="N2571" s="15" t="s">
        <v>131</v>
      </c>
      <c r="O2571" s="12"/>
      <c r="P2571" s="207"/>
      <c r="Q2571" s="12"/>
      <c r="R2571" s="12"/>
      <c r="S2571" s="28">
        <f>M2551</f>
        <v>4</v>
      </c>
      <c r="T2571" s="11"/>
      <c r="U2571" s="12"/>
      <c r="V2571" s="14" t="e">
        <f>U2571*#REF!</f>
        <v>#REF!</v>
      </c>
      <c r="W2571" s="14"/>
      <c r="X2571" s="26"/>
      <c r="Y2571" s="13"/>
      <c r="Z2571" s="68" t="e">
        <f>VLOOKUP(Takeoffs!Y2571,Sheet1!$B$6:$C$124,2,FALSE)</f>
        <v>#N/A</v>
      </c>
      <c r="AA2571" s="68"/>
      <c r="AB2571" s="18"/>
      <c r="AC2571" s="18"/>
      <c r="AD2571" s="18"/>
      <c r="AE2571" s="60"/>
      <c r="AF2571" s="13"/>
      <c r="AG2571" s="68" t="e">
        <f>VLOOKUP(Takeoffs!AF2571,Sheet1!$B$6:$C$124,2,FALSE)</f>
        <v>#N/A</v>
      </c>
      <c r="AH2571" s="68"/>
      <c r="AI2571" s="18"/>
      <c r="AJ2571" s="18"/>
      <c r="AK2571" s="18"/>
      <c r="AL2571" s="60"/>
      <c r="AO2571" s="286"/>
      <c r="AP2571" s="284">
        <f t="shared" si="1016"/>
        <v>0</v>
      </c>
      <c r="AQ2571" s="281">
        <f t="shared" si="1017"/>
        <v>0</v>
      </c>
      <c r="AR2571" s="284">
        <f t="shared" si="1018"/>
        <v>0</v>
      </c>
      <c r="AS2571" s="281">
        <f t="shared" si="1019"/>
        <v>0</v>
      </c>
      <c r="AT2571" s="284">
        <f t="shared" si="1020"/>
        <v>0</v>
      </c>
    </row>
    <row r="2572" spans="1:46" customFormat="1" ht="15" customHeight="1" x14ac:dyDescent="0.8">
      <c r="A2572" s="262">
        <f t="shared" si="1021"/>
        <v>2572</v>
      </c>
      <c r="B2572" s="114"/>
      <c r="C2572" s="208"/>
      <c r="D2572" s="208"/>
      <c r="E2572" s="208"/>
      <c r="F2572" s="208"/>
      <c r="G2572" s="208"/>
      <c r="H2572" s="208"/>
      <c r="I2572" s="224"/>
      <c r="J2572" s="30"/>
      <c r="K2572" s="221"/>
      <c r="L2572" s="117"/>
      <c r="N2572" s="15" t="s">
        <v>132</v>
      </c>
      <c r="O2572" s="12"/>
      <c r="P2572" s="207"/>
      <c r="Q2572" s="12"/>
      <c r="R2572" s="12"/>
      <c r="S2572" s="28">
        <f>M2551</f>
        <v>4</v>
      </c>
      <c r="T2572" s="11"/>
      <c r="U2572" s="12"/>
      <c r="V2572" s="14" t="e">
        <f>U2572*#REF!</f>
        <v>#REF!</v>
      </c>
      <c r="W2572" s="14"/>
      <c r="X2572" s="26"/>
      <c r="Y2572" s="13"/>
      <c r="Z2572" s="68" t="e">
        <f>VLOOKUP(Takeoffs!Y2572,Sheet1!$B$6:$C$124,2,FALSE)</f>
        <v>#N/A</v>
      </c>
      <c r="AA2572" s="68"/>
      <c r="AB2572" s="18"/>
      <c r="AC2572" s="18"/>
      <c r="AD2572" s="18"/>
      <c r="AE2572" s="60"/>
      <c r="AF2572" s="13"/>
      <c r="AG2572" s="68" t="e">
        <f>VLOOKUP(Takeoffs!AF2572,Sheet1!$B$6:$C$124,2,FALSE)</f>
        <v>#N/A</v>
      </c>
      <c r="AH2572" s="68"/>
      <c r="AI2572" s="18"/>
      <c r="AJ2572" s="18"/>
      <c r="AK2572" s="18"/>
      <c r="AL2572" s="60"/>
      <c r="AO2572" s="286"/>
      <c r="AP2572" s="284">
        <f t="shared" si="1016"/>
        <v>0</v>
      </c>
      <c r="AQ2572" s="281">
        <f t="shared" si="1017"/>
        <v>0</v>
      </c>
      <c r="AR2572" s="284">
        <f t="shared" si="1018"/>
        <v>0</v>
      </c>
      <c r="AS2572" s="281">
        <f t="shared" si="1019"/>
        <v>0</v>
      </c>
      <c r="AT2572" s="284">
        <f t="shared" si="1020"/>
        <v>0</v>
      </c>
    </row>
    <row r="2573" spans="1:46" s="21" customFormat="1" ht="33.75" customHeight="1" x14ac:dyDescent="0.8">
      <c r="A2573" s="262">
        <f t="shared" si="1021"/>
        <v>2573</v>
      </c>
      <c r="B2573" s="128"/>
      <c r="C2573" s="212"/>
      <c r="D2573" s="212"/>
      <c r="E2573" s="212"/>
      <c r="F2573" s="212"/>
      <c r="G2573" s="212"/>
      <c r="H2573" s="212"/>
      <c r="I2573" s="224"/>
      <c r="K2573" s="223"/>
      <c r="L2573" s="130"/>
      <c r="N2573" s="22"/>
      <c r="O2573" s="23"/>
      <c r="P2573" s="207"/>
      <c r="Q2573" s="23"/>
      <c r="R2573" s="23"/>
      <c r="S2573" s="23"/>
      <c r="T2573" s="24"/>
      <c r="U2573" s="23"/>
      <c r="V2573" s="24"/>
      <c r="W2573" s="24"/>
      <c r="X2573" s="26"/>
      <c r="Y2573" s="24"/>
      <c r="Z2573" s="68" t="e">
        <f>VLOOKUP(Takeoffs!Y2573,Sheet1!$B$6:$C$124,2,FALSE)</f>
        <v>#N/A</v>
      </c>
      <c r="AA2573" s="68"/>
      <c r="AB2573" s="31"/>
      <c r="AC2573" s="31"/>
      <c r="AD2573" s="31"/>
      <c r="AE2573" s="60"/>
      <c r="AF2573" s="24"/>
      <c r="AG2573" s="68" t="e">
        <f>VLOOKUP(Takeoffs!AF2573,Sheet1!$B$6:$C$124,2,FALSE)</f>
        <v>#N/A</v>
      </c>
      <c r="AH2573" s="68"/>
      <c r="AI2573" s="31"/>
      <c r="AJ2573" s="31"/>
      <c r="AK2573" s="31"/>
      <c r="AL2573" s="60"/>
      <c r="AO2573" s="286"/>
      <c r="AP2573" s="284">
        <f t="shared" si="1016"/>
        <v>0</v>
      </c>
      <c r="AQ2573" s="281">
        <f t="shared" si="1017"/>
        <v>0</v>
      </c>
      <c r="AR2573" s="284">
        <f t="shared" si="1018"/>
        <v>0</v>
      </c>
      <c r="AS2573" s="281">
        <f t="shared" si="1019"/>
        <v>0</v>
      </c>
      <c r="AT2573" s="284">
        <f t="shared" si="1020"/>
        <v>0</v>
      </c>
    </row>
    <row r="2574" spans="1:46" customFormat="1" ht="30.9" x14ac:dyDescent="0.8">
      <c r="A2574" s="262">
        <f t="shared" si="1021"/>
        <v>2574</v>
      </c>
      <c r="B2574" s="114"/>
      <c r="C2574" s="208"/>
      <c r="D2574" s="208"/>
      <c r="E2574" s="208"/>
      <c r="F2574" s="208"/>
      <c r="G2574" s="208"/>
      <c r="H2574" s="208"/>
      <c r="I2574" s="228"/>
      <c r="K2574" s="221"/>
      <c r="L2574" s="117"/>
      <c r="P2574" s="201"/>
      <c r="Q2574" s="32"/>
      <c r="R2574" s="32"/>
      <c r="T2574" s="8"/>
      <c r="W2574" s="32"/>
      <c r="X2574" s="25"/>
      <c r="Z2574" s="68" t="e">
        <f>VLOOKUP(Takeoffs!Y2574,Sheet1!$B$6:$C$124,2,FALSE)</f>
        <v>#N/A</v>
      </c>
      <c r="AA2574" s="68"/>
      <c r="AB2574" s="32"/>
      <c r="AC2574" s="32"/>
      <c r="AD2574" s="32"/>
      <c r="AE2574" s="25"/>
      <c r="AF2574" s="32"/>
      <c r="AG2574" s="68" t="e">
        <f>VLOOKUP(Takeoffs!AF2574,Sheet1!$B$6:$C$124,2,FALSE)</f>
        <v>#N/A</v>
      </c>
      <c r="AH2574" s="68"/>
      <c r="AI2574" s="32"/>
      <c r="AJ2574" s="32"/>
      <c r="AK2574" s="32"/>
      <c r="AL2574" s="25"/>
      <c r="AO2574" s="286"/>
      <c r="AP2574" s="284">
        <f t="shared" si="1016"/>
        <v>0</v>
      </c>
      <c r="AQ2574" s="281">
        <f t="shared" si="1017"/>
        <v>0</v>
      </c>
      <c r="AR2574" s="284">
        <f t="shared" si="1018"/>
        <v>0</v>
      </c>
      <c r="AS2574" s="281">
        <f t="shared" si="1019"/>
        <v>0</v>
      </c>
      <c r="AT2574" s="284">
        <f t="shared" si="1020"/>
        <v>0</v>
      </c>
    </row>
    <row r="2575" spans="1:46" customFormat="1" ht="30.9" x14ac:dyDescent="0.8">
      <c r="A2575" s="262">
        <f t="shared" si="1021"/>
        <v>2575</v>
      </c>
      <c r="B2575" s="114"/>
      <c r="C2575" s="208"/>
      <c r="D2575" s="208"/>
      <c r="E2575" s="208"/>
      <c r="F2575" s="208"/>
      <c r="G2575" s="208"/>
      <c r="H2575" s="208"/>
      <c r="I2575" s="224"/>
      <c r="K2575" s="221"/>
      <c r="L2575" s="117"/>
      <c r="P2575" s="201"/>
      <c r="Q2575" s="32"/>
      <c r="R2575" s="32"/>
      <c r="T2575" s="8"/>
      <c r="W2575" s="32"/>
      <c r="X2575" s="25"/>
      <c r="Z2575" s="68" t="e">
        <f>VLOOKUP(Takeoffs!Y2575,Sheet1!$B$6:$C$124,2,FALSE)</f>
        <v>#N/A</v>
      </c>
      <c r="AA2575" s="68"/>
      <c r="AB2575" s="32"/>
      <c r="AC2575" s="32"/>
      <c r="AD2575" s="32"/>
      <c r="AE2575" s="25"/>
      <c r="AF2575" s="32"/>
      <c r="AG2575" s="68" t="e">
        <f>VLOOKUP(Takeoffs!AF2575,Sheet1!$B$6:$C$124,2,FALSE)</f>
        <v>#N/A</v>
      </c>
      <c r="AH2575" s="68"/>
      <c r="AI2575" s="32"/>
      <c r="AJ2575" s="32"/>
      <c r="AK2575" s="32"/>
      <c r="AL2575" s="25"/>
      <c r="AO2575" s="286"/>
      <c r="AP2575" s="284">
        <f t="shared" si="1016"/>
        <v>0</v>
      </c>
      <c r="AQ2575" s="281">
        <f t="shared" si="1017"/>
        <v>0</v>
      </c>
      <c r="AR2575" s="284">
        <f t="shared" si="1018"/>
        <v>0</v>
      </c>
      <c r="AS2575" s="281">
        <f t="shared" si="1019"/>
        <v>0</v>
      </c>
      <c r="AT2575" s="284">
        <f t="shared" si="1020"/>
        <v>0</v>
      </c>
    </row>
    <row r="2576" spans="1:46" s="2" customFormat="1" ht="62.25" customHeight="1" x14ac:dyDescent="0.8">
      <c r="A2576" s="262">
        <f t="shared" si="1021"/>
        <v>2576</v>
      </c>
      <c r="B2576" s="116"/>
      <c r="C2576" s="211"/>
      <c r="D2576" s="211"/>
      <c r="E2576" s="211"/>
      <c r="F2576" s="211"/>
      <c r="G2576" s="211"/>
      <c r="H2576" s="211"/>
      <c r="I2576" s="224"/>
      <c r="K2576" s="222"/>
      <c r="L2576" s="170"/>
      <c r="M2576" s="2" t="s">
        <v>107</v>
      </c>
      <c r="N2576" s="2" t="s">
        <v>108</v>
      </c>
      <c r="O2576" s="2" t="s">
        <v>4</v>
      </c>
      <c r="P2576" s="184" t="s">
        <v>5</v>
      </c>
      <c r="S2576" s="2" t="s">
        <v>0</v>
      </c>
      <c r="T2576" s="9"/>
      <c r="U2576" s="2" t="s">
        <v>109</v>
      </c>
      <c r="V2576" s="2" t="s">
        <v>110</v>
      </c>
      <c r="X2576" s="58"/>
      <c r="Y2576" s="2" t="s">
        <v>111</v>
      </c>
      <c r="Z2576" s="68" t="e">
        <f>VLOOKUP(Takeoffs!Y2576,Sheet1!$B$6:$C$124,2,FALSE)</f>
        <v>#N/A</v>
      </c>
      <c r="AA2576" s="68"/>
      <c r="AE2576" s="58"/>
      <c r="AF2576" s="2" t="s">
        <v>111</v>
      </c>
      <c r="AG2576" s="68" t="e">
        <f>VLOOKUP(Takeoffs!AF2576,Sheet1!$B$6:$C$124,2,FALSE)</f>
        <v>#N/A</v>
      </c>
      <c r="AH2576" s="68"/>
      <c r="AL2576" s="58"/>
      <c r="AO2576" s="288"/>
      <c r="AP2576" s="284">
        <f t="shared" si="1016"/>
        <v>0</v>
      </c>
      <c r="AQ2576" s="281">
        <f t="shared" si="1017"/>
        <v>0</v>
      </c>
      <c r="AR2576" s="284">
        <f t="shared" si="1018"/>
        <v>0</v>
      </c>
      <c r="AS2576" s="281">
        <f t="shared" si="1019"/>
        <v>0</v>
      </c>
      <c r="AT2576" s="284">
        <f t="shared" si="1020"/>
        <v>0</v>
      </c>
    </row>
    <row r="2577" spans="1:46" customFormat="1" ht="179.25" customHeight="1" x14ac:dyDescent="0.8">
      <c r="A2577" s="262">
        <f t="shared" si="1021"/>
        <v>2577</v>
      </c>
      <c r="B2577" s="114"/>
      <c r="C2577" s="208"/>
      <c r="D2577" s="208"/>
      <c r="E2577" s="208"/>
      <c r="F2577" s="208"/>
      <c r="G2577" s="208"/>
      <c r="H2577" s="208"/>
      <c r="I2577" s="227"/>
      <c r="J2577" s="30" t="str">
        <f>CONCATENATE(O2577," ",L2577, " (",M2577,") ",N2577,". Each includes supply and install of ",O2578,O2579,O2580,O2581,O2582,O2583,O2584,O2585,O2586,O2587,O2588,O2589,O2590,O2591,O2592,O2593,O2594,O2595,O2596,O2597,)</f>
        <v>Electrical services for four (4) freezer refrigeration systems. Each includes supply and install of powersupply from MSSB to condenser set (including CB, contactors, wiring and local isolator),powersupply from MSSB to evaporator (including CB, contactors, wiring and local isolator)Installation (only) of refrigeration controller ( including power supply and interconnect controls cabling)Installation (only) of temperature probeFor freezer, installation includes powersupply from MSSB to evaporator heaters (including CB, contactors, wiring and local isolator)For freezer, installation includes powersupply from MSSB to evaporator heaters (including CB, contactors, wiring and local isolator)For freezer, installation includes proximity switch for freezer door ( spec 15.9.2)Commissioning of control panel and refrigeration systems is excluded.Supply of heaters is excluded.</v>
      </c>
      <c r="K2577" s="221"/>
      <c r="L2577" s="123" t="str">
        <f>VLOOKUP(M2577,Sheet2!$D$2:$E$1024,2,FALSE)</f>
        <v>four</v>
      </c>
      <c r="M2577" s="12">
        <v>4</v>
      </c>
      <c r="N2577" s="27" t="s">
        <v>219</v>
      </c>
      <c r="O2577" s="12" t="s">
        <v>195</v>
      </c>
      <c r="P2577" s="207"/>
      <c r="Q2577" s="12"/>
      <c r="R2577" s="12"/>
      <c r="S2577" s="28"/>
      <c r="T2577" s="10"/>
      <c r="U2577" s="12"/>
      <c r="V2577" s="14" t="e">
        <f>U2577*#REF!</f>
        <v>#REF!</v>
      </c>
      <c r="W2577" s="14"/>
      <c r="X2577" s="26"/>
      <c r="Y2577" s="13"/>
      <c r="Z2577" s="68" t="e">
        <f>VLOOKUP(Takeoffs!Y2577,Sheet1!$B$6:$C$124,2,FALSE)</f>
        <v>#N/A</v>
      </c>
      <c r="AA2577" s="68"/>
      <c r="AB2577" s="18"/>
      <c r="AC2577" s="18"/>
      <c r="AD2577" s="18"/>
      <c r="AE2577" s="60"/>
      <c r="AF2577" s="13"/>
      <c r="AG2577" s="68" t="e">
        <f>VLOOKUP(Takeoffs!AF2577,Sheet1!$B$6:$C$124,2,FALSE)</f>
        <v>#N/A</v>
      </c>
      <c r="AH2577" s="68"/>
      <c r="AI2577" s="18"/>
      <c r="AJ2577" s="18"/>
      <c r="AK2577" s="18"/>
      <c r="AL2577" s="60"/>
      <c r="AO2577" s="286"/>
      <c r="AP2577" s="284">
        <f t="shared" si="1016"/>
        <v>0</v>
      </c>
      <c r="AQ2577" s="281">
        <f t="shared" si="1017"/>
        <v>0</v>
      </c>
      <c r="AR2577" s="284">
        <f t="shared" si="1018"/>
        <v>0</v>
      </c>
      <c r="AS2577" s="281">
        <f t="shared" si="1019"/>
        <v>0</v>
      </c>
      <c r="AT2577" s="284">
        <f t="shared" si="1020"/>
        <v>0</v>
      </c>
    </row>
    <row r="2578" spans="1:46" customFormat="1" ht="15" customHeight="1" x14ac:dyDescent="0.8">
      <c r="A2578" s="262">
        <f t="shared" si="1021"/>
        <v>2578</v>
      </c>
      <c r="B2578" s="114"/>
      <c r="C2578" s="208"/>
      <c r="D2578" s="208"/>
      <c r="E2578" s="208"/>
      <c r="F2578" s="208"/>
      <c r="G2578" s="208"/>
      <c r="H2578" s="208"/>
      <c r="I2578" s="224"/>
      <c r="J2578" s="30"/>
      <c r="K2578" s="221"/>
      <c r="L2578" s="117"/>
      <c r="M2578" s="3"/>
      <c r="N2578" s="15" t="s">
        <v>113</v>
      </c>
      <c r="O2578" t="s">
        <v>208</v>
      </c>
      <c r="P2578" s="207"/>
      <c r="Q2578" s="12"/>
      <c r="R2578" s="12"/>
      <c r="S2578" s="28">
        <f>M2577</f>
        <v>4</v>
      </c>
      <c r="T2578" s="11"/>
      <c r="U2578" s="12"/>
      <c r="V2578" s="14" t="e">
        <f>U2578*#REF!</f>
        <v>#REF!</v>
      </c>
      <c r="W2578" s="14"/>
      <c r="X2578" s="26"/>
      <c r="Y2578" s="13"/>
      <c r="Z2578" s="68" t="e">
        <f>VLOOKUP(Takeoffs!Y2578,Sheet1!$B$6:$C$124,2,FALSE)</f>
        <v>#N/A</v>
      </c>
      <c r="AA2578" s="68"/>
      <c r="AB2578" s="18"/>
      <c r="AC2578" s="18"/>
      <c r="AD2578" s="18"/>
      <c r="AE2578" s="60"/>
      <c r="AF2578" s="13"/>
      <c r="AG2578" s="68" t="e">
        <f>VLOOKUP(Takeoffs!AF2578,Sheet1!$B$6:$C$124,2,FALSE)</f>
        <v>#N/A</v>
      </c>
      <c r="AH2578" s="68"/>
      <c r="AI2578" s="18"/>
      <c r="AJ2578" s="18"/>
      <c r="AK2578" s="18"/>
      <c r="AL2578" s="60"/>
      <c r="AO2578" s="286"/>
      <c r="AP2578" s="284">
        <f t="shared" si="1016"/>
        <v>0</v>
      </c>
      <c r="AQ2578" s="281">
        <f t="shared" si="1017"/>
        <v>0</v>
      </c>
      <c r="AR2578" s="284">
        <f t="shared" si="1018"/>
        <v>0</v>
      </c>
      <c r="AS2578" s="281">
        <f t="shared" si="1019"/>
        <v>0</v>
      </c>
      <c r="AT2578" s="284">
        <f t="shared" si="1020"/>
        <v>0</v>
      </c>
    </row>
    <row r="2579" spans="1:46" customFormat="1" ht="15" customHeight="1" x14ac:dyDescent="0.8">
      <c r="A2579" s="262">
        <f t="shared" si="1021"/>
        <v>2579</v>
      </c>
      <c r="B2579" s="114"/>
      <c r="C2579" s="208"/>
      <c r="D2579" s="208"/>
      <c r="E2579" s="208"/>
      <c r="F2579" s="208"/>
      <c r="G2579" s="208"/>
      <c r="H2579" s="208"/>
      <c r="I2579" s="224"/>
      <c r="J2579" s="30"/>
      <c r="K2579" s="221"/>
      <c r="L2579" s="117"/>
      <c r="M2579" s="3"/>
      <c r="N2579" s="15" t="s">
        <v>114</v>
      </c>
      <c r="O2579" t="s">
        <v>202</v>
      </c>
      <c r="P2579" s="207"/>
      <c r="Q2579" s="12"/>
      <c r="R2579" s="12"/>
      <c r="S2579" s="28">
        <f>M2577</f>
        <v>4</v>
      </c>
      <c r="T2579" s="11"/>
      <c r="U2579" s="12"/>
      <c r="V2579" s="14" t="e">
        <f>U2579*#REF!</f>
        <v>#REF!</v>
      </c>
      <c r="W2579" s="14"/>
      <c r="X2579" s="26"/>
      <c r="Y2579" s="13"/>
      <c r="Z2579" s="68" t="e">
        <f>VLOOKUP(Takeoffs!Y2579,Sheet1!$B$6:$C$124,2,FALSE)</f>
        <v>#N/A</v>
      </c>
      <c r="AA2579" s="68"/>
      <c r="AB2579" s="18"/>
      <c r="AC2579" s="18"/>
      <c r="AD2579" s="18"/>
      <c r="AE2579" s="60"/>
      <c r="AF2579" s="13"/>
      <c r="AG2579" s="68" t="e">
        <f>VLOOKUP(Takeoffs!AF2579,Sheet1!$B$6:$C$124,2,FALSE)</f>
        <v>#N/A</v>
      </c>
      <c r="AH2579" s="68"/>
      <c r="AI2579" s="18"/>
      <c r="AJ2579" s="18"/>
      <c r="AK2579" s="18"/>
      <c r="AL2579" s="60"/>
      <c r="AO2579" s="286"/>
      <c r="AP2579" s="284">
        <f t="shared" si="1016"/>
        <v>0</v>
      </c>
      <c r="AQ2579" s="281">
        <f t="shared" si="1017"/>
        <v>0</v>
      </c>
      <c r="AR2579" s="284">
        <f t="shared" si="1018"/>
        <v>0</v>
      </c>
      <c r="AS2579" s="281">
        <f t="shared" si="1019"/>
        <v>0</v>
      </c>
      <c r="AT2579" s="284">
        <f t="shared" si="1020"/>
        <v>0</v>
      </c>
    </row>
    <row r="2580" spans="1:46" customFormat="1" ht="15" customHeight="1" x14ac:dyDescent="0.8">
      <c r="A2580" s="262">
        <f t="shared" si="1021"/>
        <v>2580</v>
      </c>
      <c r="B2580" s="114"/>
      <c r="C2580" s="208"/>
      <c r="D2580" s="208"/>
      <c r="E2580" s="208"/>
      <c r="F2580" s="208"/>
      <c r="G2580" s="208"/>
      <c r="H2580" s="208"/>
      <c r="I2580" s="224"/>
      <c r="J2580" s="30"/>
      <c r="K2580" s="221"/>
      <c r="L2580" s="117"/>
      <c r="M2580" s="3"/>
      <c r="N2580" s="15" t="s">
        <v>115</v>
      </c>
      <c r="O2580" t="s">
        <v>203</v>
      </c>
      <c r="P2580" s="207"/>
      <c r="Q2580" s="12"/>
      <c r="R2580" s="12"/>
      <c r="S2580" s="28">
        <f>M2577</f>
        <v>4</v>
      </c>
      <c r="T2580" s="11"/>
      <c r="U2580" s="12"/>
      <c r="V2580" s="14" t="e">
        <f>U2580*#REF!</f>
        <v>#REF!</v>
      </c>
      <c r="W2580" s="14"/>
      <c r="X2580" s="26"/>
      <c r="Y2580" s="13"/>
      <c r="Z2580" s="68" t="e">
        <f>VLOOKUP(Takeoffs!Y2580,Sheet1!$B$6:$C$124,2,FALSE)</f>
        <v>#N/A</v>
      </c>
      <c r="AA2580" s="68"/>
      <c r="AB2580" s="18"/>
      <c r="AC2580" s="18"/>
      <c r="AD2580" s="18"/>
      <c r="AE2580" s="60"/>
      <c r="AF2580" s="13"/>
      <c r="AG2580" s="68" t="e">
        <f>VLOOKUP(Takeoffs!AF2580,Sheet1!$B$6:$C$124,2,FALSE)</f>
        <v>#N/A</v>
      </c>
      <c r="AH2580" s="68"/>
      <c r="AI2580" s="18"/>
      <c r="AJ2580" s="18"/>
      <c r="AK2580" s="18"/>
      <c r="AL2580" s="60"/>
      <c r="AO2580" s="286"/>
      <c r="AP2580" s="284">
        <f t="shared" si="1016"/>
        <v>0</v>
      </c>
      <c r="AQ2580" s="281">
        <f t="shared" si="1017"/>
        <v>0</v>
      </c>
      <c r="AR2580" s="284">
        <f t="shared" si="1018"/>
        <v>0</v>
      </c>
      <c r="AS2580" s="281">
        <f t="shared" si="1019"/>
        <v>0</v>
      </c>
      <c r="AT2580" s="284">
        <f t="shared" si="1020"/>
        <v>0</v>
      </c>
    </row>
    <row r="2581" spans="1:46" customFormat="1" ht="15" customHeight="1" x14ac:dyDescent="0.8">
      <c r="A2581" s="262">
        <f t="shared" si="1021"/>
        <v>2581</v>
      </c>
      <c r="B2581" s="114"/>
      <c r="C2581" s="208"/>
      <c r="D2581" s="208"/>
      <c r="E2581" s="208"/>
      <c r="F2581" s="208"/>
      <c r="G2581" s="208"/>
      <c r="H2581" s="208"/>
      <c r="I2581" s="224"/>
      <c r="J2581" s="30"/>
      <c r="K2581" s="221"/>
      <c r="L2581" s="117"/>
      <c r="M2581" s="3"/>
      <c r="N2581" s="15" t="s">
        <v>116</v>
      </c>
      <c r="O2581" t="s">
        <v>204</v>
      </c>
      <c r="P2581" s="207"/>
      <c r="Q2581" s="12"/>
      <c r="R2581" s="12"/>
      <c r="S2581" s="28">
        <f>M2577</f>
        <v>4</v>
      </c>
      <c r="T2581" s="11"/>
      <c r="U2581" s="12"/>
      <c r="V2581" s="14" t="e">
        <f>U2581*#REF!</f>
        <v>#REF!</v>
      </c>
      <c r="W2581" s="14"/>
      <c r="X2581" s="26"/>
      <c r="Y2581" s="13"/>
      <c r="Z2581" s="68" t="e">
        <f>VLOOKUP(Takeoffs!Y2581,Sheet1!$B$6:$C$124,2,FALSE)</f>
        <v>#N/A</v>
      </c>
      <c r="AA2581" s="68"/>
      <c r="AB2581" s="18"/>
      <c r="AC2581" s="18"/>
      <c r="AD2581" s="18"/>
      <c r="AE2581" s="60"/>
      <c r="AF2581" s="13"/>
      <c r="AG2581" s="68" t="e">
        <f>VLOOKUP(Takeoffs!AF2581,Sheet1!$B$6:$C$124,2,FALSE)</f>
        <v>#N/A</v>
      </c>
      <c r="AH2581" s="68"/>
      <c r="AI2581" s="18"/>
      <c r="AJ2581" s="18"/>
      <c r="AK2581" s="18"/>
      <c r="AL2581" s="60"/>
      <c r="AO2581" s="286"/>
      <c r="AP2581" s="284">
        <f t="shared" si="1016"/>
        <v>0</v>
      </c>
      <c r="AQ2581" s="281">
        <f t="shared" si="1017"/>
        <v>0</v>
      </c>
      <c r="AR2581" s="284">
        <f t="shared" si="1018"/>
        <v>0</v>
      </c>
      <c r="AS2581" s="281">
        <f t="shared" si="1019"/>
        <v>0</v>
      </c>
      <c r="AT2581" s="284">
        <f t="shared" si="1020"/>
        <v>0</v>
      </c>
    </row>
    <row r="2582" spans="1:46" customFormat="1" ht="15" customHeight="1" x14ac:dyDescent="0.8">
      <c r="A2582" s="262">
        <f t="shared" si="1021"/>
        <v>2582</v>
      </c>
      <c r="B2582" s="114"/>
      <c r="C2582" s="208"/>
      <c r="D2582" s="208"/>
      <c r="E2582" s="208"/>
      <c r="F2582" s="208"/>
      <c r="G2582" s="208"/>
      <c r="H2582" s="208"/>
      <c r="I2582" s="224"/>
      <c r="J2582" s="30"/>
      <c r="K2582" s="221"/>
      <c r="L2582" s="117"/>
      <c r="M2582" s="3"/>
      <c r="N2582" s="15" t="s">
        <v>117</v>
      </c>
      <c r="O2582" t="s">
        <v>209</v>
      </c>
      <c r="P2582" s="207"/>
      <c r="Q2582" s="12"/>
      <c r="R2582" s="12"/>
      <c r="S2582" s="28">
        <v>1</v>
      </c>
      <c r="T2582" s="11"/>
      <c r="U2582" s="12"/>
      <c r="V2582" s="14" t="e">
        <f>U2582*#REF!</f>
        <v>#REF!</v>
      </c>
      <c r="W2582" s="14"/>
      <c r="X2582" s="26"/>
      <c r="Y2582" s="13"/>
      <c r="Z2582" s="68" t="e">
        <f>VLOOKUP(Takeoffs!Y2582,Sheet1!$B$6:$C$124,2,FALSE)</f>
        <v>#N/A</v>
      </c>
      <c r="AA2582" s="68"/>
      <c r="AB2582" s="18"/>
      <c r="AC2582" s="18"/>
      <c r="AD2582" s="18"/>
      <c r="AE2582" s="60"/>
      <c r="AF2582" s="13"/>
      <c r="AG2582" s="68" t="e">
        <f>VLOOKUP(Takeoffs!AF2582,Sheet1!$B$6:$C$124,2,FALSE)</f>
        <v>#N/A</v>
      </c>
      <c r="AH2582" s="68"/>
      <c r="AI2582" s="18"/>
      <c r="AJ2582" s="18"/>
      <c r="AK2582" s="18"/>
      <c r="AL2582" s="60"/>
      <c r="AO2582" s="286"/>
      <c r="AP2582" s="284">
        <f t="shared" si="1016"/>
        <v>0</v>
      </c>
      <c r="AQ2582" s="281">
        <f t="shared" si="1017"/>
        <v>0</v>
      </c>
      <c r="AR2582" s="284">
        <f t="shared" si="1018"/>
        <v>0</v>
      </c>
      <c r="AS2582" s="281">
        <f t="shared" si="1019"/>
        <v>0</v>
      </c>
      <c r="AT2582" s="284">
        <f t="shared" si="1020"/>
        <v>0</v>
      </c>
    </row>
    <row r="2583" spans="1:46" customFormat="1" ht="15" customHeight="1" x14ac:dyDescent="0.8">
      <c r="A2583" s="262">
        <f t="shared" si="1021"/>
        <v>2583</v>
      </c>
      <c r="B2583" s="114"/>
      <c r="C2583" s="208"/>
      <c r="D2583" s="208"/>
      <c r="E2583" s="208"/>
      <c r="F2583" s="208"/>
      <c r="G2583" s="208"/>
      <c r="H2583" s="208"/>
      <c r="I2583" s="224"/>
      <c r="J2583" s="30"/>
      <c r="K2583" s="221"/>
      <c r="L2583" s="117"/>
      <c r="M2583" s="3"/>
      <c r="N2583" s="15" t="s">
        <v>118</v>
      </c>
      <c r="O2583" t="s">
        <v>209</v>
      </c>
      <c r="P2583" s="207"/>
      <c r="Q2583" s="12"/>
      <c r="R2583" s="12"/>
      <c r="S2583" s="28">
        <v>1</v>
      </c>
      <c r="T2583" s="11"/>
      <c r="U2583" s="12"/>
      <c r="V2583" s="14" t="e">
        <f>U2583*#REF!</f>
        <v>#REF!</v>
      </c>
      <c r="W2583" s="14"/>
      <c r="X2583" s="26"/>
      <c r="Y2583" s="13"/>
      <c r="Z2583" s="68" t="e">
        <f>VLOOKUP(Takeoffs!Y2583,Sheet1!$B$6:$C$124,2,FALSE)</f>
        <v>#N/A</v>
      </c>
      <c r="AA2583" s="68"/>
      <c r="AB2583" s="18"/>
      <c r="AC2583" s="18"/>
      <c r="AD2583" s="18"/>
      <c r="AE2583" s="60"/>
      <c r="AF2583" s="13"/>
      <c r="AG2583" s="68" t="e">
        <f>VLOOKUP(Takeoffs!AF2583,Sheet1!$B$6:$C$124,2,FALSE)</f>
        <v>#N/A</v>
      </c>
      <c r="AH2583" s="68"/>
      <c r="AI2583" s="18"/>
      <c r="AJ2583" s="18"/>
      <c r="AK2583" s="18"/>
      <c r="AL2583" s="60"/>
      <c r="AO2583" s="286"/>
      <c r="AP2583" s="284">
        <f t="shared" si="1016"/>
        <v>0</v>
      </c>
      <c r="AQ2583" s="281">
        <f t="shared" si="1017"/>
        <v>0</v>
      </c>
      <c r="AR2583" s="284">
        <f t="shared" si="1018"/>
        <v>0</v>
      </c>
      <c r="AS2583" s="281">
        <f t="shared" si="1019"/>
        <v>0</v>
      </c>
      <c r="AT2583" s="284">
        <f t="shared" si="1020"/>
        <v>0</v>
      </c>
    </row>
    <row r="2584" spans="1:46" customFormat="1" ht="15" customHeight="1" x14ac:dyDescent="0.8">
      <c r="A2584" s="262">
        <f t="shared" si="1021"/>
        <v>2584</v>
      </c>
      <c r="B2584" s="114"/>
      <c r="C2584" s="208"/>
      <c r="D2584" s="208"/>
      <c r="E2584" s="208"/>
      <c r="F2584" s="208"/>
      <c r="G2584" s="208"/>
      <c r="H2584" s="208"/>
      <c r="I2584" s="224"/>
      <c r="J2584" s="30"/>
      <c r="K2584" s="221"/>
      <c r="L2584" s="117"/>
      <c r="N2584" s="15" t="s">
        <v>119</v>
      </c>
      <c r="O2584" t="s">
        <v>207</v>
      </c>
      <c r="P2584" s="207"/>
      <c r="Q2584" s="12"/>
      <c r="R2584" s="12"/>
      <c r="S2584" s="28">
        <f>M2577</f>
        <v>4</v>
      </c>
      <c r="T2584" s="11"/>
      <c r="U2584" s="12"/>
      <c r="V2584" s="14" t="e">
        <f>U2584*#REF!</f>
        <v>#REF!</v>
      </c>
      <c r="W2584" s="14"/>
      <c r="X2584" s="26"/>
      <c r="Y2584" s="13"/>
      <c r="Z2584" s="68" t="e">
        <f>VLOOKUP(Takeoffs!Y2584,Sheet1!$B$6:$C$124,2,FALSE)</f>
        <v>#N/A</v>
      </c>
      <c r="AA2584" s="68"/>
      <c r="AB2584" s="18"/>
      <c r="AC2584" s="18"/>
      <c r="AD2584" s="18"/>
      <c r="AE2584" s="60"/>
      <c r="AF2584" s="13"/>
      <c r="AG2584" s="68" t="e">
        <f>VLOOKUP(Takeoffs!AF2584,Sheet1!$B$6:$C$124,2,FALSE)</f>
        <v>#N/A</v>
      </c>
      <c r="AH2584" s="68"/>
      <c r="AI2584" s="18"/>
      <c r="AJ2584" s="18"/>
      <c r="AK2584" s="18"/>
      <c r="AL2584" s="60"/>
      <c r="AO2584" s="286"/>
      <c r="AP2584" s="284">
        <f t="shared" si="1016"/>
        <v>0</v>
      </c>
      <c r="AQ2584" s="281">
        <f t="shared" si="1017"/>
        <v>0</v>
      </c>
      <c r="AR2584" s="284">
        <f t="shared" si="1018"/>
        <v>0</v>
      </c>
      <c r="AS2584" s="281">
        <f t="shared" si="1019"/>
        <v>0</v>
      </c>
      <c r="AT2584" s="284">
        <f t="shared" si="1020"/>
        <v>0</v>
      </c>
    </row>
    <row r="2585" spans="1:46" customFormat="1" ht="15" customHeight="1" x14ac:dyDescent="0.8">
      <c r="A2585" s="262">
        <f t="shared" si="1021"/>
        <v>2585</v>
      </c>
      <c r="B2585" s="114"/>
      <c r="C2585" s="208"/>
      <c r="D2585" s="208"/>
      <c r="E2585" s="208"/>
      <c r="F2585" s="208"/>
      <c r="G2585" s="208"/>
      <c r="H2585" s="208"/>
      <c r="I2585" s="224"/>
      <c r="J2585" s="30"/>
      <c r="K2585" s="221"/>
      <c r="L2585" s="117"/>
      <c r="N2585" s="15" t="s">
        <v>120</v>
      </c>
      <c r="O2585" t="s">
        <v>205</v>
      </c>
      <c r="P2585" s="207"/>
      <c r="Q2585" s="12"/>
      <c r="R2585" s="12"/>
      <c r="S2585" s="28">
        <f>M2577</f>
        <v>4</v>
      </c>
      <c r="T2585" s="11"/>
      <c r="U2585" s="12"/>
      <c r="V2585" s="14" t="e">
        <f>U2585*#REF!</f>
        <v>#REF!</v>
      </c>
      <c r="W2585" s="14"/>
      <c r="X2585" s="26"/>
      <c r="Y2585" s="13"/>
      <c r="Z2585" s="68" t="e">
        <f>VLOOKUP(Takeoffs!Y2585,Sheet1!$B$6:$C$124,2,FALSE)</f>
        <v>#N/A</v>
      </c>
      <c r="AA2585" s="68"/>
      <c r="AB2585" s="18"/>
      <c r="AC2585" s="18"/>
      <c r="AD2585" s="18"/>
      <c r="AE2585" s="60"/>
      <c r="AF2585" s="13"/>
      <c r="AG2585" s="68" t="e">
        <f>VLOOKUP(Takeoffs!AF2585,Sheet1!$B$6:$C$124,2,FALSE)</f>
        <v>#N/A</v>
      </c>
      <c r="AH2585" s="68"/>
      <c r="AI2585" s="18"/>
      <c r="AJ2585" s="18"/>
      <c r="AK2585" s="18"/>
      <c r="AL2585" s="60"/>
      <c r="AO2585" s="286"/>
      <c r="AP2585" s="284">
        <f t="shared" si="1016"/>
        <v>0</v>
      </c>
      <c r="AQ2585" s="281">
        <f t="shared" si="1017"/>
        <v>0</v>
      </c>
      <c r="AR2585" s="284">
        <f t="shared" si="1018"/>
        <v>0</v>
      </c>
      <c r="AS2585" s="281">
        <f t="shared" si="1019"/>
        <v>0</v>
      </c>
      <c r="AT2585" s="284">
        <f t="shared" si="1020"/>
        <v>0</v>
      </c>
    </row>
    <row r="2586" spans="1:46" customFormat="1" ht="15" customHeight="1" x14ac:dyDescent="0.8">
      <c r="A2586" s="262">
        <f t="shared" si="1021"/>
        <v>2586</v>
      </c>
      <c r="B2586" s="114"/>
      <c r="C2586" s="208"/>
      <c r="D2586" s="208"/>
      <c r="E2586" s="208"/>
      <c r="F2586" s="208"/>
      <c r="G2586" s="208"/>
      <c r="H2586" s="208"/>
      <c r="I2586" s="224"/>
      <c r="J2586" s="30"/>
      <c r="K2586" s="221"/>
      <c r="L2586" s="117"/>
      <c r="N2586" s="15" t="s">
        <v>121</v>
      </c>
      <c r="O2586" s="12" t="s">
        <v>206</v>
      </c>
      <c r="P2586" s="207"/>
      <c r="Q2586" s="12"/>
      <c r="R2586" s="12"/>
      <c r="S2586" s="28">
        <f>M2577</f>
        <v>4</v>
      </c>
      <c r="T2586" s="11"/>
      <c r="U2586" s="12"/>
      <c r="V2586" s="14" t="e">
        <f>U2586*#REF!</f>
        <v>#REF!</v>
      </c>
      <c r="W2586" s="14"/>
      <c r="X2586" s="26"/>
      <c r="Y2586" s="13"/>
      <c r="Z2586" s="68" t="e">
        <f>VLOOKUP(Takeoffs!Y2586,Sheet1!$B$6:$C$124,2,FALSE)</f>
        <v>#N/A</v>
      </c>
      <c r="AA2586" s="68"/>
      <c r="AB2586" s="18"/>
      <c r="AC2586" s="18"/>
      <c r="AD2586" s="18"/>
      <c r="AE2586" s="60"/>
      <c r="AF2586" s="13"/>
      <c r="AG2586" s="68" t="e">
        <f>VLOOKUP(Takeoffs!AF2586,Sheet1!$B$6:$C$124,2,FALSE)</f>
        <v>#N/A</v>
      </c>
      <c r="AH2586" s="68"/>
      <c r="AI2586" s="18"/>
      <c r="AJ2586" s="18"/>
      <c r="AK2586" s="18"/>
      <c r="AL2586" s="60"/>
      <c r="AO2586" s="286"/>
      <c r="AP2586" s="284">
        <f t="shared" si="1016"/>
        <v>0</v>
      </c>
      <c r="AQ2586" s="281">
        <f t="shared" si="1017"/>
        <v>0</v>
      </c>
      <c r="AR2586" s="284">
        <f t="shared" si="1018"/>
        <v>0</v>
      </c>
      <c r="AS2586" s="281">
        <f t="shared" si="1019"/>
        <v>0</v>
      </c>
      <c r="AT2586" s="284">
        <f t="shared" si="1020"/>
        <v>0</v>
      </c>
    </row>
    <row r="2587" spans="1:46" customFormat="1" ht="15" customHeight="1" x14ac:dyDescent="0.8">
      <c r="A2587" s="262">
        <f t="shared" si="1021"/>
        <v>2587</v>
      </c>
      <c r="B2587" s="114"/>
      <c r="C2587" s="208"/>
      <c r="D2587" s="208"/>
      <c r="E2587" s="208"/>
      <c r="F2587" s="208"/>
      <c r="G2587" s="208"/>
      <c r="H2587" s="208"/>
      <c r="I2587" s="224"/>
      <c r="J2587" s="30"/>
      <c r="K2587" s="221"/>
      <c r="L2587" s="117"/>
      <c r="N2587" s="15" t="s">
        <v>122</v>
      </c>
      <c r="O2587" s="12"/>
      <c r="P2587" s="207"/>
      <c r="Q2587" s="12"/>
      <c r="R2587" s="12"/>
      <c r="S2587" s="28">
        <f>M2577</f>
        <v>4</v>
      </c>
      <c r="T2587" s="11"/>
      <c r="U2587" s="12"/>
      <c r="V2587" s="14" t="e">
        <f>U2587*#REF!</f>
        <v>#REF!</v>
      </c>
      <c r="W2587" s="14"/>
      <c r="X2587" s="26"/>
      <c r="Y2587" s="13"/>
      <c r="Z2587" s="68" t="e">
        <f>VLOOKUP(Takeoffs!Y2587,Sheet1!$B$6:$C$124,2,FALSE)</f>
        <v>#N/A</v>
      </c>
      <c r="AA2587" s="68"/>
      <c r="AB2587" s="18"/>
      <c r="AC2587" s="18"/>
      <c r="AD2587" s="18"/>
      <c r="AE2587" s="60"/>
      <c r="AF2587" s="13"/>
      <c r="AG2587" s="68" t="e">
        <f>VLOOKUP(Takeoffs!AF2587,Sheet1!$B$6:$C$124,2,FALSE)</f>
        <v>#N/A</v>
      </c>
      <c r="AH2587" s="68"/>
      <c r="AI2587" s="18"/>
      <c r="AJ2587" s="18"/>
      <c r="AK2587" s="18"/>
      <c r="AL2587" s="60"/>
      <c r="AO2587" s="286"/>
      <c r="AP2587" s="284">
        <f t="shared" si="1016"/>
        <v>0</v>
      </c>
      <c r="AQ2587" s="281">
        <f t="shared" si="1017"/>
        <v>0</v>
      </c>
      <c r="AR2587" s="284">
        <f t="shared" si="1018"/>
        <v>0</v>
      </c>
      <c r="AS2587" s="281">
        <f t="shared" si="1019"/>
        <v>0</v>
      </c>
      <c r="AT2587" s="284">
        <f t="shared" si="1020"/>
        <v>0</v>
      </c>
    </row>
    <row r="2588" spans="1:46" customFormat="1" ht="15" customHeight="1" x14ac:dyDescent="0.8">
      <c r="A2588" s="262">
        <f t="shared" si="1021"/>
        <v>2588</v>
      </c>
      <c r="B2588" s="114"/>
      <c r="C2588" s="208"/>
      <c r="D2588" s="208"/>
      <c r="E2588" s="208"/>
      <c r="F2588" s="208"/>
      <c r="G2588" s="208"/>
      <c r="H2588" s="208"/>
      <c r="I2588" s="224"/>
      <c r="J2588" s="30"/>
      <c r="K2588" s="221"/>
      <c r="L2588" s="117"/>
      <c r="N2588" s="15" t="s">
        <v>123</v>
      </c>
      <c r="O2588" s="12"/>
      <c r="P2588" s="207"/>
      <c r="Q2588" s="12"/>
      <c r="R2588" s="12"/>
      <c r="S2588" s="28">
        <f>M2577</f>
        <v>4</v>
      </c>
      <c r="T2588" s="11"/>
      <c r="U2588" s="12"/>
      <c r="V2588" s="14" t="e">
        <f>U2588*#REF!</f>
        <v>#REF!</v>
      </c>
      <c r="W2588" s="14"/>
      <c r="X2588" s="26"/>
      <c r="Y2588" s="13"/>
      <c r="Z2588" s="68" t="e">
        <f>VLOOKUP(Takeoffs!Y2588,Sheet1!$B$6:$C$124,2,FALSE)</f>
        <v>#N/A</v>
      </c>
      <c r="AA2588" s="68"/>
      <c r="AB2588" s="18"/>
      <c r="AC2588" s="18"/>
      <c r="AD2588" s="18"/>
      <c r="AE2588" s="60"/>
      <c r="AF2588" s="13"/>
      <c r="AG2588" s="68" t="e">
        <f>VLOOKUP(Takeoffs!AF2588,Sheet1!$B$6:$C$124,2,FALSE)</f>
        <v>#N/A</v>
      </c>
      <c r="AH2588" s="68"/>
      <c r="AI2588" s="18"/>
      <c r="AJ2588" s="18"/>
      <c r="AK2588" s="18"/>
      <c r="AL2588" s="60"/>
      <c r="AO2588" s="286"/>
      <c r="AP2588" s="284">
        <f t="shared" si="1016"/>
        <v>0</v>
      </c>
      <c r="AQ2588" s="281">
        <f t="shared" si="1017"/>
        <v>0</v>
      </c>
      <c r="AR2588" s="284">
        <f t="shared" si="1018"/>
        <v>0</v>
      </c>
      <c r="AS2588" s="281">
        <f t="shared" si="1019"/>
        <v>0</v>
      </c>
      <c r="AT2588" s="284">
        <f t="shared" si="1020"/>
        <v>0</v>
      </c>
    </row>
    <row r="2589" spans="1:46" customFormat="1" ht="15" customHeight="1" x14ac:dyDescent="0.8">
      <c r="A2589" s="262">
        <f t="shared" si="1021"/>
        <v>2589</v>
      </c>
      <c r="B2589" s="114"/>
      <c r="C2589" s="208"/>
      <c r="D2589" s="208"/>
      <c r="E2589" s="208"/>
      <c r="F2589" s="208"/>
      <c r="G2589" s="208"/>
      <c r="H2589" s="208"/>
      <c r="I2589" s="224"/>
      <c r="J2589" s="30"/>
      <c r="K2589" s="221"/>
      <c r="L2589" s="117"/>
      <c r="N2589" s="15" t="s">
        <v>124</v>
      </c>
      <c r="O2589" s="12"/>
      <c r="P2589" s="207"/>
      <c r="Q2589" s="12"/>
      <c r="R2589" s="12"/>
      <c r="S2589" s="28">
        <f>M2577</f>
        <v>4</v>
      </c>
      <c r="T2589" s="11"/>
      <c r="U2589" s="12"/>
      <c r="V2589" s="14" t="e">
        <f>U2589*#REF!</f>
        <v>#REF!</v>
      </c>
      <c r="W2589" s="14"/>
      <c r="X2589" s="26"/>
      <c r="Y2589" s="13"/>
      <c r="Z2589" s="68" t="e">
        <f>VLOOKUP(Takeoffs!Y2589,Sheet1!$B$6:$C$124,2,FALSE)</f>
        <v>#N/A</v>
      </c>
      <c r="AA2589" s="68"/>
      <c r="AB2589" s="18"/>
      <c r="AC2589" s="18"/>
      <c r="AD2589" s="18"/>
      <c r="AE2589" s="60"/>
      <c r="AF2589" s="13"/>
      <c r="AG2589" s="68" t="e">
        <f>VLOOKUP(Takeoffs!AF2589,Sheet1!$B$6:$C$124,2,FALSE)</f>
        <v>#N/A</v>
      </c>
      <c r="AH2589" s="68"/>
      <c r="AI2589" s="18"/>
      <c r="AJ2589" s="18"/>
      <c r="AK2589" s="18"/>
      <c r="AL2589" s="60"/>
      <c r="AO2589" s="286"/>
      <c r="AP2589" s="284">
        <f t="shared" si="1016"/>
        <v>0</v>
      </c>
      <c r="AQ2589" s="281">
        <f t="shared" si="1017"/>
        <v>0</v>
      </c>
      <c r="AR2589" s="284">
        <f t="shared" si="1018"/>
        <v>0</v>
      </c>
      <c r="AS2589" s="281">
        <f t="shared" si="1019"/>
        <v>0</v>
      </c>
      <c r="AT2589" s="284">
        <f t="shared" si="1020"/>
        <v>0</v>
      </c>
    </row>
    <row r="2590" spans="1:46" customFormat="1" ht="15" customHeight="1" x14ac:dyDescent="0.8">
      <c r="A2590" s="262">
        <f t="shared" si="1021"/>
        <v>2590</v>
      </c>
      <c r="B2590" s="114"/>
      <c r="C2590" s="208"/>
      <c r="D2590" s="208"/>
      <c r="E2590" s="208"/>
      <c r="F2590" s="208"/>
      <c r="G2590" s="208"/>
      <c r="H2590" s="208"/>
      <c r="I2590" s="224"/>
      <c r="J2590" s="30"/>
      <c r="K2590" s="221"/>
      <c r="L2590" s="117"/>
      <c r="N2590" s="15" t="s">
        <v>125</v>
      </c>
      <c r="O2590" s="12"/>
      <c r="P2590" s="207"/>
      <c r="Q2590" s="12"/>
      <c r="R2590" s="12"/>
      <c r="S2590" s="28">
        <f>M2577</f>
        <v>4</v>
      </c>
      <c r="T2590" s="11"/>
      <c r="U2590" s="12"/>
      <c r="V2590" s="14" t="e">
        <f>U2590*#REF!</f>
        <v>#REF!</v>
      </c>
      <c r="W2590" s="14"/>
      <c r="X2590" s="26"/>
      <c r="Y2590" s="13"/>
      <c r="Z2590" s="68" t="e">
        <f>VLOOKUP(Takeoffs!Y2590,Sheet1!$B$6:$C$124,2,FALSE)</f>
        <v>#N/A</v>
      </c>
      <c r="AA2590" s="68"/>
      <c r="AB2590" s="18"/>
      <c r="AC2590" s="18"/>
      <c r="AD2590" s="18"/>
      <c r="AE2590" s="60"/>
      <c r="AF2590" s="13"/>
      <c r="AG2590" s="68" t="e">
        <f>VLOOKUP(Takeoffs!AF2590,Sheet1!$B$6:$C$124,2,FALSE)</f>
        <v>#N/A</v>
      </c>
      <c r="AH2590" s="68"/>
      <c r="AI2590" s="18"/>
      <c r="AJ2590" s="18"/>
      <c r="AK2590" s="18"/>
      <c r="AL2590" s="60"/>
      <c r="AO2590" s="286"/>
      <c r="AP2590" s="284">
        <f t="shared" si="1016"/>
        <v>0</v>
      </c>
      <c r="AQ2590" s="281">
        <f t="shared" si="1017"/>
        <v>0</v>
      </c>
      <c r="AR2590" s="284">
        <f t="shared" si="1018"/>
        <v>0</v>
      </c>
      <c r="AS2590" s="281">
        <f t="shared" si="1019"/>
        <v>0</v>
      </c>
      <c r="AT2590" s="284">
        <f t="shared" si="1020"/>
        <v>0</v>
      </c>
    </row>
    <row r="2591" spans="1:46" customFormat="1" ht="15" customHeight="1" x14ac:dyDescent="0.8">
      <c r="A2591" s="262">
        <f t="shared" si="1021"/>
        <v>2591</v>
      </c>
      <c r="B2591" s="114"/>
      <c r="C2591" s="208"/>
      <c r="D2591" s="208"/>
      <c r="E2591" s="208"/>
      <c r="F2591" s="208"/>
      <c r="G2591" s="208"/>
      <c r="H2591" s="208"/>
      <c r="I2591" s="224"/>
      <c r="J2591" s="30"/>
      <c r="K2591" s="221"/>
      <c r="L2591" s="117"/>
      <c r="N2591" s="15" t="s">
        <v>126</v>
      </c>
      <c r="O2591" s="12"/>
      <c r="P2591" s="207"/>
      <c r="Q2591" s="12"/>
      <c r="R2591" s="12"/>
      <c r="S2591" s="28">
        <f>M2577</f>
        <v>4</v>
      </c>
      <c r="T2591" s="11"/>
      <c r="U2591" s="12"/>
      <c r="V2591" s="14" t="e">
        <f>U2591*#REF!</f>
        <v>#REF!</v>
      </c>
      <c r="W2591" s="14"/>
      <c r="X2591" s="26"/>
      <c r="Y2591" s="13"/>
      <c r="Z2591" s="68" t="e">
        <f>VLOOKUP(Takeoffs!Y2591,Sheet1!$B$6:$C$124,2,FALSE)</f>
        <v>#N/A</v>
      </c>
      <c r="AA2591" s="68"/>
      <c r="AB2591" s="18"/>
      <c r="AC2591" s="18"/>
      <c r="AD2591" s="18"/>
      <c r="AE2591" s="60"/>
      <c r="AF2591" s="13"/>
      <c r="AG2591" s="68" t="e">
        <f>VLOOKUP(Takeoffs!AF2591,Sheet1!$B$6:$C$124,2,FALSE)</f>
        <v>#N/A</v>
      </c>
      <c r="AH2591" s="68"/>
      <c r="AI2591" s="18"/>
      <c r="AJ2591" s="18"/>
      <c r="AK2591" s="18"/>
      <c r="AL2591" s="60"/>
      <c r="AO2591" s="286"/>
      <c r="AP2591" s="284">
        <f t="shared" si="1016"/>
        <v>0</v>
      </c>
      <c r="AQ2591" s="281">
        <f t="shared" si="1017"/>
        <v>0</v>
      </c>
      <c r="AR2591" s="284">
        <f t="shared" si="1018"/>
        <v>0</v>
      </c>
      <c r="AS2591" s="281">
        <f t="shared" si="1019"/>
        <v>0</v>
      </c>
      <c r="AT2591" s="284">
        <f t="shared" si="1020"/>
        <v>0</v>
      </c>
    </row>
    <row r="2592" spans="1:46" customFormat="1" ht="15" customHeight="1" x14ac:dyDescent="0.8">
      <c r="A2592" s="262">
        <f t="shared" si="1021"/>
        <v>2592</v>
      </c>
      <c r="B2592" s="114"/>
      <c r="C2592" s="208"/>
      <c r="D2592" s="208"/>
      <c r="E2592" s="208"/>
      <c r="F2592" s="208"/>
      <c r="G2592" s="208"/>
      <c r="H2592" s="208"/>
      <c r="I2592" s="224"/>
      <c r="J2592" s="30"/>
      <c r="K2592" s="221"/>
      <c r="L2592" s="117"/>
      <c r="N2592" s="15" t="s">
        <v>127</v>
      </c>
      <c r="O2592" s="12"/>
      <c r="P2592" s="207"/>
      <c r="Q2592" s="12"/>
      <c r="R2592" s="12"/>
      <c r="S2592" s="28">
        <f>M2577</f>
        <v>4</v>
      </c>
      <c r="T2592" s="11"/>
      <c r="U2592" s="12"/>
      <c r="V2592" s="14" t="e">
        <f>U2592*#REF!</f>
        <v>#REF!</v>
      </c>
      <c r="W2592" s="14"/>
      <c r="X2592" s="26"/>
      <c r="Y2592" s="13"/>
      <c r="Z2592" s="68" t="e">
        <f>VLOOKUP(Takeoffs!Y2592,Sheet1!$B$6:$C$124,2,FALSE)</f>
        <v>#N/A</v>
      </c>
      <c r="AA2592" s="68"/>
      <c r="AB2592" s="18"/>
      <c r="AC2592" s="18"/>
      <c r="AD2592" s="18"/>
      <c r="AE2592" s="60"/>
      <c r="AF2592" s="13"/>
      <c r="AG2592" s="68" t="e">
        <f>VLOOKUP(Takeoffs!AF2592,Sheet1!$B$6:$C$124,2,FALSE)</f>
        <v>#N/A</v>
      </c>
      <c r="AH2592" s="68"/>
      <c r="AI2592" s="18"/>
      <c r="AJ2592" s="18"/>
      <c r="AK2592" s="18"/>
      <c r="AL2592" s="60"/>
      <c r="AO2592" s="286"/>
      <c r="AP2592" s="284">
        <f t="shared" si="1016"/>
        <v>0</v>
      </c>
      <c r="AQ2592" s="281">
        <f t="shared" si="1017"/>
        <v>0</v>
      </c>
      <c r="AR2592" s="284">
        <f t="shared" si="1018"/>
        <v>0</v>
      </c>
      <c r="AS2592" s="281">
        <f t="shared" si="1019"/>
        <v>0</v>
      </c>
      <c r="AT2592" s="284">
        <f t="shared" si="1020"/>
        <v>0</v>
      </c>
    </row>
    <row r="2593" spans="1:46" customFormat="1" ht="15" customHeight="1" x14ac:dyDescent="0.8">
      <c r="A2593" s="262">
        <f t="shared" si="1021"/>
        <v>2593</v>
      </c>
      <c r="B2593" s="114"/>
      <c r="C2593" s="208"/>
      <c r="D2593" s="208"/>
      <c r="E2593" s="208"/>
      <c r="F2593" s="208"/>
      <c r="G2593" s="208"/>
      <c r="H2593" s="208"/>
      <c r="I2593" s="224"/>
      <c r="J2593" s="30"/>
      <c r="K2593" s="221"/>
      <c r="L2593" s="117"/>
      <c r="N2593" s="15" t="s">
        <v>128</v>
      </c>
      <c r="O2593" s="12"/>
      <c r="P2593" s="207"/>
      <c r="Q2593" s="12"/>
      <c r="R2593" s="12"/>
      <c r="S2593" s="28">
        <f>M2577</f>
        <v>4</v>
      </c>
      <c r="T2593" s="11"/>
      <c r="U2593" s="12"/>
      <c r="V2593" s="14" t="e">
        <f>U2593*#REF!</f>
        <v>#REF!</v>
      </c>
      <c r="W2593" s="14"/>
      <c r="X2593" s="26"/>
      <c r="Y2593" s="13"/>
      <c r="Z2593" s="68" t="e">
        <f>VLOOKUP(Takeoffs!Y2593,Sheet1!$B$6:$C$124,2,FALSE)</f>
        <v>#N/A</v>
      </c>
      <c r="AA2593" s="68"/>
      <c r="AB2593" s="18"/>
      <c r="AC2593" s="18"/>
      <c r="AD2593" s="18"/>
      <c r="AE2593" s="60"/>
      <c r="AF2593" s="13"/>
      <c r="AG2593" s="68" t="e">
        <f>VLOOKUP(Takeoffs!AF2593,Sheet1!$B$6:$C$124,2,FALSE)</f>
        <v>#N/A</v>
      </c>
      <c r="AH2593" s="68"/>
      <c r="AI2593" s="18"/>
      <c r="AJ2593" s="18"/>
      <c r="AK2593" s="18"/>
      <c r="AL2593" s="60"/>
      <c r="AO2593" s="286"/>
      <c r="AP2593" s="284">
        <f t="shared" si="1016"/>
        <v>0</v>
      </c>
      <c r="AQ2593" s="281">
        <f t="shared" si="1017"/>
        <v>0</v>
      </c>
      <c r="AR2593" s="284">
        <f t="shared" si="1018"/>
        <v>0</v>
      </c>
      <c r="AS2593" s="281">
        <f t="shared" si="1019"/>
        <v>0</v>
      </c>
      <c r="AT2593" s="284">
        <f t="shared" si="1020"/>
        <v>0</v>
      </c>
    </row>
    <row r="2594" spans="1:46" customFormat="1" ht="15" customHeight="1" x14ac:dyDescent="0.8">
      <c r="A2594" s="262">
        <f t="shared" si="1021"/>
        <v>2594</v>
      </c>
      <c r="B2594" s="114"/>
      <c r="C2594" s="208"/>
      <c r="D2594" s="208"/>
      <c r="E2594" s="208"/>
      <c r="F2594" s="208"/>
      <c r="G2594" s="208"/>
      <c r="H2594" s="208"/>
      <c r="I2594" s="224"/>
      <c r="J2594" s="30"/>
      <c r="K2594" s="221"/>
      <c r="L2594" s="117"/>
      <c r="N2594" s="15" t="s">
        <v>129</v>
      </c>
      <c r="O2594" s="12"/>
      <c r="P2594" s="207"/>
      <c r="Q2594" s="12"/>
      <c r="R2594" s="12"/>
      <c r="S2594" s="28">
        <f>M2577</f>
        <v>4</v>
      </c>
      <c r="T2594" s="11"/>
      <c r="U2594" s="12"/>
      <c r="V2594" s="14" t="e">
        <f>U2594*#REF!</f>
        <v>#REF!</v>
      </c>
      <c r="W2594" s="14"/>
      <c r="X2594" s="26"/>
      <c r="Y2594" s="13"/>
      <c r="Z2594" s="68" t="e">
        <f>VLOOKUP(Takeoffs!Y2594,Sheet1!$B$6:$C$124,2,FALSE)</f>
        <v>#N/A</v>
      </c>
      <c r="AA2594" s="68"/>
      <c r="AB2594" s="18"/>
      <c r="AC2594" s="18"/>
      <c r="AD2594" s="18"/>
      <c r="AE2594" s="60"/>
      <c r="AF2594" s="13"/>
      <c r="AG2594" s="68" t="e">
        <f>VLOOKUP(Takeoffs!AF2594,Sheet1!$B$6:$C$124,2,FALSE)</f>
        <v>#N/A</v>
      </c>
      <c r="AH2594" s="68"/>
      <c r="AI2594" s="18"/>
      <c r="AJ2594" s="18"/>
      <c r="AK2594" s="18"/>
      <c r="AL2594" s="60"/>
      <c r="AO2594" s="286"/>
      <c r="AP2594" s="284">
        <f t="shared" si="1016"/>
        <v>0</v>
      </c>
      <c r="AQ2594" s="281">
        <f t="shared" si="1017"/>
        <v>0</v>
      </c>
      <c r="AR2594" s="284">
        <f t="shared" si="1018"/>
        <v>0</v>
      </c>
      <c r="AS2594" s="281">
        <f t="shared" si="1019"/>
        <v>0</v>
      </c>
      <c r="AT2594" s="284">
        <f t="shared" si="1020"/>
        <v>0</v>
      </c>
    </row>
    <row r="2595" spans="1:46" customFormat="1" ht="15" customHeight="1" x14ac:dyDescent="0.8">
      <c r="A2595" s="262">
        <f t="shared" si="1021"/>
        <v>2595</v>
      </c>
      <c r="B2595" s="114"/>
      <c r="C2595" s="208"/>
      <c r="D2595" s="208"/>
      <c r="E2595" s="208"/>
      <c r="F2595" s="208"/>
      <c r="G2595" s="208"/>
      <c r="H2595" s="208"/>
      <c r="I2595" s="224"/>
      <c r="J2595" s="30"/>
      <c r="K2595" s="221"/>
      <c r="L2595" s="117"/>
      <c r="N2595" s="15" t="s">
        <v>130</v>
      </c>
      <c r="O2595" s="12"/>
      <c r="P2595" s="207"/>
      <c r="Q2595" s="12"/>
      <c r="R2595" s="12"/>
      <c r="S2595" s="28">
        <f>M2577</f>
        <v>4</v>
      </c>
      <c r="T2595" s="11"/>
      <c r="U2595" s="12"/>
      <c r="V2595" s="14" t="e">
        <f>U2595*#REF!</f>
        <v>#REF!</v>
      </c>
      <c r="W2595" s="14"/>
      <c r="X2595" s="26"/>
      <c r="Y2595" s="13"/>
      <c r="Z2595" s="68" t="e">
        <f>VLOOKUP(Takeoffs!Y2595,Sheet1!$B$6:$C$124,2,FALSE)</f>
        <v>#N/A</v>
      </c>
      <c r="AA2595" s="68"/>
      <c r="AB2595" s="18"/>
      <c r="AC2595" s="18"/>
      <c r="AD2595" s="18"/>
      <c r="AE2595" s="60"/>
      <c r="AF2595" s="13"/>
      <c r="AG2595" s="68" t="e">
        <f>VLOOKUP(Takeoffs!AF2595,Sheet1!$B$6:$C$124,2,FALSE)</f>
        <v>#N/A</v>
      </c>
      <c r="AH2595" s="68"/>
      <c r="AI2595" s="18"/>
      <c r="AJ2595" s="18"/>
      <c r="AK2595" s="18"/>
      <c r="AL2595" s="60"/>
      <c r="AO2595" s="286"/>
      <c r="AP2595" s="284">
        <f t="shared" si="1016"/>
        <v>0</v>
      </c>
      <c r="AQ2595" s="281">
        <f t="shared" si="1017"/>
        <v>0</v>
      </c>
      <c r="AR2595" s="284">
        <f t="shared" si="1018"/>
        <v>0</v>
      </c>
      <c r="AS2595" s="281">
        <f t="shared" si="1019"/>
        <v>0</v>
      </c>
      <c r="AT2595" s="284">
        <f t="shared" si="1020"/>
        <v>0</v>
      </c>
    </row>
    <row r="2596" spans="1:46" customFormat="1" ht="15" customHeight="1" x14ac:dyDescent="0.8">
      <c r="A2596" s="262">
        <f t="shared" si="1021"/>
        <v>2596</v>
      </c>
      <c r="B2596" s="114"/>
      <c r="C2596" s="208"/>
      <c r="D2596" s="208"/>
      <c r="E2596" s="208"/>
      <c r="F2596" s="208"/>
      <c r="G2596" s="208"/>
      <c r="H2596" s="208"/>
      <c r="I2596" s="224"/>
      <c r="J2596" s="30"/>
      <c r="K2596" s="221"/>
      <c r="L2596" s="117"/>
      <c r="N2596" s="15" t="s">
        <v>131</v>
      </c>
      <c r="O2596" s="12"/>
      <c r="P2596" s="207"/>
      <c r="Q2596" s="12"/>
      <c r="R2596" s="12"/>
      <c r="S2596" s="28">
        <f>M2577</f>
        <v>4</v>
      </c>
      <c r="T2596" s="11"/>
      <c r="U2596" s="12"/>
      <c r="V2596" s="14" t="e">
        <f>U2596*#REF!</f>
        <v>#REF!</v>
      </c>
      <c r="W2596" s="14"/>
      <c r="X2596" s="26"/>
      <c r="Y2596" s="13"/>
      <c r="Z2596" s="68" t="e">
        <f>VLOOKUP(Takeoffs!Y2596,Sheet1!$B$6:$C$124,2,FALSE)</f>
        <v>#N/A</v>
      </c>
      <c r="AA2596" s="68"/>
      <c r="AB2596" s="18"/>
      <c r="AC2596" s="18"/>
      <c r="AD2596" s="18"/>
      <c r="AE2596" s="60"/>
      <c r="AF2596" s="13"/>
      <c r="AG2596" s="68" t="e">
        <f>VLOOKUP(Takeoffs!AF2596,Sheet1!$B$6:$C$124,2,FALSE)</f>
        <v>#N/A</v>
      </c>
      <c r="AH2596" s="68"/>
      <c r="AI2596" s="18"/>
      <c r="AJ2596" s="18"/>
      <c r="AK2596" s="18"/>
      <c r="AL2596" s="60"/>
      <c r="AO2596" s="286"/>
      <c r="AP2596" s="284">
        <f t="shared" si="1016"/>
        <v>0</v>
      </c>
      <c r="AQ2596" s="281">
        <f t="shared" si="1017"/>
        <v>0</v>
      </c>
      <c r="AR2596" s="284">
        <f t="shared" si="1018"/>
        <v>0</v>
      </c>
      <c r="AS2596" s="281">
        <f t="shared" si="1019"/>
        <v>0</v>
      </c>
      <c r="AT2596" s="284">
        <f t="shared" si="1020"/>
        <v>0</v>
      </c>
    </row>
    <row r="2597" spans="1:46" customFormat="1" ht="15" customHeight="1" x14ac:dyDescent="0.8">
      <c r="A2597" s="262">
        <f t="shared" si="1021"/>
        <v>2597</v>
      </c>
      <c r="B2597" s="114"/>
      <c r="C2597" s="208"/>
      <c r="D2597" s="208"/>
      <c r="E2597" s="208"/>
      <c r="F2597" s="208"/>
      <c r="G2597" s="208"/>
      <c r="H2597" s="208"/>
      <c r="I2597" s="224"/>
      <c r="J2597" s="30"/>
      <c r="K2597" s="221"/>
      <c r="L2597" s="117"/>
      <c r="N2597" s="15" t="s">
        <v>132</v>
      </c>
      <c r="O2597" s="12"/>
      <c r="P2597" s="207"/>
      <c r="Q2597" s="12"/>
      <c r="R2597" s="12"/>
      <c r="S2597" s="28">
        <f>M2577</f>
        <v>4</v>
      </c>
      <c r="T2597" s="11"/>
      <c r="U2597" s="12"/>
      <c r="V2597" s="14" t="e">
        <f>U2597*#REF!</f>
        <v>#REF!</v>
      </c>
      <c r="W2597" s="14"/>
      <c r="X2597" s="26"/>
      <c r="Y2597" s="13"/>
      <c r="Z2597" s="68" t="e">
        <f>VLOOKUP(Takeoffs!Y2597,Sheet1!$B$6:$C$124,2,FALSE)</f>
        <v>#N/A</v>
      </c>
      <c r="AA2597" s="68"/>
      <c r="AB2597" s="18"/>
      <c r="AC2597" s="18"/>
      <c r="AD2597" s="18"/>
      <c r="AE2597" s="60"/>
      <c r="AF2597" s="13"/>
      <c r="AG2597" s="68" t="e">
        <f>VLOOKUP(Takeoffs!AF2597,Sheet1!$B$6:$C$124,2,FALSE)</f>
        <v>#N/A</v>
      </c>
      <c r="AH2597" s="68"/>
      <c r="AI2597" s="18"/>
      <c r="AJ2597" s="18"/>
      <c r="AK2597" s="18"/>
      <c r="AL2597" s="60"/>
      <c r="AO2597" s="286"/>
      <c r="AP2597" s="284">
        <f t="shared" si="1016"/>
        <v>0</v>
      </c>
      <c r="AQ2597" s="281">
        <f t="shared" si="1017"/>
        <v>0</v>
      </c>
      <c r="AR2597" s="284">
        <f t="shared" si="1018"/>
        <v>0</v>
      </c>
      <c r="AS2597" s="281">
        <f t="shared" si="1019"/>
        <v>0</v>
      </c>
      <c r="AT2597" s="284">
        <f t="shared" si="1020"/>
        <v>0</v>
      </c>
    </row>
    <row r="2598" spans="1:46" s="21" customFormat="1" ht="33.75" customHeight="1" x14ac:dyDescent="0.8">
      <c r="A2598" s="262">
        <f t="shared" si="1021"/>
        <v>2598</v>
      </c>
      <c r="B2598" s="128"/>
      <c r="C2598" s="212"/>
      <c r="D2598" s="212"/>
      <c r="E2598" s="212"/>
      <c r="F2598" s="212"/>
      <c r="G2598" s="212"/>
      <c r="H2598" s="212"/>
      <c r="I2598" s="224"/>
      <c r="K2598" s="223"/>
      <c r="L2598" s="130"/>
      <c r="N2598" s="22"/>
      <c r="O2598" s="23"/>
      <c r="P2598" s="207"/>
      <c r="Q2598" s="23"/>
      <c r="R2598" s="23"/>
      <c r="S2598" s="23"/>
      <c r="T2598" s="24"/>
      <c r="U2598" s="23"/>
      <c r="V2598" s="24"/>
      <c r="W2598" s="24"/>
      <c r="X2598" s="26"/>
      <c r="Y2598" s="24"/>
      <c r="Z2598" s="68" t="e">
        <f>VLOOKUP(Takeoffs!Y2598,Sheet1!$B$6:$C$124,2,FALSE)</f>
        <v>#N/A</v>
      </c>
      <c r="AA2598" s="68"/>
      <c r="AB2598" s="31"/>
      <c r="AC2598" s="31"/>
      <c r="AD2598" s="31"/>
      <c r="AE2598" s="60"/>
      <c r="AF2598" s="24"/>
      <c r="AG2598" s="68" t="e">
        <f>VLOOKUP(Takeoffs!AF2598,Sheet1!$B$6:$C$124,2,FALSE)</f>
        <v>#N/A</v>
      </c>
      <c r="AH2598" s="68"/>
      <c r="AI2598" s="31"/>
      <c r="AJ2598" s="31"/>
      <c r="AK2598" s="31"/>
      <c r="AL2598" s="60"/>
      <c r="AO2598" s="286"/>
      <c r="AP2598" s="284">
        <f t="shared" si="1016"/>
        <v>0</v>
      </c>
      <c r="AQ2598" s="281">
        <f t="shared" si="1017"/>
        <v>0</v>
      </c>
      <c r="AR2598" s="284">
        <f t="shared" si="1018"/>
        <v>0</v>
      </c>
      <c r="AS2598" s="281">
        <f t="shared" si="1019"/>
        <v>0</v>
      </c>
      <c r="AT2598" s="284">
        <f t="shared" si="1020"/>
        <v>0</v>
      </c>
    </row>
    <row r="2599" spans="1:46" customFormat="1" ht="30.9" x14ac:dyDescent="0.8">
      <c r="A2599" s="262">
        <f t="shared" si="1021"/>
        <v>2599</v>
      </c>
      <c r="B2599" s="114"/>
      <c r="C2599" s="208"/>
      <c r="D2599" s="208"/>
      <c r="E2599" s="208"/>
      <c r="F2599" s="208"/>
      <c r="G2599" s="208"/>
      <c r="H2599" s="208"/>
      <c r="I2599" s="228"/>
      <c r="K2599" s="221"/>
      <c r="L2599" s="117"/>
      <c r="P2599" s="201"/>
      <c r="Q2599" s="32"/>
      <c r="R2599" s="32"/>
      <c r="T2599" s="8"/>
      <c r="W2599" s="32"/>
      <c r="X2599" s="25"/>
      <c r="Z2599" s="68" t="e">
        <f>VLOOKUP(Takeoffs!Y2599,Sheet1!$B$6:$C$124,2,FALSE)</f>
        <v>#N/A</v>
      </c>
      <c r="AA2599" s="68"/>
      <c r="AB2599" s="32"/>
      <c r="AC2599" s="32"/>
      <c r="AD2599" s="32"/>
      <c r="AE2599" s="25"/>
      <c r="AF2599" s="32"/>
      <c r="AG2599" s="68" t="e">
        <f>VLOOKUP(Takeoffs!AF2599,Sheet1!$B$6:$C$124,2,FALSE)</f>
        <v>#N/A</v>
      </c>
      <c r="AH2599" s="68"/>
      <c r="AI2599" s="32"/>
      <c r="AJ2599" s="32"/>
      <c r="AK2599" s="32"/>
      <c r="AL2599" s="25"/>
      <c r="AO2599" s="286"/>
      <c r="AP2599" s="284">
        <f t="shared" si="1016"/>
        <v>0</v>
      </c>
      <c r="AQ2599" s="281">
        <f t="shared" si="1017"/>
        <v>0</v>
      </c>
      <c r="AR2599" s="284">
        <f t="shared" si="1018"/>
        <v>0</v>
      </c>
      <c r="AS2599" s="281">
        <f t="shared" si="1019"/>
        <v>0</v>
      </c>
      <c r="AT2599" s="284">
        <f t="shared" si="1020"/>
        <v>0</v>
      </c>
    </row>
    <row r="2600" spans="1:46" customFormat="1" ht="30.9" x14ac:dyDescent="0.8">
      <c r="A2600" s="262">
        <f t="shared" si="1021"/>
        <v>2600</v>
      </c>
      <c r="B2600" s="114"/>
      <c r="C2600" s="208"/>
      <c r="D2600" s="208"/>
      <c r="E2600" s="208"/>
      <c r="F2600" s="208"/>
      <c r="G2600" s="208"/>
      <c r="H2600" s="208"/>
      <c r="I2600" s="224"/>
      <c r="K2600" s="221"/>
      <c r="L2600" s="117"/>
      <c r="P2600" s="201"/>
      <c r="Q2600" s="32"/>
      <c r="R2600" s="32"/>
      <c r="T2600" s="8"/>
      <c r="W2600" s="32"/>
      <c r="X2600" s="25"/>
      <c r="Z2600" s="68" t="e">
        <f>VLOOKUP(Takeoffs!Y2600,Sheet1!$B$6:$C$124,2,FALSE)</f>
        <v>#N/A</v>
      </c>
      <c r="AA2600" s="68"/>
      <c r="AB2600" s="32"/>
      <c r="AC2600" s="32"/>
      <c r="AD2600" s="32"/>
      <c r="AE2600" s="25"/>
      <c r="AF2600" s="32"/>
      <c r="AG2600" s="68" t="e">
        <f>VLOOKUP(Takeoffs!AF2600,Sheet1!$B$6:$C$124,2,FALSE)</f>
        <v>#N/A</v>
      </c>
      <c r="AH2600" s="68"/>
      <c r="AI2600" s="32"/>
      <c r="AJ2600" s="32"/>
      <c r="AK2600" s="32"/>
      <c r="AL2600" s="25"/>
      <c r="AO2600" s="286"/>
      <c r="AP2600" s="284">
        <f t="shared" ref="AP2600:AP2601" si="1022">IF(I2600&gt;0,"Cost Per System",0)</f>
        <v>0</v>
      </c>
      <c r="AQ2600" s="281">
        <f t="shared" ref="AQ2600:AQ2601" si="1023">IF(I2600&gt;0,P2600,0)</f>
        <v>0</v>
      </c>
      <c r="AR2600" s="284">
        <f t="shared" ref="AR2600:AR2601" si="1024">IF(I2600&gt;0,"Labour",0)</f>
        <v>0</v>
      </c>
      <c r="AS2600" s="281">
        <f t="shared" ref="AS2600:AS2601" si="1025">IF(I2600&gt;0,W2600,0)</f>
        <v>0</v>
      </c>
      <c r="AT2600" s="284">
        <f t="shared" ref="AT2600:AT2601" si="1026">IF(I2600&gt;0,"Materials",0)</f>
        <v>0</v>
      </c>
    </row>
    <row r="2601" spans="1:46" s="2" customFormat="1" ht="62.25" customHeight="1" x14ac:dyDescent="0.8">
      <c r="A2601" s="262">
        <f t="shared" si="1021"/>
        <v>2601</v>
      </c>
      <c r="B2601" s="116"/>
      <c r="C2601" s="211"/>
      <c r="D2601" s="211"/>
      <c r="E2601" s="211"/>
      <c r="F2601" s="211"/>
      <c r="G2601" s="211"/>
      <c r="H2601" s="211"/>
      <c r="I2601" s="224"/>
      <c r="K2601" s="222"/>
      <c r="L2601" s="170"/>
      <c r="M2601" s="2" t="s">
        <v>107</v>
      </c>
      <c r="N2601" s="2" t="s">
        <v>108</v>
      </c>
      <c r="O2601" s="2" t="s">
        <v>4</v>
      </c>
      <c r="P2601" s="184" t="s">
        <v>5</v>
      </c>
      <c r="S2601" s="2" t="s">
        <v>0</v>
      </c>
      <c r="T2601" s="9"/>
      <c r="U2601" s="2" t="s">
        <v>109</v>
      </c>
      <c r="V2601" s="2" t="s">
        <v>110</v>
      </c>
      <c r="X2601" s="58"/>
      <c r="Y2601" s="2" t="s">
        <v>111</v>
      </c>
      <c r="Z2601" s="68" t="e">
        <f>VLOOKUP(Takeoffs!Y2601,Sheet1!$B$6:$C$124,2,FALSE)</f>
        <v>#N/A</v>
      </c>
      <c r="AA2601" s="68"/>
      <c r="AE2601" s="58"/>
      <c r="AF2601" s="2" t="s">
        <v>111</v>
      </c>
      <c r="AG2601" s="68" t="e">
        <f>VLOOKUP(Takeoffs!AF2601,Sheet1!$B$6:$C$124,2,FALSE)</f>
        <v>#N/A</v>
      </c>
      <c r="AH2601" s="68"/>
      <c r="AL2601" s="58"/>
      <c r="AO2601" s="288"/>
      <c r="AP2601" s="284">
        <f t="shared" si="1022"/>
        <v>0</v>
      </c>
      <c r="AQ2601" s="281">
        <f t="shared" si="1023"/>
        <v>0</v>
      </c>
      <c r="AR2601" s="284">
        <f t="shared" si="1024"/>
        <v>0</v>
      </c>
      <c r="AS2601" s="281">
        <f t="shared" si="1025"/>
        <v>0</v>
      </c>
      <c r="AT2601" s="284">
        <f t="shared" si="1026"/>
        <v>0</v>
      </c>
    </row>
    <row r="2602" spans="1:46" customFormat="1" ht="179.25" customHeight="1" x14ac:dyDescent="0.8">
      <c r="A2602" s="262">
        <f t="shared" si="1021"/>
        <v>2602</v>
      </c>
      <c r="B2602" s="114"/>
      <c r="C2602" s="208"/>
      <c r="D2602" s="208"/>
      <c r="E2602" s="208"/>
      <c r="F2602" s="208"/>
      <c r="G2602" s="208"/>
      <c r="H2602" s="208"/>
      <c r="I2602" s="227"/>
      <c r="J2602" s="30" t="str">
        <f>CONCATENATE(O2602," ",L2602, " (",M2602,") ",N2602,". Each includes supply and install of ",O2603,O2604,O2605,O2606,O2607,O2608,O2609,O2610,O2611,O2612,O2613,O2614,O2615,O2616,O2617,O2618,O2619,O2620,O2621,O2622,)</f>
        <v>Electrical services for four (4) Mechanical services switchboard. Each includes supply and install of Main Isolators - Econtactorscircuit breakersbusbar and wiringthermographic testNote: Lamps and Auto/Off/Manual switches are excluded.</v>
      </c>
      <c r="K2602" s="221"/>
      <c r="L2602" s="123" t="str">
        <f>VLOOKUP(M2602,Sheet2!$D$2:$E$1024,2,FALSE)</f>
        <v>four</v>
      </c>
      <c r="M2602" s="12">
        <v>4</v>
      </c>
      <c r="N2602" s="27" t="s">
        <v>210</v>
      </c>
      <c r="O2602" s="12" t="s">
        <v>195</v>
      </c>
      <c r="P2602" s="207"/>
      <c r="Q2602" s="12"/>
      <c r="R2602" s="12"/>
      <c r="S2602" s="28"/>
      <c r="T2602" s="10"/>
      <c r="U2602" s="12"/>
      <c r="V2602" s="14" t="e">
        <f>U2602*#REF!</f>
        <v>#REF!</v>
      </c>
      <c r="W2602" s="14"/>
      <c r="X2602" s="26"/>
      <c r="Y2602" s="13"/>
      <c r="Z2602" s="68" t="e">
        <f>VLOOKUP(Takeoffs!Y2602,Sheet1!$B$6:$C$124,2,FALSE)</f>
        <v>#N/A</v>
      </c>
      <c r="AA2602" s="68"/>
      <c r="AB2602" s="18"/>
      <c r="AC2602" s="18"/>
      <c r="AD2602" s="18"/>
      <c r="AE2602" s="60"/>
      <c r="AF2602" s="13"/>
      <c r="AG2602" s="68" t="e">
        <f>VLOOKUP(Takeoffs!AF2602,Sheet1!$B$6:$C$124,2,FALSE)</f>
        <v>#N/A</v>
      </c>
      <c r="AH2602" s="68"/>
      <c r="AI2602" s="18"/>
      <c r="AJ2602" s="18"/>
      <c r="AK2602" s="18"/>
      <c r="AL2602" s="60"/>
      <c r="AO2602" s="286"/>
      <c r="AP2602" s="282"/>
      <c r="AQ2602" s="277"/>
      <c r="AR2602" s="282"/>
      <c r="AS2602" s="277"/>
      <c r="AT2602" s="282"/>
    </row>
    <row r="2603" spans="1:46" customFormat="1" ht="15" customHeight="1" x14ac:dyDescent="0.8">
      <c r="A2603" s="263"/>
      <c r="B2603" s="114"/>
      <c r="C2603" s="208"/>
      <c r="D2603" s="208"/>
      <c r="E2603" s="208"/>
      <c r="F2603" s="208"/>
      <c r="G2603" s="208"/>
      <c r="H2603" s="208"/>
      <c r="I2603" s="224"/>
      <c r="J2603" s="30"/>
      <c r="K2603" s="221"/>
      <c r="L2603" s="117"/>
      <c r="M2603" s="3"/>
      <c r="N2603" s="15" t="s">
        <v>113</v>
      </c>
      <c r="O2603" t="s">
        <v>211</v>
      </c>
      <c r="P2603" s="207"/>
      <c r="Q2603" s="12"/>
      <c r="R2603" s="12"/>
      <c r="S2603" s="28">
        <f>M2602</f>
        <v>4</v>
      </c>
      <c r="T2603" s="11"/>
      <c r="U2603" s="12"/>
      <c r="V2603" s="14" t="e">
        <f>U2603*#REF!</f>
        <v>#REF!</v>
      </c>
      <c r="W2603" s="14"/>
      <c r="X2603" s="26"/>
      <c r="Y2603" s="13"/>
      <c r="Z2603" s="68" t="e">
        <f>VLOOKUP(Takeoffs!Y2603,Sheet1!$B$6:$C$124,2,FALSE)</f>
        <v>#N/A</v>
      </c>
      <c r="AA2603" s="68"/>
      <c r="AB2603" s="18"/>
      <c r="AC2603" s="18"/>
      <c r="AD2603" s="18"/>
      <c r="AE2603" s="60"/>
      <c r="AF2603" s="13"/>
      <c r="AG2603" s="68" t="e">
        <f>VLOOKUP(Takeoffs!AF2603,Sheet1!$B$6:$C$124,2,FALSE)</f>
        <v>#N/A</v>
      </c>
      <c r="AH2603" s="68"/>
      <c r="AI2603" s="18"/>
      <c r="AJ2603" s="18"/>
      <c r="AK2603" s="18"/>
      <c r="AL2603" s="60"/>
      <c r="AO2603" s="286"/>
      <c r="AP2603" s="282"/>
      <c r="AQ2603" s="277"/>
      <c r="AR2603" s="282"/>
      <c r="AS2603" s="277"/>
      <c r="AT2603" s="282"/>
    </row>
    <row r="2604" spans="1:46" customFormat="1" ht="15" customHeight="1" x14ac:dyDescent="0.8">
      <c r="A2604" s="263"/>
      <c r="B2604" s="114"/>
      <c r="C2604" s="208"/>
      <c r="D2604" s="208"/>
      <c r="E2604" s="208"/>
      <c r="F2604" s="208"/>
      <c r="G2604" s="208"/>
      <c r="H2604" s="208"/>
      <c r="I2604" s="224"/>
      <c r="J2604" s="30"/>
      <c r="K2604" s="221"/>
      <c r="L2604" s="117"/>
      <c r="M2604" s="3"/>
      <c r="N2604" s="15" t="s">
        <v>114</v>
      </c>
      <c r="O2604" t="s">
        <v>212</v>
      </c>
      <c r="P2604" s="207"/>
      <c r="Q2604" s="12"/>
      <c r="R2604" s="12"/>
      <c r="S2604" s="28">
        <f>M2602</f>
        <v>4</v>
      </c>
      <c r="T2604" s="11"/>
      <c r="U2604" s="12"/>
      <c r="V2604" s="14" t="e">
        <f>U2604*#REF!</f>
        <v>#REF!</v>
      </c>
      <c r="W2604" s="14"/>
      <c r="X2604" s="26"/>
      <c r="Y2604" s="13"/>
      <c r="Z2604" s="68" t="e">
        <f>VLOOKUP(Takeoffs!Y2604,Sheet1!$B$6:$C$124,2,FALSE)</f>
        <v>#N/A</v>
      </c>
      <c r="AA2604" s="68"/>
      <c r="AB2604" s="18"/>
      <c r="AC2604" s="18"/>
      <c r="AD2604" s="18"/>
      <c r="AE2604" s="60"/>
      <c r="AF2604" s="13"/>
      <c r="AG2604" s="68" t="e">
        <f>VLOOKUP(Takeoffs!AF2604,Sheet1!$B$6:$C$124,2,FALSE)</f>
        <v>#N/A</v>
      </c>
      <c r="AH2604" s="68"/>
      <c r="AI2604" s="18"/>
      <c r="AJ2604" s="18"/>
      <c r="AK2604" s="18"/>
      <c r="AL2604" s="60"/>
      <c r="AO2604" s="286"/>
      <c r="AP2604" s="282"/>
      <c r="AQ2604" s="277"/>
      <c r="AR2604" s="282"/>
      <c r="AS2604" s="277"/>
      <c r="AT2604" s="282"/>
    </row>
    <row r="2605" spans="1:46" customFormat="1" ht="15" customHeight="1" x14ac:dyDescent="0.8">
      <c r="A2605" s="263"/>
      <c r="B2605" s="114"/>
      <c r="C2605" s="208"/>
      <c r="D2605" s="208"/>
      <c r="E2605" s="208"/>
      <c r="F2605" s="208"/>
      <c r="G2605" s="208"/>
      <c r="H2605" s="208"/>
      <c r="I2605" s="224"/>
      <c r="J2605" s="30"/>
      <c r="K2605" s="221"/>
      <c r="L2605" s="117"/>
      <c r="M2605" s="3"/>
      <c r="N2605" s="15" t="s">
        <v>115</v>
      </c>
      <c r="O2605" t="s">
        <v>213</v>
      </c>
      <c r="P2605" s="207"/>
      <c r="Q2605" s="12"/>
      <c r="R2605" s="12"/>
      <c r="S2605" s="28">
        <f>M2602</f>
        <v>4</v>
      </c>
      <c r="T2605" s="11"/>
      <c r="U2605" s="12"/>
      <c r="V2605" s="14" t="e">
        <f>U2605*#REF!</f>
        <v>#REF!</v>
      </c>
      <c r="W2605" s="14"/>
      <c r="X2605" s="26"/>
      <c r="Y2605" s="13"/>
      <c r="Z2605" s="68" t="e">
        <f>VLOOKUP(Takeoffs!Y2605,Sheet1!$B$6:$C$124,2,FALSE)</f>
        <v>#N/A</v>
      </c>
      <c r="AA2605" s="68"/>
      <c r="AB2605" s="18"/>
      <c r="AC2605" s="18"/>
      <c r="AD2605" s="18"/>
      <c r="AE2605" s="60"/>
      <c r="AF2605" s="13"/>
      <c r="AG2605" s="68" t="e">
        <f>VLOOKUP(Takeoffs!AF2605,Sheet1!$B$6:$C$124,2,FALSE)</f>
        <v>#N/A</v>
      </c>
      <c r="AH2605" s="68"/>
      <c r="AI2605" s="18"/>
      <c r="AJ2605" s="18"/>
      <c r="AK2605" s="18"/>
      <c r="AL2605" s="60"/>
      <c r="AO2605" s="286"/>
      <c r="AP2605" s="282"/>
      <c r="AQ2605" s="277"/>
      <c r="AR2605" s="282"/>
      <c r="AS2605" s="277"/>
      <c r="AT2605" s="282"/>
    </row>
    <row r="2606" spans="1:46" customFormat="1" ht="15" customHeight="1" x14ac:dyDescent="0.8">
      <c r="A2606" s="263"/>
      <c r="B2606" s="114"/>
      <c r="C2606" s="208"/>
      <c r="D2606" s="208"/>
      <c r="E2606" s="208"/>
      <c r="F2606" s="208"/>
      <c r="G2606" s="208"/>
      <c r="H2606" s="208"/>
      <c r="I2606" s="224"/>
      <c r="J2606" s="30"/>
      <c r="K2606" s="221"/>
      <c r="L2606" s="117"/>
      <c r="M2606" s="3"/>
      <c r="N2606" s="15" t="s">
        <v>116</v>
      </c>
      <c r="O2606" t="s">
        <v>214</v>
      </c>
      <c r="P2606" s="207"/>
      <c r="Q2606" s="12"/>
      <c r="R2606" s="12"/>
      <c r="S2606" s="28">
        <f>M2602</f>
        <v>4</v>
      </c>
      <c r="T2606" s="11"/>
      <c r="U2606" s="12"/>
      <c r="V2606" s="14" t="e">
        <f>U2606*#REF!</f>
        <v>#REF!</v>
      </c>
      <c r="W2606" s="14"/>
      <c r="X2606" s="26"/>
      <c r="Y2606" s="13"/>
      <c r="Z2606" s="68" t="e">
        <f>VLOOKUP(Takeoffs!Y2606,Sheet1!$B$6:$C$124,2,FALSE)</f>
        <v>#N/A</v>
      </c>
      <c r="AA2606" s="68"/>
      <c r="AB2606" s="18"/>
      <c r="AC2606" s="18"/>
      <c r="AD2606" s="18"/>
      <c r="AE2606" s="60"/>
      <c r="AF2606" s="13"/>
      <c r="AG2606" s="68" t="e">
        <f>VLOOKUP(Takeoffs!AF2606,Sheet1!$B$6:$C$124,2,FALSE)</f>
        <v>#N/A</v>
      </c>
      <c r="AH2606" s="68"/>
      <c r="AI2606" s="18"/>
      <c r="AJ2606" s="18"/>
      <c r="AK2606" s="18"/>
      <c r="AL2606" s="60"/>
      <c r="AO2606" s="286"/>
      <c r="AP2606" s="282"/>
      <c r="AQ2606" s="277"/>
      <c r="AR2606" s="282"/>
      <c r="AS2606" s="277"/>
      <c r="AT2606" s="282"/>
    </row>
    <row r="2607" spans="1:46" customFormat="1" ht="15" customHeight="1" x14ac:dyDescent="0.8">
      <c r="A2607" s="263"/>
      <c r="B2607" s="114"/>
      <c r="C2607" s="208"/>
      <c r="D2607" s="208"/>
      <c r="E2607" s="208"/>
      <c r="F2607" s="208"/>
      <c r="G2607" s="208"/>
      <c r="H2607" s="208"/>
      <c r="I2607" s="224"/>
      <c r="J2607" s="30"/>
      <c r="K2607" s="221"/>
      <c r="L2607" s="117"/>
      <c r="M2607" s="3"/>
      <c r="N2607" s="15" t="s">
        <v>117</v>
      </c>
      <c r="O2607" t="s">
        <v>215</v>
      </c>
      <c r="P2607" s="207"/>
      <c r="Q2607" s="12"/>
      <c r="R2607" s="12"/>
      <c r="S2607" s="28">
        <v>1</v>
      </c>
      <c r="T2607" s="11"/>
      <c r="U2607" s="12"/>
      <c r="V2607" s="14" t="e">
        <f>U2607*#REF!</f>
        <v>#REF!</v>
      </c>
      <c r="W2607" s="14"/>
      <c r="X2607" s="26"/>
      <c r="Y2607" s="13"/>
      <c r="Z2607" s="68" t="e">
        <f>VLOOKUP(Takeoffs!Y2607,Sheet1!$B$6:$C$124,2,FALSE)</f>
        <v>#N/A</v>
      </c>
      <c r="AA2607" s="68"/>
      <c r="AB2607" s="18"/>
      <c r="AC2607" s="18"/>
      <c r="AD2607" s="18"/>
      <c r="AE2607" s="60"/>
      <c r="AF2607" s="13"/>
      <c r="AG2607" s="68" t="e">
        <f>VLOOKUP(Takeoffs!AF2607,Sheet1!$B$6:$C$124,2,FALSE)</f>
        <v>#N/A</v>
      </c>
      <c r="AH2607" s="68"/>
      <c r="AI2607" s="18"/>
      <c r="AJ2607" s="18"/>
      <c r="AK2607" s="18"/>
      <c r="AL2607" s="60"/>
      <c r="AO2607" s="286"/>
      <c r="AP2607" s="282"/>
      <c r="AQ2607" s="277"/>
      <c r="AR2607" s="282"/>
      <c r="AS2607" s="277"/>
      <c r="AT2607" s="282"/>
    </row>
    <row r="2608" spans="1:46" customFormat="1" ht="15" customHeight="1" x14ac:dyDescent="0.8">
      <c r="A2608" s="263"/>
      <c r="B2608" s="114"/>
      <c r="C2608" s="208"/>
      <c r="D2608" s="208"/>
      <c r="E2608" s="208"/>
      <c r="F2608" s="208"/>
      <c r="G2608" s="208"/>
      <c r="H2608" s="208"/>
      <c r="I2608" s="224"/>
      <c r="J2608" s="30"/>
      <c r="K2608" s="221"/>
      <c r="L2608" s="117"/>
      <c r="M2608" s="3"/>
      <c r="N2608" s="15" t="s">
        <v>118</v>
      </c>
      <c r="O2608" t="s">
        <v>216</v>
      </c>
      <c r="P2608" s="207"/>
      <c r="Q2608" s="12"/>
      <c r="R2608" s="12"/>
      <c r="S2608" s="28">
        <v>1</v>
      </c>
      <c r="T2608" s="11"/>
      <c r="U2608" s="12"/>
      <c r="V2608" s="14" t="e">
        <f>U2608*#REF!</f>
        <v>#REF!</v>
      </c>
      <c r="W2608" s="14"/>
      <c r="X2608" s="26"/>
      <c r="Y2608" s="13"/>
      <c r="Z2608" s="68" t="e">
        <f>VLOOKUP(Takeoffs!Y2608,Sheet1!$B$6:$C$124,2,FALSE)</f>
        <v>#N/A</v>
      </c>
      <c r="AA2608" s="68"/>
      <c r="AB2608" s="18"/>
      <c r="AC2608" s="18"/>
      <c r="AD2608" s="18"/>
      <c r="AE2608" s="60"/>
      <c r="AF2608" s="13"/>
      <c r="AG2608" s="68" t="e">
        <f>VLOOKUP(Takeoffs!AF2608,Sheet1!$B$6:$C$124,2,FALSE)</f>
        <v>#N/A</v>
      </c>
      <c r="AH2608" s="68"/>
      <c r="AI2608" s="18"/>
      <c r="AJ2608" s="18"/>
      <c r="AK2608" s="18"/>
      <c r="AL2608" s="60"/>
      <c r="AO2608" s="286"/>
      <c r="AP2608" s="282"/>
      <c r="AQ2608" s="277"/>
      <c r="AR2608" s="282"/>
      <c r="AS2608" s="277"/>
      <c r="AT2608" s="282"/>
    </row>
    <row r="2609" spans="1:46" customFormat="1" ht="15" customHeight="1" x14ac:dyDescent="0.8">
      <c r="A2609" s="263"/>
      <c r="B2609" s="114"/>
      <c r="C2609" s="208"/>
      <c r="D2609" s="208"/>
      <c r="E2609" s="208"/>
      <c r="F2609" s="208"/>
      <c r="G2609" s="208"/>
      <c r="H2609" s="208"/>
      <c r="I2609" s="224"/>
      <c r="J2609" s="30"/>
      <c r="K2609" s="221"/>
      <c r="L2609" s="117"/>
      <c r="N2609" s="15" t="s">
        <v>119</v>
      </c>
      <c r="P2609" s="207"/>
      <c r="Q2609" s="12"/>
      <c r="R2609" s="12"/>
      <c r="S2609" s="28">
        <f>M2602</f>
        <v>4</v>
      </c>
      <c r="T2609" s="11"/>
      <c r="U2609" s="12"/>
      <c r="V2609" s="14" t="e">
        <f>U2609*#REF!</f>
        <v>#REF!</v>
      </c>
      <c r="W2609" s="14"/>
      <c r="X2609" s="26"/>
      <c r="Y2609" s="13"/>
      <c r="Z2609" s="68" t="e">
        <f>VLOOKUP(Takeoffs!Y2609,Sheet1!$B$6:$C$124,2,FALSE)</f>
        <v>#N/A</v>
      </c>
      <c r="AA2609" s="68"/>
      <c r="AB2609" s="18"/>
      <c r="AC2609" s="18"/>
      <c r="AD2609" s="18"/>
      <c r="AE2609" s="60"/>
      <c r="AF2609" s="13"/>
      <c r="AG2609" s="68" t="e">
        <f>VLOOKUP(Takeoffs!AF2609,Sheet1!$B$6:$C$124,2,FALSE)</f>
        <v>#N/A</v>
      </c>
      <c r="AH2609" s="68"/>
      <c r="AI2609" s="18"/>
      <c r="AJ2609" s="18"/>
      <c r="AK2609" s="18"/>
      <c r="AL2609" s="60"/>
      <c r="AO2609" s="286"/>
      <c r="AP2609" s="282"/>
      <c r="AQ2609" s="277"/>
      <c r="AR2609" s="282"/>
      <c r="AS2609" s="277"/>
      <c r="AT2609" s="282"/>
    </row>
    <row r="2610" spans="1:46" customFormat="1" ht="15" customHeight="1" x14ac:dyDescent="0.8">
      <c r="A2610" s="263"/>
      <c r="B2610" s="114"/>
      <c r="C2610" s="208"/>
      <c r="D2610" s="208"/>
      <c r="E2610" s="208"/>
      <c r="F2610" s="208"/>
      <c r="G2610" s="208"/>
      <c r="H2610" s="208"/>
      <c r="I2610" s="224"/>
      <c r="J2610" s="30"/>
      <c r="K2610" s="221"/>
      <c r="L2610" s="117"/>
      <c r="N2610" s="15" t="s">
        <v>120</v>
      </c>
      <c r="P2610" s="207"/>
      <c r="Q2610" s="12"/>
      <c r="R2610" s="12"/>
      <c r="S2610" s="28">
        <f>M2602</f>
        <v>4</v>
      </c>
      <c r="T2610" s="11"/>
      <c r="U2610" s="12"/>
      <c r="V2610" s="14" t="e">
        <f>U2610*#REF!</f>
        <v>#REF!</v>
      </c>
      <c r="W2610" s="14"/>
      <c r="X2610" s="26"/>
      <c r="Y2610" s="13"/>
      <c r="Z2610" s="68" t="e">
        <f>VLOOKUP(Takeoffs!Y2610,Sheet1!$B$6:$C$124,2,FALSE)</f>
        <v>#N/A</v>
      </c>
      <c r="AA2610" s="68"/>
      <c r="AB2610" s="18"/>
      <c r="AC2610" s="18"/>
      <c r="AD2610" s="18"/>
      <c r="AE2610" s="60"/>
      <c r="AF2610" s="13"/>
      <c r="AG2610" s="68" t="e">
        <f>VLOOKUP(Takeoffs!AF2610,Sheet1!$B$6:$C$124,2,FALSE)</f>
        <v>#N/A</v>
      </c>
      <c r="AH2610" s="68"/>
      <c r="AI2610" s="18"/>
      <c r="AJ2610" s="18"/>
      <c r="AK2610" s="18"/>
      <c r="AL2610" s="60"/>
      <c r="AO2610" s="286"/>
      <c r="AP2610" s="282"/>
      <c r="AQ2610" s="277"/>
      <c r="AR2610" s="282"/>
      <c r="AS2610" s="277"/>
      <c r="AT2610" s="282"/>
    </row>
    <row r="2611" spans="1:46" customFormat="1" ht="15" customHeight="1" x14ac:dyDescent="0.8">
      <c r="A2611" s="263"/>
      <c r="B2611" s="114"/>
      <c r="C2611" s="208"/>
      <c r="D2611" s="208"/>
      <c r="E2611" s="208"/>
      <c r="F2611" s="208"/>
      <c r="G2611" s="208"/>
      <c r="H2611" s="208"/>
      <c r="I2611" s="224"/>
      <c r="J2611" s="30"/>
      <c r="K2611" s="221"/>
      <c r="L2611" s="117"/>
      <c r="N2611" s="15" t="s">
        <v>121</v>
      </c>
      <c r="O2611" s="12"/>
      <c r="P2611" s="207"/>
      <c r="Q2611" s="12"/>
      <c r="R2611" s="12"/>
      <c r="S2611" s="28">
        <f>M2602</f>
        <v>4</v>
      </c>
      <c r="T2611" s="11"/>
      <c r="U2611" s="12"/>
      <c r="V2611" s="14" t="e">
        <f>U2611*#REF!</f>
        <v>#REF!</v>
      </c>
      <c r="W2611" s="14"/>
      <c r="X2611" s="26"/>
      <c r="Y2611" s="13"/>
      <c r="Z2611" s="68" t="e">
        <f>VLOOKUP(Takeoffs!Y2611,Sheet1!$B$6:$C$124,2,FALSE)</f>
        <v>#N/A</v>
      </c>
      <c r="AA2611" s="68"/>
      <c r="AB2611" s="18"/>
      <c r="AC2611" s="18"/>
      <c r="AD2611" s="18"/>
      <c r="AE2611" s="60"/>
      <c r="AF2611" s="13"/>
      <c r="AG2611" s="68" t="e">
        <f>VLOOKUP(Takeoffs!AF2611,Sheet1!$B$6:$C$124,2,FALSE)</f>
        <v>#N/A</v>
      </c>
      <c r="AH2611" s="68"/>
      <c r="AI2611" s="18"/>
      <c r="AJ2611" s="18"/>
      <c r="AK2611" s="18"/>
      <c r="AL2611" s="60"/>
      <c r="AO2611" s="286"/>
      <c r="AP2611" s="282"/>
      <c r="AQ2611" s="277"/>
      <c r="AR2611" s="282"/>
      <c r="AS2611" s="277"/>
      <c r="AT2611" s="282"/>
    </row>
    <row r="2612" spans="1:46" customFormat="1" ht="15" customHeight="1" x14ac:dyDescent="0.8">
      <c r="A2612" s="263"/>
      <c r="B2612" s="114"/>
      <c r="C2612" s="208"/>
      <c r="D2612" s="208"/>
      <c r="E2612" s="208"/>
      <c r="F2612" s="208"/>
      <c r="G2612" s="208"/>
      <c r="H2612" s="208"/>
      <c r="I2612" s="224"/>
      <c r="J2612" s="30"/>
      <c r="K2612" s="221"/>
      <c r="L2612" s="117"/>
      <c r="N2612" s="15" t="s">
        <v>122</v>
      </c>
      <c r="O2612" s="12"/>
      <c r="P2612" s="207"/>
      <c r="Q2612" s="12"/>
      <c r="R2612" s="12"/>
      <c r="S2612" s="28">
        <f>M2602</f>
        <v>4</v>
      </c>
      <c r="T2612" s="11"/>
      <c r="U2612" s="12"/>
      <c r="V2612" s="14" t="e">
        <f>U2612*#REF!</f>
        <v>#REF!</v>
      </c>
      <c r="W2612" s="14"/>
      <c r="X2612" s="26"/>
      <c r="Y2612" s="13"/>
      <c r="Z2612" s="68" t="e">
        <f>VLOOKUP(Takeoffs!Y2612,Sheet1!$B$6:$C$124,2,FALSE)</f>
        <v>#N/A</v>
      </c>
      <c r="AA2612" s="68"/>
      <c r="AB2612" s="18"/>
      <c r="AC2612" s="18"/>
      <c r="AD2612" s="18"/>
      <c r="AE2612" s="60"/>
      <c r="AF2612" s="13"/>
      <c r="AG2612" s="68" t="e">
        <f>VLOOKUP(Takeoffs!AF2612,Sheet1!$B$6:$C$124,2,FALSE)</f>
        <v>#N/A</v>
      </c>
      <c r="AH2612" s="68"/>
      <c r="AI2612" s="18"/>
      <c r="AJ2612" s="18"/>
      <c r="AK2612" s="18"/>
      <c r="AL2612" s="60"/>
      <c r="AO2612" s="286"/>
      <c r="AP2612" s="282"/>
      <c r="AQ2612" s="277"/>
      <c r="AR2612" s="282"/>
      <c r="AS2612" s="277"/>
      <c r="AT2612" s="282"/>
    </row>
    <row r="2613" spans="1:46" customFormat="1" ht="15" customHeight="1" x14ac:dyDescent="0.8">
      <c r="A2613" s="263"/>
      <c r="B2613" s="114"/>
      <c r="C2613" s="208"/>
      <c r="D2613" s="208"/>
      <c r="E2613" s="208"/>
      <c r="F2613" s="208"/>
      <c r="G2613" s="208"/>
      <c r="H2613" s="208"/>
      <c r="I2613" s="224"/>
      <c r="J2613" s="30"/>
      <c r="K2613" s="221"/>
      <c r="L2613" s="117"/>
      <c r="N2613" s="15" t="s">
        <v>123</v>
      </c>
      <c r="O2613" s="12"/>
      <c r="P2613" s="207"/>
      <c r="Q2613" s="12"/>
      <c r="R2613" s="12"/>
      <c r="S2613" s="28">
        <f>M2602</f>
        <v>4</v>
      </c>
      <c r="T2613" s="11"/>
      <c r="U2613" s="12"/>
      <c r="V2613" s="14" t="e">
        <f>U2613*#REF!</f>
        <v>#REF!</v>
      </c>
      <c r="W2613" s="14"/>
      <c r="X2613" s="26"/>
      <c r="Y2613" s="13"/>
      <c r="Z2613" s="68" t="e">
        <f>VLOOKUP(Takeoffs!Y2613,Sheet1!$B$6:$C$124,2,FALSE)</f>
        <v>#N/A</v>
      </c>
      <c r="AA2613" s="68"/>
      <c r="AB2613" s="18"/>
      <c r="AC2613" s="18"/>
      <c r="AD2613" s="18"/>
      <c r="AE2613" s="60"/>
      <c r="AF2613" s="13"/>
      <c r="AG2613" s="68" t="e">
        <f>VLOOKUP(Takeoffs!AF2613,Sheet1!$B$6:$C$124,2,FALSE)</f>
        <v>#N/A</v>
      </c>
      <c r="AH2613" s="68"/>
      <c r="AI2613" s="18"/>
      <c r="AJ2613" s="18"/>
      <c r="AK2613" s="18"/>
      <c r="AL2613" s="60"/>
      <c r="AO2613" s="286"/>
      <c r="AP2613" s="282"/>
      <c r="AQ2613" s="277"/>
      <c r="AR2613" s="282"/>
      <c r="AS2613" s="277"/>
      <c r="AT2613" s="282"/>
    </row>
    <row r="2614" spans="1:46" customFormat="1" ht="15" customHeight="1" x14ac:dyDescent="0.8">
      <c r="A2614" s="263"/>
      <c r="B2614" s="114"/>
      <c r="C2614" s="208"/>
      <c r="D2614" s="208"/>
      <c r="E2614" s="208"/>
      <c r="F2614" s="208"/>
      <c r="G2614" s="208"/>
      <c r="H2614" s="208"/>
      <c r="I2614" s="224"/>
      <c r="J2614" s="30"/>
      <c r="K2614" s="221"/>
      <c r="L2614" s="117"/>
      <c r="N2614" s="15" t="s">
        <v>124</v>
      </c>
      <c r="O2614" s="12"/>
      <c r="P2614" s="207"/>
      <c r="Q2614" s="12"/>
      <c r="R2614" s="12"/>
      <c r="S2614" s="28">
        <f>M2602</f>
        <v>4</v>
      </c>
      <c r="T2614" s="11"/>
      <c r="U2614" s="12"/>
      <c r="V2614" s="14" t="e">
        <f>U2614*#REF!</f>
        <v>#REF!</v>
      </c>
      <c r="W2614" s="14"/>
      <c r="X2614" s="26"/>
      <c r="Y2614" s="13"/>
      <c r="Z2614" s="68" t="e">
        <f>VLOOKUP(Takeoffs!Y2614,Sheet1!$B$6:$C$124,2,FALSE)</f>
        <v>#N/A</v>
      </c>
      <c r="AA2614" s="68"/>
      <c r="AB2614" s="18"/>
      <c r="AC2614" s="18"/>
      <c r="AD2614" s="18"/>
      <c r="AE2614" s="60"/>
      <c r="AF2614" s="13"/>
      <c r="AG2614" s="68" t="e">
        <f>VLOOKUP(Takeoffs!AF2614,Sheet1!$B$6:$C$124,2,FALSE)</f>
        <v>#N/A</v>
      </c>
      <c r="AH2614" s="68"/>
      <c r="AI2614" s="18"/>
      <c r="AJ2614" s="18"/>
      <c r="AK2614" s="18"/>
      <c r="AL2614" s="60"/>
      <c r="AO2614" s="286"/>
      <c r="AP2614" s="282"/>
      <c r="AQ2614" s="277"/>
      <c r="AR2614" s="282"/>
      <c r="AS2614" s="277"/>
      <c r="AT2614" s="282"/>
    </row>
    <row r="2615" spans="1:46" customFormat="1" ht="15" customHeight="1" x14ac:dyDescent="0.8">
      <c r="A2615" s="263"/>
      <c r="B2615" s="114"/>
      <c r="C2615" s="208"/>
      <c r="D2615" s="208"/>
      <c r="E2615" s="208"/>
      <c r="F2615" s="208"/>
      <c r="G2615" s="208"/>
      <c r="H2615" s="208"/>
      <c r="I2615" s="224"/>
      <c r="J2615" s="30"/>
      <c r="K2615" s="221"/>
      <c r="L2615" s="117"/>
      <c r="N2615" s="15" t="s">
        <v>125</v>
      </c>
      <c r="O2615" s="12"/>
      <c r="P2615" s="207"/>
      <c r="Q2615" s="12"/>
      <c r="R2615" s="12"/>
      <c r="S2615" s="28">
        <f>M2602</f>
        <v>4</v>
      </c>
      <c r="T2615" s="11"/>
      <c r="U2615" s="12"/>
      <c r="V2615" s="14" t="e">
        <f>U2615*#REF!</f>
        <v>#REF!</v>
      </c>
      <c r="W2615" s="14"/>
      <c r="X2615" s="26"/>
      <c r="Y2615" s="13"/>
      <c r="Z2615" s="68" t="e">
        <f>VLOOKUP(Takeoffs!Y2615,Sheet1!$B$6:$C$124,2,FALSE)</f>
        <v>#N/A</v>
      </c>
      <c r="AA2615" s="68"/>
      <c r="AB2615" s="18"/>
      <c r="AC2615" s="18"/>
      <c r="AD2615" s="18"/>
      <c r="AE2615" s="60"/>
      <c r="AF2615" s="13"/>
      <c r="AG2615" s="68" t="e">
        <f>VLOOKUP(Takeoffs!AF2615,Sheet1!$B$6:$C$124,2,FALSE)</f>
        <v>#N/A</v>
      </c>
      <c r="AH2615" s="68"/>
      <c r="AI2615" s="18"/>
      <c r="AJ2615" s="18"/>
      <c r="AK2615" s="18"/>
      <c r="AL2615" s="60"/>
      <c r="AO2615" s="286"/>
      <c r="AP2615" s="282"/>
      <c r="AQ2615" s="277"/>
      <c r="AR2615" s="282"/>
      <c r="AS2615" s="277"/>
      <c r="AT2615" s="282"/>
    </row>
    <row r="2616" spans="1:46" customFormat="1" ht="15" customHeight="1" x14ac:dyDescent="0.8">
      <c r="A2616" s="263"/>
      <c r="B2616" s="114"/>
      <c r="C2616" s="208"/>
      <c r="D2616" s="208"/>
      <c r="E2616" s="208"/>
      <c r="F2616" s="208"/>
      <c r="G2616" s="208"/>
      <c r="H2616" s="208"/>
      <c r="I2616" s="224"/>
      <c r="J2616" s="30"/>
      <c r="K2616" s="221"/>
      <c r="L2616" s="117"/>
      <c r="N2616" s="15" t="s">
        <v>126</v>
      </c>
      <c r="O2616" s="12"/>
      <c r="P2616" s="207"/>
      <c r="Q2616" s="12"/>
      <c r="R2616" s="12"/>
      <c r="S2616" s="28">
        <f>M2602</f>
        <v>4</v>
      </c>
      <c r="T2616" s="11"/>
      <c r="U2616" s="12"/>
      <c r="V2616" s="14" t="e">
        <f>U2616*#REF!</f>
        <v>#REF!</v>
      </c>
      <c r="W2616" s="14"/>
      <c r="X2616" s="26"/>
      <c r="Y2616" s="13"/>
      <c r="Z2616" s="68" t="e">
        <f>VLOOKUP(Takeoffs!Y2616,Sheet1!$B$6:$C$124,2,FALSE)</f>
        <v>#N/A</v>
      </c>
      <c r="AA2616" s="68"/>
      <c r="AB2616" s="18"/>
      <c r="AC2616" s="18"/>
      <c r="AD2616" s="18"/>
      <c r="AE2616" s="60"/>
      <c r="AF2616" s="13"/>
      <c r="AG2616" s="68" t="e">
        <f>VLOOKUP(Takeoffs!AF2616,Sheet1!$B$6:$C$124,2,FALSE)</f>
        <v>#N/A</v>
      </c>
      <c r="AH2616" s="68"/>
      <c r="AI2616" s="18"/>
      <c r="AJ2616" s="18"/>
      <c r="AK2616" s="18"/>
      <c r="AL2616" s="60"/>
      <c r="AO2616" s="286"/>
      <c r="AP2616" s="282"/>
      <c r="AQ2616" s="277"/>
      <c r="AR2616" s="282"/>
      <c r="AS2616" s="277"/>
      <c r="AT2616" s="282"/>
    </row>
    <row r="2617" spans="1:46" customFormat="1" ht="15" customHeight="1" x14ac:dyDescent="0.8">
      <c r="A2617" s="263"/>
      <c r="B2617" s="114"/>
      <c r="C2617" s="208"/>
      <c r="D2617" s="208"/>
      <c r="E2617" s="208"/>
      <c r="F2617" s="208"/>
      <c r="G2617" s="208"/>
      <c r="H2617" s="208"/>
      <c r="I2617" s="224"/>
      <c r="J2617" s="30"/>
      <c r="K2617" s="221"/>
      <c r="L2617" s="117"/>
      <c r="N2617" s="15" t="s">
        <v>127</v>
      </c>
      <c r="O2617" s="12"/>
      <c r="P2617" s="207"/>
      <c r="Q2617" s="12"/>
      <c r="R2617" s="12"/>
      <c r="S2617" s="28">
        <f>M2602</f>
        <v>4</v>
      </c>
      <c r="T2617" s="11"/>
      <c r="U2617" s="12"/>
      <c r="V2617" s="14" t="e">
        <f>U2617*#REF!</f>
        <v>#REF!</v>
      </c>
      <c r="W2617" s="14"/>
      <c r="X2617" s="26"/>
      <c r="Y2617" s="13"/>
      <c r="Z2617" s="68" t="e">
        <f>VLOOKUP(Takeoffs!Y2617,Sheet1!$B$6:$C$124,2,FALSE)</f>
        <v>#N/A</v>
      </c>
      <c r="AA2617" s="68"/>
      <c r="AB2617" s="18"/>
      <c r="AC2617" s="18"/>
      <c r="AD2617" s="18"/>
      <c r="AE2617" s="60"/>
      <c r="AF2617" s="13"/>
      <c r="AG2617" s="68" t="e">
        <f>VLOOKUP(Takeoffs!AF2617,Sheet1!$B$6:$C$124,2,FALSE)</f>
        <v>#N/A</v>
      </c>
      <c r="AH2617" s="68"/>
      <c r="AI2617" s="18"/>
      <c r="AJ2617" s="18"/>
      <c r="AK2617" s="18"/>
      <c r="AL2617" s="60"/>
      <c r="AO2617" s="286"/>
      <c r="AP2617" s="282"/>
      <c r="AQ2617" s="277"/>
      <c r="AR2617" s="282"/>
      <c r="AS2617" s="277"/>
      <c r="AT2617" s="282"/>
    </row>
    <row r="2618" spans="1:46" customFormat="1" ht="15" customHeight="1" x14ac:dyDescent="0.8">
      <c r="A2618" s="263"/>
      <c r="B2618" s="114"/>
      <c r="C2618" s="208"/>
      <c r="D2618" s="208"/>
      <c r="E2618" s="208"/>
      <c r="F2618" s="208"/>
      <c r="G2618" s="208"/>
      <c r="H2618" s="208"/>
      <c r="I2618" s="224"/>
      <c r="J2618" s="30"/>
      <c r="K2618" s="221"/>
      <c r="L2618" s="117"/>
      <c r="N2618" s="15" t="s">
        <v>128</v>
      </c>
      <c r="O2618" s="12"/>
      <c r="P2618" s="207"/>
      <c r="Q2618" s="12"/>
      <c r="R2618" s="12"/>
      <c r="S2618" s="28">
        <f>M2602</f>
        <v>4</v>
      </c>
      <c r="T2618" s="11"/>
      <c r="U2618" s="12"/>
      <c r="V2618" s="14" t="e">
        <f>U2618*#REF!</f>
        <v>#REF!</v>
      </c>
      <c r="W2618" s="14"/>
      <c r="X2618" s="26"/>
      <c r="Y2618" s="13"/>
      <c r="Z2618" s="68" t="e">
        <f>VLOOKUP(Takeoffs!Y2618,Sheet1!$B$6:$C$124,2,FALSE)</f>
        <v>#N/A</v>
      </c>
      <c r="AA2618" s="68"/>
      <c r="AB2618" s="18"/>
      <c r="AC2618" s="18"/>
      <c r="AD2618" s="18"/>
      <c r="AE2618" s="60"/>
      <c r="AF2618" s="13"/>
      <c r="AG2618" s="68" t="e">
        <f>VLOOKUP(Takeoffs!AF2618,Sheet1!$B$6:$C$124,2,FALSE)</f>
        <v>#N/A</v>
      </c>
      <c r="AH2618" s="68"/>
      <c r="AI2618" s="18"/>
      <c r="AJ2618" s="18"/>
      <c r="AK2618" s="18"/>
      <c r="AL2618" s="60"/>
      <c r="AO2618" s="286"/>
      <c r="AP2618" s="282"/>
      <c r="AQ2618" s="277"/>
      <c r="AR2618" s="282"/>
      <c r="AS2618" s="277"/>
      <c r="AT2618" s="282"/>
    </row>
    <row r="2619" spans="1:46" customFormat="1" ht="15" customHeight="1" x14ac:dyDescent="0.8">
      <c r="A2619" s="263"/>
      <c r="B2619" s="114"/>
      <c r="C2619" s="208"/>
      <c r="D2619" s="208"/>
      <c r="E2619" s="208"/>
      <c r="F2619" s="208"/>
      <c r="G2619" s="208"/>
      <c r="H2619" s="208"/>
      <c r="I2619" s="224"/>
      <c r="J2619" s="30"/>
      <c r="K2619" s="221"/>
      <c r="L2619" s="117"/>
      <c r="N2619" s="15" t="s">
        <v>129</v>
      </c>
      <c r="O2619" s="12"/>
      <c r="P2619" s="207"/>
      <c r="Q2619" s="12"/>
      <c r="R2619" s="12"/>
      <c r="S2619" s="28">
        <f>M2602</f>
        <v>4</v>
      </c>
      <c r="T2619" s="11"/>
      <c r="U2619" s="12"/>
      <c r="V2619" s="14" t="e">
        <f>U2619*#REF!</f>
        <v>#REF!</v>
      </c>
      <c r="W2619" s="14"/>
      <c r="X2619" s="26"/>
      <c r="Y2619" s="13"/>
      <c r="Z2619" s="68" t="e">
        <f>VLOOKUP(Takeoffs!Y2619,Sheet1!$B$6:$C$124,2,FALSE)</f>
        <v>#N/A</v>
      </c>
      <c r="AA2619" s="68"/>
      <c r="AB2619" s="18"/>
      <c r="AC2619" s="18"/>
      <c r="AD2619" s="18"/>
      <c r="AE2619" s="60"/>
      <c r="AF2619" s="13"/>
      <c r="AG2619" s="68" t="e">
        <f>VLOOKUP(Takeoffs!AF2619,Sheet1!$B$6:$C$124,2,FALSE)</f>
        <v>#N/A</v>
      </c>
      <c r="AH2619" s="68"/>
      <c r="AI2619" s="18"/>
      <c r="AJ2619" s="18"/>
      <c r="AK2619" s="18"/>
      <c r="AL2619" s="60"/>
      <c r="AO2619" s="286"/>
      <c r="AP2619" s="282"/>
      <c r="AQ2619" s="277"/>
      <c r="AR2619" s="282"/>
      <c r="AS2619" s="277"/>
      <c r="AT2619" s="282"/>
    </row>
    <row r="2620" spans="1:46" customFormat="1" ht="15" customHeight="1" x14ac:dyDescent="0.8">
      <c r="A2620" s="263"/>
      <c r="B2620" s="114"/>
      <c r="C2620" s="208"/>
      <c r="D2620" s="208"/>
      <c r="E2620" s="208"/>
      <c r="F2620" s="208"/>
      <c r="G2620" s="208"/>
      <c r="H2620" s="208"/>
      <c r="I2620" s="224"/>
      <c r="J2620" s="30"/>
      <c r="K2620" s="221"/>
      <c r="L2620" s="117"/>
      <c r="N2620" s="15" t="s">
        <v>130</v>
      </c>
      <c r="O2620" s="12"/>
      <c r="P2620" s="207"/>
      <c r="Q2620" s="12"/>
      <c r="R2620" s="12"/>
      <c r="S2620" s="28">
        <f>M2602</f>
        <v>4</v>
      </c>
      <c r="T2620" s="11"/>
      <c r="U2620" s="12"/>
      <c r="V2620" s="14" t="e">
        <f>U2620*#REF!</f>
        <v>#REF!</v>
      </c>
      <c r="W2620" s="14"/>
      <c r="X2620" s="26"/>
      <c r="Y2620" s="13"/>
      <c r="Z2620" s="68" t="e">
        <f>VLOOKUP(Takeoffs!Y2620,Sheet1!$B$6:$C$124,2,FALSE)</f>
        <v>#N/A</v>
      </c>
      <c r="AA2620" s="68"/>
      <c r="AB2620" s="18"/>
      <c r="AC2620" s="18"/>
      <c r="AD2620" s="18"/>
      <c r="AE2620" s="60"/>
      <c r="AF2620" s="13"/>
      <c r="AG2620" s="68" t="e">
        <f>VLOOKUP(Takeoffs!AF2620,Sheet1!$B$6:$C$124,2,FALSE)</f>
        <v>#N/A</v>
      </c>
      <c r="AH2620" s="68"/>
      <c r="AI2620" s="18"/>
      <c r="AJ2620" s="18"/>
      <c r="AK2620" s="18"/>
      <c r="AL2620" s="60"/>
      <c r="AO2620" s="286"/>
      <c r="AP2620" s="282"/>
      <c r="AQ2620" s="277"/>
      <c r="AR2620" s="282"/>
      <c r="AS2620" s="277"/>
      <c r="AT2620" s="282"/>
    </row>
    <row r="2621" spans="1:46" customFormat="1" ht="15" customHeight="1" x14ac:dyDescent="0.8">
      <c r="A2621" s="263"/>
      <c r="B2621" s="114"/>
      <c r="C2621" s="208"/>
      <c r="D2621" s="208"/>
      <c r="E2621" s="208"/>
      <c r="F2621" s="208"/>
      <c r="G2621" s="208"/>
      <c r="H2621" s="208"/>
      <c r="I2621" s="224"/>
      <c r="J2621" s="30"/>
      <c r="K2621" s="221"/>
      <c r="L2621" s="117"/>
      <c r="N2621" s="15" t="s">
        <v>131</v>
      </c>
      <c r="O2621" s="12"/>
      <c r="P2621" s="207"/>
      <c r="Q2621" s="12"/>
      <c r="R2621" s="12"/>
      <c r="S2621" s="28">
        <f>M2602</f>
        <v>4</v>
      </c>
      <c r="T2621" s="11"/>
      <c r="U2621" s="12"/>
      <c r="V2621" s="14" t="e">
        <f>U2621*#REF!</f>
        <v>#REF!</v>
      </c>
      <c r="W2621" s="14"/>
      <c r="X2621" s="26"/>
      <c r="Y2621" s="13"/>
      <c r="Z2621" s="68" t="e">
        <f>VLOOKUP(Takeoffs!Y2621,Sheet1!$B$6:$C$124,2,FALSE)</f>
        <v>#N/A</v>
      </c>
      <c r="AA2621" s="68"/>
      <c r="AB2621" s="18"/>
      <c r="AC2621" s="18"/>
      <c r="AD2621" s="18"/>
      <c r="AE2621" s="60"/>
      <c r="AF2621" s="13"/>
      <c r="AG2621" s="68" t="e">
        <f>VLOOKUP(Takeoffs!AF2621,Sheet1!$B$6:$C$124,2,FALSE)</f>
        <v>#N/A</v>
      </c>
      <c r="AH2621" s="68"/>
      <c r="AI2621" s="18"/>
      <c r="AJ2621" s="18"/>
      <c r="AK2621" s="18"/>
      <c r="AL2621" s="60"/>
      <c r="AO2621" s="286"/>
      <c r="AP2621" s="282"/>
      <c r="AQ2621" s="277"/>
      <c r="AR2621" s="282"/>
      <c r="AS2621" s="277"/>
      <c r="AT2621" s="282"/>
    </row>
    <row r="2622" spans="1:46" customFormat="1" ht="15" customHeight="1" x14ac:dyDescent="0.8">
      <c r="A2622" s="263"/>
      <c r="B2622" s="114"/>
      <c r="C2622" s="208"/>
      <c r="D2622" s="208"/>
      <c r="E2622" s="208"/>
      <c r="F2622" s="208"/>
      <c r="G2622" s="208"/>
      <c r="H2622" s="208"/>
      <c r="I2622" s="224"/>
      <c r="J2622" s="30"/>
      <c r="K2622" s="221"/>
      <c r="L2622" s="117"/>
      <c r="N2622" s="15" t="s">
        <v>132</v>
      </c>
      <c r="O2622" s="12"/>
      <c r="P2622" s="207"/>
      <c r="Q2622" s="12"/>
      <c r="R2622" s="12"/>
      <c r="S2622" s="28">
        <f>M2602</f>
        <v>4</v>
      </c>
      <c r="T2622" s="11"/>
      <c r="U2622" s="12"/>
      <c r="V2622" s="14" t="e">
        <f>U2622*#REF!</f>
        <v>#REF!</v>
      </c>
      <c r="W2622" s="14"/>
      <c r="X2622" s="26"/>
      <c r="Y2622" s="13"/>
      <c r="Z2622" s="18"/>
      <c r="AA2622" s="18"/>
      <c r="AB2622" s="18"/>
      <c r="AC2622" s="18"/>
      <c r="AD2622" s="18"/>
      <c r="AE2622" s="60"/>
      <c r="AF2622" s="13"/>
      <c r="AG2622" s="18"/>
      <c r="AH2622" s="18"/>
      <c r="AI2622" s="18"/>
      <c r="AJ2622" s="18"/>
      <c r="AK2622" s="18"/>
      <c r="AL2622" s="60"/>
      <c r="AO2622" s="286"/>
      <c r="AP2622" s="282"/>
      <c r="AQ2622" s="277"/>
      <c r="AR2622" s="282"/>
      <c r="AS2622" s="277"/>
      <c r="AT2622" s="282"/>
    </row>
    <row r="2623" spans="1:46" s="21" customFormat="1" ht="33.75" customHeight="1" x14ac:dyDescent="0.8">
      <c r="A2623" s="264"/>
      <c r="B2623" s="128"/>
      <c r="C2623" s="212"/>
      <c r="D2623" s="212"/>
      <c r="E2623" s="212"/>
      <c r="F2623" s="212"/>
      <c r="G2623" s="212"/>
      <c r="H2623" s="212"/>
      <c r="I2623" s="224"/>
      <c r="K2623" s="223"/>
      <c r="L2623" s="130"/>
      <c r="N2623" s="22"/>
      <c r="O2623" s="23"/>
      <c r="P2623" s="207"/>
      <c r="Q2623" s="23"/>
      <c r="R2623" s="23"/>
      <c r="S2623" s="23"/>
      <c r="T2623" s="24"/>
      <c r="U2623" s="23"/>
      <c r="V2623" s="24"/>
      <c r="W2623" s="24"/>
      <c r="X2623" s="26"/>
      <c r="Y2623" s="24"/>
      <c r="Z2623" s="31"/>
      <c r="AA2623" s="31"/>
      <c r="AB2623" s="31"/>
      <c r="AC2623" s="31"/>
      <c r="AD2623" s="31"/>
      <c r="AE2623" s="60"/>
      <c r="AF2623" s="24"/>
      <c r="AG2623" s="31"/>
      <c r="AH2623" s="31"/>
      <c r="AI2623" s="31"/>
      <c r="AJ2623" s="31"/>
      <c r="AK2623" s="31"/>
      <c r="AL2623" s="60"/>
      <c r="AO2623" s="286"/>
      <c r="AP2623" s="283"/>
      <c r="AQ2623" s="280"/>
      <c r="AR2623" s="283"/>
      <c r="AS2623" s="280"/>
      <c r="AT2623" s="283"/>
    </row>
    <row r="2624" spans="1:46" customFormat="1" ht="30.9" x14ac:dyDescent="0.8">
      <c r="A2624" s="263"/>
      <c r="B2624" s="114"/>
      <c r="C2624" s="208"/>
      <c r="D2624" s="208"/>
      <c r="E2624" s="208"/>
      <c r="F2624" s="208"/>
      <c r="G2624" s="208"/>
      <c r="H2624" s="208"/>
      <c r="I2624" s="228"/>
      <c r="K2624" s="221"/>
      <c r="L2624" s="231"/>
      <c r="P2624" s="201"/>
      <c r="Q2624" s="32"/>
      <c r="R2624" s="32"/>
      <c r="T2624" s="8"/>
      <c r="W2624" s="32"/>
      <c r="X2624" s="25"/>
      <c r="Z2624" s="32"/>
      <c r="AA2624" s="32"/>
      <c r="AB2624" s="32"/>
      <c r="AC2624" s="32"/>
      <c r="AD2624" s="32"/>
      <c r="AE2624" s="25"/>
      <c r="AF2624" s="32"/>
      <c r="AG2624" s="32"/>
      <c r="AH2624" s="32"/>
      <c r="AI2624" s="32"/>
      <c r="AJ2624" s="32"/>
      <c r="AK2624" s="32"/>
      <c r="AL2624" s="25"/>
      <c r="AN2624" s="117"/>
      <c r="AO2624" s="286"/>
      <c r="AP2624" s="282"/>
      <c r="AQ2624" s="277"/>
      <c r="AR2624" s="282"/>
      <c r="AS2624" s="277"/>
      <c r="AT2624" s="282"/>
    </row>
    <row r="2625" spans="1:46" customFormat="1" ht="30.9" x14ac:dyDescent="0.8">
      <c r="A2625" s="263"/>
      <c r="B2625" s="114"/>
      <c r="C2625" s="208"/>
      <c r="D2625" s="208"/>
      <c r="E2625" s="208"/>
      <c r="F2625" s="208"/>
      <c r="G2625" s="208"/>
      <c r="H2625" s="208"/>
      <c r="I2625" s="224">
        <v>0</v>
      </c>
      <c r="K2625" s="221"/>
      <c r="L2625" s="231"/>
      <c r="P2625" s="201"/>
      <c r="Q2625" s="32"/>
      <c r="R2625" s="32"/>
      <c r="T2625" s="8"/>
      <c r="W2625" s="32"/>
      <c r="X2625" s="25"/>
      <c r="Z2625" s="32"/>
      <c r="AA2625" s="32"/>
      <c r="AB2625" s="32"/>
      <c r="AC2625" s="32"/>
      <c r="AD2625" s="32"/>
      <c r="AE2625" s="25"/>
      <c r="AF2625" s="32"/>
      <c r="AG2625" s="32"/>
      <c r="AH2625" s="32"/>
      <c r="AI2625" s="32"/>
      <c r="AJ2625" s="32"/>
      <c r="AK2625" s="32"/>
      <c r="AL2625" s="25"/>
      <c r="AN2625" s="117"/>
      <c r="AO2625" s="286"/>
      <c r="AP2625" s="282"/>
      <c r="AQ2625" s="277"/>
      <c r="AR2625" s="282"/>
      <c r="AS2625" s="277"/>
      <c r="AT2625" s="282"/>
    </row>
    <row r="2626" spans="1:46" ht="30.9" x14ac:dyDescent="0.8">
      <c r="I2626" s="224">
        <v>0</v>
      </c>
    </row>
  </sheetData>
  <autoFilter ref="A1:CS2622" xr:uid="{00000000-0009-0000-0000-000003000000}"/>
  <mergeCells count="349">
    <mergeCell ref="AF2091:AG2091"/>
    <mergeCell ref="U690:V690"/>
    <mergeCell ref="Y690:Z690"/>
    <mergeCell ref="AF690:AG690"/>
    <mergeCell ref="P331:Q331"/>
    <mergeCell ref="U354:V354"/>
    <mergeCell ref="Y354:Z354"/>
    <mergeCell ref="AF354:AG354"/>
    <mergeCell ref="P355:Q355"/>
    <mergeCell ref="U378:V378"/>
    <mergeCell ref="Y378:Z378"/>
    <mergeCell ref="AF378:AG378"/>
    <mergeCell ref="P403:Q403"/>
    <mergeCell ref="U426:V426"/>
    <mergeCell ref="Y426:Z426"/>
    <mergeCell ref="AF426:AG426"/>
    <mergeCell ref="P1533:Q1533"/>
    <mergeCell ref="U1460:V1460"/>
    <mergeCell ref="Y1460:Z1460"/>
    <mergeCell ref="AF1460:AG1460"/>
    <mergeCell ref="U1532:V1532"/>
    <mergeCell ref="U1027:V1027"/>
    <mergeCell ref="Y979:Z979"/>
    <mergeCell ref="P1509:Q1509"/>
    <mergeCell ref="U1922:V1922"/>
    <mergeCell ref="Y1922:Z1922"/>
    <mergeCell ref="Y1292:Z1292"/>
    <mergeCell ref="P1197:Q1197"/>
    <mergeCell ref="U1220:V1220"/>
    <mergeCell ref="Y1220:Z1220"/>
    <mergeCell ref="P1293:Q1293"/>
    <mergeCell ref="U1316:V1316"/>
    <mergeCell ref="Y1316:Z1316"/>
    <mergeCell ref="U1872:V1872"/>
    <mergeCell ref="P1317:Q1317"/>
    <mergeCell ref="U1244:V1244"/>
    <mergeCell ref="Y1244:Z1244"/>
    <mergeCell ref="P1269:Q1269"/>
    <mergeCell ref="P1245:Q1245"/>
    <mergeCell ref="U1292:V1292"/>
    <mergeCell ref="P1777:Q1777"/>
    <mergeCell ref="U2091:V2091"/>
    <mergeCell ref="Y2091:Z2091"/>
    <mergeCell ref="P2068:Q2068"/>
    <mergeCell ref="P2020:Q2020"/>
    <mergeCell ref="U2043:V2043"/>
    <mergeCell ref="Y2043:Z2043"/>
    <mergeCell ref="P1559:Q1559"/>
    <mergeCell ref="U1582:V1582"/>
    <mergeCell ref="Y1582:Z1582"/>
    <mergeCell ref="P1971:Q1971"/>
    <mergeCell ref="U1994:V1994"/>
    <mergeCell ref="Y1994:Z1994"/>
    <mergeCell ref="P1583:Q1583"/>
    <mergeCell ref="U1606:V1606"/>
    <mergeCell ref="U1824:V1824"/>
    <mergeCell ref="Y1824:Z1824"/>
    <mergeCell ref="P2044:Q2044"/>
    <mergeCell ref="U2067:V2067"/>
    <mergeCell ref="Y2067:Z2067"/>
    <mergeCell ref="P1996:Q1996"/>
    <mergeCell ref="U2019:V2019"/>
    <mergeCell ref="Y2019:Z2019"/>
    <mergeCell ref="U1946:V1946"/>
    <mergeCell ref="P1899:Q1899"/>
    <mergeCell ref="AF2043:AG2043"/>
    <mergeCell ref="P980:Q980"/>
    <mergeCell ref="U1003:V1003"/>
    <mergeCell ref="Y1003:Z1003"/>
    <mergeCell ref="Y1872:Z1872"/>
    <mergeCell ref="AF2118:AG2118"/>
    <mergeCell ref="P138:Q138"/>
    <mergeCell ref="P162:Q162"/>
    <mergeCell ref="P186:Q186"/>
    <mergeCell ref="P547:Q547"/>
    <mergeCell ref="U2118:V2118"/>
    <mergeCell ref="Y2118:Z2118"/>
    <mergeCell ref="U1703:V1703"/>
    <mergeCell ref="Y1703:Z1703"/>
    <mergeCell ref="U209:V209"/>
    <mergeCell ref="Y209:Z209"/>
    <mergeCell ref="AF979:AG979"/>
    <mergeCell ref="P1947:Q1947"/>
    <mergeCell ref="U1970:V1970"/>
    <mergeCell ref="Y1970:Z1970"/>
    <mergeCell ref="AF1970:AG1970"/>
    <mergeCell ref="P1923:Q1923"/>
    <mergeCell ref="U161:V161"/>
    <mergeCell ref="Y161:Z161"/>
    <mergeCell ref="AF1630:AG1630"/>
    <mergeCell ref="U1800:V1800"/>
    <mergeCell ref="Y1800:Z1800"/>
    <mergeCell ref="AF1848:AG1848"/>
    <mergeCell ref="U1727:V1727"/>
    <mergeCell ref="Y1727:Z1727"/>
    <mergeCell ref="AF1727:AG1727"/>
    <mergeCell ref="Y1606:Z1606"/>
    <mergeCell ref="AF1606:AG1606"/>
    <mergeCell ref="U1848:V1848"/>
    <mergeCell ref="Y1848:Z1848"/>
    <mergeCell ref="AF1751:AG1751"/>
    <mergeCell ref="AF1800:AG1800"/>
    <mergeCell ref="U1655:V1655"/>
    <mergeCell ref="U1775:V1775"/>
    <mergeCell ref="Y1775:Z1775"/>
    <mergeCell ref="AF1147:AG1147"/>
    <mergeCell ref="P1148:Q1148"/>
    <mergeCell ref="U1171:V1171"/>
    <mergeCell ref="Y1171:Z1171"/>
    <mergeCell ref="AF1123:AG1123"/>
    <mergeCell ref="U1196:V1196"/>
    <mergeCell ref="AF1171:AG1171"/>
    <mergeCell ref="Y137:Z137"/>
    <mergeCell ref="Y1556:Z1556"/>
    <mergeCell ref="AF1556:AG1556"/>
    <mergeCell ref="U834:V834"/>
    <mergeCell ref="Y834:Z834"/>
    <mergeCell ref="U930:V930"/>
    <mergeCell ref="Y930:Z930"/>
    <mergeCell ref="Y1123:Z1123"/>
    <mergeCell ref="U1508:V1508"/>
    <mergeCell ref="Y1508:Z1508"/>
    <mergeCell ref="AF882:AG882"/>
    <mergeCell ref="AF1027:AG1027"/>
    <mergeCell ref="U1340:V1340"/>
    <mergeCell ref="P1173:Q1173"/>
    <mergeCell ref="P1004:Q1004"/>
    <mergeCell ref="Y1075:Z1075"/>
    <mergeCell ref="Y1027:Z1027"/>
    <mergeCell ref="Y1196:Z1196"/>
    <mergeCell ref="P1221:Q1221"/>
    <mergeCell ref="U1147:V1147"/>
    <mergeCell ref="Y1147:Z1147"/>
    <mergeCell ref="U1630:V1630"/>
    <mergeCell ref="Y1630:Z1630"/>
    <mergeCell ref="AF1099:AG1099"/>
    <mergeCell ref="Y185:Z185"/>
    <mergeCell ref="AF1922:AG1922"/>
    <mergeCell ref="U1896:V1896"/>
    <mergeCell ref="Y1896:Z1896"/>
    <mergeCell ref="AF1896:AG1896"/>
    <mergeCell ref="P1632:Q1632"/>
    <mergeCell ref="P1680:Q1680"/>
    <mergeCell ref="P1752:Q1752"/>
    <mergeCell ref="P1873:Q1873"/>
    <mergeCell ref="P1801:Q1801"/>
    <mergeCell ref="AF1872:AG1872"/>
    <mergeCell ref="Y1679:Z1679"/>
    <mergeCell ref="AF1679:AG1679"/>
    <mergeCell ref="P1704:Q1704"/>
    <mergeCell ref="AF1703:AG1703"/>
    <mergeCell ref="U1751:V1751"/>
    <mergeCell ref="Y1751:Z1751"/>
    <mergeCell ref="C5:J7"/>
    <mergeCell ref="P619:Q619"/>
    <mergeCell ref="U642:V642"/>
    <mergeCell ref="Y642:Z642"/>
    <mergeCell ref="AF642:AG642"/>
    <mergeCell ref="P523:Q523"/>
    <mergeCell ref="U546:V546"/>
    <mergeCell ref="Y546:Z546"/>
    <mergeCell ref="AF546:AG546"/>
    <mergeCell ref="P307:Q307"/>
    <mergeCell ref="U330:V330"/>
    <mergeCell ref="Y330:Z330"/>
    <mergeCell ref="P283:Q283"/>
    <mergeCell ref="Y306:Z306"/>
    <mergeCell ref="AF306:AG306"/>
    <mergeCell ref="P235:Q235"/>
    <mergeCell ref="U450:V450"/>
    <mergeCell ref="C14:J14"/>
    <mergeCell ref="AF234:AG234"/>
    <mergeCell ref="U113:V113"/>
    <mergeCell ref="Y113:Z113"/>
    <mergeCell ref="AF113:AG113"/>
    <mergeCell ref="P42:Q42"/>
    <mergeCell ref="U65:V65"/>
    <mergeCell ref="Y65:Z65"/>
    <mergeCell ref="AF65:AG65"/>
    <mergeCell ref="P18:Q18"/>
    <mergeCell ref="U41:V41"/>
    <mergeCell ref="Y41:Z41"/>
    <mergeCell ref="AF41:AG41"/>
    <mergeCell ref="P114:Q114"/>
    <mergeCell ref="P66:Q66"/>
    <mergeCell ref="U89:V89"/>
    <mergeCell ref="Y89:Z89"/>
    <mergeCell ref="U185:V185"/>
    <mergeCell ref="AF89:AG89"/>
    <mergeCell ref="P90:Q90"/>
    <mergeCell ref="U137:V137"/>
    <mergeCell ref="AF185:AG185"/>
    <mergeCell ref="AF209:AG209"/>
    <mergeCell ref="AF498:AG498"/>
    <mergeCell ref="P763:Q763"/>
    <mergeCell ref="U786:V786"/>
    <mergeCell ref="Y786:Z786"/>
    <mergeCell ref="AF474:AG474"/>
    <mergeCell ref="AF258:AG258"/>
    <mergeCell ref="U282:V282"/>
    <mergeCell ref="Y282:Z282"/>
    <mergeCell ref="AF282:AG282"/>
    <mergeCell ref="AF330:AG330"/>
    <mergeCell ref="P379:Q379"/>
    <mergeCell ref="U402:V402"/>
    <mergeCell ref="Y402:Z402"/>
    <mergeCell ref="AF402:AG402"/>
    <mergeCell ref="P451:Q451"/>
    <mergeCell ref="U474:V474"/>
    <mergeCell ref="Y474:Z474"/>
    <mergeCell ref="AF450:AG450"/>
    <mergeCell ref="P1100:Q1100"/>
    <mergeCell ref="P499:Q499"/>
    <mergeCell ref="U522:V522"/>
    <mergeCell ref="Y522:Z522"/>
    <mergeCell ref="P211:Q211"/>
    <mergeCell ref="U234:V234"/>
    <mergeCell ref="Y234:Z234"/>
    <mergeCell ref="Y498:Z498"/>
    <mergeCell ref="Y450:Z450"/>
    <mergeCell ref="Y858:Z858"/>
    <mergeCell ref="U1075:V1075"/>
    <mergeCell ref="U954:V954"/>
    <mergeCell ref="Y954:Z954"/>
    <mergeCell ref="U906:V906"/>
    <mergeCell ref="U858:V858"/>
    <mergeCell ref="U882:V882"/>
    <mergeCell ref="Y882:Z882"/>
    <mergeCell ref="U1099:V1099"/>
    <mergeCell ref="Y1099:Z1099"/>
    <mergeCell ref="P859:Q859"/>
    <mergeCell ref="U258:V258"/>
    <mergeCell ref="Y258:Z258"/>
    <mergeCell ref="P259:Q259"/>
    <mergeCell ref="U306:V306"/>
    <mergeCell ref="AF137:AG137"/>
    <mergeCell ref="AF161:AG161"/>
    <mergeCell ref="P1124:Q1124"/>
    <mergeCell ref="P427:Q427"/>
    <mergeCell ref="AF1196:AG1196"/>
    <mergeCell ref="AF1075:AG1075"/>
    <mergeCell ref="P1028:Q1028"/>
    <mergeCell ref="U1051:V1051"/>
    <mergeCell ref="Y1051:Z1051"/>
    <mergeCell ref="AF1051:AG1051"/>
    <mergeCell ref="AF1003:AG1003"/>
    <mergeCell ref="P835:Q835"/>
    <mergeCell ref="AF858:AG858"/>
    <mergeCell ref="P1052:Q1052"/>
    <mergeCell ref="P931:Q931"/>
    <mergeCell ref="AF954:AG954"/>
    <mergeCell ref="Y906:Z906"/>
    <mergeCell ref="AF906:AG906"/>
    <mergeCell ref="P956:Q956"/>
    <mergeCell ref="P883:Q883"/>
    <mergeCell ref="P907:Q907"/>
    <mergeCell ref="AF930:AG930"/>
    <mergeCell ref="U979:V979"/>
    <mergeCell ref="P475:Q475"/>
    <mergeCell ref="U498:V498"/>
    <mergeCell ref="P1076:Q1076"/>
    <mergeCell ref="P1656:Q1656"/>
    <mergeCell ref="U1679:V1679"/>
    <mergeCell ref="AF1655:AG1655"/>
    <mergeCell ref="AF1508:AG1508"/>
    <mergeCell ref="P1461:Q1461"/>
    <mergeCell ref="Y1340:Z1340"/>
    <mergeCell ref="AF1484:AG1484"/>
    <mergeCell ref="AF1340:AG1340"/>
    <mergeCell ref="AF1220:AG1220"/>
    <mergeCell ref="AF1244:AG1244"/>
    <mergeCell ref="Y1655:Z1655"/>
    <mergeCell ref="AF1316:AG1316"/>
    <mergeCell ref="P1485:Q1485"/>
    <mergeCell ref="U1484:V1484"/>
    <mergeCell ref="Y1484:Z1484"/>
    <mergeCell ref="P1607:Q1607"/>
    <mergeCell ref="P1413:Q1413"/>
    <mergeCell ref="U1436:V1436"/>
    <mergeCell ref="P1365:Q1365"/>
    <mergeCell ref="U1388:V1388"/>
    <mergeCell ref="U1556:V1556"/>
    <mergeCell ref="P1437:Q1437"/>
    <mergeCell ref="AF1582:AG1582"/>
    <mergeCell ref="AF786:AG786"/>
    <mergeCell ref="U762:V762"/>
    <mergeCell ref="Y762:Z762"/>
    <mergeCell ref="AF762:AG762"/>
    <mergeCell ref="P595:Q595"/>
    <mergeCell ref="U618:V618"/>
    <mergeCell ref="Y618:Z618"/>
    <mergeCell ref="AF618:AG618"/>
    <mergeCell ref="AF834:AG834"/>
    <mergeCell ref="P811:Q811"/>
    <mergeCell ref="P739:Q739"/>
    <mergeCell ref="AF810:AG810"/>
    <mergeCell ref="P787:Q787"/>
    <mergeCell ref="U810:V810"/>
    <mergeCell ref="Y810:Z810"/>
    <mergeCell ref="P691:Q691"/>
    <mergeCell ref="U714:V714"/>
    <mergeCell ref="Y714:Z714"/>
    <mergeCell ref="AF1292:AG1292"/>
    <mergeCell ref="U1268:V1268"/>
    <mergeCell ref="Y1268:Z1268"/>
    <mergeCell ref="AF1268:AG1268"/>
    <mergeCell ref="U1123:V1123"/>
    <mergeCell ref="AF522:AG522"/>
    <mergeCell ref="U738:V738"/>
    <mergeCell ref="Y738:Z738"/>
    <mergeCell ref="AF738:AG738"/>
    <mergeCell ref="AF714:AG714"/>
    <mergeCell ref="U570:V570"/>
    <mergeCell ref="Y570:Z570"/>
    <mergeCell ref="P571:Q571"/>
    <mergeCell ref="U594:V594"/>
    <mergeCell ref="Y594:Z594"/>
    <mergeCell ref="AF594:AG594"/>
    <mergeCell ref="P643:Q643"/>
    <mergeCell ref="U666:V666"/>
    <mergeCell ref="Y666:Z666"/>
    <mergeCell ref="AF666:AG666"/>
    <mergeCell ref="P715:Q715"/>
    <mergeCell ref="AF570:AG570"/>
    <mergeCell ref="P667:Q667"/>
    <mergeCell ref="AF2067:AG2067"/>
    <mergeCell ref="Y1388:Z1388"/>
    <mergeCell ref="AF1388:AG1388"/>
    <mergeCell ref="P1341:Q1341"/>
    <mergeCell ref="U1364:V1364"/>
    <mergeCell ref="Y1364:Z1364"/>
    <mergeCell ref="AF1364:AG1364"/>
    <mergeCell ref="AF2019:AG2019"/>
    <mergeCell ref="Y1436:Z1436"/>
    <mergeCell ref="P1825:Q1825"/>
    <mergeCell ref="AF1532:AG1532"/>
    <mergeCell ref="AF1824:AG1824"/>
    <mergeCell ref="P1849:Q1849"/>
    <mergeCell ref="Y1946:Z1946"/>
    <mergeCell ref="AF1946:AG1946"/>
    <mergeCell ref="AF1775:AG1775"/>
    <mergeCell ref="P1389:Q1389"/>
    <mergeCell ref="U1412:V1412"/>
    <mergeCell ref="Y1412:Z1412"/>
    <mergeCell ref="AF1412:AG1412"/>
    <mergeCell ref="AF1436:AG1436"/>
    <mergeCell ref="Y1532:Z1532"/>
    <mergeCell ref="AF1994:AG1994"/>
    <mergeCell ref="P1728:Q1728"/>
  </mergeCells>
  <conditionalFormatting sqref="O213:O232 O2040:O2041 O2024">
    <cfRule type="expression" dxfId="502" priority="403">
      <formula>RIGHT(O213,2)="  "</formula>
    </cfRule>
    <cfRule type="expression" dxfId="501" priority="404">
      <formula>RIGHT(O213,1)=" "</formula>
    </cfRule>
  </conditionalFormatting>
  <conditionalFormatting sqref="O261:O280">
    <cfRule type="expression" dxfId="500" priority="401">
      <formula>RIGHT(O261,2)="  "</formula>
    </cfRule>
    <cfRule type="expression" dxfId="499" priority="402">
      <formula>RIGHT(O261,1)=" "</formula>
    </cfRule>
  </conditionalFormatting>
  <conditionalFormatting sqref="O309:O328">
    <cfRule type="expression" dxfId="498" priority="399">
      <formula>RIGHT(O309,2)="  "</formula>
    </cfRule>
    <cfRule type="expression" dxfId="497" priority="400">
      <formula>RIGHT(O309,1)=" "</formula>
    </cfRule>
  </conditionalFormatting>
  <conditionalFormatting sqref="O549:O568">
    <cfRule type="expression" dxfId="496" priority="397">
      <formula>RIGHT(O549,2)="  "</formula>
    </cfRule>
    <cfRule type="expression" dxfId="495" priority="398">
      <formula>RIGHT(O549,1)=" "</formula>
    </cfRule>
  </conditionalFormatting>
  <conditionalFormatting sqref="O765:O784">
    <cfRule type="expression" dxfId="494" priority="395">
      <formula>RIGHT(O765,2)="  "</formula>
    </cfRule>
    <cfRule type="expression" dxfId="493" priority="396">
      <formula>RIGHT(O765,1)=" "</formula>
    </cfRule>
  </conditionalFormatting>
  <conditionalFormatting sqref="O933:O952">
    <cfRule type="expression" dxfId="492" priority="393">
      <formula>RIGHT(O933,2)="  "</formula>
    </cfRule>
    <cfRule type="expression" dxfId="491" priority="394">
      <formula>RIGHT(O933,1)=" "</formula>
    </cfRule>
  </conditionalFormatting>
  <conditionalFormatting sqref="O958:O977">
    <cfRule type="expression" dxfId="490" priority="391">
      <formula>RIGHT(O958,2)="  "</formula>
    </cfRule>
    <cfRule type="expression" dxfId="489" priority="392">
      <formula>RIGHT(O958,1)=" "</formula>
    </cfRule>
  </conditionalFormatting>
  <conditionalFormatting sqref="O1078:O1080 O1082:O1097">
    <cfRule type="expression" dxfId="488" priority="389">
      <formula>RIGHT(O1078,2)="  "</formula>
    </cfRule>
    <cfRule type="expression" dxfId="487" priority="390">
      <formula>RIGHT(O1078,1)=" "</formula>
    </cfRule>
  </conditionalFormatting>
  <conditionalFormatting sqref="O1102:O1104 O1106:O1121">
    <cfRule type="expression" dxfId="486" priority="387">
      <formula>RIGHT(O1102,2)="  "</formula>
    </cfRule>
    <cfRule type="expression" dxfId="485" priority="388">
      <formula>RIGHT(O1102,1)=" "</formula>
    </cfRule>
  </conditionalFormatting>
  <conditionalFormatting sqref="O1150:O1169">
    <cfRule type="expression" dxfId="484" priority="385">
      <formula>RIGHT(O1150,2)="  "</formula>
    </cfRule>
    <cfRule type="expression" dxfId="483" priority="386">
      <formula>RIGHT(O1150,1)=" "</formula>
    </cfRule>
  </conditionalFormatting>
  <conditionalFormatting sqref="O1175:O1194">
    <cfRule type="expression" dxfId="482" priority="383">
      <formula>RIGHT(O1175,2)="  "</formula>
    </cfRule>
    <cfRule type="expression" dxfId="481" priority="384">
      <formula>RIGHT(O1175,1)=" "</formula>
    </cfRule>
  </conditionalFormatting>
  <conditionalFormatting sqref="O1223:O1242">
    <cfRule type="expression" dxfId="480" priority="381">
      <formula>RIGHT(O1223,2)="  "</formula>
    </cfRule>
    <cfRule type="expression" dxfId="479" priority="382">
      <formula>RIGHT(O1223,1)=" "</formula>
    </cfRule>
  </conditionalFormatting>
  <conditionalFormatting sqref="O1439:O1458">
    <cfRule type="expression" dxfId="478" priority="379">
      <formula>RIGHT(O1439,2)="  "</formula>
    </cfRule>
    <cfRule type="expression" dxfId="477" priority="380">
      <formula>RIGHT(O1439,1)=" "</formula>
    </cfRule>
  </conditionalFormatting>
  <conditionalFormatting sqref="O1511:O1530">
    <cfRule type="expression" dxfId="476" priority="377">
      <formula>RIGHT(O1511,2)="  "</formula>
    </cfRule>
    <cfRule type="expression" dxfId="475" priority="378">
      <formula>RIGHT(O1511,1)=" "</formula>
    </cfRule>
  </conditionalFormatting>
  <conditionalFormatting sqref="O1535:O1554">
    <cfRule type="expression" dxfId="474" priority="375">
      <formula>RIGHT(O1535,2)="  "</formula>
    </cfRule>
    <cfRule type="expression" dxfId="473" priority="376">
      <formula>RIGHT(O1535,1)=" "</formula>
    </cfRule>
  </conditionalFormatting>
  <conditionalFormatting sqref="O1609:O1628">
    <cfRule type="expression" dxfId="472" priority="373">
      <formula>RIGHT(O1609,2)="  "</formula>
    </cfRule>
    <cfRule type="expression" dxfId="471" priority="374">
      <formula>RIGHT(O1609,1)=" "</formula>
    </cfRule>
  </conditionalFormatting>
  <conditionalFormatting sqref="O1754:O1773">
    <cfRule type="expression" dxfId="470" priority="371">
      <formula>RIGHT(O1754,2)="  "</formula>
    </cfRule>
    <cfRule type="expression" dxfId="469" priority="372">
      <formula>RIGHT(O1754,1)=" "</formula>
    </cfRule>
  </conditionalFormatting>
  <conditionalFormatting sqref="O1803:O1822">
    <cfRule type="expression" dxfId="468" priority="369">
      <formula>RIGHT(O1803,2)="  "</formula>
    </cfRule>
    <cfRule type="expression" dxfId="467" priority="370">
      <formula>RIGHT(O1803,1)=" "</formula>
    </cfRule>
  </conditionalFormatting>
  <conditionalFormatting sqref="O1827:O1846">
    <cfRule type="expression" dxfId="466" priority="367">
      <formula>RIGHT(O1827,2)="  "</formula>
    </cfRule>
    <cfRule type="expression" dxfId="465" priority="368">
      <formula>RIGHT(O1827,1)=" "</formula>
    </cfRule>
  </conditionalFormatting>
  <conditionalFormatting sqref="O1851:O1870">
    <cfRule type="expression" dxfId="464" priority="365">
      <formula>RIGHT(O1851,2)="  "</formula>
    </cfRule>
    <cfRule type="expression" dxfId="463" priority="366">
      <formula>RIGHT(O1851,1)=" "</formula>
    </cfRule>
  </conditionalFormatting>
  <conditionalFormatting sqref="Q958:Q977">
    <cfRule type="expression" dxfId="462" priority="335">
      <formula>RIGHT(Q958,2)="  "</formula>
    </cfRule>
    <cfRule type="expression" dxfId="461" priority="336">
      <formula>RIGHT(Q958,1)=" "</formula>
    </cfRule>
  </conditionalFormatting>
  <conditionalFormatting sqref="O1875:O1894">
    <cfRule type="expression" dxfId="460" priority="363">
      <formula>RIGHT(O1875,2)="  "</formula>
    </cfRule>
    <cfRule type="expression" dxfId="459" priority="364">
      <formula>RIGHT(O1875,1)=" "</formula>
    </cfRule>
  </conditionalFormatting>
  <conditionalFormatting sqref="O140:O159">
    <cfRule type="expression" dxfId="458" priority="361">
      <formula>RIGHT(O140,2)="  "</formula>
    </cfRule>
    <cfRule type="expression" dxfId="457" priority="362">
      <formula>RIGHT(O140,1)=" "</formula>
    </cfRule>
  </conditionalFormatting>
  <conditionalFormatting sqref="O164:O183">
    <cfRule type="expression" dxfId="456" priority="359">
      <formula>RIGHT(O164,2)="  "</formula>
    </cfRule>
    <cfRule type="expression" dxfId="455" priority="360">
      <formula>RIGHT(O164,1)=" "</formula>
    </cfRule>
  </conditionalFormatting>
  <conditionalFormatting sqref="O188:O207">
    <cfRule type="expression" dxfId="454" priority="357">
      <formula>RIGHT(O188,2)="  "</formula>
    </cfRule>
    <cfRule type="expression" dxfId="453" priority="358">
      <formula>RIGHT(O188,1)=" "</formula>
    </cfRule>
  </conditionalFormatting>
  <conditionalFormatting sqref="O1925:O1944">
    <cfRule type="expression" dxfId="452" priority="355">
      <formula>RIGHT(O1925,2)="  "</formula>
    </cfRule>
    <cfRule type="expression" dxfId="451" priority="356">
      <formula>RIGHT(O1925,1)=" "</formula>
    </cfRule>
  </conditionalFormatting>
  <conditionalFormatting sqref="Q933:Q952">
    <cfRule type="expression" dxfId="450" priority="337">
      <formula>RIGHT(Q933,2)="  "</formula>
    </cfRule>
    <cfRule type="expression" dxfId="449" priority="338">
      <formula>RIGHT(Q933,1)=" "</formula>
    </cfRule>
  </conditionalFormatting>
  <conditionalFormatting sqref="O1973:O1992">
    <cfRule type="expression" dxfId="448" priority="351">
      <formula>RIGHT(O1973,2)="  "</formula>
    </cfRule>
    <cfRule type="expression" dxfId="447" priority="352">
      <formula>RIGHT(O1973,1)=" "</formula>
    </cfRule>
  </conditionalFormatting>
  <conditionalFormatting sqref="O1949:O1968">
    <cfRule type="expression" dxfId="446" priority="349">
      <formula>RIGHT(O1949,2)="  "</formula>
    </cfRule>
    <cfRule type="expression" dxfId="445" priority="350">
      <formula>RIGHT(O1949,1)=" "</formula>
    </cfRule>
  </conditionalFormatting>
  <conditionalFormatting sqref="O45:O63">
    <cfRule type="expression" dxfId="444" priority="333">
      <formula>RIGHT(O45,2)="  "</formula>
    </cfRule>
    <cfRule type="expression" dxfId="443" priority="334">
      <formula>RIGHT(O45,1)=" "</formula>
    </cfRule>
  </conditionalFormatting>
  <conditionalFormatting sqref="O20:O28 O30:O39">
    <cfRule type="expression" dxfId="442" priority="331">
      <formula>RIGHT(O20,2)="  "</formula>
    </cfRule>
    <cfRule type="expression" dxfId="441" priority="332">
      <formula>RIGHT(O20,1)=" "</formula>
    </cfRule>
  </conditionalFormatting>
  <conditionalFormatting sqref="Q213:Q232">
    <cfRule type="expression" dxfId="440" priority="347">
      <formula>RIGHT(Q213,2)="  "</formula>
    </cfRule>
    <cfRule type="expression" dxfId="439" priority="348">
      <formula>RIGHT(Q213,1)=" "</formula>
    </cfRule>
  </conditionalFormatting>
  <conditionalFormatting sqref="Q261:Q280">
    <cfRule type="expression" dxfId="438" priority="345">
      <formula>RIGHT(Q261,2)="  "</formula>
    </cfRule>
    <cfRule type="expression" dxfId="437" priority="346">
      <formula>RIGHT(Q261,1)=" "</formula>
    </cfRule>
  </conditionalFormatting>
  <conditionalFormatting sqref="Q309:Q328">
    <cfRule type="expression" dxfId="436" priority="343">
      <formula>RIGHT(Q309,2)="  "</formula>
    </cfRule>
    <cfRule type="expression" dxfId="435" priority="344">
      <formula>RIGHT(Q309,1)=" "</formula>
    </cfRule>
  </conditionalFormatting>
  <conditionalFormatting sqref="Q549:Q568">
    <cfRule type="expression" dxfId="434" priority="341">
      <formula>RIGHT(Q549,2)="  "</formula>
    </cfRule>
    <cfRule type="expression" dxfId="433" priority="342">
      <formula>RIGHT(Q549,1)=" "</formula>
    </cfRule>
  </conditionalFormatting>
  <conditionalFormatting sqref="Q765:Q784">
    <cfRule type="expression" dxfId="432" priority="339">
      <formula>RIGHT(Q765,2)="  "</formula>
    </cfRule>
    <cfRule type="expression" dxfId="431" priority="340">
      <formula>RIGHT(Q765,1)=" "</formula>
    </cfRule>
  </conditionalFormatting>
  <conditionalFormatting sqref="O117:O135">
    <cfRule type="expression" dxfId="430" priority="329">
      <formula>RIGHT(O117,2)="  "</formula>
    </cfRule>
    <cfRule type="expression" dxfId="429" priority="330">
      <formula>RIGHT(O117,1)=" "</formula>
    </cfRule>
  </conditionalFormatting>
  <conditionalFormatting sqref="O1682:O1701">
    <cfRule type="expression" dxfId="428" priority="327">
      <formula>RIGHT(O1682,2)="  "</formula>
    </cfRule>
    <cfRule type="expression" dxfId="427" priority="328">
      <formula>RIGHT(O1682,1)=" "</formula>
    </cfRule>
  </conditionalFormatting>
  <conditionalFormatting sqref="O29">
    <cfRule type="expression" dxfId="426" priority="325">
      <formula>RIGHT(O29,2)="  "</formula>
    </cfRule>
    <cfRule type="expression" dxfId="425" priority="326">
      <formula>RIGHT(O29,1)=" "</formula>
    </cfRule>
  </conditionalFormatting>
  <conditionalFormatting sqref="O44">
    <cfRule type="expression" dxfId="424" priority="323">
      <formula>RIGHT(O44,2)="  "</formula>
    </cfRule>
    <cfRule type="expression" dxfId="423" priority="324">
      <formula>RIGHT(O44,1)=" "</formula>
    </cfRule>
  </conditionalFormatting>
  <conditionalFormatting sqref="O116">
    <cfRule type="expression" dxfId="422" priority="321">
      <formula>RIGHT(O116,2)="  "</formula>
    </cfRule>
    <cfRule type="expression" dxfId="421" priority="322">
      <formula>RIGHT(O116,1)=" "</formula>
    </cfRule>
  </conditionalFormatting>
  <conditionalFormatting sqref="O621:O640">
    <cfRule type="expression" dxfId="420" priority="319">
      <formula>RIGHT(O621,2)="  "</formula>
    </cfRule>
    <cfRule type="expression" dxfId="419" priority="320">
      <formula>RIGHT(O621,1)=" "</formula>
    </cfRule>
  </conditionalFormatting>
  <conditionalFormatting sqref="Q621:Q640">
    <cfRule type="expression" dxfId="418" priority="317">
      <formula>RIGHT(Q621,2)="  "</formula>
    </cfRule>
    <cfRule type="expression" dxfId="417" priority="318">
      <formula>RIGHT(Q621,1)=" "</formula>
    </cfRule>
  </conditionalFormatting>
  <conditionalFormatting sqref="O525:O544">
    <cfRule type="expression" dxfId="416" priority="315">
      <formula>RIGHT(O525,2)="  "</formula>
    </cfRule>
    <cfRule type="expression" dxfId="415" priority="316">
      <formula>RIGHT(O525,1)=" "</formula>
    </cfRule>
  </conditionalFormatting>
  <conditionalFormatting sqref="Q525:Q544">
    <cfRule type="expression" dxfId="414" priority="313">
      <formula>RIGHT(Q525,2)="  "</formula>
    </cfRule>
    <cfRule type="expression" dxfId="413" priority="314">
      <formula>RIGHT(Q525,1)=" "</formula>
    </cfRule>
  </conditionalFormatting>
  <conditionalFormatting sqref="O837:O856">
    <cfRule type="expression" dxfId="412" priority="311">
      <formula>RIGHT(O837,2)="  "</formula>
    </cfRule>
    <cfRule type="expression" dxfId="411" priority="312">
      <formula>RIGHT(O837,1)=" "</formula>
    </cfRule>
  </conditionalFormatting>
  <conditionalFormatting sqref="Q837:Q856">
    <cfRule type="expression" dxfId="410" priority="309">
      <formula>RIGHT(Q837,2)="  "</formula>
    </cfRule>
    <cfRule type="expression" dxfId="409" priority="310">
      <formula>RIGHT(Q837,1)=" "</formula>
    </cfRule>
  </conditionalFormatting>
  <conditionalFormatting sqref="O1054:O1056 O1058:O1073">
    <cfRule type="expression" dxfId="408" priority="307">
      <formula>RIGHT(O1054,2)="  "</formula>
    </cfRule>
    <cfRule type="expression" dxfId="407" priority="308">
      <formula>RIGHT(O1054,1)=" "</formula>
    </cfRule>
  </conditionalFormatting>
  <conditionalFormatting sqref="O1030:O1049">
    <cfRule type="expression" dxfId="406" priority="305">
      <formula>RIGHT(O1030,2)="  "</formula>
    </cfRule>
    <cfRule type="expression" dxfId="405" priority="306">
      <formula>RIGHT(O1030,1)=" "</formula>
    </cfRule>
  </conditionalFormatting>
  <conditionalFormatting sqref="O982:O1001">
    <cfRule type="expression" dxfId="404" priority="303">
      <formula>RIGHT(O982,2)="  "</formula>
    </cfRule>
    <cfRule type="expression" dxfId="403" priority="304">
      <formula>RIGHT(O982,1)=" "</formula>
    </cfRule>
  </conditionalFormatting>
  <conditionalFormatting sqref="O1057">
    <cfRule type="expression" dxfId="402" priority="301">
      <formula>RIGHT(O1057,2)="  "</formula>
    </cfRule>
    <cfRule type="expression" dxfId="401" priority="302">
      <formula>RIGHT(O1057,1)=" "</formula>
    </cfRule>
  </conditionalFormatting>
  <conditionalFormatting sqref="O1081">
    <cfRule type="expression" dxfId="400" priority="299">
      <formula>RIGHT(O1081,2)="  "</formula>
    </cfRule>
    <cfRule type="expression" dxfId="399" priority="300">
      <formula>RIGHT(O1081,1)=" "</formula>
    </cfRule>
  </conditionalFormatting>
  <conditionalFormatting sqref="O1105">
    <cfRule type="expression" dxfId="398" priority="297">
      <formula>RIGHT(O1105,2)="  "</formula>
    </cfRule>
    <cfRule type="expression" dxfId="397" priority="298">
      <formula>RIGHT(O1105,1)=" "</formula>
    </cfRule>
  </conditionalFormatting>
  <conditionalFormatting sqref="O1706:O1725">
    <cfRule type="expression" dxfId="396" priority="295">
      <formula>RIGHT(O1706,2)="  "</formula>
    </cfRule>
    <cfRule type="expression" dxfId="395" priority="296">
      <formula>RIGHT(O1706,1)=" "</formula>
    </cfRule>
  </conditionalFormatting>
  <conditionalFormatting sqref="O1730:O1749">
    <cfRule type="expression" dxfId="394" priority="293">
      <formula>RIGHT(O1730,2)="  "</formula>
    </cfRule>
    <cfRule type="expression" dxfId="393" priority="294">
      <formula>RIGHT(O1730,1)=" "</formula>
    </cfRule>
  </conditionalFormatting>
  <conditionalFormatting sqref="O1634:O1653">
    <cfRule type="expression" dxfId="392" priority="291">
      <formula>RIGHT(O1634,2)="  "</formula>
    </cfRule>
    <cfRule type="expression" dxfId="391" priority="292">
      <formula>RIGHT(O1634,1)=" "</formula>
    </cfRule>
  </conditionalFormatting>
  <conditionalFormatting sqref="O1126:O1145">
    <cfRule type="expression" dxfId="390" priority="289">
      <formula>RIGHT(O1126,2)="  "</formula>
    </cfRule>
    <cfRule type="expression" dxfId="389" priority="290">
      <formula>RIGHT(O1126,1)=" "</formula>
    </cfRule>
  </conditionalFormatting>
  <conditionalFormatting sqref="O69:O87">
    <cfRule type="expression" dxfId="388" priority="287">
      <formula>RIGHT(O69,2)="  "</formula>
    </cfRule>
    <cfRule type="expression" dxfId="387" priority="288">
      <formula>RIGHT(O69,1)=" "</formula>
    </cfRule>
  </conditionalFormatting>
  <conditionalFormatting sqref="O68">
    <cfRule type="expression" dxfId="386" priority="285">
      <formula>RIGHT(O68,2)="  "</formula>
    </cfRule>
    <cfRule type="expression" dxfId="385" priority="286">
      <formula>RIGHT(O68,1)=" "</formula>
    </cfRule>
  </conditionalFormatting>
  <conditionalFormatting sqref="O1561 O1563:O1564 O1571:O1580 O1568">
    <cfRule type="expression" dxfId="384" priority="283">
      <formula>RIGHT(O1561,2)="  "</formula>
    </cfRule>
    <cfRule type="expression" dxfId="383" priority="284">
      <formula>RIGHT(O1561,1)=" "</formula>
    </cfRule>
  </conditionalFormatting>
  <conditionalFormatting sqref="O1415:O1434">
    <cfRule type="expression" dxfId="382" priority="281">
      <formula>RIGHT(O1415,2)="  "</formula>
    </cfRule>
    <cfRule type="expression" dxfId="381" priority="282">
      <formula>RIGHT(O1415,1)=" "</formula>
    </cfRule>
  </conditionalFormatting>
  <conditionalFormatting sqref="O1779:O1798">
    <cfRule type="expression" dxfId="380" priority="279">
      <formula>RIGHT(O1779,2)="  "</formula>
    </cfRule>
    <cfRule type="expression" dxfId="379" priority="280">
      <formula>RIGHT(O1779,1)=" "</formula>
    </cfRule>
  </conditionalFormatting>
  <conditionalFormatting sqref="O885:O904">
    <cfRule type="expression" dxfId="378" priority="277">
      <formula>RIGHT(O885,2)="  "</formula>
    </cfRule>
    <cfRule type="expression" dxfId="377" priority="278">
      <formula>RIGHT(O885,1)=" "</formula>
    </cfRule>
  </conditionalFormatting>
  <conditionalFormatting sqref="Q885:Q904">
    <cfRule type="expression" dxfId="376" priority="275">
      <formula>RIGHT(Q885,2)="  "</formula>
    </cfRule>
    <cfRule type="expression" dxfId="375" priority="276">
      <formula>RIGHT(Q885,1)=" "</formula>
    </cfRule>
  </conditionalFormatting>
  <conditionalFormatting sqref="O285:O304">
    <cfRule type="expression" dxfId="374" priority="273">
      <formula>RIGHT(O285,2)="  "</formula>
    </cfRule>
    <cfRule type="expression" dxfId="373" priority="274">
      <formula>RIGHT(O285,1)=" "</formula>
    </cfRule>
  </conditionalFormatting>
  <conditionalFormatting sqref="O909:O928">
    <cfRule type="expression" dxfId="372" priority="271">
      <formula>RIGHT(O909,2)="  "</formula>
    </cfRule>
    <cfRule type="expression" dxfId="371" priority="272">
      <formula>RIGHT(O909,1)=" "</formula>
    </cfRule>
  </conditionalFormatting>
  <conditionalFormatting sqref="Q909:Q928">
    <cfRule type="expression" dxfId="370" priority="269">
      <formula>RIGHT(Q909,2)="  "</formula>
    </cfRule>
    <cfRule type="expression" dxfId="369" priority="270">
      <formula>RIGHT(Q909,1)=" "</formula>
    </cfRule>
  </conditionalFormatting>
  <conditionalFormatting sqref="O861:O880">
    <cfRule type="expression" dxfId="368" priority="267">
      <formula>RIGHT(O861,2)="  "</formula>
    </cfRule>
    <cfRule type="expression" dxfId="367" priority="268">
      <formula>RIGHT(O861,1)=" "</formula>
    </cfRule>
  </conditionalFormatting>
  <conditionalFormatting sqref="Q861:Q880">
    <cfRule type="expression" dxfId="366" priority="265">
      <formula>RIGHT(Q861,2)="  "</formula>
    </cfRule>
    <cfRule type="expression" dxfId="365" priority="266">
      <formula>RIGHT(Q861,1)=" "</formula>
    </cfRule>
  </conditionalFormatting>
  <conditionalFormatting sqref="O1199:O1218">
    <cfRule type="expression" dxfId="364" priority="263">
      <formula>RIGHT(O1199,2)="  "</formula>
    </cfRule>
    <cfRule type="expression" dxfId="363" priority="264">
      <formula>RIGHT(O1199,1)=" "</formula>
    </cfRule>
  </conditionalFormatting>
  <conditionalFormatting sqref="O789:O808">
    <cfRule type="expression" dxfId="362" priority="261">
      <formula>RIGHT(O789,2)="  "</formula>
    </cfRule>
    <cfRule type="expression" dxfId="361" priority="262">
      <formula>RIGHT(O789,1)=" "</formula>
    </cfRule>
  </conditionalFormatting>
  <conditionalFormatting sqref="Q789:Q808">
    <cfRule type="expression" dxfId="360" priority="259">
      <formula>RIGHT(Q789,2)="  "</formula>
    </cfRule>
    <cfRule type="expression" dxfId="359" priority="260">
      <formula>RIGHT(Q789,1)=" "</formula>
    </cfRule>
  </conditionalFormatting>
  <conditionalFormatting sqref="O1006:O1025">
    <cfRule type="expression" dxfId="358" priority="257">
      <formula>RIGHT(O1006,2)="  "</formula>
    </cfRule>
    <cfRule type="expression" dxfId="357" priority="258">
      <formula>RIGHT(O1006,1)=" "</formula>
    </cfRule>
  </conditionalFormatting>
  <conditionalFormatting sqref="O1319:O1338">
    <cfRule type="expression" dxfId="356" priority="255">
      <formula>RIGHT(O1319,2)="  "</formula>
    </cfRule>
    <cfRule type="expression" dxfId="355" priority="256">
      <formula>RIGHT(O1319,1)=" "</formula>
    </cfRule>
  </conditionalFormatting>
  <conditionalFormatting sqref="O693:O712">
    <cfRule type="expression" dxfId="354" priority="253">
      <formula>RIGHT(O693,2)="  "</formula>
    </cfRule>
    <cfRule type="expression" dxfId="353" priority="254">
      <formula>RIGHT(O693,1)=" "</formula>
    </cfRule>
  </conditionalFormatting>
  <conditionalFormatting sqref="Q693:Q712">
    <cfRule type="expression" dxfId="352" priority="251">
      <formula>RIGHT(Q693,2)="  "</formula>
    </cfRule>
    <cfRule type="expression" dxfId="351" priority="252">
      <formula>RIGHT(Q693,1)=" "</formula>
    </cfRule>
  </conditionalFormatting>
  <conditionalFormatting sqref="O429:O448">
    <cfRule type="expression" dxfId="350" priority="249">
      <formula>RIGHT(O429,2)="  "</formula>
    </cfRule>
    <cfRule type="expression" dxfId="349" priority="250">
      <formula>RIGHT(O429,1)=" "</formula>
    </cfRule>
  </conditionalFormatting>
  <conditionalFormatting sqref="Q429:Q448">
    <cfRule type="expression" dxfId="348" priority="247">
      <formula>RIGHT(Q429,2)="  "</formula>
    </cfRule>
    <cfRule type="expression" dxfId="347" priority="248">
      <formula>RIGHT(Q429,1)=" "</formula>
    </cfRule>
  </conditionalFormatting>
  <conditionalFormatting sqref="O1271:O1290">
    <cfRule type="expression" dxfId="346" priority="245">
      <formula>RIGHT(O1271,2)="  "</formula>
    </cfRule>
    <cfRule type="expression" dxfId="345" priority="246">
      <formula>RIGHT(O1271,1)=" "</formula>
    </cfRule>
  </conditionalFormatting>
  <conditionalFormatting sqref="Q1271">
    <cfRule type="expression" dxfId="344" priority="243">
      <formula>RIGHT(Q1271,2)="  "</formula>
    </cfRule>
    <cfRule type="expression" dxfId="343" priority="244">
      <formula>RIGHT(Q1271,1)=" "</formula>
    </cfRule>
  </conditionalFormatting>
  <conditionalFormatting sqref="Q1272">
    <cfRule type="expression" dxfId="342" priority="241">
      <formula>RIGHT(Q1272,2)="  "</formula>
    </cfRule>
    <cfRule type="expression" dxfId="341" priority="242">
      <formula>RIGHT(Q1272,1)=" "</formula>
    </cfRule>
  </conditionalFormatting>
  <conditionalFormatting sqref="Q1273">
    <cfRule type="expression" dxfId="340" priority="239">
      <formula>RIGHT(Q1273,2)="  "</formula>
    </cfRule>
    <cfRule type="expression" dxfId="339" priority="240">
      <formula>RIGHT(Q1273,1)=" "</formula>
    </cfRule>
  </conditionalFormatting>
  <conditionalFormatting sqref="O453:O456 O460:O472">
    <cfRule type="expression" dxfId="338" priority="237">
      <formula>RIGHT(O453,2)="  "</formula>
    </cfRule>
    <cfRule type="expression" dxfId="337" priority="238">
      <formula>RIGHT(O453,1)=" "</formula>
    </cfRule>
  </conditionalFormatting>
  <conditionalFormatting sqref="O457:O459">
    <cfRule type="expression" dxfId="336" priority="227">
      <formula>RIGHT(O457,2)="  "</formula>
    </cfRule>
    <cfRule type="expression" dxfId="335" priority="228">
      <formula>RIGHT(O457,1)=" "</formula>
    </cfRule>
  </conditionalFormatting>
  <conditionalFormatting sqref="Q453">
    <cfRule type="expression" dxfId="334" priority="233">
      <formula>RIGHT(Q453,2)="  "</formula>
    </cfRule>
    <cfRule type="expression" dxfId="333" priority="234">
      <formula>RIGHT(Q453,1)=" "</formula>
    </cfRule>
  </conditionalFormatting>
  <conditionalFormatting sqref="Q455">
    <cfRule type="expression" dxfId="332" priority="229">
      <formula>RIGHT(Q455,2)="  "</formula>
    </cfRule>
    <cfRule type="expression" dxfId="331" priority="230">
      <formula>RIGHT(Q455,1)=" "</formula>
    </cfRule>
  </conditionalFormatting>
  <conditionalFormatting sqref="Q719">
    <cfRule type="expression" dxfId="330" priority="217">
      <formula>RIGHT(Q719,2)="  "</formula>
    </cfRule>
    <cfRule type="expression" dxfId="329" priority="218">
      <formula>RIGHT(Q719,1)=" "</formula>
    </cfRule>
  </conditionalFormatting>
  <conditionalFormatting sqref="O719:O721">
    <cfRule type="expression" dxfId="328" priority="215">
      <formula>RIGHT(O719,2)="  "</formula>
    </cfRule>
    <cfRule type="expression" dxfId="327" priority="216">
      <formula>RIGHT(O719,1)=" "</formula>
    </cfRule>
  </conditionalFormatting>
  <conditionalFormatting sqref="O717:O718 O722:O736">
    <cfRule type="expression" dxfId="326" priority="225">
      <formula>RIGHT(O717,2)="  "</formula>
    </cfRule>
    <cfRule type="expression" dxfId="325" priority="226">
      <formula>RIGHT(O717,1)=" "</formula>
    </cfRule>
  </conditionalFormatting>
  <conditionalFormatting sqref="Q1249">
    <cfRule type="expression" dxfId="324" priority="207">
      <formula>RIGHT(Q1249,2)="  "</formula>
    </cfRule>
    <cfRule type="expression" dxfId="323" priority="208">
      <formula>RIGHT(Q1249,1)=" "</formula>
    </cfRule>
  </conditionalFormatting>
  <conditionalFormatting sqref="Q717">
    <cfRule type="expression" dxfId="322" priority="221">
      <formula>RIGHT(Q717,2)="  "</formula>
    </cfRule>
    <cfRule type="expression" dxfId="321" priority="222">
      <formula>RIGHT(Q717,1)=" "</formula>
    </cfRule>
  </conditionalFormatting>
  <conditionalFormatting sqref="Q1247">
    <cfRule type="expression" dxfId="320" priority="211">
      <formula>RIGHT(Q1247,2)="  "</formula>
    </cfRule>
    <cfRule type="expression" dxfId="319" priority="212">
      <formula>RIGHT(Q1247,1)=" "</formula>
    </cfRule>
  </conditionalFormatting>
  <conditionalFormatting sqref="Q1248">
    <cfRule type="expression" dxfId="318" priority="209">
      <formula>RIGHT(Q1248,2)="  "</formula>
    </cfRule>
    <cfRule type="expression" dxfId="317" priority="210">
      <formula>RIGHT(Q1248,1)=" "</formula>
    </cfRule>
  </conditionalFormatting>
  <conditionalFormatting sqref="Q1590">
    <cfRule type="expression" dxfId="316" priority="175">
      <formula>RIGHT(Q1590,2)="  "</formula>
    </cfRule>
    <cfRule type="expression" dxfId="315" priority="176">
      <formula>RIGHT(Q1590,1)=" "</formula>
    </cfRule>
  </conditionalFormatting>
  <conditionalFormatting sqref="O1247:O1266">
    <cfRule type="expression" dxfId="314" priority="213">
      <formula>RIGHT(O1247,2)="  "</formula>
    </cfRule>
    <cfRule type="expression" dxfId="313" priority="214">
      <formula>RIGHT(O1247,1)=" "</formula>
    </cfRule>
  </conditionalFormatting>
  <conditionalFormatting sqref="O1586">
    <cfRule type="expression" dxfId="312" priority="179">
      <formula>RIGHT(O1586,2)="  "</formula>
    </cfRule>
    <cfRule type="expression" dxfId="311" priority="180">
      <formula>RIGHT(O1586,1)=" "</formula>
    </cfRule>
  </conditionalFormatting>
  <conditionalFormatting sqref="Q2022:Q2028 Q2030:Q2041">
    <cfRule type="expression" dxfId="310" priority="171">
      <formula>RIGHT(Q2022,2)="  "</formula>
    </cfRule>
    <cfRule type="expression" dxfId="309" priority="172">
      <formula>RIGHT(Q2022,1)=" "</formula>
    </cfRule>
  </conditionalFormatting>
  <conditionalFormatting sqref="O1585 O1591:O1604 O1587">
    <cfRule type="expression" dxfId="308" priority="205">
      <formula>RIGHT(O1585,2)="  "</formula>
    </cfRule>
    <cfRule type="expression" dxfId="307" priority="206">
      <formula>RIGHT(O1585,1)=" "</formula>
    </cfRule>
  </conditionalFormatting>
  <conditionalFormatting sqref="Q1585">
    <cfRule type="expression" dxfId="306" priority="203">
      <formula>RIGHT(Q1585,2)="  "</formula>
    </cfRule>
    <cfRule type="expression" dxfId="305" priority="204">
      <formula>RIGHT(Q1585,1)=" "</formula>
    </cfRule>
  </conditionalFormatting>
  <conditionalFormatting sqref="Q1586">
    <cfRule type="expression" dxfId="304" priority="201">
      <formula>RIGHT(Q1586,2)="  "</formula>
    </cfRule>
    <cfRule type="expression" dxfId="303" priority="202">
      <formula>RIGHT(Q1586,1)=" "</formula>
    </cfRule>
  </conditionalFormatting>
  <conditionalFormatting sqref="Q1587">
    <cfRule type="expression" dxfId="302" priority="199">
      <formula>RIGHT(Q1587,2)="  "</formula>
    </cfRule>
    <cfRule type="expression" dxfId="301" priority="200">
      <formula>RIGHT(Q1587,1)=" "</formula>
    </cfRule>
  </conditionalFormatting>
  <conditionalFormatting sqref="O1588:O1590">
    <cfRule type="expression" dxfId="300" priority="197">
      <formula>RIGHT(O1588,2)="  "</formula>
    </cfRule>
    <cfRule type="expression" dxfId="299" priority="198">
      <formula>RIGHT(O1588,1)=" "</formula>
    </cfRule>
  </conditionalFormatting>
  <conditionalFormatting sqref="O1562">
    <cfRule type="expression" dxfId="298" priority="195">
      <formula>RIGHT(O1562,2)="  "</formula>
    </cfRule>
    <cfRule type="expression" dxfId="297" priority="196">
      <formula>RIGHT(O1562,1)=" "</formula>
    </cfRule>
  </conditionalFormatting>
  <conditionalFormatting sqref="O1570">
    <cfRule type="expression" dxfId="296" priority="193">
      <formula>RIGHT(O1570,2)="  "</formula>
    </cfRule>
    <cfRule type="expression" dxfId="295" priority="194">
      <formula>RIGHT(O1570,1)=" "</formula>
    </cfRule>
  </conditionalFormatting>
  <conditionalFormatting sqref="O1569">
    <cfRule type="expression" dxfId="294" priority="191">
      <formula>RIGHT(O1569,2)="  "</formula>
    </cfRule>
    <cfRule type="expression" dxfId="293" priority="192">
      <formula>RIGHT(O1569,1)=" "</formula>
    </cfRule>
  </conditionalFormatting>
  <conditionalFormatting sqref="Q1561">
    <cfRule type="expression" dxfId="292" priority="189">
      <formula>RIGHT(Q1561,2)="  "</formula>
    </cfRule>
    <cfRule type="expression" dxfId="291" priority="190">
      <formula>RIGHT(Q1561,1)=" "</formula>
    </cfRule>
  </conditionalFormatting>
  <conditionalFormatting sqref="Q1562">
    <cfRule type="expression" dxfId="290" priority="187">
      <formula>RIGHT(Q1562,2)="  "</formula>
    </cfRule>
    <cfRule type="expression" dxfId="289" priority="188">
      <formula>RIGHT(Q1562,1)=" "</formula>
    </cfRule>
  </conditionalFormatting>
  <conditionalFormatting sqref="Q1563">
    <cfRule type="expression" dxfId="288" priority="185">
      <formula>RIGHT(Q1563,2)="  "</formula>
    </cfRule>
    <cfRule type="expression" dxfId="287" priority="186">
      <formula>RIGHT(Q1563,1)=" "</formula>
    </cfRule>
  </conditionalFormatting>
  <conditionalFormatting sqref="O1565:O1567">
    <cfRule type="expression" dxfId="286" priority="183">
      <formula>RIGHT(O1565,2)="  "</formula>
    </cfRule>
    <cfRule type="expression" dxfId="285" priority="184">
      <formula>RIGHT(O1565,1)=" "</formula>
    </cfRule>
  </conditionalFormatting>
  <conditionalFormatting sqref="O2022:O2023 O2025:O2038">
    <cfRule type="expression" dxfId="284" priority="173">
      <formula>RIGHT(O2022,2)="  "</formula>
    </cfRule>
    <cfRule type="expression" dxfId="283" priority="174">
      <formula>RIGHT(O2022,1)=" "</formula>
    </cfRule>
  </conditionalFormatting>
  <conditionalFormatting sqref="Q2029">
    <cfRule type="expression" dxfId="282" priority="167">
      <formula>RIGHT(Q2029,2)="  "</formula>
    </cfRule>
    <cfRule type="expression" dxfId="281" priority="168">
      <formula>RIGHT(Q2029,1)=" "</formula>
    </cfRule>
  </conditionalFormatting>
  <conditionalFormatting sqref="O2016:O2017 O2000">
    <cfRule type="expression" dxfId="280" priority="165">
      <formula>RIGHT(O2000,2)="  "</formula>
    </cfRule>
    <cfRule type="expression" dxfId="279" priority="166">
      <formula>RIGHT(O2000,1)=" "</formula>
    </cfRule>
  </conditionalFormatting>
  <conditionalFormatting sqref="Q1998:Q2004 Q2006:Q2017">
    <cfRule type="expression" dxfId="278" priority="161">
      <formula>RIGHT(Q1998,2)="  "</formula>
    </cfRule>
    <cfRule type="expression" dxfId="277" priority="162">
      <formula>RIGHT(Q1998,1)=" "</formula>
    </cfRule>
  </conditionalFormatting>
  <conditionalFormatting sqref="O1998:O1999 O2001:O2014">
    <cfRule type="expression" dxfId="276" priority="163">
      <formula>RIGHT(O1998,2)="  "</formula>
    </cfRule>
    <cfRule type="expression" dxfId="275" priority="164">
      <formula>RIGHT(O1998,1)=" "</formula>
    </cfRule>
  </conditionalFormatting>
  <conditionalFormatting sqref="Q2005">
    <cfRule type="expression" dxfId="274" priority="159">
      <formula>RIGHT(Q2005,2)="  "</formula>
    </cfRule>
    <cfRule type="expression" dxfId="273" priority="160">
      <formula>RIGHT(Q2005,1)=" "</formula>
    </cfRule>
  </conditionalFormatting>
  <conditionalFormatting sqref="O237:O256">
    <cfRule type="expression" dxfId="272" priority="157">
      <formula>RIGHT(O237,2)="  "</formula>
    </cfRule>
    <cfRule type="expression" dxfId="271" priority="158">
      <formula>RIGHT(O237,1)=" "</formula>
    </cfRule>
  </conditionalFormatting>
  <conditionalFormatting sqref="Q237:Q256">
    <cfRule type="expression" dxfId="270" priority="155">
      <formula>RIGHT(Q237,2)="  "</formula>
    </cfRule>
    <cfRule type="expression" dxfId="269" priority="156">
      <formula>RIGHT(Q237,1)=" "</formula>
    </cfRule>
  </conditionalFormatting>
  <conditionalFormatting sqref="O1658:O1677">
    <cfRule type="expression" dxfId="268" priority="153">
      <formula>RIGHT(O1658,2)="  "</formula>
    </cfRule>
    <cfRule type="expression" dxfId="267" priority="154">
      <formula>RIGHT(O1658,1)=" "</formula>
    </cfRule>
  </conditionalFormatting>
  <conditionalFormatting sqref="O1295:O1314">
    <cfRule type="expression" dxfId="266" priority="151">
      <formula>RIGHT(O1295,2)="  "</formula>
    </cfRule>
    <cfRule type="expression" dxfId="265" priority="152">
      <formula>RIGHT(O1295,1)=" "</formula>
    </cfRule>
  </conditionalFormatting>
  <conditionalFormatting sqref="O1487:O1506">
    <cfRule type="expression" dxfId="264" priority="147">
      <formula>RIGHT(O1487,2)="  "</formula>
    </cfRule>
    <cfRule type="expression" dxfId="263" priority="148">
      <formula>RIGHT(O1487,1)=" "</formula>
    </cfRule>
  </conditionalFormatting>
  <conditionalFormatting sqref="O1463:O1482">
    <cfRule type="expression" dxfId="262" priority="145">
      <formula>RIGHT(O1463,2)="  "</formula>
    </cfRule>
    <cfRule type="expression" dxfId="261" priority="146">
      <formula>RIGHT(O1463,1)=" "</formula>
    </cfRule>
  </conditionalFormatting>
  <conditionalFormatting sqref="O597:O616">
    <cfRule type="expression" dxfId="260" priority="143">
      <formula>RIGHT(O597,2)="  "</formula>
    </cfRule>
    <cfRule type="expression" dxfId="259" priority="144">
      <formula>RIGHT(O597,1)=" "</formula>
    </cfRule>
  </conditionalFormatting>
  <conditionalFormatting sqref="Q597:Q616">
    <cfRule type="expression" dxfId="258" priority="141">
      <formula>RIGHT(Q597,2)="  "</formula>
    </cfRule>
    <cfRule type="expression" dxfId="257" priority="142">
      <formula>RIGHT(Q597,1)=" "</formula>
    </cfRule>
  </conditionalFormatting>
  <conditionalFormatting sqref="O501:O520">
    <cfRule type="expression" dxfId="256" priority="139">
      <formula>RIGHT(O501,2)="  "</formula>
    </cfRule>
    <cfRule type="expression" dxfId="255" priority="140">
      <formula>RIGHT(O501,1)=" "</formula>
    </cfRule>
  </conditionalFormatting>
  <conditionalFormatting sqref="Q501:Q520">
    <cfRule type="expression" dxfId="254" priority="137">
      <formula>RIGHT(Q501,2)="  "</formula>
    </cfRule>
    <cfRule type="expression" dxfId="253" priority="138">
      <formula>RIGHT(Q501,1)=" "</formula>
    </cfRule>
  </conditionalFormatting>
  <conditionalFormatting sqref="O741:O760">
    <cfRule type="expression" dxfId="252" priority="135">
      <formula>RIGHT(O741,2)="  "</formula>
    </cfRule>
    <cfRule type="expression" dxfId="251" priority="136">
      <formula>RIGHT(O741,1)=" "</formula>
    </cfRule>
  </conditionalFormatting>
  <conditionalFormatting sqref="Q741:Q760">
    <cfRule type="expression" dxfId="250" priority="133">
      <formula>RIGHT(Q741,2)="  "</formula>
    </cfRule>
    <cfRule type="expression" dxfId="249" priority="134">
      <formula>RIGHT(Q741,1)=" "</formula>
    </cfRule>
  </conditionalFormatting>
  <conditionalFormatting sqref="O669:O688">
    <cfRule type="expression" dxfId="248" priority="130">
      <formula>RIGHT(O669,2)="  "</formula>
    </cfRule>
    <cfRule type="expression" dxfId="247" priority="131">
      <formula>RIGHT(O669,1)=" "</formula>
    </cfRule>
  </conditionalFormatting>
  <conditionalFormatting sqref="Q669:Q688">
    <cfRule type="expression" dxfId="246" priority="128">
      <formula>RIGHT(Q669,2)="  "</formula>
    </cfRule>
    <cfRule type="expression" dxfId="245" priority="129">
      <formula>RIGHT(Q669,1)=" "</formula>
    </cfRule>
  </conditionalFormatting>
  <conditionalFormatting sqref="O333:O352">
    <cfRule type="expression" dxfId="244" priority="125">
      <formula>RIGHT(O333,2)="  "</formula>
    </cfRule>
    <cfRule type="expression" dxfId="243" priority="126">
      <formula>RIGHT(O333,1)=" "</formula>
    </cfRule>
  </conditionalFormatting>
  <conditionalFormatting sqref="Q333:Q352">
    <cfRule type="expression" dxfId="242" priority="123">
      <formula>RIGHT(Q333,2)="  "</formula>
    </cfRule>
    <cfRule type="expression" dxfId="241" priority="124">
      <formula>RIGHT(Q333,1)=" "</formula>
    </cfRule>
  </conditionalFormatting>
  <conditionalFormatting sqref="O357:O376">
    <cfRule type="expression" dxfId="240" priority="120">
      <formula>RIGHT(O357,2)="  "</formula>
    </cfRule>
    <cfRule type="expression" dxfId="239" priority="121">
      <formula>RIGHT(O357,1)=" "</formula>
    </cfRule>
  </conditionalFormatting>
  <conditionalFormatting sqref="Q357:Q376">
    <cfRule type="expression" dxfId="238" priority="118">
      <formula>RIGHT(Q357,2)="  "</formula>
    </cfRule>
    <cfRule type="expression" dxfId="237" priority="119">
      <formula>RIGHT(Q357,1)=" "</formula>
    </cfRule>
  </conditionalFormatting>
  <conditionalFormatting sqref="O405:O424">
    <cfRule type="expression" dxfId="236" priority="115">
      <formula>RIGHT(O405,2)="  "</formula>
    </cfRule>
    <cfRule type="expression" dxfId="235" priority="116">
      <formula>RIGHT(O405,1)=" "</formula>
    </cfRule>
  </conditionalFormatting>
  <conditionalFormatting sqref="Q405:Q424">
    <cfRule type="expression" dxfId="234" priority="113">
      <formula>RIGHT(Q405,2)="  "</formula>
    </cfRule>
    <cfRule type="expression" dxfId="233" priority="114">
      <formula>RIGHT(Q405,1)=" "</formula>
    </cfRule>
  </conditionalFormatting>
  <conditionalFormatting sqref="O2070:O2089">
    <cfRule type="expression" dxfId="232" priority="110">
      <formula>RIGHT(O2070,2)="  "</formula>
    </cfRule>
    <cfRule type="expression" dxfId="231" priority="111">
      <formula>RIGHT(O2070,1)=" "</formula>
    </cfRule>
  </conditionalFormatting>
  <conditionalFormatting sqref="A1:H1 B499:H570 B595:H642 J15:AM15 A2172:H1048576 B2068:H2171 A2:A642 A667:H1898 B1923:H2043 A1923:A2171 B13:H474 B12:C12 E12:H12 J595:AO642 J1923:AO2043 J499:AO570 J667:AO1898 AU595:XFD642 AU499:XFD570 J2068:AO2601 AU2068:XFD2601 AU1923:XFD2043 AU667:XFD1898 J2602:XFD1048576 J17:XFD18 B2:H8 J2:XFD14 AP2118:AT2601 AU25:XFD474 AO15 J19:AO474 AV19:XFD24 A16:H16 AW15:XFD16 J16:AO16 B10:H11 B9:C9 E9:H9 J1:AO1 AR1:XFD1">
    <cfRule type="expression" dxfId="230" priority="108">
      <formula>IF(ROW() = ROW(), TRUE, FALSE)</formula>
    </cfRule>
  </conditionalFormatting>
  <conditionalFormatting sqref="O813:O832">
    <cfRule type="expression" dxfId="229" priority="106">
      <formula>RIGHT(O813,2)="  "</formula>
    </cfRule>
    <cfRule type="expression" dxfId="228" priority="107">
      <formula>RIGHT(O813,1)=" "</formula>
    </cfRule>
  </conditionalFormatting>
  <conditionalFormatting sqref="Q813:Q832">
    <cfRule type="expression" dxfId="227" priority="104">
      <formula>RIGHT(Q813,2)="  "</formula>
    </cfRule>
    <cfRule type="expression" dxfId="226" priority="105">
      <formula>RIGHT(Q813,1)=" "</formula>
    </cfRule>
  </conditionalFormatting>
  <conditionalFormatting sqref="D499:D570 D595:D642 D2068:D1048576 D667:D1898 D1923:D2043 D1:D8 D13:D474 D10:D11">
    <cfRule type="cellIs" dxfId="225" priority="101" operator="equal">
      <formula>"EITHER"</formula>
    </cfRule>
    <cfRule type="cellIs" dxfId="224" priority="102" operator="equal">
      <formula>"MSSB"</formula>
    </cfRule>
    <cfRule type="cellIs" dxfId="223" priority="103" operator="equal">
      <formula>"LOCAL"</formula>
    </cfRule>
  </conditionalFormatting>
  <conditionalFormatting sqref="D8 D10:D11">
    <cfRule type="cellIs" dxfId="222" priority="75" operator="notEqual">
      <formula>0</formula>
    </cfRule>
  </conditionalFormatting>
  <conditionalFormatting sqref="D475:D498">
    <cfRule type="cellIs" dxfId="221" priority="67" operator="equal">
      <formula>"EITHER"</formula>
    </cfRule>
    <cfRule type="cellIs" dxfId="220" priority="68" operator="equal">
      <formula>"MSSB"</formula>
    </cfRule>
    <cfRule type="cellIs" dxfId="219" priority="69" operator="equal">
      <formula>"LOCAL"</formula>
    </cfRule>
  </conditionalFormatting>
  <conditionalFormatting sqref="D571:D594">
    <cfRule type="cellIs" dxfId="218" priority="56" operator="equal">
      <formula>"EITHER"</formula>
    </cfRule>
    <cfRule type="cellIs" dxfId="217" priority="57" operator="equal">
      <formula>"MSSB"</formula>
    </cfRule>
    <cfRule type="cellIs" dxfId="216" priority="58" operator="equal">
      <formula>"LOCAL"</formula>
    </cfRule>
  </conditionalFormatting>
  <conditionalFormatting sqref="D2044:D2067">
    <cfRule type="cellIs" dxfId="215" priority="49" operator="equal">
      <formula>"EITHER"</formula>
    </cfRule>
    <cfRule type="cellIs" dxfId="214" priority="50" operator="equal">
      <formula>"MSSB"</formula>
    </cfRule>
    <cfRule type="cellIs" dxfId="213" priority="51" operator="equal">
      <formula>"LOCAL"</formula>
    </cfRule>
  </conditionalFormatting>
  <conditionalFormatting sqref="D643:D666">
    <cfRule type="cellIs" dxfId="212" priority="40" operator="equal">
      <formula>"EITHER"</formula>
    </cfRule>
    <cfRule type="cellIs" dxfId="211" priority="41" operator="equal">
      <formula>"MSSB"</formula>
    </cfRule>
    <cfRule type="cellIs" dxfId="210" priority="42" operator="equal">
      <formula>"LOCAL"</formula>
    </cfRule>
  </conditionalFormatting>
  <conditionalFormatting sqref="O1901:O1920">
    <cfRule type="expression" dxfId="209" priority="37">
      <formula>RIGHT(O1901,2)="  "</formula>
    </cfRule>
    <cfRule type="expression" dxfId="208" priority="38">
      <formula>RIGHT(O1901,1)=" "</formula>
    </cfRule>
  </conditionalFormatting>
  <conditionalFormatting sqref="A1899:H1922 J1899:AO1922 AU1899:XFD1922">
    <cfRule type="expression" dxfId="207" priority="36">
      <formula>IF(ROW() = ROW(), TRUE, FALSE)</formula>
    </cfRule>
  </conditionalFormatting>
  <conditionalFormatting sqref="D1899:D1922">
    <cfRule type="cellIs" dxfId="206" priority="33" operator="equal">
      <formula>"EITHER"</formula>
    </cfRule>
    <cfRule type="cellIs" dxfId="205" priority="34" operator="equal">
      <formula>"MSSB"</formula>
    </cfRule>
    <cfRule type="cellIs" dxfId="204" priority="35" operator="equal">
      <formula>"LOCAL"</formula>
    </cfRule>
  </conditionalFormatting>
  <conditionalFormatting sqref="AP19:AU19 AU20:AU24 AP20:AT2117">
    <cfRule type="expression" dxfId="203" priority="30">
      <formula>IF(ROW() = ROW(), TRUE, FALSE)</formula>
    </cfRule>
  </conditionalFormatting>
  <conditionalFormatting sqref="AP16:AV16 AP15:AS15 AU15:AV15">
    <cfRule type="expression" dxfId="202" priority="29">
      <formula>IF(ROW() = ROW(), TRUE, FALSE)</formula>
    </cfRule>
  </conditionalFormatting>
  <conditionalFormatting sqref="D9">
    <cfRule type="expression" dxfId="201" priority="18">
      <formula>IF(ROW() = ROW(), TRUE, FALSE)</formula>
    </cfRule>
  </conditionalFormatting>
  <conditionalFormatting sqref="D9">
    <cfRule type="cellIs" dxfId="200" priority="15" operator="equal">
      <formula>"EITHER"</formula>
    </cfRule>
    <cfRule type="cellIs" dxfId="199" priority="16" operator="equal">
      <formula>"MSSB"</formula>
    </cfRule>
    <cfRule type="cellIs" dxfId="198" priority="17" operator="equal">
      <formula>"LOCAL"</formula>
    </cfRule>
  </conditionalFormatting>
  <conditionalFormatting sqref="D9">
    <cfRule type="cellIs" dxfId="197" priority="14" operator="notEqual">
      <formula>0</formula>
    </cfRule>
  </conditionalFormatting>
  <conditionalFormatting sqref="AT15">
    <cfRule type="expression" dxfId="196" priority="12">
      <formula>IF(ROW() = ROW(), TRUE, FALSE)</formula>
    </cfRule>
  </conditionalFormatting>
  <conditionalFormatting sqref="I11">
    <cfRule type="expression" dxfId="195" priority="11">
      <formula>IF(ROW() = ROW(), TRUE, FALSE)</formula>
    </cfRule>
  </conditionalFormatting>
  <conditionalFormatting sqref="I11">
    <cfRule type="cellIs" dxfId="194" priority="8" operator="equal">
      <formula>"EITHER"</formula>
    </cfRule>
    <cfRule type="cellIs" dxfId="193" priority="9" operator="equal">
      <formula>"MSSB"</formula>
    </cfRule>
    <cfRule type="cellIs" dxfId="192" priority="10" operator="equal">
      <formula>"LOCAL"</formula>
    </cfRule>
  </conditionalFormatting>
  <conditionalFormatting sqref="I499:I570 I595:I642 I1:I7 I667:I1898 I1923:I2043 I11:I474 I2068:I1048576">
    <cfRule type="cellIs" dxfId="191" priority="7" operator="notEqual">
      <formula>0</formula>
    </cfRule>
  </conditionalFormatting>
  <conditionalFormatting sqref="I475:I498">
    <cfRule type="cellIs" dxfId="190" priority="6" operator="notEqual">
      <formula>0</formula>
    </cfRule>
  </conditionalFormatting>
  <conditionalFormatting sqref="I571:I594">
    <cfRule type="cellIs" dxfId="189" priority="5" operator="notEqual">
      <formula>0</formula>
    </cfRule>
  </conditionalFormatting>
  <conditionalFormatting sqref="I2044:I2067">
    <cfRule type="cellIs" dxfId="188" priority="4" operator="notEqual">
      <formula>0</formula>
    </cfRule>
  </conditionalFormatting>
  <conditionalFormatting sqref="I643:I666">
    <cfRule type="cellIs" dxfId="187" priority="3" operator="notEqual">
      <formula>0</formula>
    </cfRule>
  </conditionalFormatting>
  <conditionalFormatting sqref="I1899:I1922">
    <cfRule type="cellIs" dxfId="186" priority="2" operator="notEqual">
      <formula>0</formula>
    </cfRule>
  </conditionalFormatting>
  <conditionalFormatting sqref="AP1:AQ1">
    <cfRule type="expression" dxfId="185" priority="1">
      <formula>IF(ROW() = ROW(), TRUE, FALSE)</formula>
    </cfRule>
  </conditionalFormatting>
  <dataValidations count="2">
    <dataValidation type="list" allowBlank="1" showInputMessage="1" showErrorMessage="1" sqref="U1802:U1821 U1874:U1894 U1105:U1120 U1101:U1103 U1081:U1096 U1077:U1079 U1826:U1846 U957:U959 U961:U965 U971:U977 U967 U969 U1153:U1169 U1863:U1870 U1850:U1861 AF1537:AF1554 AF1766:AF1773 Y1770:Y1773 Y1710:Y1720 Y1758:Y1768 AF1874:AF1894 Y1874:Y1894 AF1101:AF1121 Y1101:Y1121 AF1077:AF1097 Y1077:Y1097 Y1924:Y1944 AF1924:AF1944 Y1948:Y1961 Y1963:Y1968 AF1948:AF1968 Y1987:Y1992 Y1972:Y1985 AF1972:AF1992 AF1534 AF1510:AF1530 AF1438:AF1458 AF1802:AF1822 AF1826:AF1846 AF308:AF328 AF260:AF280 Y189:Y207 AF561:AF568 AF548:AF559 AF187:AF207 AF163:AF183 AF139:AF159 AF1608:AF1628 Y1608:Y1628 Y1534:Y1554 Y1510:Y1530 Y1438:Y1458 Y1222:Y1242 U1976:U1992 Y308:Y310 Y260:Y280 Y212:Y232 Y548:Y568 AF2099:AF2115 AF2095 Y141:Y159 Y165:Y183 Y139 Y163 Y187 AF212:AF232 Y1826:Y1846 AF1222 AF1224:AF1242 Y969:Y977 Y960:Y962 Y957:Y958 Y964:Y966 AF957:AF977 AF1149:AF1169 Y1149:Y1169 AF1850:AF1870 Y1850:Y1870 AF945:AF952 Y949:Y952 U524:U543 Y841:Y851 AF777:AF784 AF764:AF775 Y781:Y784 Y764:Y779 AF1174:AF1176 AF1178:AF1194 AF43:AF63 Y43:Y63 AF19:AF39 Y19:Y39 AF115:AF135 Y117:Y135 Y115 AF1681:AF1701 Y1681:Y1701 Y2095:Y2099 Y2101:Y2115 Y1174:Y1194 U1222:U1242 U1757:U1772 U1753:U1755 U768:U783 U764:U766 U936:U951 U932:U934 U1149:U1151 U1900:U1920 U1948:U1968 U1928:U1944 U2098:U2115 U2095 U1534:U1535 U308:U317 U260:U269 U212:U221 U224:U231 U325:U327 U271:U279 U320:U323 U1537:U1554 U548:U567 U139:U159 U163:U183 U187:U207 U1438:U1458 U1608:U1628 U1174:U1194 U43:U63 U19:U39 U115:U135 U1681:U1701 Y312:Y328 U620:U640 Y620:Y640 AF620:AF640 AF537:AF544 AF524:AF535 Y524:Y544 Y932:Y935 Y937:Y947 AF849:AF856 Y853:Y856 AF836:AF847 U840:U855 U836:U838 Y836:Y839 AF932:AF933 AF935:AF943 U1057:U1072 U1053:U1055 AF1053:AF1073 Y1053:Y1056 Y1058:Y1073 U1033:U1048 U1029:U1031 AF1029:AF1049 Y1029:Y1032 Y986:Y1001 U985:U1000 U981:U983 AF981:AF1001 Y981:Y984 Y1034:Y1049 AF1718:AF1725 Y1722:Y1725 U1705:U1707 AF1705:AF1716 U1709:U1724 Y1705:Y1708 Y1753:Y1756 AF1753:AF1754 AF1756:AF1764 AF1742:AF1749 Y1746:Y1749 U1729:U1731 Y1729:Y1744 AF1729:AF1740 U1734:U1748 AF1633:AF1653 Y1633:Y1653 U1633:U1653 U1129:U1145 AF1125:AF1145 U1125:U1127 Y1125:Y1145 AF67:AF87 Y69:Y87 Y67 U67:U87 AF1560:AF1580 Y1560:Y1580 Y1420:Y1434 AF1414:AF1434 U1420:U1434 U1414:U1418 Y1414:Y1418 U1560:U1561 Y704:Y707 U1778:U1797 Y1778:Y1798 AF1778:AF1798 AF897:AF904 Y901:Y904 U888:U903 U884:U886 Y884:Y887 Y889:Y899 AF884:AF885 AF887:AF895 U284:U303 AF284:AF304 Y284:Y287 Y289:Y304 AF921:AF928 Y925:Y928 U912:U927 U908:U910 Y908:Y911 AF911:AF919 AF908:AF909 Y913:Y923 AF873:AF880 Y877:Y880 U864:U879 U860:U862 Y860:Y863 Y865:Y875 AF860:AF861 AF863:AF871 Y1202:Y1218 AF1198 AF1200:AF1218 U1198:U1199 U1201:U1218 Y1198 Y1200 AF801:AF808 Y805:Y808 AF788:AF799 U792:U807 U788:U790 Y788:Y803 U1009:U1024 U1005:U1007 AF1005:AF1025 Y1005:Y1008 Y1010:Y1025 U1327:U1338 Y1327:Y1338 Y1318:Y1322 U1318:U1322 U1324:U1325 Y1324:Y1325 AF1318:AF1338 AF705:AF712 AF692:AF703 Y709:Y712 U692:U694 U696:U711 Y692:Y702 U1564:U1580 U431:U447 AF441:AF448 AF428:AF439 U428:U429 Y428:Y429 Y431:Y448 U1279:U1290 Y1279:Y1290 U1270:U1277 Y1270:Y1274 Y1276:Y1277 AF1270:AF1290 AF465:AF472 Y455:Y472 U452:U471 Y452:Y453 AF452:AF463 Y728:Y731 AF729:AF736 AF716:AF727 Y733:Y736 Y716:Y726 U716:U735 U1255:U1266 Y1255:Y1266 U1246:U1253 Y1246:Y1250 Y1252:Y1253 AF1246:AF1266 AF1584:AF1604 Y1584:Y1604 U1584:U1585 U1587:U1589 U1591:U1604 U2021:U2023 U2025:U2029 U2035:U2041 U2031 U2033 Y2033:Y2041 Y2024:Y2026 Y2021:Y2022 Y2028:Y2030 AF2021:AF2041 U2011:U2017 Y2004:Y2017 U2009 Y2000:Y2002 Y1997:Y1998 AF1997:AF2017 U1997:U2006 AF236:AF256 U247:U255 U236:U245 Y236:Y245 Y247:Y256 AF1657:AF1677 Y1657:Y1677 U1657:U1677 Y1298 Y1303:Y1314 AF1300:AF1314 U1294:U1298 U1300:U1301 Y1300:Y1301 AF1294:AF1295 AF1297:AF1298 Y1294:Y1296 U1303 U1306:U1314 Y1486:Y1506 AF1486:AF1506 Y1462:Y1482 AF1462:AF1482 Y603:Y616 U602:U616 U596:U600 Y596:Y601 AF596:AF600 AF602:AF616 U500:U519 AF513:AF520 AF500:AF511 Y500:Y520 AF753:AF760 AF740:AF751 Y757:Y760 Y740:Y755 U744:U759 U740:U741 Y680:Y683 AF681:AF688 AF668:AF679 Y668:Y678 U668:U670 U672:U687 Y685 Y687:Y688 U335:U351 AF345:AF352 AF332:AF343 U332:U333 Y332:Y333 Y335:Y345 Y347:Y352 U359:U375 AF369:AF376 AF356:AF367 U356:U357 Y356:Y357 Y359:Y376 U407:U423 AF417:AF424 AF404:AF415 U404:U405 Y404:Y405 Y407:Y424 AF2069:AF2089 U2070:U2089 Y2071 Y2069 Y2073 Y2075:Y2089 Y829:Y832 AF825:AF832 Y817:Y827 AF812:AF823 U816:U831 U812:U814 Y812:Y815 U383:U399 AF393:AF400 AF380:AF391 U380:U381 Y380:Y381 Y383:Y400 AF91:AF111 Y93:Y111 Y91 U91:U111 AF1390:AF1410 Y1390:Y1410 U1390 U1393:U1410 AF1366:AF1386 Y1366:Y1386 U1366 U1369:U1386 AF1342:AF1362 Y1342:Y1362 U1342 U1345:U1362 U476:U496 AF489:AF496 AF476:AF487 Y493:Y496 Y476:Y488 Y490:Y491 Y578:Y592 U572:U576 AF578:AF592 AF572:AF576 Y572:Y576 U578:U592 Y2050:Y2065 U2046:U2065 Y2045:Y2046 AF2045:AF2047 AF2049:AF2065 Y656:Y659 AF657:AF664 AF644:AF655 Y644:Y654 U644:U646 U648:U663 Y661 Y663:Y664 Y1900:Y1920 AF1900:AF1920 U1924:U1926 U1972:U1974 Y1802:Y1812 Y1815:Y1822" xr:uid="{00000000-0002-0000-0300-000000000000}">
      <formula1>#REF!</formula1>
    </dataValidation>
    <dataValidation type="list" allowBlank="1" showInputMessage="1" showErrorMessage="1" sqref="U1486:U1490 U1468:U1482 U1462:U1466 U1492:U1506" xr:uid="{00000000-0002-0000-0300-000001000000}">
      <formula1>$B$6:$B$45</formula1>
    </dataValidation>
  </dataValidations>
  <pageMargins left="0.70866141732283472" right="0.70866141732283472" top="0.74803149606299213" bottom="0.74803149606299213" header="0.31496062992125984" footer="0.31496062992125984"/>
  <pageSetup paperSize="8" scale="44" fitToHeight="0" orientation="landscape"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300-000002000000}">
          <x14:formula1>
            <xm:f>Sheet1!$B$6:$B$45</xm:f>
          </x14:formula1>
          <xm:sqref>U1510:U1530</xm:sqref>
        </x14:dataValidation>
        <x14:dataValidation type="list" allowBlank="1" showInputMessage="1" showErrorMessage="1" xr:uid="{00000000-0002-0000-0300-000003000000}">
          <x14:formula1>
            <xm:f>Sheet1!$B$48:$B$124</xm:f>
          </x14:formula1>
          <xm:sqref>Y311</xm:sqref>
        </x14:dataValidation>
        <x14:dataValidation type="list" allowBlank="1" showInputMessage="1" showErrorMessage="1" xr:uid="{00000000-0002-0000-0300-000004000000}">
          <x14:formula1>
            <xm:f>Sheet1!$B$47:$B$124</xm:f>
          </x14:formula1>
          <xm:sqref>AF1535:AF1536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
  <dimension ref="D2:E153"/>
  <sheetViews>
    <sheetView workbookViewId="0"/>
  </sheetViews>
  <sheetFormatPr defaultRowHeight="14.6" x14ac:dyDescent="0.4"/>
  <sheetData>
    <row r="2" spans="4:5" x14ac:dyDescent="0.4">
      <c r="D2" s="4">
        <v>0</v>
      </c>
      <c r="E2" s="5" t="s">
        <v>106</v>
      </c>
    </row>
    <row r="3" spans="4:5" x14ac:dyDescent="0.4">
      <c r="D3" s="4">
        <v>1</v>
      </c>
      <c r="E3" s="5" t="s">
        <v>6</v>
      </c>
    </row>
    <row r="4" spans="4:5" x14ac:dyDescent="0.4">
      <c r="D4" s="4">
        <v>2</v>
      </c>
      <c r="E4" s="5" t="s">
        <v>7</v>
      </c>
    </row>
    <row r="5" spans="4:5" x14ac:dyDescent="0.4">
      <c r="D5" s="4">
        <v>3</v>
      </c>
      <c r="E5" s="5" t="s">
        <v>8</v>
      </c>
    </row>
    <row r="6" spans="4:5" x14ac:dyDescent="0.4">
      <c r="D6" s="4">
        <v>4</v>
      </c>
      <c r="E6" s="5" t="s">
        <v>9</v>
      </c>
    </row>
    <row r="7" spans="4:5" x14ac:dyDescent="0.4">
      <c r="D7" s="4">
        <v>5</v>
      </c>
      <c r="E7" s="5" t="s">
        <v>10</v>
      </c>
    </row>
    <row r="8" spans="4:5" x14ac:dyDescent="0.4">
      <c r="D8" s="4">
        <v>6</v>
      </c>
      <c r="E8" s="5" t="s">
        <v>11</v>
      </c>
    </row>
    <row r="9" spans="4:5" x14ac:dyDescent="0.4">
      <c r="D9" s="4">
        <v>7</v>
      </c>
      <c r="E9" s="5" t="s">
        <v>12</v>
      </c>
    </row>
    <row r="10" spans="4:5" x14ac:dyDescent="0.4">
      <c r="D10" s="4">
        <v>8</v>
      </c>
      <c r="E10" s="5" t="s">
        <v>13</v>
      </c>
    </row>
    <row r="11" spans="4:5" x14ac:dyDescent="0.4">
      <c r="D11" s="4">
        <v>9</v>
      </c>
      <c r="E11" s="5" t="s">
        <v>14</v>
      </c>
    </row>
    <row r="12" spans="4:5" x14ac:dyDescent="0.4">
      <c r="D12" s="4">
        <v>10</v>
      </c>
      <c r="E12" s="5" t="s">
        <v>15</v>
      </c>
    </row>
    <row r="13" spans="4:5" x14ac:dyDescent="0.4">
      <c r="D13" s="4">
        <v>11</v>
      </c>
      <c r="E13" s="5" t="s">
        <v>16</v>
      </c>
    </row>
    <row r="14" spans="4:5" x14ac:dyDescent="0.4">
      <c r="D14" s="4">
        <v>12</v>
      </c>
      <c r="E14" s="5" t="s">
        <v>17</v>
      </c>
    </row>
    <row r="15" spans="4:5" x14ac:dyDescent="0.4">
      <c r="D15" s="4">
        <v>13</v>
      </c>
      <c r="E15" s="5" t="s">
        <v>18</v>
      </c>
    </row>
    <row r="16" spans="4:5" x14ac:dyDescent="0.4">
      <c r="D16" s="4">
        <v>14</v>
      </c>
      <c r="E16" s="5" t="s">
        <v>19</v>
      </c>
    </row>
    <row r="17" spans="4:5" x14ac:dyDescent="0.4">
      <c r="D17" s="4">
        <v>15</v>
      </c>
      <c r="E17" s="5" t="s">
        <v>20</v>
      </c>
    </row>
    <row r="18" spans="4:5" x14ac:dyDescent="0.4">
      <c r="D18" s="4">
        <v>16</v>
      </c>
      <c r="E18" s="5" t="s">
        <v>21</v>
      </c>
    </row>
    <row r="19" spans="4:5" x14ac:dyDescent="0.4">
      <c r="D19" s="4">
        <v>17</v>
      </c>
      <c r="E19" s="5" t="s">
        <v>22</v>
      </c>
    </row>
    <row r="20" spans="4:5" x14ac:dyDescent="0.4">
      <c r="D20" s="4">
        <v>18</v>
      </c>
      <c r="E20" s="5" t="s">
        <v>23</v>
      </c>
    </row>
    <row r="21" spans="4:5" x14ac:dyDescent="0.4">
      <c r="D21" s="4">
        <v>19</v>
      </c>
      <c r="E21" s="5" t="s">
        <v>24</v>
      </c>
    </row>
    <row r="22" spans="4:5" x14ac:dyDescent="0.4">
      <c r="D22" s="4">
        <v>20</v>
      </c>
      <c r="E22" s="5" t="s">
        <v>25</v>
      </c>
    </row>
    <row r="23" spans="4:5" x14ac:dyDescent="0.4">
      <c r="D23" s="4">
        <v>21</v>
      </c>
      <c r="E23" s="5" t="s">
        <v>26</v>
      </c>
    </row>
    <row r="24" spans="4:5" x14ac:dyDescent="0.4">
      <c r="D24" s="4">
        <v>22</v>
      </c>
      <c r="E24" s="5" t="s">
        <v>27</v>
      </c>
    </row>
    <row r="25" spans="4:5" ht="24.9" x14ac:dyDescent="0.4">
      <c r="D25" s="4">
        <v>23</v>
      </c>
      <c r="E25" s="5" t="s">
        <v>28</v>
      </c>
    </row>
    <row r="26" spans="4:5" ht="24.9" x14ac:dyDescent="0.4">
      <c r="D26" s="4">
        <v>24</v>
      </c>
      <c r="E26" s="5" t="s">
        <v>29</v>
      </c>
    </row>
    <row r="27" spans="4:5" x14ac:dyDescent="0.4">
      <c r="D27" s="4">
        <v>25</v>
      </c>
      <c r="E27" s="5" t="s">
        <v>30</v>
      </c>
    </row>
    <row r="28" spans="4:5" x14ac:dyDescent="0.4">
      <c r="D28" s="4">
        <v>26</v>
      </c>
      <c r="E28" s="5" t="s">
        <v>31</v>
      </c>
    </row>
    <row r="29" spans="4:5" ht="24.9" x14ac:dyDescent="0.4">
      <c r="D29" s="4">
        <v>27</v>
      </c>
      <c r="E29" s="5" t="s">
        <v>32</v>
      </c>
    </row>
    <row r="30" spans="4:5" ht="24.9" x14ac:dyDescent="0.4">
      <c r="D30" s="4">
        <v>28</v>
      </c>
      <c r="E30" s="5" t="s">
        <v>33</v>
      </c>
    </row>
    <row r="31" spans="4:5" ht="24.9" x14ac:dyDescent="0.4">
      <c r="D31" s="4">
        <v>29</v>
      </c>
      <c r="E31" s="5" t="s">
        <v>34</v>
      </c>
    </row>
    <row r="32" spans="4:5" x14ac:dyDescent="0.4">
      <c r="D32" s="4">
        <v>30</v>
      </c>
      <c r="E32" s="5" t="s">
        <v>35</v>
      </c>
    </row>
    <row r="33" spans="4:5" x14ac:dyDescent="0.4">
      <c r="D33" s="4">
        <v>31</v>
      </c>
      <c r="E33" s="5" t="s">
        <v>36</v>
      </c>
    </row>
    <row r="34" spans="4:5" x14ac:dyDescent="0.4">
      <c r="D34" s="4">
        <v>32</v>
      </c>
      <c r="E34" s="5" t="s">
        <v>37</v>
      </c>
    </row>
    <row r="35" spans="4:5" x14ac:dyDescent="0.4">
      <c r="D35" s="4">
        <v>33</v>
      </c>
      <c r="E35" s="5" t="s">
        <v>38</v>
      </c>
    </row>
    <row r="36" spans="4:5" x14ac:dyDescent="0.4">
      <c r="D36" s="4">
        <v>34</v>
      </c>
      <c r="E36" s="5" t="s">
        <v>39</v>
      </c>
    </row>
    <row r="37" spans="4:5" x14ac:dyDescent="0.4">
      <c r="D37" s="4">
        <v>35</v>
      </c>
      <c r="E37" s="5" t="s">
        <v>40</v>
      </c>
    </row>
    <row r="38" spans="4:5" x14ac:dyDescent="0.4">
      <c r="D38" s="4">
        <v>36</v>
      </c>
      <c r="E38" s="5" t="s">
        <v>41</v>
      </c>
    </row>
    <row r="39" spans="4:5" ht="24.9" x14ac:dyDescent="0.4">
      <c r="D39" s="4">
        <v>37</v>
      </c>
      <c r="E39" s="5" t="s">
        <v>42</v>
      </c>
    </row>
    <row r="40" spans="4:5" x14ac:dyDescent="0.4">
      <c r="D40" s="4">
        <v>38</v>
      </c>
      <c r="E40" s="5" t="s">
        <v>43</v>
      </c>
    </row>
    <row r="41" spans="4:5" x14ac:dyDescent="0.4">
      <c r="D41" s="4">
        <v>39</v>
      </c>
      <c r="E41" s="5" t="s">
        <v>44</v>
      </c>
    </row>
    <row r="42" spans="4:5" x14ac:dyDescent="0.4">
      <c r="D42" s="4">
        <v>40</v>
      </c>
      <c r="E42" s="5" t="s">
        <v>45</v>
      </c>
    </row>
    <row r="43" spans="4:5" x14ac:dyDescent="0.4">
      <c r="D43" s="4">
        <v>41</v>
      </c>
      <c r="E43" s="5" t="s">
        <v>46</v>
      </c>
    </row>
    <row r="44" spans="4:5" x14ac:dyDescent="0.4">
      <c r="D44" s="4">
        <v>42</v>
      </c>
      <c r="E44" s="5" t="s">
        <v>47</v>
      </c>
    </row>
    <row r="45" spans="4:5" x14ac:dyDescent="0.4">
      <c r="D45" s="4">
        <v>43</v>
      </c>
      <c r="E45" s="5" t="s">
        <v>48</v>
      </c>
    </row>
    <row r="46" spans="4:5" x14ac:dyDescent="0.4">
      <c r="D46" s="4">
        <v>44</v>
      </c>
      <c r="E46" s="5" t="s">
        <v>49</v>
      </c>
    </row>
    <row r="47" spans="4:5" x14ac:dyDescent="0.4">
      <c r="D47" s="4">
        <v>45</v>
      </c>
      <c r="E47" s="5" t="s">
        <v>50</v>
      </c>
    </row>
    <row r="48" spans="4:5" x14ac:dyDescent="0.4">
      <c r="D48" s="4">
        <v>46</v>
      </c>
      <c r="E48" s="5" t="s">
        <v>51</v>
      </c>
    </row>
    <row r="49" spans="4:5" ht="24.9" x14ac:dyDescent="0.4">
      <c r="D49" s="4">
        <v>47</v>
      </c>
      <c r="E49" s="5" t="s">
        <v>52</v>
      </c>
    </row>
    <row r="50" spans="4:5" x14ac:dyDescent="0.4">
      <c r="D50" s="4">
        <v>48</v>
      </c>
      <c r="E50" s="5" t="s">
        <v>53</v>
      </c>
    </row>
    <row r="51" spans="4:5" x14ac:dyDescent="0.4">
      <c r="D51" s="4">
        <v>49</v>
      </c>
      <c r="E51" s="5" t="s">
        <v>54</v>
      </c>
    </row>
    <row r="52" spans="4:5" x14ac:dyDescent="0.4">
      <c r="D52" s="4">
        <v>50</v>
      </c>
      <c r="E52" s="5" t="s">
        <v>55</v>
      </c>
    </row>
    <row r="53" spans="4:5" x14ac:dyDescent="0.4">
      <c r="D53" s="4">
        <v>51</v>
      </c>
      <c r="E53" s="5" t="s">
        <v>56</v>
      </c>
    </row>
    <row r="54" spans="4:5" x14ac:dyDescent="0.4">
      <c r="D54" s="4">
        <v>52</v>
      </c>
      <c r="E54" s="5" t="s">
        <v>57</v>
      </c>
    </row>
    <row r="55" spans="4:5" x14ac:dyDescent="0.4">
      <c r="D55" s="4">
        <v>53</v>
      </c>
      <c r="E55" s="5" t="s">
        <v>58</v>
      </c>
    </row>
    <row r="56" spans="4:5" x14ac:dyDescent="0.4">
      <c r="D56" s="4">
        <v>54</v>
      </c>
      <c r="E56" s="5" t="s">
        <v>59</v>
      </c>
    </row>
    <row r="57" spans="4:5" x14ac:dyDescent="0.4">
      <c r="D57" s="4">
        <v>55</v>
      </c>
      <c r="E57" s="5" t="s">
        <v>60</v>
      </c>
    </row>
    <row r="58" spans="4:5" x14ac:dyDescent="0.4">
      <c r="D58" s="4">
        <v>56</v>
      </c>
      <c r="E58" s="5" t="s">
        <v>61</v>
      </c>
    </row>
    <row r="59" spans="4:5" x14ac:dyDescent="0.4">
      <c r="D59" s="4">
        <v>57</v>
      </c>
      <c r="E59" s="5" t="s">
        <v>62</v>
      </c>
    </row>
    <row r="60" spans="4:5" x14ac:dyDescent="0.4">
      <c r="D60" s="4">
        <v>58</v>
      </c>
      <c r="E60" s="5" t="s">
        <v>63</v>
      </c>
    </row>
    <row r="61" spans="4:5" x14ac:dyDescent="0.4">
      <c r="D61" s="4">
        <v>59</v>
      </c>
      <c r="E61" s="5" t="s">
        <v>64</v>
      </c>
    </row>
    <row r="62" spans="4:5" x14ac:dyDescent="0.4">
      <c r="D62" s="4">
        <v>60</v>
      </c>
      <c r="E62" s="5" t="s">
        <v>65</v>
      </c>
    </row>
    <row r="63" spans="4:5" x14ac:dyDescent="0.4">
      <c r="D63" s="4">
        <v>61</v>
      </c>
      <c r="E63" s="5" t="s">
        <v>66</v>
      </c>
    </row>
    <row r="64" spans="4:5" x14ac:dyDescent="0.4">
      <c r="D64" s="4">
        <v>62</v>
      </c>
      <c r="E64" s="5" t="s">
        <v>67</v>
      </c>
    </row>
    <row r="65" spans="4:5" x14ac:dyDescent="0.4">
      <c r="D65" s="4">
        <v>63</v>
      </c>
      <c r="E65" s="5" t="s">
        <v>68</v>
      </c>
    </row>
    <row r="66" spans="4:5" x14ac:dyDescent="0.4">
      <c r="D66" s="4">
        <v>64</v>
      </c>
      <c r="E66" s="5" t="s">
        <v>69</v>
      </c>
    </row>
    <row r="67" spans="4:5" x14ac:dyDescent="0.4">
      <c r="D67" s="4">
        <v>65</v>
      </c>
      <c r="E67" s="5" t="s">
        <v>70</v>
      </c>
    </row>
    <row r="68" spans="4:5" x14ac:dyDescent="0.4">
      <c r="D68" s="4">
        <v>66</v>
      </c>
      <c r="E68" s="5" t="s">
        <v>71</v>
      </c>
    </row>
    <row r="69" spans="4:5" ht="24.9" x14ac:dyDescent="0.4">
      <c r="D69" s="6">
        <v>67</v>
      </c>
      <c r="E69" s="7" t="s">
        <v>72</v>
      </c>
    </row>
    <row r="70" spans="4:5" x14ac:dyDescent="0.4">
      <c r="D70" s="6">
        <v>68</v>
      </c>
      <c r="E70" s="7" t="s">
        <v>73</v>
      </c>
    </row>
    <row r="71" spans="4:5" x14ac:dyDescent="0.4">
      <c r="D71" s="6">
        <v>69</v>
      </c>
      <c r="E71" s="7" t="s">
        <v>74</v>
      </c>
    </row>
    <row r="72" spans="4:5" x14ac:dyDescent="0.4">
      <c r="D72" s="6">
        <v>70</v>
      </c>
      <c r="E72" s="7" t="s">
        <v>75</v>
      </c>
    </row>
    <row r="73" spans="4:5" ht="24.9" x14ac:dyDescent="0.4">
      <c r="D73" s="6">
        <v>71</v>
      </c>
      <c r="E73" s="7" t="s">
        <v>76</v>
      </c>
    </row>
    <row r="74" spans="4:5" ht="24.9" x14ac:dyDescent="0.4">
      <c r="D74" s="6">
        <v>72</v>
      </c>
      <c r="E74" s="7" t="s">
        <v>77</v>
      </c>
    </row>
    <row r="75" spans="4:5" ht="24.9" x14ac:dyDescent="0.4">
      <c r="D75" s="6">
        <v>73</v>
      </c>
      <c r="E75" s="7" t="s">
        <v>78</v>
      </c>
    </row>
    <row r="76" spans="4:5" ht="24.9" x14ac:dyDescent="0.4">
      <c r="D76" s="6">
        <v>74</v>
      </c>
      <c r="E76" s="7" t="s">
        <v>79</v>
      </c>
    </row>
    <row r="77" spans="4:5" ht="24.9" x14ac:dyDescent="0.4">
      <c r="D77" s="6">
        <v>75</v>
      </c>
      <c r="E77" s="7" t="s">
        <v>80</v>
      </c>
    </row>
    <row r="78" spans="4:5" ht="24.9" x14ac:dyDescent="0.4">
      <c r="D78" s="6">
        <v>76</v>
      </c>
      <c r="E78" s="7" t="s">
        <v>81</v>
      </c>
    </row>
    <row r="79" spans="4:5" ht="24.9" x14ac:dyDescent="0.4">
      <c r="D79" s="6">
        <v>77</v>
      </c>
      <c r="E79" s="7" t="s">
        <v>82</v>
      </c>
    </row>
    <row r="80" spans="4:5" ht="24.9" x14ac:dyDescent="0.4">
      <c r="D80" s="6">
        <v>78</v>
      </c>
      <c r="E80" s="7" t="s">
        <v>83</v>
      </c>
    </row>
    <row r="81" spans="4:5" ht="24.9" x14ac:dyDescent="0.4">
      <c r="D81" s="6">
        <v>79</v>
      </c>
      <c r="E81" s="7" t="s">
        <v>84</v>
      </c>
    </row>
    <row r="82" spans="4:5" x14ac:dyDescent="0.4">
      <c r="D82" s="6">
        <v>80</v>
      </c>
      <c r="E82" s="7" t="s">
        <v>85</v>
      </c>
    </row>
    <row r="83" spans="4:5" x14ac:dyDescent="0.4">
      <c r="D83" s="6">
        <v>81</v>
      </c>
      <c r="E83" s="7" t="s">
        <v>86</v>
      </c>
    </row>
    <row r="84" spans="4:5" x14ac:dyDescent="0.4">
      <c r="D84" s="6">
        <v>82</v>
      </c>
      <c r="E84" s="7" t="s">
        <v>87</v>
      </c>
    </row>
    <row r="85" spans="4:5" ht="24.9" x14ac:dyDescent="0.4">
      <c r="D85" s="6">
        <v>83</v>
      </c>
      <c r="E85" s="7" t="s">
        <v>88</v>
      </c>
    </row>
    <row r="86" spans="4:5" x14ac:dyDescent="0.4">
      <c r="D86" s="6">
        <v>84</v>
      </c>
      <c r="E86" s="7" t="s">
        <v>89</v>
      </c>
    </row>
    <row r="87" spans="4:5" x14ac:dyDescent="0.4">
      <c r="D87" s="6">
        <v>85</v>
      </c>
      <c r="E87" s="7" t="s">
        <v>90</v>
      </c>
    </row>
    <row r="88" spans="4:5" x14ac:dyDescent="0.4">
      <c r="D88" s="6">
        <v>86</v>
      </c>
      <c r="E88" s="7" t="s">
        <v>91</v>
      </c>
    </row>
    <row r="89" spans="4:5" ht="24.9" x14ac:dyDescent="0.4">
      <c r="D89" s="6">
        <v>87</v>
      </c>
      <c r="E89" s="7" t="s">
        <v>92</v>
      </c>
    </row>
    <row r="90" spans="4:5" ht="24.9" x14ac:dyDescent="0.4">
      <c r="D90" s="6">
        <v>88</v>
      </c>
      <c r="E90" s="7" t="s">
        <v>93</v>
      </c>
    </row>
    <row r="91" spans="4:5" x14ac:dyDescent="0.4">
      <c r="D91" s="6">
        <v>89</v>
      </c>
      <c r="E91" s="7" t="s">
        <v>94</v>
      </c>
    </row>
    <row r="92" spans="4:5" x14ac:dyDescent="0.4">
      <c r="D92" s="6">
        <v>90</v>
      </c>
      <c r="E92" s="7" t="s">
        <v>95</v>
      </c>
    </row>
    <row r="93" spans="4:5" x14ac:dyDescent="0.4">
      <c r="D93" s="6">
        <v>91</v>
      </c>
      <c r="E93" s="7" t="s">
        <v>96</v>
      </c>
    </row>
    <row r="94" spans="4:5" x14ac:dyDescent="0.4">
      <c r="D94" s="6">
        <v>92</v>
      </c>
      <c r="E94" s="7" t="s">
        <v>97</v>
      </c>
    </row>
    <row r="95" spans="4:5" ht="24.9" x14ac:dyDescent="0.4">
      <c r="D95" s="6">
        <v>93</v>
      </c>
      <c r="E95" s="7" t="s">
        <v>98</v>
      </c>
    </row>
    <row r="96" spans="4:5" x14ac:dyDescent="0.4">
      <c r="D96" s="6">
        <v>94</v>
      </c>
      <c r="E96" s="7" t="s">
        <v>99</v>
      </c>
    </row>
    <row r="97" spans="4:5" x14ac:dyDescent="0.4">
      <c r="D97" s="6">
        <v>95</v>
      </c>
      <c r="E97" s="7" t="s">
        <v>100</v>
      </c>
    </row>
    <row r="98" spans="4:5" x14ac:dyDescent="0.4">
      <c r="D98" s="6">
        <v>96</v>
      </c>
      <c r="E98" s="7" t="s">
        <v>101</v>
      </c>
    </row>
    <row r="99" spans="4:5" ht="24.9" x14ac:dyDescent="0.4">
      <c r="D99" s="6">
        <v>97</v>
      </c>
      <c r="E99" s="7" t="s">
        <v>102</v>
      </c>
    </row>
    <row r="100" spans="4:5" ht="24.9" x14ac:dyDescent="0.4">
      <c r="D100" s="6">
        <v>98</v>
      </c>
      <c r="E100" s="7" t="s">
        <v>103</v>
      </c>
    </row>
    <row r="101" spans="4:5" x14ac:dyDescent="0.4">
      <c r="D101" s="6">
        <v>99</v>
      </c>
      <c r="E101" s="7" t="s">
        <v>104</v>
      </c>
    </row>
    <row r="102" spans="4:5" ht="24.9" x14ac:dyDescent="0.4">
      <c r="D102" s="6">
        <v>100</v>
      </c>
      <c r="E102" s="7" t="s">
        <v>105</v>
      </c>
    </row>
    <row r="103" spans="4:5" x14ac:dyDescent="0.4">
      <c r="D103" s="6">
        <v>101</v>
      </c>
    </row>
    <row r="104" spans="4:5" x14ac:dyDescent="0.4">
      <c r="D104" s="6">
        <v>102</v>
      </c>
    </row>
    <row r="105" spans="4:5" x14ac:dyDescent="0.4">
      <c r="D105" s="6">
        <v>103</v>
      </c>
    </row>
    <row r="106" spans="4:5" x14ac:dyDescent="0.4">
      <c r="D106" s="6">
        <v>104</v>
      </c>
    </row>
    <row r="107" spans="4:5" x14ac:dyDescent="0.4">
      <c r="D107" s="6">
        <v>105</v>
      </c>
    </row>
    <row r="108" spans="4:5" x14ac:dyDescent="0.4">
      <c r="D108" s="6">
        <v>106</v>
      </c>
    </row>
    <row r="109" spans="4:5" x14ac:dyDescent="0.4">
      <c r="D109" s="6">
        <v>107</v>
      </c>
    </row>
    <row r="110" spans="4:5" x14ac:dyDescent="0.4">
      <c r="D110" s="6">
        <v>108</v>
      </c>
    </row>
    <row r="111" spans="4:5" x14ac:dyDescent="0.4">
      <c r="D111" s="6">
        <v>109</v>
      </c>
    </row>
    <row r="112" spans="4:5" x14ac:dyDescent="0.4">
      <c r="D112" s="6">
        <v>110</v>
      </c>
    </row>
    <row r="113" spans="4:4" x14ac:dyDescent="0.4">
      <c r="D113" s="6">
        <v>111</v>
      </c>
    </row>
    <row r="114" spans="4:4" x14ac:dyDescent="0.4">
      <c r="D114" s="6">
        <v>112</v>
      </c>
    </row>
    <row r="115" spans="4:4" x14ac:dyDescent="0.4">
      <c r="D115" s="6">
        <v>113</v>
      </c>
    </row>
    <row r="116" spans="4:4" x14ac:dyDescent="0.4">
      <c r="D116" s="6">
        <v>114</v>
      </c>
    </row>
    <row r="117" spans="4:4" x14ac:dyDescent="0.4">
      <c r="D117" s="6">
        <v>115</v>
      </c>
    </row>
    <row r="118" spans="4:4" x14ac:dyDescent="0.4">
      <c r="D118" s="6">
        <v>116</v>
      </c>
    </row>
    <row r="119" spans="4:4" x14ac:dyDescent="0.4">
      <c r="D119" s="6">
        <v>117</v>
      </c>
    </row>
    <row r="120" spans="4:4" x14ac:dyDescent="0.4">
      <c r="D120" s="6">
        <v>118</v>
      </c>
    </row>
    <row r="121" spans="4:4" x14ac:dyDescent="0.4">
      <c r="D121" s="6">
        <v>119</v>
      </c>
    </row>
    <row r="122" spans="4:4" x14ac:dyDescent="0.4">
      <c r="D122" s="6">
        <v>120</v>
      </c>
    </row>
    <row r="123" spans="4:4" x14ac:dyDescent="0.4">
      <c r="D123" s="6">
        <v>121</v>
      </c>
    </row>
    <row r="124" spans="4:4" x14ac:dyDescent="0.4">
      <c r="D124" s="6">
        <v>122</v>
      </c>
    </row>
    <row r="125" spans="4:4" x14ac:dyDescent="0.4">
      <c r="D125" s="6">
        <v>123</v>
      </c>
    </row>
    <row r="126" spans="4:4" x14ac:dyDescent="0.4">
      <c r="D126" s="6">
        <v>124</v>
      </c>
    </row>
    <row r="127" spans="4:4" x14ac:dyDescent="0.4">
      <c r="D127" s="6">
        <v>125</v>
      </c>
    </row>
    <row r="128" spans="4:4" x14ac:dyDescent="0.4">
      <c r="D128" s="6">
        <v>126</v>
      </c>
    </row>
    <row r="129" spans="4:5" x14ac:dyDescent="0.4">
      <c r="D129" s="6">
        <v>127</v>
      </c>
    </row>
    <row r="130" spans="4:5" x14ac:dyDescent="0.4">
      <c r="D130" s="6">
        <v>128</v>
      </c>
    </row>
    <row r="131" spans="4:5" x14ac:dyDescent="0.4">
      <c r="D131" s="6">
        <v>129</v>
      </c>
    </row>
    <row r="132" spans="4:5" x14ac:dyDescent="0.4">
      <c r="D132" s="6">
        <v>130</v>
      </c>
      <c r="E132" t="s">
        <v>145</v>
      </c>
    </row>
    <row r="133" spans="4:5" x14ac:dyDescent="0.4">
      <c r="D133" s="6">
        <v>131</v>
      </c>
    </row>
    <row r="134" spans="4:5" x14ac:dyDescent="0.4">
      <c r="D134" s="6">
        <v>132</v>
      </c>
    </row>
    <row r="135" spans="4:5" x14ac:dyDescent="0.4">
      <c r="D135" s="6">
        <v>133</v>
      </c>
    </row>
    <row r="136" spans="4:5" x14ac:dyDescent="0.4">
      <c r="D136" s="6">
        <v>134</v>
      </c>
    </row>
    <row r="137" spans="4:5" x14ac:dyDescent="0.4">
      <c r="D137" s="6">
        <v>135</v>
      </c>
    </row>
    <row r="138" spans="4:5" x14ac:dyDescent="0.4">
      <c r="D138" s="6">
        <v>136</v>
      </c>
      <c r="E138" t="s">
        <v>139</v>
      </c>
    </row>
    <row r="139" spans="4:5" x14ac:dyDescent="0.4">
      <c r="D139" s="6">
        <v>137</v>
      </c>
    </row>
    <row r="140" spans="4:5" x14ac:dyDescent="0.4">
      <c r="D140" s="6">
        <v>138</v>
      </c>
    </row>
    <row r="141" spans="4:5" x14ac:dyDescent="0.4">
      <c r="D141" s="6">
        <v>139</v>
      </c>
    </row>
    <row r="142" spans="4:5" x14ac:dyDescent="0.4">
      <c r="D142" s="6">
        <v>140</v>
      </c>
    </row>
    <row r="143" spans="4:5" x14ac:dyDescent="0.4">
      <c r="D143" s="6">
        <v>141</v>
      </c>
    </row>
    <row r="144" spans="4:5" x14ac:dyDescent="0.4">
      <c r="D144" s="6">
        <v>142</v>
      </c>
    </row>
    <row r="145" spans="4:4" x14ac:dyDescent="0.4">
      <c r="D145" s="6">
        <v>143</v>
      </c>
    </row>
    <row r="146" spans="4:4" x14ac:dyDescent="0.4">
      <c r="D146" s="6">
        <v>144</v>
      </c>
    </row>
    <row r="147" spans="4:4" x14ac:dyDescent="0.4">
      <c r="D147" s="6">
        <v>145</v>
      </c>
    </row>
    <row r="148" spans="4:4" x14ac:dyDescent="0.4">
      <c r="D148" s="6">
        <v>146</v>
      </c>
    </row>
    <row r="149" spans="4:4" x14ac:dyDescent="0.4">
      <c r="D149" s="6">
        <v>147</v>
      </c>
    </row>
    <row r="150" spans="4:4" x14ac:dyDescent="0.4">
      <c r="D150" s="6">
        <v>148</v>
      </c>
    </row>
    <row r="151" spans="4:4" x14ac:dyDescent="0.4">
      <c r="D151" s="6">
        <v>149</v>
      </c>
    </row>
    <row r="152" spans="4:4" x14ac:dyDescent="0.4">
      <c r="D152" s="6">
        <v>150</v>
      </c>
    </row>
    <row r="153" spans="4:4" x14ac:dyDescent="0.4">
      <c r="D153" s="6">
        <v>151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dimension ref="C8:I27"/>
  <sheetViews>
    <sheetView workbookViewId="0"/>
  </sheetViews>
  <sheetFormatPr defaultRowHeight="14.6" x14ac:dyDescent="0.4"/>
  <cols>
    <col min="3" max="3" width="15.69140625" customWidth="1"/>
    <col min="4" max="4" width="22.3046875" customWidth="1"/>
  </cols>
  <sheetData>
    <row r="8" spans="3:4" x14ac:dyDescent="0.4">
      <c r="C8" s="121" t="s">
        <v>593</v>
      </c>
      <c r="D8" s="66" t="s">
        <v>426</v>
      </c>
    </row>
    <row r="9" spans="3:4" x14ac:dyDescent="0.4">
      <c r="C9" s="121"/>
      <c r="D9" s="66"/>
    </row>
    <row r="10" spans="3:4" x14ac:dyDescent="0.4">
      <c r="C10" s="121" t="s">
        <v>593</v>
      </c>
      <c r="D10" s="66" t="s">
        <v>413</v>
      </c>
    </row>
    <row r="11" spans="3:4" x14ac:dyDescent="0.4">
      <c r="C11" s="121" t="s">
        <v>593</v>
      </c>
      <c r="D11" s="121" t="s">
        <v>594</v>
      </c>
    </row>
    <row r="12" spans="3:4" x14ac:dyDescent="0.4">
      <c r="C12" s="121"/>
      <c r="D12" s="121"/>
    </row>
    <row r="13" spans="3:4" x14ac:dyDescent="0.4">
      <c r="C13" s="121" t="s">
        <v>593</v>
      </c>
      <c r="D13" s="121" t="s">
        <v>603</v>
      </c>
    </row>
    <row r="14" spans="3:4" x14ac:dyDescent="0.4">
      <c r="C14" s="121" t="s">
        <v>593</v>
      </c>
      <c r="D14" s="121" t="s">
        <v>602</v>
      </c>
    </row>
    <row r="15" spans="3:4" x14ac:dyDescent="0.4">
      <c r="C15" s="121" t="s">
        <v>447</v>
      </c>
      <c r="D15" s="121" t="s">
        <v>601</v>
      </c>
    </row>
    <row r="16" spans="3:4" x14ac:dyDescent="0.4">
      <c r="C16" s="121"/>
      <c r="D16" s="121"/>
    </row>
    <row r="17" spans="3:9" x14ac:dyDescent="0.4">
      <c r="C17" s="121"/>
      <c r="D17" s="121"/>
    </row>
    <row r="18" spans="3:9" x14ac:dyDescent="0.4">
      <c r="C18" s="121"/>
      <c r="D18" s="121"/>
    </row>
    <row r="19" spans="3:9" x14ac:dyDescent="0.4">
      <c r="C19" s="121" t="s">
        <v>593</v>
      </c>
      <c r="D19" s="121" t="s">
        <v>599</v>
      </c>
    </row>
    <row r="20" spans="3:9" x14ac:dyDescent="0.4">
      <c r="C20" s="121"/>
      <c r="D20" s="121"/>
    </row>
    <row r="21" spans="3:9" x14ac:dyDescent="0.4">
      <c r="C21" s="121"/>
      <c r="D21" s="121"/>
    </row>
    <row r="22" spans="3:9" x14ac:dyDescent="0.4">
      <c r="C22" s="121"/>
      <c r="D22" s="121"/>
    </row>
    <row r="23" spans="3:9" x14ac:dyDescent="0.4">
      <c r="C23" s="121">
        <v>0</v>
      </c>
      <c r="D23" s="121"/>
    </row>
    <row r="24" spans="3:9" x14ac:dyDescent="0.4">
      <c r="C24" s="121"/>
      <c r="D24" s="121"/>
    </row>
    <row r="25" spans="3:9" x14ac:dyDescent="0.4">
      <c r="C25" s="121"/>
      <c r="D25" s="121"/>
      <c r="I25" s="66" t="s">
        <v>595</v>
      </c>
    </row>
    <row r="26" spans="3:9" x14ac:dyDescent="0.4">
      <c r="C26" s="121"/>
      <c r="D26" s="121"/>
      <c r="I26" s="66" t="s">
        <v>596</v>
      </c>
    </row>
    <row r="27" spans="3:9" x14ac:dyDescent="0.4">
      <c r="C27" s="121"/>
      <c r="D27" s="121"/>
      <c r="I27" s="66" t="s">
        <v>597</v>
      </c>
    </row>
  </sheetData>
  <conditionalFormatting sqref="D8">
    <cfRule type="expression" dxfId="184" priority="7">
      <formula>RIGHT(D8,2)="  "</formula>
    </cfRule>
    <cfRule type="expression" dxfId="183" priority="8">
      <formula>RIGHT(D8,1)=" "</formula>
    </cfRule>
  </conditionalFormatting>
  <conditionalFormatting sqref="D9">
    <cfRule type="expression" dxfId="182" priority="5">
      <formula>RIGHT(D9,2)="  "</formula>
    </cfRule>
    <cfRule type="expression" dxfId="181" priority="6">
      <formula>RIGHT(D9,1)=" "</formula>
    </cfRule>
  </conditionalFormatting>
  <conditionalFormatting sqref="D10">
    <cfRule type="expression" dxfId="180" priority="3">
      <formula>RIGHT(D10,2)="  "</formula>
    </cfRule>
    <cfRule type="expression" dxfId="179" priority="4">
      <formula>RIGHT(D10,1)=" "</formula>
    </cfRule>
  </conditionalFormatting>
  <conditionalFormatting sqref="I25:I27">
    <cfRule type="expression" dxfId="178" priority="1">
      <formula>RIGHT(I25,2)="  "</formula>
    </cfRule>
    <cfRule type="expression" dxfId="177" priority="2">
      <formula>RIGHT(I25,1)=" "</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8D512B-5521-46FD-B4BC-77D1505E7AB9}">
  <dimension ref="A1:AM24"/>
  <sheetViews>
    <sheetView workbookViewId="0">
      <selection activeCell="Q1" sqref="Q1:AM1048576"/>
    </sheetView>
  </sheetViews>
  <sheetFormatPr defaultRowHeight="14.6" x14ac:dyDescent="0.4"/>
  <cols>
    <col min="1" max="1" width="7.61328125" style="422" bestFit="1" customWidth="1"/>
    <col min="2" max="2" width="7.3046875" style="114" bestFit="1" customWidth="1"/>
    <col min="3" max="3" width="13.61328125" style="423" bestFit="1" customWidth="1"/>
    <col min="4" max="4" width="6.23046875" style="114" bestFit="1" customWidth="1"/>
    <col min="5" max="5" width="4.07421875" style="114" bestFit="1" customWidth="1"/>
    <col min="6" max="6" width="8.765625" style="114" bestFit="1" customWidth="1"/>
    <col min="7" max="7" width="8.921875" style="114" bestFit="1" customWidth="1"/>
    <col min="8" max="8" width="9.69140625" style="114" bestFit="1" customWidth="1"/>
    <col min="9" max="9" width="18.765625" style="114" customWidth="1"/>
    <col min="10" max="10" width="5.15234375" style="114" bestFit="1" customWidth="1"/>
    <col min="11" max="11" width="8.23046875" style="114" bestFit="1" customWidth="1"/>
    <col min="12" max="12" width="6.765625" style="114" bestFit="1" customWidth="1"/>
    <col min="13" max="13" width="6.69140625" style="114" bestFit="1" customWidth="1"/>
    <col min="14" max="14" width="10.3046875" style="114" bestFit="1" customWidth="1"/>
    <col min="15" max="15" width="10.3046875" style="114" customWidth="1"/>
    <col min="16" max="16" width="12.3828125" style="114" customWidth="1"/>
    <col min="17" max="17" width="9.23046875" style="114" hidden="1" customWidth="1"/>
    <col min="18" max="18" width="17.15234375" style="286" hidden="1" customWidth="1"/>
    <col min="19" max="19" width="4.07421875" style="286" hidden="1" customWidth="1"/>
    <col min="20" max="20" width="5.15234375" style="286" hidden="1" customWidth="1"/>
    <col min="21" max="21" width="10.53515625" style="286" hidden="1" customWidth="1"/>
    <col min="22" max="23" width="7.3046875" style="286" hidden="1" customWidth="1"/>
    <col min="24" max="24" width="12.69140625" style="286" hidden="1" customWidth="1"/>
    <col min="25" max="25" width="16" style="114" hidden="1" customWidth="1"/>
    <col min="26" max="26" width="25.07421875" style="114" hidden="1" customWidth="1"/>
    <col min="27" max="28" width="63.3828125" style="114" hidden="1" customWidth="1"/>
    <col min="29" max="29" width="63.3828125" style="424" hidden="1" customWidth="1"/>
    <col min="30" max="39" width="9.23046875" style="114" hidden="1" customWidth="1"/>
    <col min="40" max="53" width="9.23046875" style="114" customWidth="1"/>
    <col min="54" max="16384" width="9.23046875" style="114"/>
  </cols>
  <sheetData>
    <row r="1" spans="1:30" s="299" customFormat="1" ht="29.15" x14ac:dyDescent="0.4">
      <c r="A1" s="416" t="s">
        <v>931</v>
      </c>
      <c r="B1" s="416" t="s">
        <v>932</v>
      </c>
      <c r="C1" s="417" t="s">
        <v>933</v>
      </c>
      <c r="D1" s="416" t="s">
        <v>934</v>
      </c>
      <c r="E1" s="416" t="s">
        <v>844</v>
      </c>
      <c r="F1" s="416" t="s">
        <v>935</v>
      </c>
      <c r="G1" s="416" t="s">
        <v>936</v>
      </c>
      <c r="H1" s="416" t="s">
        <v>937</v>
      </c>
      <c r="I1" s="418" t="s">
        <v>938</v>
      </c>
      <c r="J1" s="416" t="s">
        <v>939</v>
      </c>
      <c r="K1" s="416" t="s">
        <v>940</v>
      </c>
      <c r="L1" s="416" t="s">
        <v>941</v>
      </c>
      <c r="M1" s="416" t="s">
        <v>942</v>
      </c>
      <c r="N1" s="416" t="s">
        <v>943</v>
      </c>
      <c r="O1" s="418" t="s">
        <v>944</v>
      </c>
      <c r="P1" s="416" t="s">
        <v>930</v>
      </c>
      <c r="R1" s="419" t="s">
        <v>938</v>
      </c>
      <c r="S1" s="419" t="s">
        <v>844</v>
      </c>
      <c r="T1" s="420" t="str">
        <f>J1</f>
        <v>Form</v>
      </c>
      <c r="U1" s="420" t="str">
        <f>K1</f>
        <v>IP Rating</v>
      </c>
      <c r="V1" s="420" t="str">
        <f>L1</f>
        <v>Colour</v>
      </c>
      <c r="W1" s="420" t="s">
        <v>945</v>
      </c>
      <c r="X1" s="420" t="str">
        <f>N1</f>
        <v>Poles / Dim</v>
      </c>
      <c r="Y1" s="420" t="str">
        <f>O1</f>
        <v>Non-Auto/
MCCB</v>
      </c>
      <c r="AC1" s="421" t="s">
        <v>946</v>
      </c>
    </row>
    <row r="2" spans="1:30" x14ac:dyDescent="0.4">
      <c r="A2" s="422" t="str">
        <f>IF(NOT(I2="N/A"),IF(COUNTBLANK(J2:N2)=0,"VALID","INVALID"),"INVALID")</f>
        <v>INVALID</v>
      </c>
      <c r="B2" s="114" t="str">
        <f>_xlfn.CONCAT("MSSB ", (ROW()-1))</f>
        <v>MSSB 1</v>
      </c>
      <c r="C2" s="423">
        <f>IFERROR(E2*G2,0)</f>
        <v>0</v>
      </c>
      <c r="D2" s="114">
        <f>IFERROR(IF(ISBLANK(F2),H2*E2,F2*E2),0)</f>
        <v>0</v>
      </c>
      <c r="G2" s="114" t="e">
        <f>VLOOKUP(I2,'Part List'!A:G,3,FALSE) + IF(W2="MS3100", VLOOKUP(W2,'Part List'!A:G,3,FALSE), 0)</f>
        <v>#N/A</v>
      </c>
      <c r="H2" s="114" t="e">
        <f>VLOOKUP(I2,'Part List'!A:G,5,FALSE) + IF(W2="MS3100", VLOOKUP(W2,'Part List'!A:G,5,FALSE), 0)</f>
        <v>#N/A</v>
      </c>
      <c r="I2" s="114">
        <f>IF(COUNTIF(_MSSB!$E$2:$E$6,'@MSSB'!N2) = 1,INDEX(_MSSB!J:J,MATCH(1,INDEX(('@MSSB'!L2=_MSSB!H:H)*('@MSSB'!N2=_MSSB!I:I),0,1),0)),INDEX(_MSSB!M:M,MATCH(1,INDEX((K2=_MSSB!L:L)*(L2=_MSSB!H:H)*(M2=_MSSB!I:I)*(N2=_MSSB!J:J)*(O2=_MSSB!K:K),0,1),0)))</f>
        <v>0</v>
      </c>
      <c r="P2" s="114" t="str">
        <f>IFERROR((VLOOKUP(I2,_MSSB!J:K,2,FALSE)),"")</f>
        <v/>
      </c>
      <c r="Q2" s="114" t="str">
        <f>IF(A2="VALID",_xlfn.CONCAT("
",AA2:AB2),"")</f>
        <v/>
      </c>
      <c r="R2" s="286">
        <f>I2</f>
        <v>0</v>
      </c>
      <c r="S2" s="286">
        <f>E2</f>
        <v>0</v>
      </c>
      <c r="T2" s="286">
        <f>IF(COUNTIF(_MSSB!$E$2:$E$6,'@MSSB'!N2) = 1,1,J2)</f>
        <v>0</v>
      </c>
      <c r="U2" s="286">
        <f>IF(COUNTIF(_MSSB!$E$2:$E$6,'@MSSB'!N2) = 1,"IP65",K2)</f>
        <v>0</v>
      </c>
      <c r="V2" s="286">
        <f>L2</f>
        <v>0</v>
      </c>
      <c r="W2" s="286">
        <f>IF(COUNTIF(_MSSB!$E$2:$E$6,'@MSSB'!N2) = 1,"MS3100",M2)</f>
        <v>0</v>
      </c>
      <c r="X2" s="286">
        <f>N2</f>
        <v>0</v>
      </c>
      <c r="Y2" s="286">
        <f>IF(COUNTIF(_MSSB!$E$2:$E$6,'@MSSB'!N2) = 1,"N/A",O2)</f>
        <v>0</v>
      </c>
      <c r="Z2" s="114" t="str">
        <f>IF(COUNTIF(_MSSB!$E$2:$E$6,'@MSSB'!N2) = 1,_xlfn.CONCAT(X2, "mm Enclosure"),_xlfn.CONCAT(X2, " Pole MSSB"))</f>
        <v>0 Pole MSSB</v>
      </c>
      <c r="AA2" s="114" t="str">
        <f>_xlfn.CONCAT(AD2," - Electrical services for ",S2, " (", VLOOKUP(S2,[1]Backend!C:D,2,FALSE), ") ",Z2," (Form ",T2, "-", U2, " Rated)
")</f>
        <v xml:space="preserve">0 - Electrical services for 0 (Zero) 0 Pole MSSB (Form 0-0 Rated)
</v>
      </c>
      <c r="AB2" s="114" t="str">
        <f t="shared" ref="AB2:AB22" si="0">_xlfn.CONCAT(REPT(" ", 8),AD2,".1 - This includes supply and install of Main switch (",IF(W2="MS3100","100 Amp",_xlfn.CONCAT(W2," Amp")),_xlfn.CONCAT("), contactors, circuit breakers, busbar, wiring, Traffolyte labelling miscellaneous items, testing, escutcheon plate (to retain IP rating for mounting"," of lights and switches), and powder coated enclosure.
",REPT(" ", 8),AD2,".2 - Please note: MSSB includes other components listed under each system type."))</f>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 s="424" t="str">
        <f t="shared" ref="AC2:AC22" si="1">IF(AD2=AD1,"",_xlfn.CONCAT(AA2,AB2,"
"))</f>
        <v/>
      </c>
      <c r="AD2" s="114">
        <f xml:space="preserve"> IF(T2&gt;0,AD1+1,AD1)</f>
        <v>0</v>
      </c>
    </row>
    <row r="3" spans="1:30" x14ac:dyDescent="0.4">
      <c r="A3" s="422" t="str">
        <f t="shared" ref="A3:A22" si="2">IF(NOT(I3="N/A"),IF(COUNTBLANK(J3:N3)=0,"VALID","INVALID"),"INVALID")</f>
        <v>INVALID</v>
      </c>
      <c r="B3" s="114" t="str">
        <f t="shared" ref="B3:B22" si="3">_xlfn.CONCAT("MSSB ", (ROW()-1))</f>
        <v>MSSB 2</v>
      </c>
      <c r="C3" s="423">
        <f t="shared" ref="C3:C22" si="4">IFERROR(E3*G3,0)</f>
        <v>0</v>
      </c>
      <c r="D3" s="114">
        <f t="shared" ref="D3:D22" si="5">IFERROR(IF(ISBLANK(F3),H3*E3,F3*E3),0)</f>
        <v>0</v>
      </c>
      <c r="G3" s="114" t="e">
        <f>VLOOKUP(I3,'Part List'!A:G,3,FALSE) + IF(W3="MS3100", VLOOKUP(W3,'Part List'!A:G,3,FALSE), 0)</f>
        <v>#N/A</v>
      </c>
      <c r="H3" s="114" t="e">
        <f>VLOOKUP(I3,'Part List'!A:G,5,FALSE) + IF(W3="MS3100", VLOOKUP(W3,'Part List'!A:G,5,FALSE), 0)</f>
        <v>#N/A</v>
      </c>
      <c r="I3" s="114">
        <f>IF(COUNTIF(_MSSB!$E$2:$E$6,'@MSSB'!N3) = 1,INDEX(_MSSB!J:J,MATCH(1,INDEX(('@MSSB'!L3=_MSSB!H:H)*('@MSSB'!N3=_MSSB!I:I),0,1),0)),INDEX(_MSSB!M:M,MATCH(1,INDEX((K3=_MSSB!L:L)*(L3=_MSSB!H:H)*(M3=_MSSB!I:I)*(N3=_MSSB!J:J)*(O3=_MSSB!K:K),0,1),0)))</f>
        <v>0</v>
      </c>
      <c r="P3" s="114" t="str">
        <f>IFERROR((VLOOKUP(I3,_MSSB!J:K,2,FALSE)),"")</f>
        <v/>
      </c>
      <c r="Q3" s="114" t="str">
        <f t="shared" ref="Q3:Q23" si="6">IF(A3="VALID",_xlfn.CONCAT(AA3:AB3),"")</f>
        <v/>
      </c>
      <c r="R3" s="286">
        <f t="shared" ref="R3:R22" si="7">I3</f>
        <v>0</v>
      </c>
      <c r="S3" s="286">
        <f t="shared" ref="S3:S22" si="8">E3</f>
        <v>0</v>
      </c>
      <c r="T3" s="286">
        <f>IF(COUNTIF(_MSSB!$E$2:$E$6,'@MSSB'!N3) = 1,1,J3)</f>
        <v>0</v>
      </c>
      <c r="U3" s="286">
        <f>IF(COUNTIF(_MSSB!$E$2:$E$6,'@MSSB'!N3) = 1,"IP65",K3)</f>
        <v>0</v>
      </c>
      <c r="V3" s="286">
        <f t="shared" ref="V3:V22" si="9">L3</f>
        <v>0</v>
      </c>
      <c r="W3" s="286">
        <f>IF(COUNTIF(_MSSB!$E$2:$E$6,'@MSSB'!N3) = 1,"MS3100",M3)</f>
        <v>0</v>
      </c>
      <c r="X3" s="286">
        <f t="shared" ref="X3:X22" si="10">N3</f>
        <v>0</v>
      </c>
      <c r="Y3" s="286">
        <f>IF(COUNTIF(_MSSB!$E$2:$E$6,'@MSSB'!N3) = 1,"N/A",O3)</f>
        <v>0</v>
      </c>
      <c r="Z3" s="114" t="str">
        <f>IF(COUNTIF(_MSSB!$E$2:$E$6,'@MSSB'!N3) = 1,_xlfn.CONCAT(X3, "mm Enclosure"),_xlfn.CONCAT(X3, " Pole MSSB"))</f>
        <v>0 Pole MSSB</v>
      </c>
      <c r="AA3" s="114" t="str">
        <f>_xlfn.CONCAT(AD3," - Electrical services for ",S3, " (", VLOOKUP(S3,[1]Backend!C:D,2,FALSE), ") ",Z3," (Form ",T3, "-", U3, " Rated)
")</f>
        <v xml:space="preserve">0 - Electrical services for 0 (Zero) 0 Pole MSSB (Form 0-0 Rated)
</v>
      </c>
      <c r="AB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3" s="424" t="str">
        <f t="shared" si="1"/>
        <v/>
      </c>
      <c r="AD3" s="114">
        <f xml:space="preserve"> IF(T3&gt;0,AD2+1,AD2)</f>
        <v>0</v>
      </c>
    </row>
    <row r="4" spans="1:30" x14ac:dyDescent="0.4">
      <c r="A4" s="422" t="str">
        <f t="shared" si="2"/>
        <v>INVALID</v>
      </c>
      <c r="B4" s="114" t="str">
        <f t="shared" si="3"/>
        <v>MSSB 3</v>
      </c>
      <c r="C4" s="423">
        <f t="shared" si="4"/>
        <v>0</v>
      </c>
      <c r="D4" s="114">
        <f t="shared" si="5"/>
        <v>0</v>
      </c>
      <c r="G4" s="114" t="e">
        <f>VLOOKUP(I4,'Part List'!A:G,3,FALSE) + IF(W4="MS3100", VLOOKUP(W4,'Part List'!A:G,3,FALSE), 0)</f>
        <v>#N/A</v>
      </c>
      <c r="H4" s="114" t="e">
        <f>VLOOKUP(I4,'Part List'!A:G,5,FALSE) + IF(W4="MS3100", VLOOKUP(W4,'Part List'!A:G,5,FALSE), 0)</f>
        <v>#N/A</v>
      </c>
      <c r="I4" s="114">
        <f>IF(COUNTIF(_MSSB!$E$2:$E$6,'@MSSB'!N4) = 1,INDEX(_MSSB!J:J,MATCH(1,INDEX(('@MSSB'!L4=_MSSB!H:H)*('@MSSB'!N4=_MSSB!I:I),0,1),0)),INDEX(_MSSB!M:M,MATCH(1,INDEX((K4=_MSSB!L:L)*(L4=_MSSB!H:H)*(M4=_MSSB!I:I)*(N4=_MSSB!J:J)*(O4=_MSSB!K:K),0,1),0)))</f>
        <v>0</v>
      </c>
      <c r="P4" s="114" t="str">
        <f>IFERROR((VLOOKUP(I4,_MSSB!J:K,2,FALSE)),"")</f>
        <v/>
      </c>
      <c r="Q4" s="114" t="str">
        <f t="shared" si="6"/>
        <v/>
      </c>
      <c r="R4" s="286">
        <f t="shared" si="7"/>
        <v>0</v>
      </c>
      <c r="S4" s="286">
        <f t="shared" si="8"/>
        <v>0</v>
      </c>
      <c r="T4" s="286">
        <f>IF(COUNTIF(_MSSB!$E$2:$E$6,'@MSSB'!N4) = 1,1,J4)</f>
        <v>0</v>
      </c>
      <c r="U4" s="286">
        <f>IF(COUNTIF(_MSSB!$E$2:$E$6,'@MSSB'!N4) = 1,"IP65",K4)</f>
        <v>0</v>
      </c>
      <c r="V4" s="286">
        <f t="shared" si="9"/>
        <v>0</v>
      </c>
      <c r="W4" s="286">
        <f>IF(COUNTIF(_MSSB!$E$2:$E$6,'@MSSB'!N4) = 1,"MS3100",M4)</f>
        <v>0</v>
      </c>
      <c r="X4" s="286">
        <f t="shared" si="10"/>
        <v>0</v>
      </c>
      <c r="Y4" s="286">
        <f>IF(COUNTIF(_MSSB!$E$2:$E$6,'@MSSB'!N4) = 1,"N/A",O4)</f>
        <v>0</v>
      </c>
      <c r="Z4" s="114" t="str">
        <f>IF(COUNTIF(_MSSB!$E$2:$E$6,'@MSSB'!N4) = 1,_xlfn.CONCAT(X4, "mm Enclosure"),_xlfn.CONCAT(X4, " Pole MSSB"))</f>
        <v>0 Pole MSSB</v>
      </c>
      <c r="AA4" s="114" t="str">
        <f>_xlfn.CONCAT(AD4," - Electrical services for ",S4, " (", VLOOKUP(S4,[1]Backend!C:D,2,FALSE), ") ",Z4," (Form ",T4, "-", U4, " Rated)
")</f>
        <v xml:space="preserve">0 - Electrical services for 0 (Zero) 0 Pole MSSB (Form 0-0 Rated)
</v>
      </c>
      <c r="AB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4" s="424" t="str">
        <f t="shared" si="1"/>
        <v/>
      </c>
      <c r="AD4" s="114">
        <f t="shared" ref="AD4:AD22" si="11" xml:space="preserve"> IF(T4&gt;0,AD3+1,AD3)</f>
        <v>0</v>
      </c>
    </row>
    <row r="5" spans="1:30" x14ac:dyDescent="0.4">
      <c r="A5" s="422" t="str">
        <f t="shared" si="2"/>
        <v>INVALID</v>
      </c>
      <c r="B5" s="114" t="str">
        <f t="shared" si="3"/>
        <v>MSSB 4</v>
      </c>
      <c r="C5" s="423">
        <f t="shared" si="4"/>
        <v>0</v>
      </c>
      <c r="D5" s="114">
        <f t="shared" si="5"/>
        <v>0</v>
      </c>
      <c r="G5" s="114" t="e">
        <f>VLOOKUP(I5,'Part List'!A:G,3,FALSE) + IF(W5="MS3100", VLOOKUP(W5,'Part List'!A:G,3,FALSE), 0)</f>
        <v>#N/A</v>
      </c>
      <c r="H5" s="114" t="e">
        <f>VLOOKUP(I5,'Part List'!A:G,5,FALSE) + IF(W5="MS3100", VLOOKUP(W5,'Part List'!A:G,5,FALSE), 0)</f>
        <v>#N/A</v>
      </c>
      <c r="I5" s="114">
        <f>IF(COUNTIF(_MSSB!$E$2:$E$6,'@MSSB'!N5) = 1,INDEX(_MSSB!J:J,MATCH(1,INDEX(('@MSSB'!L5=_MSSB!H:H)*('@MSSB'!N5=_MSSB!I:I),0,1),0)),INDEX(_MSSB!M:M,MATCH(1,INDEX((K5=_MSSB!L:L)*(L5=_MSSB!H:H)*(M5=_MSSB!I:I)*(N5=_MSSB!J:J)*(O5=_MSSB!K:K),0,1),0)))</f>
        <v>0</v>
      </c>
      <c r="P5" s="114" t="str">
        <f>IFERROR((VLOOKUP(I5,_MSSB!J:K,2,FALSE)),"")</f>
        <v/>
      </c>
      <c r="Q5" s="114" t="str">
        <f t="shared" si="6"/>
        <v/>
      </c>
      <c r="R5" s="286">
        <f t="shared" si="7"/>
        <v>0</v>
      </c>
      <c r="S5" s="286">
        <f t="shared" si="8"/>
        <v>0</v>
      </c>
      <c r="T5" s="286">
        <f>IF(COUNTIF(_MSSB!$E$2:$E$6,'@MSSB'!N5) = 1,1,J5)</f>
        <v>0</v>
      </c>
      <c r="U5" s="286">
        <f>IF(COUNTIF(_MSSB!$E$2:$E$6,'@MSSB'!N5) = 1,"IP65",K5)</f>
        <v>0</v>
      </c>
      <c r="V5" s="286">
        <f t="shared" si="9"/>
        <v>0</v>
      </c>
      <c r="W5" s="286">
        <f>IF(COUNTIF(_MSSB!$E$2:$E$6,'@MSSB'!N5) = 1,"MS3100",M5)</f>
        <v>0</v>
      </c>
      <c r="X5" s="286">
        <f t="shared" si="10"/>
        <v>0</v>
      </c>
      <c r="Y5" s="286">
        <f>IF(COUNTIF(_MSSB!$E$2:$E$6,'@MSSB'!N5) = 1,"N/A",O5)</f>
        <v>0</v>
      </c>
      <c r="Z5" s="114" t="str">
        <f>IF(COUNTIF(_MSSB!$E$2:$E$6,'@MSSB'!N5) = 1,_xlfn.CONCAT(X5, "mm Enclosure"),_xlfn.CONCAT(X5, " Pole MSSB"))</f>
        <v>0 Pole MSSB</v>
      </c>
      <c r="AA5" s="114" t="str">
        <f>_xlfn.CONCAT(AD5," - Electrical services for ",S5, " (", VLOOKUP(S5,[1]Backend!C:D,2,FALSE), ") ",Z5," (Form ",T5, "-", U5, " Rated)
")</f>
        <v xml:space="preserve">0 - Electrical services for 0 (Zero) 0 Pole MSSB (Form 0-0 Rated)
</v>
      </c>
      <c r="AB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5" s="424" t="str">
        <f t="shared" si="1"/>
        <v/>
      </c>
      <c r="AD5" s="114">
        <f t="shared" si="11"/>
        <v>0</v>
      </c>
    </row>
    <row r="6" spans="1:30" x14ac:dyDescent="0.4">
      <c r="A6" s="422" t="str">
        <f t="shared" si="2"/>
        <v>INVALID</v>
      </c>
      <c r="B6" s="114" t="str">
        <f t="shared" si="3"/>
        <v>MSSB 5</v>
      </c>
      <c r="C6" s="423">
        <f t="shared" si="4"/>
        <v>0</v>
      </c>
      <c r="D6" s="114">
        <f t="shared" si="5"/>
        <v>0</v>
      </c>
      <c r="G6" s="114" t="e">
        <f>VLOOKUP(I6,'Part List'!A:G,3,FALSE) + IF(W6="MS3100", VLOOKUP(W6,'Part List'!A:G,3,FALSE), 0)</f>
        <v>#N/A</v>
      </c>
      <c r="H6" s="114" t="e">
        <f>VLOOKUP(I6,'Part List'!A:G,5,FALSE) + IF(W6="MS3100", VLOOKUP(W6,'Part List'!A:G,5,FALSE), 0)</f>
        <v>#N/A</v>
      </c>
      <c r="I6" s="114">
        <f>IF(COUNTIF(_MSSB!$E$2:$E$6,'@MSSB'!N6) = 1,INDEX(_MSSB!J:J,MATCH(1,INDEX(('@MSSB'!L6=_MSSB!H:H)*('@MSSB'!N6=_MSSB!I:I),0,1),0)),INDEX(_MSSB!M:M,MATCH(1,INDEX((K6=_MSSB!L:L)*(L6=_MSSB!H:H)*(M6=_MSSB!I:I)*(N6=_MSSB!J:J)*(O6=_MSSB!K:K),0,1),0)))</f>
        <v>0</v>
      </c>
      <c r="P6" s="114" t="str">
        <f>IFERROR((VLOOKUP(I6,_MSSB!J:K,2,FALSE)),"")</f>
        <v/>
      </c>
      <c r="Q6" s="114" t="str">
        <f t="shared" si="6"/>
        <v/>
      </c>
      <c r="R6" s="286">
        <f t="shared" si="7"/>
        <v>0</v>
      </c>
      <c r="S6" s="286">
        <f t="shared" si="8"/>
        <v>0</v>
      </c>
      <c r="T6" s="286">
        <f>IF(COUNTIF(_MSSB!$E$2:$E$6,'@MSSB'!N6) = 1,1,J6)</f>
        <v>0</v>
      </c>
      <c r="U6" s="286">
        <f>IF(COUNTIF(_MSSB!$E$2:$E$6,'@MSSB'!N6) = 1,"IP65",K6)</f>
        <v>0</v>
      </c>
      <c r="V6" s="286">
        <f t="shared" si="9"/>
        <v>0</v>
      </c>
      <c r="W6" s="286">
        <f>IF(COUNTIF(_MSSB!$E$2:$E$6,'@MSSB'!N6) = 1,"MS3100",M6)</f>
        <v>0</v>
      </c>
      <c r="X6" s="286">
        <f t="shared" si="10"/>
        <v>0</v>
      </c>
      <c r="Y6" s="286">
        <f>IF(COUNTIF(_MSSB!$E$2:$E$6,'@MSSB'!N6) = 1,"N/A",O6)</f>
        <v>0</v>
      </c>
      <c r="Z6" s="114" t="str">
        <f>IF(COUNTIF(_MSSB!$E$2:$E$6,'@MSSB'!N6) = 1,_xlfn.CONCAT(X6, "mm Enclosure"),_xlfn.CONCAT(X6, " Pole MSSB"))</f>
        <v>0 Pole MSSB</v>
      </c>
      <c r="AA6" s="114" t="str">
        <f>_xlfn.CONCAT(AD6," - Electrical services for ",S6, " (", VLOOKUP(S6,[1]Backend!C:D,2,FALSE), ") ",Z6," (Form ",T6, "-", U6, " Rated)
")</f>
        <v xml:space="preserve">0 - Electrical services for 0 (Zero) 0 Pole MSSB (Form 0-0 Rated)
</v>
      </c>
      <c r="AB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6" s="424" t="str">
        <f t="shared" si="1"/>
        <v/>
      </c>
      <c r="AD6" s="114">
        <f t="shared" si="11"/>
        <v>0</v>
      </c>
    </row>
    <row r="7" spans="1:30" x14ac:dyDescent="0.4">
      <c r="A7" s="422" t="str">
        <f t="shared" si="2"/>
        <v>INVALID</v>
      </c>
      <c r="B7" s="114" t="str">
        <f t="shared" si="3"/>
        <v>MSSB 6</v>
      </c>
      <c r="C7" s="423">
        <f t="shared" si="4"/>
        <v>0</v>
      </c>
      <c r="D7" s="114">
        <f t="shared" si="5"/>
        <v>0</v>
      </c>
      <c r="G7" s="114" t="e">
        <f>VLOOKUP(I7,'Part List'!A:G,3,FALSE) + IF(W7="MS3100", VLOOKUP(W7,'Part List'!A:G,3,FALSE), 0)</f>
        <v>#N/A</v>
      </c>
      <c r="H7" s="114" t="e">
        <f>VLOOKUP(I7,'Part List'!A:G,5,FALSE) + IF(W7="MS3100", VLOOKUP(W7,'Part List'!A:G,5,FALSE), 0)</f>
        <v>#N/A</v>
      </c>
      <c r="I7" s="114">
        <f>IF(COUNTIF(_MSSB!$E$2:$E$6,'@MSSB'!N7) = 1,INDEX(_MSSB!J:J,MATCH(1,INDEX(('@MSSB'!L7=_MSSB!H:H)*('@MSSB'!N7=_MSSB!I:I),0,1),0)),INDEX(_MSSB!M:M,MATCH(1,INDEX((K7=_MSSB!L:L)*(L7=_MSSB!H:H)*(M7=_MSSB!I:I)*(N7=_MSSB!J:J)*(O7=_MSSB!K:K),0,1),0)))</f>
        <v>0</v>
      </c>
      <c r="P7" s="114" t="str">
        <f>IFERROR((VLOOKUP(I7,_MSSB!J:K,2,FALSE)),"")</f>
        <v/>
      </c>
      <c r="Q7" s="114" t="str">
        <f t="shared" si="6"/>
        <v/>
      </c>
      <c r="R7" s="286">
        <f t="shared" si="7"/>
        <v>0</v>
      </c>
      <c r="S7" s="286">
        <f t="shared" si="8"/>
        <v>0</v>
      </c>
      <c r="T7" s="286">
        <f>IF(COUNTIF(_MSSB!$E$2:$E$6,'@MSSB'!N7) = 1,1,J7)</f>
        <v>0</v>
      </c>
      <c r="U7" s="286">
        <f>IF(COUNTIF(_MSSB!$E$2:$E$6,'@MSSB'!N7) = 1,"IP65",K7)</f>
        <v>0</v>
      </c>
      <c r="V7" s="286">
        <f t="shared" si="9"/>
        <v>0</v>
      </c>
      <c r="W7" s="286">
        <f>IF(COUNTIF(_MSSB!$E$2:$E$6,'@MSSB'!N7) = 1,"MS3100",M7)</f>
        <v>0</v>
      </c>
      <c r="X7" s="286">
        <f t="shared" si="10"/>
        <v>0</v>
      </c>
      <c r="Y7" s="286">
        <f>IF(COUNTIF(_MSSB!$E$2:$E$6,'@MSSB'!N7) = 1,"N/A",O7)</f>
        <v>0</v>
      </c>
      <c r="Z7" s="114" t="str">
        <f>IF(COUNTIF(_MSSB!$E$2:$E$6,'@MSSB'!N7) = 1,_xlfn.CONCAT(X7, "mm Enclosure"),_xlfn.CONCAT(X7, " Pole MSSB"))</f>
        <v>0 Pole MSSB</v>
      </c>
      <c r="AA7" s="114" t="str">
        <f>_xlfn.CONCAT(AD7," - Electrical services for ",S7, " (", VLOOKUP(S7,[1]Backend!C:D,2,FALSE), ") ",Z7," (Form ",T7, "-", U7, " Rated)
")</f>
        <v xml:space="preserve">0 - Electrical services for 0 (Zero) 0 Pole MSSB (Form 0-0 Rated)
</v>
      </c>
      <c r="AB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7" s="424" t="str">
        <f t="shared" si="1"/>
        <v/>
      </c>
      <c r="AD7" s="114">
        <f t="shared" si="11"/>
        <v>0</v>
      </c>
    </row>
    <row r="8" spans="1:30" x14ac:dyDescent="0.4">
      <c r="A8" s="422" t="str">
        <f t="shared" si="2"/>
        <v>INVALID</v>
      </c>
      <c r="B8" s="114" t="str">
        <f t="shared" si="3"/>
        <v>MSSB 7</v>
      </c>
      <c r="C8" s="423">
        <f t="shared" si="4"/>
        <v>0</v>
      </c>
      <c r="D8" s="114">
        <f t="shared" si="5"/>
        <v>0</v>
      </c>
      <c r="G8" s="114" t="e">
        <f>VLOOKUP(I8,'Part List'!A:G,3,FALSE) + IF(W8="MS3100", VLOOKUP(W8,'Part List'!A:G,3,FALSE), 0)</f>
        <v>#N/A</v>
      </c>
      <c r="H8" s="114" t="e">
        <f>VLOOKUP(I8,'Part List'!A:G,5,FALSE) + IF(W8="MS3100", VLOOKUP(W8,'Part List'!A:G,5,FALSE), 0)</f>
        <v>#N/A</v>
      </c>
      <c r="I8" s="114">
        <f>IF(COUNTIF(_MSSB!$E$2:$E$6,'@MSSB'!N8) = 1,INDEX(_MSSB!J:J,MATCH(1,INDEX(('@MSSB'!L8=_MSSB!H:H)*('@MSSB'!N8=_MSSB!I:I),0,1),0)),INDEX(_MSSB!M:M,MATCH(1,INDEX((K8=_MSSB!L:L)*(L8=_MSSB!H:H)*(M8=_MSSB!I:I)*(N8=_MSSB!J:J)*(O8=_MSSB!K:K),0,1),0)))</f>
        <v>0</v>
      </c>
      <c r="P8" s="114" t="str">
        <f>IFERROR((VLOOKUP(I8,_MSSB!J:K,2,FALSE)),"")</f>
        <v/>
      </c>
      <c r="Q8" s="114" t="str">
        <f t="shared" si="6"/>
        <v/>
      </c>
      <c r="R8" s="286">
        <f t="shared" si="7"/>
        <v>0</v>
      </c>
      <c r="S8" s="286">
        <f t="shared" si="8"/>
        <v>0</v>
      </c>
      <c r="T8" s="286">
        <f>IF(COUNTIF(_MSSB!$E$2:$E$6,'@MSSB'!N8) = 1,1,J8)</f>
        <v>0</v>
      </c>
      <c r="U8" s="286">
        <f>IF(COUNTIF(_MSSB!$E$2:$E$6,'@MSSB'!N8) = 1,"IP65",K8)</f>
        <v>0</v>
      </c>
      <c r="V8" s="286">
        <f t="shared" si="9"/>
        <v>0</v>
      </c>
      <c r="W8" s="286">
        <f>IF(COUNTIF(_MSSB!$E$2:$E$6,'@MSSB'!N8) = 1,"MS3100",M8)</f>
        <v>0</v>
      </c>
      <c r="X8" s="286">
        <f t="shared" si="10"/>
        <v>0</v>
      </c>
      <c r="Y8" s="286">
        <f>IF(COUNTIF(_MSSB!$E$2:$E$6,'@MSSB'!N8) = 1,"N/A",O8)</f>
        <v>0</v>
      </c>
      <c r="Z8" s="114" t="str">
        <f>IF(COUNTIF(_MSSB!$E$2:$E$6,'@MSSB'!N8) = 1,_xlfn.CONCAT(X8, "mm Enclosure"),_xlfn.CONCAT(X8, " Pole MSSB"))</f>
        <v>0 Pole MSSB</v>
      </c>
      <c r="AA8" s="114" t="str">
        <f>_xlfn.CONCAT(AD8," - Electrical services for ",S8, " (", VLOOKUP(S8,[1]Backend!C:D,2,FALSE), ") ",Z8," (Form ",T8, "-", U8, " Rated)
")</f>
        <v xml:space="preserve">0 - Electrical services for 0 (Zero) 0 Pole MSSB (Form 0-0 Rated)
</v>
      </c>
      <c r="AB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8" s="424" t="str">
        <f t="shared" si="1"/>
        <v/>
      </c>
      <c r="AD8" s="114">
        <f t="shared" si="11"/>
        <v>0</v>
      </c>
    </row>
    <row r="9" spans="1:30" x14ac:dyDescent="0.4">
      <c r="A9" s="422" t="str">
        <f t="shared" si="2"/>
        <v>INVALID</v>
      </c>
      <c r="B9" s="114" t="str">
        <f t="shared" si="3"/>
        <v>MSSB 8</v>
      </c>
      <c r="C9" s="423">
        <f t="shared" si="4"/>
        <v>0</v>
      </c>
      <c r="D9" s="114">
        <f t="shared" si="5"/>
        <v>0</v>
      </c>
      <c r="G9" s="114" t="e">
        <f>VLOOKUP(I9,'Part List'!A:G,3,FALSE) + IF(W9="MS3100", VLOOKUP(W9,'Part List'!A:G,3,FALSE), 0)</f>
        <v>#N/A</v>
      </c>
      <c r="H9" s="114" t="e">
        <f>VLOOKUP(I9,'Part List'!A:G,5,FALSE) + IF(W9="MS3100", VLOOKUP(W9,'Part List'!A:G,5,FALSE), 0)</f>
        <v>#N/A</v>
      </c>
      <c r="I9" s="114">
        <f>IF(COUNTIF(_MSSB!$E$2:$E$6,'@MSSB'!N9) = 1,INDEX(_MSSB!J:J,MATCH(1,INDEX(('@MSSB'!L9=_MSSB!H:H)*('@MSSB'!N9=_MSSB!I:I),0,1),0)),INDEX(_MSSB!M:M,MATCH(1,INDEX((K9=_MSSB!L:L)*(L9=_MSSB!H:H)*(M9=_MSSB!I:I)*(N9=_MSSB!J:J)*(O9=_MSSB!K:K),0,1),0)))</f>
        <v>0</v>
      </c>
      <c r="P9" s="114" t="str">
        <f>IFERROR((VLOOKUP(I9,_MSSB!J:K,2,FALSE)),"")</f>
        <v/>
      </c>
      <c r="Q9" s="114" t="str">
        <f t="shared" si="6"/>
        <v/>
      </c>
      <c r="R9" s="286">
        <f t="shared" si="7"/>
        <v>0</v>
      </c>
      <c r="S9" s="286">
        <f t="shared" si="8"/>
        <v>0</v>
      </c>
      <c r="T9" s="286">
        <f>IF(COUNTIF(_MSSB!$E$2:$E$6,'@MSSB'!N9) = 1,1,J9)</f>
        <v>0</v>
      </c>
      <c r="U9" s="286">
        <f>IF(COUNTIF(_MSSB!$E$2:$E$6,'@MSSB'!N9) = 1,"IP65",K9)</f>
        <v>0</v>
      </c>
      <c r="V9" s="286">
        <f t="shared" si="9"/>
        <v>0</v>
      </c>
      <c r="W9" s="286">
        <f>IF(COUNTIF(_MSSB!$E$2:$E$6,'@MSSB'!N9) = 1,"MS3100",M9)</f>
        <v>0</v>
      </c>
      <c r="X9" s="286">
        <f t="shared" si="10"/>
        <v>0</v>
      </c>
      <c r="Y9" s="286">
        <f>IF(COUNTIF(_MSSB!$E$2:$E$6,'@MSSB'!N9) = 1,"N/A",O9)</f>
        <v>0</v>
      </c>
      <c r="Z9" s="114" t="str">
        <f>IF(COUNTIF(_MSSB!$E$2:$E$6,'@MSSB'!N9) = 1,_xlfn.CONCAT(X9, "mm Enclosure"),_xlfn.CONCAT(X9, " Pole MSSB"))</f>
        <v>0 Pole MSSB</v>
      </c>
      <c r="AA9" s="114" t="str">
        <f>_xlfn.CONCAT(AD9," - Electrical services for ",S9, " (", VLOOKUP(S9,[1]Backend!C:D,2,FALSE), ") ",Z9," (Form ",T9, "-", U9, " Rated)
")</f>
        <v xml:space="preserve">0 - Electrical services for 0 (Zero) 0 Pole MSSB (Form 0-0 Rated)
</v>
      </c>
      <c r="AB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9" s="424" t="str">
        <f t="shared" si="1"/>
        <v/>
      </c>
      <c r="AD9" s="114">
        <f t="shared" si="11"/>
        <v>0</v>
      </c>
    </row>
    <row r="10" spans="1:30" x14ac:dyDescent="0.4">
      <c r="A10" s="422" t="str">
        <f t="shared" si="2"/>
        <v>INVALID</v>
      </c>
      <c r="B10" s="114" t="str">
        <f t="shared" si="3"/>
        <v>MSSB 9</v>
      </c>
      <c r="C10" s="423">
        <f t="shared" si="4"/>
        <v>0</v>
      </c>
      <c r="D10" s="114">
        <f t="shared" si="5"/>
        <v>0</v>
      </c>
      <c r="G10" s="114" t="e">
        <f>VLOOKUP(I10,'Part List'!A:G,3,FALSE) + IF(W10="MS3100", VLOOKUP(W10,'Part List'!A:G,3,FALSE), 0)</f>
        <v>#N/A</v>
      </c>
      <c r="H10" s="114" t="e">
        <f>VLOOKUP(I10,'Part List'!A:G,5,FALSE) + IF(W10="MS3100", VLOOKUP(W10,'Part List'!A:G,5,FALSE), 0)</f>
        <v>#N/A</v>
      </c>
      <c r="I10" s="114">
        <f>IF(COUNTIF(_MSSB!$E$2:$E$6,'@MSSB'!N10) = 1,INDEX(_MSSB!J:J,MATCH(1,INDEX(('@MSSB'!L10=_MSSB!H:H)*('@MSSB'!N10=_MSSB!I:I),0,1),0)),INDEX(_MSSB!M:M,MATCH(1,INDEX((K10=_MSSB!L:L)*(L10=_MSSB!H:H)*(M10=_MSSB!I:I)*(N10=_MSSB!J:J)*(O10=_MSSB!K:K),0,1),0)))</f>
        <v>0</v>
      </c>
      <c r="P10" s="114" t="str">
        <f>IFERROR((VLOOKUP(I10,_MSSB!J:K,2,FALSE)),"")</f>
        <v/>
      </c>
      <c r="Q10" s="114" t="str">
        <f t="shared" si="6"/>
        <v/>
      </c>
      <c r="R10" s="286">
        <f t="shared" si="7"/>
        <v>0</v>
      </c>
      <c r="S10" s="286">
        <f t="shared" si="8"/>
        <v>0</v>
      </c>
      <c r="T10" s="286">
        <f>IF(COUNTIF(_MSSB!$E$2:$E$6,'@MSSB'!N10) = 1,1,J10)</f>
        <v>0</v>
      </c>
      <c r="U10" s="286">
        <f>IF(COUNTIF(_MSSB!$E$2:$E$6,'@MSSB'!N10) = 1,"IP65",K10)</f>
        <v>0</v>
      </c>
      <c r="V10" s="286">
        <f t="shared" si="9"/>
        <v>0</v>
      </c>
      <c r="W10" s="286">
        <f>IF(COUNTIF(_MSSB!$E$2:$E$6,'@MSSB'!N10) = 1,"MS3100",M10)</f>
        <v>0</v>
      </c>
      <c r="X10" s="286">
        <f t="shared" si="10"/>
        <v>0</v>
      </c>
      <c r="Y10" s="286">
        <f>IF(COUNTIF(_MSSB!$E$2:$E$6,'@MSSB'!N10) = 1,"N/A",O10)</f>
        <v>0</v>
      </c>
      <c r="Z10" s="114" t="str">
        <f>IF(COUNTIF(_MSSB!$E$2:$E$6,'@MSSB'!N10) = 1,_xlfn.CONCAT(X10, "mm Enclosure"),_xlfn.CONCAT(X10, " Pole MSSB"))</f>
        <v>0 Pole MSSB</v>
      </c>
      <c r="AA10" s="114" t="str">
        <f>_xlfn.CONCAT(AD10," - Electrical services for ",S10, " (", VLOOKUP(S10,[1]Backend!C:D,2,FALSE), ") ",Z10," (Form ",T10, "-", U10, " Rated)
")</f>
        <v xml:space="preserve">0 - Electrical services for 0 (Zero) 0 Pole MSSB (Form 0-0 Rated)
</v>
      </c>
      <c r="AB1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0" s="424" t="str">
        <f t="shared" si="1"/>
        <v/>
      </c>
      <c r="AD10" s="114">
        <f t="shared" si="11"/>
        <v>0</v>
      </c>
    </row>
    <row r="11" spans="1:30" x14ac:dyDescent="0.4">
      <c r="A11" s="422" t="str">
        <f t="shared" si="2"/>
        <v>INVALID</v>
      </c>
      <c r="B11" s="114" t="str">
        <f t="shared" si="3"/>
        <v>MSSB 10</v>
      </c>
      <c r="C11" s="423">
        <f t="shared" si="4"/>
        <v>0</v>
      </c>
      <c r="D11" s="114">
        <f t="shared" si="5"/>
        <v>0</v>
      </c>
      <c r="G11" s="114" t="e">
        <f>VLOOKUP(I11,'Part List'!A:G,3,FALSE) + IF(W11="MS3100", VLOOKUP(W11,'Part List'!A:G,3,FALSE), 0)</f>
        <v>#N/A</v>
      </c>
      <c r="H11" s="114" t="e">
        <f>VLOOKUP(I11,'Part List'!A:G,5,FALSE) + IF(W11="MS3100", VLOOKUP(W11,'Part List'!A:G,5,FALSE), 0)</f>
        <v>#N/A</v>
      </c>
      <c r="I11" s="114">
        <f>IF(COUNTIF(_MSSB!$E$2:$E$6,'@MSSB'!N11) = 1,INDEX(_MSSB!J:J,MATCH(1,INDEX(('@MSSB'!L11=_MSSB!H:H)*('@MSSB'!N11=_MSSB!I:I),0,1),0)),INDEX(_MSSB!M:M,MATCH(1,INDEX((K11=_MSSB!L:L)*(L11=_MSSB!H:H)*(M11=_MSSB!I:I)*(N11=_MSSB!J:J)*(O11=_MSSB!K:K),0,1),0)))</f>
        <v>0</v>
      </c>
      <c r="P11" s="114" t="str">
        <f>IFERROR((VLOOKUP(I11,_MSSB!J:K,2,FALSE)),"")</f>
        <v/>
      </c>
      <c r="Q11" s="114" t="str">
        <f t="shared" si="6"/>
        <v/>
      </c>
      <c r="R11" s="286">
        <f t="shared" si="7"/>
        <v>0</v>
      </c>
      <c r="S11" s="286">
        <f t="shared" si="8"/>
        <v>0</v>
      </c>
      <c r="T11" s="286">
        <f>IF(COUNTIF(_MSSB!$E$2:$E$6,'@MSSB'!N11) = 1,1,J11)</f>
        <v>0</v>
      </c>
      <c r="U11" s="286">
        <f>IF(COUNTIF(_MSSB!$E$2:$E$6,'@MSSB'!N11) = 1,"IP65",K11)</f>
        <v>0</v>
      </c>
      <c r="V11" s="286">
        <f t="shared" si="9"/>
        <v>0</v>
      </c>
      <c r="W11" s="286">
        <f>IF(COUNTIF(_MSSB!$E$2:$E$6,'@MSSB'!N11) = 1,"MS3100",M11)</f>
        <v>0</v>
      </c>
      <c r="X11" s="286">
        <f t="shared" si="10"/>
        <v>0</v>
      </c>
      <c r="Y11" s="286">
        <f>IF(COUNTIF(_MSSB!$E$2:$E$6,'@MSSB'!N11) = 1,"N/A",O11)</f>
        <v>0</v>
      </c>
      <c r="Z11" s="114" t="str">
        <f>IF(COUNTIF(_MSSB!$E$2:$E$6,'@MSSB'!N11) = 1,_xlfn.CONCAT(X11, "mm Enclosure"),_xlfn.CONCAT(X11, " Pole MSSB"))</f>
        <v>0 Pole MSSB</v>
      </c>
      <c r="AA11" s="114" t="str">
        <f>_xlfn.CONCAT(AD11," - Electrical services for ",S11, " (", VLOOKUP(S11,[1]Backend!C:D,2,FALSE), ") ",Z11," (Form ",T11, "-", U11, " Rated)
")</f>
        <v xml:space="preserve">0 - Electrical services for 0 (Zero) 0 Pole MSSB (Form 0-0 Rated)
</v>
      </c>
      <c r="AB1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1" s="424" t="str">
        <f t="shared" si="1"/>
        <v/>
      </c>
      <c r="AD11" s="114">
        <f t="shared" si="11"/>
        <v>0</v>
      </c>
    </row>
    <row r="12" spans="1:30" x14ac:dyDescent="0.4">
      <c r="A12" s="422" t="str">
        <f t="shared" si="2"/>
        <v>INVALID</v>
      </c>
      <c r="B12" s="114" t="str">
        <f t="shared" si="3"/>
        <v>MSSB 11</v>
      </c>
      <c r="C12" s="423">
        <f t="shared" si="4"/>
        <v>0</v>
      </c>
      <c r="D12" s="114">
        <f t="shared" si="5"/>
        <v>0</v>
      </c>
      <c r="G12" s="114" t="e">
        <f>VLOOKUP(I12,'Part List'!A:G,3,FALSE) + IF(W12="MS3100", VLOOKUP(W12,'Part List'!A:G,3,FALSE), 0)</f>
        <v>#N/A</v>
      </c>
      <c r="H12" s="114" t="e">
        <f>VLOOKUP(I12,'Part List'!A:G,5,FALSE) + IF(W12="MS3100", VLOOKUP(W12,'Part List'!A:G,5,FALSE), 0)</f>
        <v>#N/A</v>
      </c>
      <c r="I12" s="114">
        <f>IF(COUNTIF(_MSSB!$E$2:$E$6,'@MSSB'!N12) = 1,INDEX(_MSSB!J:J,MATCH(1,INDEX(('@MSSB'!L12=_MSSB!H:H)*('@MSSB'!N12=_MSSB!I:I),0,1),0)),INDEX(_MSSB!M:M,MATCH(1,INDEX((K12=_MSSB!L:L)*(L12=_MSSB!H:H)*(M12=_MSSB!I:I)*(N12=_MSSB!J:J)*(O12=_MSSB!K:K),0,1),0)))</f>
        <v>0</v>
      </c>
      <c r="P12" s="114" t="str">
        <f>IFERROR((VLOOKUP(I12,_MSSB!J:K,2,FALSE)),"")</f>
        <v/>
      </c>
      <c r="Q12" s="114" t="str">
        <f t="shared" si="6"/>
        <v/>
      </c>
      <c r="R12" s="286">
        <f t="shared" si="7"/>
        <v>0</v>
      </c>
      <c r="S12" s="286">
        <f t="shared" si="8"/>
        <v>0</v>
      </c>
      <c r="T12" s="286">
        <f>IF(COUNTIF(_MSSB!$E$2:$E$6,'@MSSB'!N12) = 1,1,J12)</f>
        <v>0</v>
      </c>
      <c r="U12" s="286">
        <f>IF(COUNTIF(_MSSB!$E$2:$E$6,'@MSSB'!N12) = 1,"IP65",K12)</f>
        <v>0</v>
      </c>
      <c r="V12" s="286">
        <f t="shared" si="9"/>
        <v>0</v>
      </c>
      <c r="W12" s="286">
        <f>IF(COUNTIF(_MSSB!$E$2:$E$6,'@MSSB'!N12) = 1,"MS3100",M12)</f>
        <v>0</v>
      </c>
      <c r="X12" s="286">
        <f t="shared" si="10"/>
        <v>0</v>
      </c>
      <c r="Y12" s="286">
        <f>IF(COUNTIF(_MSSB!$E$2:$E$6,'@MSSB'!N12) = 1,"N/A",O12)</f>
        <v>0</v>
      </c>
      <c r="Z12" s="114" t="str">
        <f>IF(COUNTIF(_MSSB!$E$2:$E$6,'@MSSB'!N12) = 1,_xlfn.CONCAT(X12, "mm Enclosure"),_xlfn.CONCAT(X12, " Pole MSSB"))</f>
        <v>0 Pole MSSB</v>
      </c>
      <c r="AA12" s="114" t="str">
        <f>_xlfn.CONCAT(AD12," - Electrical services for ",S12, " (", VLOOKUP(S12,[1]Backend!C:D,2,FALSE), ") ",Z12," (Form ",T12, "-", U12, " Rated)
")</f>
        <v xml:space="preserve">0 - Electrical services for 0 (Zero) 0 Pole MSSB (Form 0-0 Rated)
</v>
      </c>
      <c r="AB1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2" s="424" t="str">
        <f t="shared" si="1"/>
        <v/>
      </c>
      <c r="AD12" s="114">
        <f t="shared" si="11"/>
        <v>0</v>
      </c>
    </row>
    <row r="13" spans="1:30" x14ac:dyDescent="0.4">
      <c r="A13" s="422" t="str">
        <f t="shared" si="2"/>
        <v>INVALID</v>
      </c>
      <c r="B13" s="114" t="str">
        <f t="shared" si="3"/>
        <v>MSSB 12</v>
      </c>
      <c r="C13" s="423">
        <f t="shared" si="4"/>
        <v>0</v>
      </c>
      <c r="D13" s="114">
        <f t="shared" si="5"/>
        <v>0</v>
      </c>
      <c r="G13" s="114" t="e">
        <f>VLOOKUP(I13,'Part List'!A:G,3,FALSE) + IF(W13="MS3100", VLOOKUP(W13,'Part List'!A:G,3,FALSE), 0)</f>
        <v>#N/A</v>
      </c>
      <c r="H13" s="114" t="e">
        <f>VLOOKUP(I13,'Part List'!A:G,5,FALSE) + IF(W13="MS3100", VLOOKUP(W13,'Part List'!A:G,5,FALSE), 0)</f>
        <v>#N/A</v>
      </c>
      <c r="I13" s="114">
        <f>IF(COUNTIF(_MSSB!$E$2:$E$6,'@MSSB'!N13) = 1,INDEX(_MSSB!J:J,MATCH(1,INDEX(('@MSSB'!L13=_MSSB!H:H)*('@MSSB'!N13=_MSSB!I:I),0,1),0)),INDEX(_MSSB!M:M,MATCH(1,INDEX((K13=_MSSB!L:L)*(L13=_MSSB!H:H)*(M13=_MSSB!I:I)*(N13=_MSSB!J:J)*(O13=_MSSB!K:K),0,1),0)))</f>
        <v>0</v>
      </c>
      <c r="P13" s="114" t="str">
        <f>IFERROR((VLOOKUP(I13,_MSSB!J:K,2,FALSE)),"")</f>
        <v/>
      </c>
      <c r="Q13" s="114" t="str">
        <f t="shared" si="6"/>
        <v/>
      </c>
      <c r="R13" s="286">
        <f t="shared" si="7"/>
        <v>0</v>
      </c>
      <c r="S13" s="286">
        <f t="shared" si="8"/>
        <v>0</v>
      </c>
      <c r="T13" s="286">
        <f>IF(COUNTIF(_MSSB!$E$2:$E$6,'@MSSB'!N13) = 1,1,J13)</f>
        <v>0</v>
      </c>
      <c r="U13" s="286">
        <f>IF(COUNTIF(_MSSB!$E$2:$E$6,'@MSSB'!N13) = 1,"IP65",K13)</f>
        <v>0</v>
      </c>
      <c r="V13" s="286">
        <f t="shared" si="9"/>
        <v>0</v>
      </c>
      <c r="W13" s="286">
        <f>IF(COUNTIF(_MSSB!$E$2:$E$6,'@MSSB'!N13) = 1,"MS3100",M13)</f>
        <v>0</v>
      </c>
      <c r="X13" s="286">
        <f t="shared" si="10"/>
        <v>0</v>
      </c>
      <c r="Y13" s="286">
        <f>IF(COUNTIF(_MSSB!$E$2:$E$6,'@MSSB'!N13) = 1,"N/A",O13)</f>
        <v>0</v>
      </c>
      <c r="Z13" s="114" t="str">
        <f>IF(COUNTIF(_MSSB!$E$2:$E$6,'@MSSB'!N13) = 1,_xlfn.CONCAT(X13, "mm Enclosure"),_xlfn.CONCAT(X13, " Pole MSSB"))</f>
        <v>0 Pole MSSB</v>
      </c>
      <c r="AA13" s="114" t="str">
        <f>_xlfn.CONCAT(AD13," - Electrical services for ",S13, " (", VLOOKUP(S13,[1]Backend!C:D,2,FALSE), ") ",Z13," (Form ",T13, "-", U13, " Rated)
")</f>
        <v xml:space="preserve">0 - Electrical services for 0 (Zero) 0 Pole MSSB (Form 0-0 Rated)
</v>
      </c>
      <c r="AB13"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3" s="424" t="str">
        <f t="shared" si="1"/>
        <v/>
      </c>
      <c r="AD13" s="114">
        <f t="shared" si="11"/>
        <v>0</v>
      </c>
    </row>
    <row r="14" spans="1:30" x14ac:dyDescent="0.4">
      <c r="A14" s="422" t="str">
        <f t="shared" si="2"/>
        <v>INVALID</v>
      </c>
      <c r="B14" s="114" t="str">
        <f t="shared" si="3"/>
        <v>MSSB 13</v>
      </c>
      <c r="C14" s="423">
        <f t="shared" si="4"/>
        <v>0</v>
      </c>
      <c r="D14" s="114">
        <f t="shared" si="5"/>
        <v>0</v>
      </c>
      <c r="G14" s="114" t="e">
        <f>VLOOKUP(I14,'Part List'!A:G,3,FALSE) + IF(W14="MS3100", VLOOKUP(W14,'Part List'!A:G,3,FALSE), 0)</f>
        <v>#N/A</v>
      </c>
      <c r="H14" s="114" t="e">
        <f>VLOOKUP(I14,'Part List'!A:G,5,FALSE) + IF(W14="MS3100", VLOOKUP(W14,'Part List'!A:G,5,FALSE), 0)</f>
        <v>#N/A</v>
      </c>
      <c r="I14" s="114">
        <f>IF(COUNTIF(_MSSB!$E$2:$E$6,'@MSSB'!N14) = 1,INDEX(_MSSB!J:J,MATCH(1,INDEX(('@MSSB'!L14=_MSSB!H:H)*('@MSSB'!N14=_MSSB!I:I),0,1),0)),INDEX(_MSSB!M:M,MATCH(1,INDEX((K14=_MSSB!L:L)*(L14=_MSSB!H:H)*(M14=_MSSB!I:I)*(N14=_MSSB!J:J)*(O14=_MSSB!K:K),0,1),0)))</f>
        <v>0</v>
      </c>
      <c r="P14" s="114" t="str">
        <f>IFERROR((VLOOKUP(I14,_MSSB!J:K,2,FALSE)),"")</f>
        <v/>
      </c>
      <c r="Q14" s="114" t="str">
        <f t="shared" si="6"/>
        <v/>
      </c>
      <c r="R14" s="286">
        <f t="shared" si="7"/>
        <v>0</v>
      </c>
      <c r="S14" s="286">
        <f t="shared" si="8"/>
        <v>0</v>
      </c>
      <c r="T14" s="286">
        <f>IF(COUNTIF(_MSSB!$E$2:$E$6,'@MSSB'!N14) = 1,1,J14)</f>
        <v>0</v>
      </c>
      <c r="U14" s="286">
        <f>IF(COUNTIF(_MSSB!$E$2:$E$6,'@MSSB'!N14) = 1,"IP65",K14)</f>
        <v>0</v>
      </c>
      <c r="V14" s="286">
        <f t="shared" si="9"/>
        <v>0</v>
      </c>
      <c r="W14" s="286">
        <f>IF(COUNTIF(_MSSB!$E$2:$E$6,'@MSSB'!N14) = 1,"MS3100",M14)</f>
        <v>0</v>
      </c>
      <c r="X14" s="286">
        <f t="shared" si="10"/>
        <v>0</v>
      </c>
      <c r="Y14" s="286">
        <f>IF(COUNTIF(_MSSB!$E$2:$E$6,'@MSSB'!N14) = 1,"N/A",O14)</f>
        <v>0</v>
      </c>
      <c r="Z14" s="114" t="str">
        <f>IF(COUNTIF(_MSSB!$E$2:$E$6,'@MSSB'!N14) = 1,_xlfn.CONCAT(X14, "mm Enclosure"),_xlfn.CONCAT(X14, " Pole MSSB"))</f>
        <v>0 Pole MSSB</v>
      </c>
      <c r="AA14" s="114" t="str">
        <f>_xlfn.CONCAT(AD14," - Electrical services for ",S14, " (", VLOOKUP(S14,[1]Backend!C:D,2,FALSE), ") ",Z14," (Form ",T14, "-", U14, " Rated)
")</f>
        <v xml:space="preserve">0 - Electrical services for 0 (Zero) 0 Pole MSSB (Form 0-0 Rated)
</v>
      </c>
      <c r="AB14"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4" s="424" t="str">
        <f t="shared" si="1"/>
        <v/>
      </c>
      <c r="AD14" s="114">
        <f t="shared" si="11"/>
        <v>0</v>
      </c>
    </row>
    <row r="15" spans="1:30" x14ac:dyDescent="0.4">
      <c r="A15" s="422" t="str">
        <f t="shared" si="2"/>
        <v>INVALID</v>
      </c>
      <c r="B15" s="114" t="str">
        <f t="shared" si="3"/>
        <v>MSSB 14</v>
      </c>
      <c r="C15" s="423">
        <f t="shared" si="4"/>
        <v>0</v>
      </c>
      <c r="D15" s="114">
        <f t="shared" si="5"/>
        <v>0</v>
      </c>
      <c r="G15" s="114" t="e">
        <f>VLOOKUP(I15,'Part List'!A:G,3,FALSE) + IF(W15="MS3100", VLOOKUP(W15,'Part List'!A:G,3,FALSE), 0)</f>
        <v>#N/A</v>
      </c>
      <c r="H15" s="114" t="e">
        <f>VLOOKUP(I15,'Part List'!A:G,5,FALSE) + IF(W15="MS3100", VLOOKUP(W15,'Part List'!A:G,5,FALSE), 0)</f>
        <v>#N/A</v>
      </c>
      <c r="I15" s="114">
        <f>IF(COUNTIF(_MSSB!$E$2:$E$6,'@MSSB'!N15) = 1,INDEX(_MSSB!J:J,MATCH(1,INDEX(('@MSSB'!L15=_MSSB!H:H)*('@MSSB'!N15=_MSSB!I:I),0,1),0)),INDEX(_MSSB!M:M,MATCH(1,INDEX((K15=_MSSB!L:L)*(L15=_MSSB!H:H)*(M15=_MSSB!I:I)*(N15=_MSSB!J:J)*(O15=_MSSB!K:K),0,1),0)))</f>
        <v>0</v>
      </c>
      <c r="P15" s="114" t="str">
        <f>IFERROR((VLOOKUP(I15,_MSSB!J:K,2,FALSE)),"")</f>
        <v/>
      </c>
      <c r="Q15" s="114" t="str">
        <f t="shared" si="6"/>
        <v/>
      </c>
      <c r="R15" s="286">
        <f t="shared" si="7"/>
        <v>0</v>
      </c>
      <c r="S15" s="286">
        <f t="shared" si="8"/>
        <v>0</v>
      </c>
      <c r="T15" s="286">
        <f>IF(COUNTIF(_MSSB!$E$2:$E$6,'@MSSB'!N15) = 1,1,J15)</f>
        <v>0</v>
      </c>
      <c r="U15" s="286">
        <f>IF(COUNTIF(_MSSB!$E$2:$E$6,'@MSSB'!N15) = 1,"IP65",K15)</f>
        <v>0</v>
      </c>
      <c r="V15" s="286">
        <f t="shared" si="9"/>
        <v>0</v>
      </c>
      <c r="W15" s="286">
        <f>IF(COUNTIF(_MSSB!$E$2:$E$6,'@MSSB'!N15) = 1,"MS3100",M15)</f>
        <v>0</v>
      </c>
      <c r="X15" s="286">
        <f t="shared" si="10"/>
        <v>0</v>
      </c>
      <c r="Y15" s="286">
        <f>IF(COUNTIF(_MSSB!$E$2:$E$6,'@MSSB'!N15) = 1,"N/A",O15)</f>
        <v>0</v>
      </c>
      <c r="Z15" s="114" t="str">
        <f>IF(COUNTIF(_MSSB!$E$2:$E$6,'@MSSB'!N15) = 1,_xlfn.CONCAT(X15, "mm Enclosure"),_xlfn.CONCAT(X15, " Pole MSSB"))</f>
        <v>0 Pole MSSB</v>
      </c>
      <c r="AA15" s="114" t="str">
        <f>_xlfn.CONCAT(AD15," - Electrical services for ",S15, " (", VLOOKUP(S15,[1]Backend!C:D,2,FALSE), ") ",Z15," (Form ",T15, "-", U15, " Rated)
")</f>
        <v xml:space="preserve">0 - Electrical services for 0 (Zero) 0 Pole MSSB (Form 0-0 Rated)
</v>
      </c>
      <c r="AB15"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5" s="424" t="str">
        <f t="shared" si="1"/>
        <v/>
      </c>
      <c r="AD15" s="114">
        <f t="shared" si="11"/>
        <v>0</v>
      </c>
    </row>
    <row r="16" spans="1:30" x14ac:dyDescent="0.4">
      <c r="A16" s="422" t="str">
        <f t="shared" si="2"/>
        <v>INVALID</v>
      </c>
      <c r="B16" s="114" t="str">
        <f t="shared" si="3"/>
        <v>MSSB 15</v>
      </c>
      <c r="C16" s="423">
        <f t="shared" si="4"/>
        <v>0</v>
      </c>
      <c r="D16" s="114">
        <f t="shared" si="5"/>
        <v>0</v>
      </c>
      <c r="G16" s="114" t="e">
        <f>VLOOKUP(I16,'Part List'!A:G,3,FALSE) + IF(W16="MS3100", VLOOKUP(W16,'Part List'!A:G,3,FALSE), 0)</f>
        <v>#N/A</v>
      </c>
      <c r="H16" s="114" t="e">
        <f>VLOOKUP(I16,'Part List'!A:G,5,FALSE) + IF(W16="MS3100", VLOOKUP(W16,'Part List'!A:G,5,FALSE), 0)</f>
        <v>#N/A</v>
      </c>
      <c r="I16" s="114">
        <f>IF(COUNTIF(_MSSB!$E$2:$E$6,'@MSSB'!N16) = 1,INDEX(_MSSB!J:J,MATCH(1,INDEX(('@MSSB'!L16=_MSSB!H:H)*('@MSSB'!N16=_MSSB!I:I),0,1),0)),INDEX(_MSSB!M:M,MATCH(1,INDEX((K16=_MSSB!L:L)*(L16=_MSSB!H:H)*(M16=_MSSB!I:I)*(N16=_MSSB!J:J)*(O16=_MSSB!K:K),0,1),0)))</f>
        <v>0</v>
      </c>
      <c r="P16" s="114" t="str">
        <f>IFERROR((VLOOKUP(I16,_MSSB!J:K,2,FALSE)),"")</f>
        <v/>
      </c>
      <c r="Q16" s="114" t="str">
        <f t="shared" si="6"/>
        <v/>
      </c>
      <c r="R16" s="286">
        <f t="shared" si="7"/>
        <v>0</v>
      </c>
      <c r="S16" s="286">
        <f t="shared" si="8"/>
        <v>0</v>
      </c>
      <c r="T16" s="286">
        <f>IF(COUNTIF(_MSSB!$E$2:$E$6,'@MSSB'!N16) = 1,1,J16)</f>
        <v>0</v>
      </c>
      <c r="U16" s="286">
        <f>IF(COUNTIF(_MSSB!$E$2:$E$6,'@MSSB'!N16) = 1,"IP65",K16)</f>
        <v>0</v>
      </c>
      <c r="V16" s="286">
        <f t="shared" si="9"/>
        <v>0</v>
      </c>
      <c r="W16" s="286">
        <f>IF(COUNTIF(_MSSB!$E$2:$E$6,'@MSSB'!N16) = 1,"MS3100",M16)</f>
        <v>0</v>
      </c>
      <c r="X16" s="286">
        <f t="shared" si="10"/>
        <v>0</v>
      </c>
      <c r="Y16" s="286">
        <f>IF(COUNTIF(_MSSB!$E$2:$E$6,'@MSSB'!N16) = 1,"N/A",O16)</f>
        <v>0</v>
      </c>
      <c r="Z16" s="114" t="str">
        <f>IF(COUNTIF(_MSSB!$E$2:$E$6,'@MSSB'!N16) = 1,_xlfn.CONCAT(X16, "mm Enclosure"),_xlfn.CONCAT(X16, " Pole MSSB"))</f>
        <v>0 Pole MSSB</v>
      </c>
      <c r="AA16" s="114" t="str">
        <f>_xlfn.CONCAT(AD16," - Electrical services for ",S16, " (", VLOOKUP(S16,[1]Backend!C:D,2,FALSE), ") ",Z16," (Form ",T16, "-", U16, " Rated)
")</f>
        <v xml:space="preserve">0 - Electrical services for 0 (Zero) 0 Pole MSSB (Form 0-0 Rated)
</v>
      </c>
      <c r="AB16"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6" s="424" t="str">
        <f t="shared" si="1"/>
        <v/>
      </c>
      <c r="AD16" s="114">
        <f t="shared" si="11"/>
        <v>0</v>
      </c>
    </row>
    <row r="17" spans="1:30" x14ac:dyDescent="0.4">
      <c r="A17" s="422" t="str">
        <f t="shared" si="2"/>
        <v>INVALID</v>
      </c>
      <c r="B17" s="114" t="str">
        <f t="shared" si="3"/>
        <v>MSSB 16</v>
      </c>
      <c r="C17" s="423">
        <f t="shared" si="4"/>
        <v>0</v>
      </c>
      <c r="D17" s="114">
        <f t="shared" si="5"/>
        <v>0</v>
      </c>
      <c r="G17" s="114" t="e">
        <f>VLOOKUP(I17,'Part List'!A:G,3,FALSE) + IF(W17="MS3100", VLOOKUP(W17,'Part List'!A:G,3,FALSE), 0)</f>
        <v>#N/A</v>
      </c>
      <c r="H17" s="114" t="e">
        <f>VLOOKUP(I17,'Part List'!A:G,5,FALSE) + IF(W17="MS3100", VLOOKUP(W17,'Part List'!A:G,5,FALSE), 0)</f>
        <v>#N/A</v>
      </c>
      <c r="I17" s="114">
        <f>IF(COUNTIF(_MSSB!$E$2:$E$6,'@MSSB'!N17) = 1,INDEX(_MSSB!J:J,MATCH(1,INDEX(('@MSSB'!L17=_MSSB!H:H)*('@MSSB'!N17=_MSSB!I:I),0,1),0)),INDEX(_MSSB!M:M,MATCH(1,INDEX((K17=_MSSB!L:L)*(L17=_MSSB!H:H)*(M17=_MSSB!I:I)*(N17=_MSSB!J:J)*(O17=_MSSB!K:K),0,1),0)))</f>
        <v>0</v>
      </c>
      <c r="P17" s="114" t="str">
        <f>IFERROR((VLOOKUP(I17,_MSSB!J:K,2,FALSE)),"")</f>
        <v/>
      </c>
      <c r="Q17" s="114" t="str">
        <f t="shared" si="6"/>
        <v/>
      </c>
      <c r="R17" s="286">
        <f t="shared" si="7"/>
        <v>0</v>
      </c>
      <c r="S17" s="286">
        <f t="shared" si="8"/>
        <v>0</v>
      </c>
      <c r="T17" s="286">
        <f>IF(COUNTIF(_MSSB!$E$2:$E$6,'@MSSB'!N17) = 1,1,J17)</f>
        <v>0</v>
      </c>
      <c r="U17" s="286">
        <f>IF(COUNTIF(_MSSB!$E$2:$E$6,'@MSSB'!N17) = 1,"IP65",K17)</f>
        <v>0</v>
      </c>
      <c r="V17" s="286">
        <f t="shared" si="9"/>
        <v>0</v>
      </c>
      <c r="W17" s="286">
        <f>IF(COUNTIF(_MSSB!$E$2:$E$6,'@MSSB'!N17) = 1,"MS3100",M17)</f>
        <v>0</v>
      </c>
      <c r="X17" s="286">
        <f t="shared" si="10"/>
        <v>0</v>
      </c>
      <c r="Y17" s="286">
        <f>IF(COUNTIF(_MSSB!$E$2:$E$6,'@MSSB'!N17) = 1,"N/A",O17)</f>
        <v>0</v>
      </c>
      <c r="Z17" s="114" t="str">
        <f>IF(COUNTIF(_MSSB!$E$2:$E$6,'@MSSB'!N17) = 1,_xlfn.CONCAT(X17, "mm Enclosure"),_xlfn.CONCAT(X17, " Pole MSSB"))</f>
        <v>0 Pole MSSB</v>
      </c>
      <c r="AA17" s="114" t="str">
        <f>_xlfn.CONCAT(AD17," - Electrical services for ",S17, " (", VLOOKUP(S17,[1]Backend!C:D,2,FALSE), ") ",Z17," (Form ",T17, "-", U17, " Rated)
")</f>
        <v xml:space="preserve">0 - Electrical services for 0 (Zero) 0 Pole MSSB (Form 0-0 Rated)
</v>
      </c>
      <c r="AB17"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7" s="424" t="str">
        <f t="shared" si="1"/>
        <v/>
      </c>
      <c r="AD17" s="114">
        <f t="shared" si="11"/>
        <v>0</v>
      </c>
    </row>
    <row r="18" spans="1:30" x14ac:dyDescent="0.4">
      <c r="A18" s="422" t="str">
        <f t="shared" si="2"/>
        <v>INVALID</v>
      </c>
      <c r="B18" s="114" t="str">
        <f t="shared" si="3"/>
        <v>MSSB 17</v>
      </c>
      <c r="C18" s="423">
        <f t="shared" si="4"/>
        <v>0</v>
      </c>
      <c r="D18" s="114">
        <f t="shared" si="5"/>
        <v>0</v>
      </c>
      <c r="G18" s="114" t="e">
        <f>VLOOKUP(I18,'Part List'!A:G,3,FALSE) + IF(W18="MS3100", VLOOKUP(W18,'Part List'!A:G,3,FALSE), 0)</f>
        <v>#N/A</v>
      </c>
      <c r="H18" s="114" t="e">
        <f>VLOOKUP(I18,'Part List'!A:G,5,FALSE) + IF(W18="MS3100", VLOOKUP(W18,'Part List'!A:G,5,FALSE), 0)</f>
        <v>#N/A</v>
      </c>
      <c r="I18" s="114">
        <f>IF(COUNTIF(_MSSB!$E$2:$E$6,'@MSSB'!N18) = 1,INDEX(_MSSB!J:J,MATCH(1,INDEX(('@MSSB'!L18=_MSSB!H:H)*('@MSSB'!N18=_MSSB!I:I),0,1),0)),INDEX(_MSSB!M:M,MATCH(1,INDEX((K18=_MSSB!L:L)*(L18=_MSSB!H:H)*(M18=_MSSB!I:I)*(N18=_MSSB!J:J)*(O18=_MSSB!K:K),0,1),0)))</f>
        <v>0</v>
      </c>
      <c r="P18" s="114" t="str">
        <f>IFERROR((VLOOKUP(I18,_MSSB!J:K,2,FALSE)),"")</f>
        <v/>
      </c>
      <c r="Q18" s="114" t="str">
        <f t="shared" si="6"/>
        <v/>
      </c>
      <c r="R18" s="286">
        <f t="shared" si="7"/>
        <v>0</v>
      </c>
      <c r="S18" s="286">
        <f t="shared" si="8"/>
        <v>0</v>
      </c>
      <c r="T18" s="286">
        <f>IF(COUNTIF(_MSSB!$E$2:$E$6,'@MSSB'!N18) = 1,1,J18)</f>
        <v>0</v>
      </c>
      <c r="U18" s="286">
        <f>IF(COUNTIF(_MSSB!$E$2:$E$6,'@MSSB'!N18) = 1,"IP65",K18)</f>
        <v>0</v>
      </c>
      <c r="V18" s="286">
        <f t="shared" si="9"/>
        <v>0</v>
      </c>
      <c r="W18" s="286">
        <f>IF(COUNTIF(_MSSB!$E$2:$E$6,'@MSSB'!N18) = 1,"MS3100",M18)</f>
        <v>0</v>
      </c>
      <c r="X18" s="286">
        <f t="shared" si="10"/>
        <v>0</v>
      </c>
      <c r="Y18" s="286">
        <f>IF(COUNTIF(_MSSB!$E$2:$E$6,'@MSSB'!N18) = 1,"N/A",O18)</f>
        <v>0</v>
      </c>
      <c r="Z18" s="114" t="str">
        <f>IF(COUNTIF(_MSSB!$E$2:$E$6,'@MSSB'!N18) = 1,_xlfn.CONCAT(X18, "mm Enclosure"),_xlfn.CONCAT(X18, " Pole MSSB"))</f>
        <v>0 Pole MSSB</v>
      </c>
      <c r="AA18" s="114" t="str">
        <f>_xlfn.CONCAT(AD18," - Electrical services for ",S18, " (", VLOOKUP(S18,[1]Backend!C:D,2,FALSE), ") ",Z18," (Form ",T18, "-", U18, " Rated)
")</f>
        <v xml:space="preserve">0 - Electrical services for 0 (Zero) 0 Pole MSSB (Form 0-0 Rated)
</v>
      </c>
      <c r="AB18"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8" s="424" t="str">
        <f t="shared" si="1"/>
        <v/>
      </c>
      <c r="AD18" s="114">
        <f t="shared" si="11"/>
        <v>0</v>
      </c>
    </row>
    <row r="19" spans="1:30" x14ac:dyDescent="0.4">
      <c r="A19" s="422" t="str">
        <f t="shared" si="2"/>
        <v>INVALID</v>
      </c>
      <c r="B19" s="114" t="str">
        <f t="shared" si="3"/>
        <v>MSSB 18</v>
      </c>
      <c r="C19" s="423">
        <f t="shared" si="4"/>
        <v>0</v>
      </c>
      <c r="D19" s="114">
        <f t="shared" si="5"/>
        <v>0</v>
      </c>
      <c r="G19" s="114" t="e">
        <f>VLOOKUP(I19,'Part List'!A:G,3,FALSE) + IF(W19="MS3100", VLOOKUP(W19,'Part List'!A:G,3,FALSE), 0)</f>
        <v>#N/A</v>
      </c>
      <c r="H19" s="114" t="e">
        <f>VLOOKUP(I19,'Part List'!A:G,5,FALSE) + IF(W19="MS3100", VLOOKUP(W19,'Part List'!A:G,5,FALSE), 0)</f>
        <v>#N/A</v>
      </c>
      <c r="I19" s="114">
        <f>IF(COUNTIF(_MSSB!$E$2:$E$6,'@MSSB'!N19) = 1,INDEX(_MSSB!J:J,MATCH(1,INDEX(('@MSSB'!L19=_MSSB!H:H)*('@MSSB'!N19=_MSSB!I:I),0,1),0)),INDEX(_MSSB!M:M,MATCH(1,INDEX((K19=_MSSB!L:L)*(L19=_MSSB!H:H)*(M19=_MSSB!I:I)*(N19=_MSSB!J:J)*(O19=_MSSB!K:K),0,1),0)))</f>
        <v>0</v>
      </c>
      <c r="P19" s="114" t="str">
        <f>IFERROR((VLOOKUP(I19,_MSSB!J:K,2,FALSE)),"")</f>
        <v/>
      </c>
      <c r="Q19" s="114" t="str">
        <f t="shared" si="6"/>
        <v/>
      </c>
      <c r="R19" s="286">
        <f t="shared" si="7"/>
        <v>0</v>
      </c>
      <c r="S19" s="286">
        <f t="shared" si="8"/>
        <v>0</v>
      </c>
      <c r="T19" s="286">
        <f>IF(COUNTIF(_MSSB!$E$2:$E$6,'@MSSB'!N19) = 1,1,J19)</f>
        <v>0</v>
      </c>
      <c r="U19" s="286">
        <f>IF(COUNTIF(_MSSB!$E$2:$E$6,'@MSSB'!N19) = 1,"IP65",K19)</f>
        <v>0</v>
      </c>
      <c r="V19" s="286">
        <f t="shared" si="9"/>
        <v>0</v>
      </c>
      <c r="W19" s="286">
        <f>IF(COUNTIF(_MSSB!$E$2:$E$6,'@MSSB'!N19) = 1,"MS3100",M19)</f>
        <v>0</v>
      </c>
      <c r="X19" s="286">
        <f t="shared" si="10"/>
        <v>0</v>
      </c>
      <c r="Y19" s="286">
        <f>IF(COUNTIF(_MSSB!$E$2:$E$6,'@MSSB'!N19) = 1,"N/A",O19)</f>
        <v>0</v>
      </c>
      <c r="Z19" s="114" t="str">
        <f>IF(COUNTIF(_MSSB!$E$2:$E$6,'@MSSB'!N19) = 1,_xlfn.CONCAT(X19, "mm Enclosure"),_xlfn.CONCAT(X19, " Pole MSSB"))</f>
        <v>0 Pole MSSB</v>
      </c>
      <c r="AA19" s="114" t="str">
        <f>_xlfn.CONCAT(AD19," - Electrical services for ",S19, " (", VLOOKUP(S19,[1]Backend!C:D,2,FALSE), ") ",Z19," (Form ",T19, "-", U19, " Rated)
")</f>
        <v xml:space="preserve">0 - Electrical services for 0 (Zero) 0 Pole MSSB (Form 0-0 Rated)
</v>
      </c>
      <c r="AB19"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19" s="424" t="str">
        <f t="shared" si="1"/>
        <v/>
      </c>
      <c r="AD19" s="114">
        <f t="shared" si="11"/>
        <v>0</v>
      </c>
    </row>
    <row r="20" spans="1:30" x14ac:dyDescent="0.4">
      <c r="A20" s="422" t="str">
        <f t="shared" si="2"/>
        <v>INVALID</v>
      </c>
      <c r="B20" s="114" t="str">
        <f t="shared" si="3"/>
        <v>MSSB 19</v>
      </c>
      <c r="C20" s="423">
        <f t="shared" si="4"/>
        <v>0</v>
      </c>
      <c r="D20" s="114">
        <f t="shared" si="5"/>
        <v>0</v>
      </c>
      <c r="G20" s="114" t="e">
        <f>VLOOKUP(I20,'Part List'!A:G,3,FALSE) + IF(W20="MS3100", VLOOKUP(W20,'Part List'!A:G,3,FALSE), 0)</f>
        <v>#N/A</v>
      </c>
      <c r="H20" s="114" t="e">
        <f>VLOOKUP(I20,'Part List'!A:G,5,FALSE) + IF(W20="MS3100", VLOOKUP(W20,'Part List'!A:G,5,FALSE), 0)</f>
        <v>#N/A</v>
      </c>
      <c r="I20" s="114">
        <f>IF(COUNTIF(_MSSB!$E$2:$E$6,'@MSSB'!N20) = 1,INDEX(_MSSB!J:J,MATCH(1,INDEX(('@MSSB'!L20=_MSSB!H:H)*('@MSSB'!N20=_MSSB!I:I),0,1),0)),INDEX(_MSSB!M:M,MATCH(1,INDEX((K20=_MSSB!L:L)*(L20=_MSSB!H:H)*(M20=_MSSB!I:I)*(N20=_MSSB!J:J)*(O20=_MSSB!K:K),0,1),0)))</f>
        <v>0</v>
      </c>
      <c r="P20" s="114" t="str">
        <f>IFERROR((VLOOKUP(I20,_MSSB!J:K,2,FALSE)),"")</f>
        <v/>
      </c>
      <c r="Q20" s="114" t="str">
        <f t="shared" si="6"/>
        <v/>
      </c>
      <c r="R20" s="286">
        <f t="shared" si="7"/>
        <v>0</v>
      </c>
      <c r="S20" s="286">
        <f t="shared" si="8"/>
        <v>0</v>
      </c>
      <c r="T20" s="286">
        <f>IF(COUNTIF(_MSSB!$E$2:$E$6,'@MSSB'!N20) = 1,1,J20)</f>
        <v>0</v>
      </c>
      <c r="U20" s="286">
        <f>IF(COUNTIF(_MSSB!$E$2:$E$6,'@MSSB'!N20) = 1,"IP65",K20)</f>
        <v>0</v>
      </c>
      <c r="V20" s="286">
        <f t="shared" si="9"/>
        <v>0</v>
      </c>
      <c r="W20" s="286">
        <f>IF(COUNTIF(_MSSB!$E$2:$E$6,'@MSSB'!N20) = 1,"MS3100",M20)</f>
        <v>0</v>
      </c>
      <c r="X20" s="286">
        <f t="shared" si="10"/>
        <v>0</v>
      </c>
      <c r="Y20" s="286">
        <f>IF(COUNTIF(_MSSB!$E$2:$E$6,'@MSSB'!N20) = 1,"N/A",O20)</f>
        <v>0</v>
      </c>
      <c r="Z20" s="114" t="str">
        <f>IF(COUNTIF(_MSSB!$E$2:$E$6,'@MSSB'!N20) = 1,_xlfn.CONCAT(X20, "mm Enclosure"),_xlfn.CONCAT(X20, " Pole MSSB"))</f>
        <v>0 Pole MSSB</v>
      </c>
      <c r="AA20" s="114" t="str">
        <f>_xlfn.CONCAT(AD20," - Electrical services for ",S20, " (", VLOOKUP(S20,[1]Backend!C:D,2,FALSE), ") ",Z20," (Form ",T20, "-", U20, " Rated)
")</f>
        <v xml:space="preserve">0 - Electrical services for 0 (Zero) 0 Pole MSSB (Form 0-0 Rated)
</v>
      </c>
      <c r="AB20"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0" s="424" t="str">
        <f t="shared" si="1"/>
        <v/>
      </c>
      <c r="AD20" s="114">
        <f t="shared" si="11"/>
        <v>0</v>
      </c>
    </row>
    <row r="21" spans="1:30" x14ac:dyDescent="0.4">
      <c r="A21" s="422" t="str">
        <f t="shared" si="2"/>
        <v>INVALID</v>
      </c>
      <c r="B21" s="114" t="str">
        <f t="shared" si="3"/>
        <v>MSSB 20</v>
      </c>
      <c r="C21" s="423">
        <f t="shared" si="4"/>
        <v>0</v>
      </c>
      <c r="D21" s="114">
        <f t="shared" si="5"/>
        <v>0</v>
      </c>
      <c r="G21" s="114" t="e">
        <f>VLOOKUP(I21,'Part List'!A:G,3,FALSE) + IF(W21="MS3100", VLOOKUP(W21,'Part List'!A:G,3,FALSE), 0)</f>
        <v>#N/A</v>
      </c>
      <c r="H21" s="114" t="e">
        <f>VLOOKUP(I21,'Part List'!A:G,5,FALSE) + IF(W21="MS3100", VLOOKUP(W21,'Part List'!A:G,5,FALSE), 0)</f>
        <v>#N/A</v>
      </c>
      <c r="I21" s="114">
        <f>IF(COUNTIF(_MSSB!$E$2:$E$6,'@MSSB'!N21) = 1,INDEX(_MSSB!J:J,MATCH(1,INDEX(('@MSSB'!L21=_MSSB!H:H)*('@MSSB'!N21=_MSSB!I:I),0,1),0)),INDEX(_MSSB!M:M,MATCH(1,INDEX((K21=_MSSB!L:L)*(L21=_MSSB!H:H)*(M21=_MSSB!I:I)*(N21=_MSSB!J:J)*(O21=_MSSB!K:K),0,1),0)))</f>
        <v>0</v>
      </c>
      <c r="P21" s="114" t="str">
        <f>IFERROR((VLOOKUP(I21,_MSSB!J:K,2,FALSE)),"")</f>
        <v/>
      </c>
      <c r="Q21" s="114" t="str">
        <f t="shared" si="6"/>
        <v/>
      </c>
      <c r="R21" s="286">
        <f t="shared" si="7"/>
        <v>0</v>
      </c>
      <c r="S21" s="286">
        <f t="shared" si="8"/>
        <v>0</v>
      </c>
      <c r="T21" s="286">
        <f>IF(COUNTIF(_MSSB!$E$2:$E$6,'@MSSB'!N21) = 1,1,J21)</f>
        <v>0</v>
      </c>
      <c r="U21" s="286">
        <f>IF(COUNTIF(_MSSB!$E$2:$E$6,'@MSSB'!N21) = 1,"IP65",K21)</f>
        <v>0</v>
      </c>
      <c r="V21" s="286">
        <f t="shared" si="9"/>
        <v>0</v>
      </c>
      <c r="W21" s="286">
        <f>IF(COUNTIF(_MSSB!$E$2:$E$6,'@MSSB'!N21) = 1,"MS3100",M21)</f>
        <v>0</v>
      </c>
      <c r="X21" s="286">
        <f t="shared" si="10"/>
        <v>0</v>
      </c>
      <c r="Y21" s="286">
        <f>IF(COUNTIF(_MSSB!$E$2:$E$6,'@MSSB'!N21) = 1,"N/A",O21)</f>
        <v>0</v>
      </c>
      <c r="Z21" s="114" t="str">
        <f>IF(COUNTIF(_MSSB!$E$2:$E$6,'@MSSB'!N21) = 1,_xlfn.CONCAT(X21, "mm Enclosure"),_xlfn.CONCAT(X21, " Pole MSSB"))</f>
        <v>0 Pole MSSB</v>
      </c>
      <c r="AA21" s="114" t="str">
        <f>_xlfn.CONCAT(AD21," - Electrical services for ",S21, " (", VLOOKUP(S21,[1]Backend!C:D,2,FALSE), ") ",Z21," (Form ",T21, "-", U21, " Rated)
")</f>
        <v xml:space="preserve">0 - Electrical services for 0 (Zero) 0 Pole MSSB (Form 0-0 Rated)
</v>
      </c>
      <c r="AB21"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1" s="424" t="str">
        <f t="shared" si="1"/>
        <v/>
      </c>
      <c r="AD21" s="114">
        <f t="shared" si="11"/>
        <v>0</v>
      </c>
    </row>
    <row r="22" spans="1:30" x14ac:dyDescent="0.4">
      <c r="A22" s="422" t="str">
        <f t="shared" si="2"/>
        <v>INVALID</v>
      </c>
      <c r="B22" s="114" t="str">
        <f t="shared" si="3"/>
        <v>MSSB 21</v>
      </c>
      <c r="C22" s="423">
        <f t="shared" si="4"/>
        <v>0</v>
      </c>
      <c r="D22" s="114">
        <f t="shared" si="5"/>
        <v>0</v>
      </c>
      <c r="G22" s="114" t="e">
        <f>VLOOKUP(I22,'Part List'!A:G,3,FALSE) + IF(W22="MS3100", VLOOKUP(W22,'Part List'!A:G,3,FALSE), 0)</f>
        <v>#N/A</v>
      </c>
      <c r="H22" s="114" t="e">
        <f>VLOOKUP(I22,'Part List'!A:G,5,FALSE) + IF(W22="MS3100", VLOOKUP(W22,'Part List'!A:G,5,FALSE), 0)</f>
        <v>#N/A</v>
      </c>
      <c r="I22" s="114">
        <f>IF(COUNTIF(_MSSB!$E$2:$E$6,'@MSSB'!N22) = 1,INDEX(_MSSB!J:J,MATCH(1,INDEX(('@MSSB'!L22=_MSSB!H:H)*('@MSSB'!N22=_MSSB!I:I),0,1),0)),INDEX(_MSSB!M:M,MATCH(1,INDEX((K22=_MSSB!L:L)*(L22=_MSSB!H:H)*(M22=_MSSB!I:I)*(N22=_MSSB!J:J)*(O22=_MSSB!K:K),0,1),0)))</f>
        <v>0</v>
      </c>
      <c r="P22" s="114" t="str">
        <f>IFERROR((VLOOKUP(I22,_MSSB!J:K,2,FALSE)),"")</f>
        <v/>
      </c>
      <c r="Q22" s="114" t="str">
        <f t="shared" si="6"/>
        <v/>
      </c>
      <c r="R22" s="286">
        <f t="shared" si="7"/>
        <v>0</v>
      </c>
      <c r="S22" s="286">
        <f t="shared" si="8"/>
        <v>0</v>
      </c>
      <c r="T22" s="286">
        <f>IF(COUNTIF(_MSSB!$E$2:$E$6,'@MSSB'!N22) = 1,1,J22)</f>
        <v>0</v>
      </c>
      <c r="U22" s="286">
        <f>IF(COUNTIF(_MSSB!$E$2:$E$6,'@MSSB'!N22) = 1,"IP65",K22)</f>
        <v>0</v>
      </c>
      <c r="V22" s="286">
        <f t="shared" si="9"/>
        <v>0</v>
      </c>
      <c r="W22" s="286">
        <f>IF(COUNTIF(_MSSB!$E$2:$E$6,'@MSSB'!N22) = 1,"MS3100",M22)</f>
        <v>0</v>
      </c>
      <c r="X22" s="286">
        <f t="shared" si="10"/>
        <v>0</v>
      </c>
      <c r="Y22" s="286">
        <f>IF(COUNTIF(_MSSB!$E$2:$E$6,'@MSSB'!N22) = 1,"N/A",O22)</f>
        <v>0</v>
      </c>
      <c r="Z22" s="114" t="str">
        <f>IF(COUNTIF(_MSSB!$E$2:$E$6,'@MSSB'!N22) = 1,_xlfn.CONCAT(X22, "mm Enclosure"),_xlfn.CONCAT(X22, " Pole MSSB"))</f>
        <v>0 Pole MSSB</v>
      </c>
      <c r="AA22" s="114" t="str">
        <f>_xlfn.CONCAT(AD22," - Electrical services for ",S22, " (", VLOOKUP(S22,[1]Backend!C:D,2,FALSE), ") ",Z22," (Form ",T22, "-", U22, " Rated)
")</f>
        <v xml:space="preserve">0 - Electrical services for 0 (Zero) 0 Pole MSSB (Form 0-0 Rated)
</v>
      </c>
      <c r="AB22" s="114" t="str">
        <f t="shared" si="0"/>
        <v xml:space="preserve">        0.1 - This includes supply and install of Main switch (0 Amp), contactors, circuit breakers, busbar, wiring, Traffolyte labelling miscellaneous items, testing, escutcheon plate (to retain IP rating for mounting of lights and switches), and powder coated enclosure.
        0.2 - Please note: MSSB includes other components listed under each system type.</v>
      </c>
      <c r="AC22" s="424" t="str">
        <f t="shared" si="1"/>
        <v/>
      </c>
      <c r="AD22" s="114">
        <f t="shared" si="11"/>
        <v>0</v>
      </c>
    </row>
    <row r="23" spans="1:30" x14ac:dyDescent="0.4">
      <c r="Q23" s="114" t="str">
        <f t="shared" si="6"/>
        <v/>
      </c>
      <c r="Y23" s="286"/>
    </row>
    <row r="24" spans="1:30" x14ac:dyDescent="0.4">
      <c r="Y24" s="286"/>
    </row>
  </sheetData>
  <conditionalFormatting sqref="A2:A22">
    <cfRule type="cellIs" dxfId="176" priority="2" operator="equal">
      <formula>"INVALID"</formula>
    </cfRule>
    <cfRule type="cellIs" dxfId="175" priority="3" operator="equal">
      <formula>"VALID"</formula>
    </cfRule>
  </conditionalFormatting>
  <conditionalFormatting sqref="J2:O22 Q2:Q23">
    <cfRule type="cellIs" dxfId="174" priority="1" operator="equal">
      <formula>$ZU$2</formula>
    </cfRule>
  </conditionalFormatting>
  <dataValidations count="1">
    <dataValidation type="decimal" operator="greaterThanOrEqual" allowBlank="1" showInputMessage="1" showErrorMessage="1" promptTitle="[OVERRIDE] Hours" prompt="Override the default hours for the unit_x000a_" sqref="H2:H22" xr:uid="{06226B90-F587-4653-A547-EF92C2E111AA}">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6">
        <x14:dataValidation type="list" allowBlank="1" showInputMessage="1" showErrorMessage="1" promptTitle="Poles or Dimensions" prompt="For MSSB/Distribution boards specify the number of poles_x000a_For enclosures specify the dimesions" xr:uid="{DD107E70-F8EC-4A6B-A45A-0BCC6DC16799}">
          <x14:formula1>
            <xm:f>_MSSB!$E$2:$E$11</xm:f>
          </x14:formula1>
          <xm:sqref>N2:N22</xm:sqref>
        </x14:dataValidation>
        <x14:dataValidation type="list" allowBlank="1" showInputMessage="1" showErrorMessage="1" promptTitle="IP Rating" xr:uid="{83DC48F9-8F26-4B1A-9911-83A4C179CBF4}">
          <x14:formula1>
            <xm:f>_MSSB!$B$2:$B$4</xm:f>
          </x14:formula1>
          <xm:sqref>K2:K22</xm:sqref>
        </x14:dataValidation>
        <x14:dataValidation type="list" allowBlank="1" showInputMessage="1" showErrorMessage="1" promptTitle="Non-Auto/MCCB" prompt="For enclosures: N/A_x000a_For standard mech elec: Non-Auto_x000a_MCCB: For motor control (QIE, not IAC)" xr:uid="{7B478D97-1D9C-43A5-BBFE-0F1E241D9685}">
          <x14:formula1>
            <xm:f>_MSSB!$F$2:$F$3</xm:f>
          </x14:formula1>
          <xm:sqref>O2:O22</xm:sqref>
        </x14:dataValidation>
        <x14:dataValidation type="list" allowBlank="1" showInputMessage="1" showErrorMessage="1" promptTitle="250/400" xr:uid="{D294A5BB-DC48-487B-9B7C-6D703195A156}">
          <x14:formula1>
            <xm:f>_MSSB!$D$2:$D$3</xm:f>
          </x14:formula1>
          <xm:sqref>M2:M22</xm:sqref>
        </x14:dataValidation>
        <x14:dataValidation type="list" allowBlank="1" showInputMessage="1" showErrorMessage="1" promptTitle="Colour" xr:uid="{0D995E05-BA1B-4628-A4FA-680D245E7F1B}">
          <x14:formula1>
            <xm:f>_MSSB!$C$2:$C$3</xm:f>
          </x14:formula1>
          <xm:sqref>L2:L22</xm:sqref>
        </x14:dataValidation>
        <x14:dataValidation type="list" allowBlank="1" showInputMessage="1" showErrorMessage="1" promptTitle="Form" prompt="{1,2,3}" xr:uid="{4A926123-058E-471D-9550-2DC08BECE333}">
          <x14:formula1>
            <xm:f>_MSSB!$A$2:$A$4</xm:f>
          </x14:formula1>
          <xm:sqref>J2:J22</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0D674E-5B12-48BE-81FF-2CF54E2C50DD}">
  <dimension ref="A1:Q92"/>
  <sheetViews>
    <sheetView workbookViewId="0">
      <selection activeCell="D26" sqref="D26"/>
    </sheetView>
  </sheetViews>
  <sheetFormatPr defaultRowHeight="14.6" x14ac:dyDescent="0.4"/>
  <cols>
    <col min="1" max="10" width="9.23046875" style="114"/>
    <col min="11" max="11" width="9.23046875" style="415"/>
    <col min="12" max="12" width="9.23046875" style="114"/>
    <col min="13" max="13" width="30.3046875" style="114" customWidth="1"/>
    <col min="14" max="15" width="9.23046875" style="114"/>
    <col min="16" max="17" width="20.61328125" style="114" customWidth="1"/>
    <col min="18" max="16384" width="9.23046875" style="114"/>
  </cols>
  <sheetData>
    <row r="1" spans="1:17" ht="43.75" x14ac:dyDescent="0.4">
      <c r="A1" s="33" t="s">
        <v>939</v>
      </c>
      <c r="B1" s="33" t="s">
        <v>940</v>
      </c>
      <c r="C1" s="33" t="s">
        <v>941</v>
      </c>
      <c r="D1" s="33" t="s">
        <v>942</v>
      </c>
      <c r="E1" s="33" t="s">
        <v>953</v>
      </c>
      <c r="F1" s="418" t="s">
        <v>944</v>
      </c>
      <c r="G1" s="33" t="s">
        <v>954</v>
      </c>
      <c r="H1" s="114" t="str">
        <f>C1</f>
        <v>Colour</v>
      </c>
      <c r="I1" s="114" t="s">
        <v>955</v>
      </c>
      <c r="J1" s="33" t="s">
        <v>956</v>
      </c>
      <c r="K1" s="415" t="s">
        <v>957</v>
      </c>
      <c r="L1" s="33" t="s">
        <v>834</v>
      </c>
      <c r="P1" s="114" t="str">
        <f>J1</f>
        <v>IGOC</v>
      </c>
      <c r="Q1" s="114" t="str">
        <f>L1</f>
        <v>Dore</v>
      </c>
    </row>
    <row r="2" spans="1:17" x14ac:dyDescent="0.4">
      <c r="A2" s="114">
        <v>1</v>
      </c>
      <c r="B2" s="114" t="s">
        <v>958</v>
      </c>
      <c r="C2" s="114" t="s">
        <v>948</v>
      </c>
      <c r="D2" s="114">
        <v>250</v>
      </c>
      <c r="E2" s="114" t="s">
        <v>959</v>
      </c>
      <c r="F2" s="114" t="s">
        <v>952</v>
      </c>
      <c r="H2" s="114" t="s">
        <v>948</v>
      </c>
      <c r="I2" s="114" t="s">
        <v>959</v>
      </c>
      <c r="J2" s="327" t="str">
        <f>_xlfn.CONCAT("EN",IF(I2=$E$2,46,IF(I2=$E$3,66,IF(I2=$E$4,68,IF(I2=$E$5,88,810)))),IF(H2="Orange","-O","-G"))</f>
        <v>EN46-O</v>
      </c>
      <c r="K2" s="415" t="s">
        <v>960</v>
      </c>
      <c r="L2" s="114" t="s">
        <v>961</v>
      </c>
      <c r="P2" s="114" t="str">
        <f t="shared" ref="P2:P11" si="0">J2</f>
        <v>EN46-O</v>
      </c>
      <c r="Q2" s="114" t="str">
        <f t="shared" ref="Q2:Q11" si="1">L2</f>
        <v>MBO4620</v>
      </c>
    </row>
    <row r="3" spans="1:17" x14ac:dyDescent="0.4">
      <c r="A3" s="114">
        <v>2</v>
      </c>
      <c r="B3" s="114" t="s">
        <v>962</v>
      </c>
      <c r="C3" s="114" t="s">
        <v>951</v>
      </c>
      <c r="D3" s="114">
        <v>400</v>
      </c>
      <c r="E3" s="114" t="s">
        <v>963</v>
      </c>
      <c r="F3" s="114" t="s">
        <v>950</v>
      </c>
      <c r="H3" s="114" t="s">
        <v>948</v>
      </c>
      <c r="I3" s="114" t="s">
        <v>963</v>
      </c>
      <c r="J3" s="327" t="str">
        <f t="shared" ref="J3:J11" si="2">_xlfn.CONCAT("EN",IF(I3=$E$2,46,IF(I3=$E$3,66,IF(I3=$E$4,68,IF(I3=$E$5,88,810)))),IF(H3="Orange","-O","-G"))</f>
        <v>EN66-O</v>
      </c>
      <c r="K3" s="415" t="s">
        <v>960</v>
      </c>
      <c r="L3" s="114" t="s">
        <v>746</v>
      </c>
      <c r="P3" s="114" t="str">
        <f t="shared" si="0"/>
        <v>EN66-O</v>
      </c>
      <c r="Q3" s="114" t="str">
        <f t="shared" si="1"/>
        <v>MBO6620</v>
      </c>
    </row>
    <row r="4" spans="1:17" x14ac:dyDescent="0.4">
      <c r="A4" s="114">
        <v>3</v>
      </c>
      <c r="B4" s="114" t="s">
        <v>947</v>
      </c>
      <c r="E4" s="114" t="s">
        <v>949</v>
      </c>
      <c r="H4" s="114" t="s">
        <v>948</v>
      </c>
      <c r="I4" s="114" t="s">
        <v>949</v>
      </c>
      <c r="J4" s="327" t="str">
        <f t="shared" si="2"/>
        <v>EN68-O</v>
      </c>
      <c r="K4" s="415" t="s">
        <v>960</v>
      </c>
      <c r="L4" s="114" t="s">
        <v>964</v>
      </c>
      <c r="P4" s="114" t="str">
        <f t="shared" si="0"/>
        <v>EN68-O</v>
      </c>
      <c r="Q4" s="114" t="str">
        <f t="shared" si="1"/>
        <v>MBO6825</v>
      </c>
    </row>
    <row r="5" spans="1:17" x14ac:dyDescent="0.4">
      <c r="A5" s="114" t="s">
        <v>965</v>
      </c>
      <c r="E5" s="114" t="s">
        <v>966</v>
      </c>
      <c r="H5" s="114" t="s">
        <v>948</v>
      </c>
      <c r="I5" s="114" t="s">
        <v>966</v>
      </c>
      <c r="J5" s="327" t="str">
        <f t="shared" si="2"/>
        <v>EN88-O</v>
      </c>
      <c r="K5" s="415" t="s">
        <v>967</v>
      </c>
      <c r="L5" s="114" t="s">
        <v>968</v>
      </c>
      <c r="P5" s="114" t="str">
        <f t="shared" si="0"/>
        <v>EN88-O</v>
      </c>
      <c r="Q5" s="114" t="str">
        <f t="shared" si="1"/>
        <v>N/A</v>
      </c>
    </row>
    <row r="6" spans="1:17" x14ac:dyDescent="0.4">
      <c r="E6" s="114" t="s">
        <v>969</v>
      </c>
      <c r="H6" s="114" t="s">
        <v>948</v>
      </c>
      <c r="I6" s="114" t="s">
        <v>969</v>
      </c>
      <c r="J6" s="327" t="str">
        <f t="shared" si="2"/>
        <v>EN810-O</v>
      </c>
      <c r="K6" s="415" t="s">
        <v>960</v>
      </c>
      <c r="L6" s="114" t="s">
        <v>970</v>
      </c>
      <c r="P6" s="114" t="str">
        <f t="shared" si="0"/>
        <v>EN810-O</v>
      </c>
      <c r="Q6" s="114" t="str">
        <f t="shared" si="1"/>
        <v>MB81030</v>
      </c>
    </row>
    <row r="7" spans="1:17" x14ac:dyDescent="0.4">
      <c r="E7" s="114">
        <v>24</v>
      </c>
      <c r="H7" s="114" t="s">
        <v>951</v>
      </c>
      <c r="I7" s="114" t="s">
        <v>959</v>
      </c>
      <c r="J7" s="327" t="str">
        <f t="shared" si="2"/>
        <v>EN46-G</v>
      </c>
      <c r="K7" s="415" t="s">
        <v>960</v>
      </c>
      <c r="L7" s="114" t="s">
        <v>971</v>
      </c>
      <c r="P7" s="114" t="str">
        <f t="shared" si="0"/>
        <v>EN46-G</v>
      </c>
      <c r="Q7" s="114" t="str">
        <f t="shared" si="1"/>
        <v>MB4620</v>
      </c>
    </row>
    <row r="8" spans="1:17" x14ac:dyDescent="0.4">
      <c r="E8" s="114">
        <v>36</v>
      </c>
      <c r="H8" s="114" t="s">
        <v>951</v>
      </c>
      <c r="I8" s="114" t="s">
        <v>963</v>
      </c>
      <c r="J8" s="327" t="str">
        <f t="shared" si="2"/>
        <v>EN66-G</v>
      </c>
      <c r="K8" s="415" t="s">
        <v>960</v>
      </c>
      <c r="L8" s="114" t="s">
        <v>972</v>
      </c>
      <c r="P8" s="114" t="str">
        <f t="shared" si="0"/>
        <v>EN66-G</v>
      </c>
      <c r="Q8" s="114" t="str">
        <f t="shared" si="1"/>
        <v>MB6630</v>
      </c>
    </row>
    <row r="9" spans="1:17" x14ac:dyDescent="0.4">
      <c r="E9" s="114">
        <v>48</v>
      </c>
      <c r="H9" s="114" t="s">
        <v>951</v>
      </c>
      <c r="I9" s="114" t="s">
        <v>949</v>
      </c>
      <c r="J9" s="327" t="str">
        <f t="shared" si="2"/>
        <v>EN68-G</v>
      </c>
      <c r="K9" s="415" t="s">
        <v>960</v>
      </c>
      <c r="L9" s="114" t="s">
        <v>973</v>
      </c>
      <c r="P9" s="114" t="str">
        <f t="shared" si="0"/>
        <v>EN68-G</v>
      </c>
      <c r="Q9" s="114" t="str">
        <f t="shared" si="1"/>
        <v>MB6830</v>
      </c>
    </row>
    <row r="10" spans="1:17" x14ac:dyDescent="0.4">
      <c r="E10" s="114">
        <v>60</v>
      </c>
      <c r="H10" s="114" t="s">
        <v>951</v>
      </c>
      <c r="I10" s="114" t="s">
        <v>966</v>
      </c>
      <c r="J10" s="327" t="str">
        <f t="shared" si="2"/>
        <v>EN88-G</v>
      </c>
      <c r="K10" s="415" t="s">
        <v>960</v>
      </c>
      <c r="L10" s="114" t="s">
        <v>974</v>
      </c>
      <c r="P10" s="114" t="str">
        <f t="shared" si="0"/>
        <v>EN88-G</v>
      </c>
      <c r="Q10" s="114" t="str">
        <f t="shared" si="1"/>
        <v>MB8830</v>
      </c>
    </row>
    <row r="11" spans="1:17" x14ac:dyDescent="0.4">
      <c r="E11" s="114">
        <v>72</v>
      </c>
      <c r="H11" s="114" t="s">
        <v>951</v>
      </c>
      <c r="I11" s="114" t="s">
        <v>969</v>
      </c>
      <c r="J11" s="327" t="str">
        <f t="shared" si="2"/>
        <v>EN810-G</v>
      </c>
      <c r="K11" s="415" t="s">
        <v>960</v>
      </c>
      <c r="L11" s="114" t="s">
        <v>970</v>
      </c>
      <c r="P11" s="114" t="str">
        <f t="shared" si="0"/>
        <v>EN810-G</v>
      </c>
      <c r="Q11" s="114" t="str">
        <f t="shared" si="1"/>
        <v>MB81030</v>
      </c>
    </row>
    <row r="12" spans="1:17" x14ac:dyDescent="0.4">
      <c r="M12" s="33"/>
      <c r="N12" s="33"/>
    </row>
    <row r="13" spans="1:17" x14ac:dyDescent="0.4">
      <c r="A13" s="33" t="s">
        <v>975</v>
      </c>
      <c r="G13" s="114" t="s">
        <v>976</v>
      </c>
      <c r="H13" s="114" t="s">
        <v>948</v>
      </c>
      <c r="I13" s="114">
        <f>D2</f>
        <v>250</v>
      </c>
      <c r="J13" s="114">
        <v>24</v>
      </c>
      <c r="K13" s="415" t="str">
        <f>F2</f>
        <v>Non-Auto</v>
      </c>
      <c r="L13" s="114" t="s">
        <v>962</v>
      </c>
      <c r="M13" s="114" t="str">
        <f>_xlfn.CONCAT("DB",J13,"-",IF(I13=250,"2-","4-"),IF(L13="IP42",42,56),IF(H13="Orange","-O","-G"),IF(K13="Non-Auto","","-M"))</f>
        <v>DB24-2-42-O</v>
      </c>
      <c r="N13" s="114" t="str">
        <f>_xlfn.CONCAT("EUR-MDB",J13,IF(H13="Orange","O","G"),IF(I13=250,IF(K13="Non-Auto",IF(H13="Orange","R",""),"2MC"),IF(K13="Non-Auto","4NA","4MC")),IF(L13="IP42","",IF(AND(K13="Non-Auto",I13=250),"/WP","WP")))</f>
        <v>EUR-MDB24OR</v>
      </c>
      <c r="P13" s="114" t="str">
        <f t="shared" ref="P13:Q76" si="3">M13</f>
        <v>DB24-2-42-O</v>
      </c>
      <c r="Q13" s="114" t="str">
        <f t="shared" si="3"/>
        <v>EUR-MDB24OR</v>
      </c>
    </row>
    <row r="14" spans="1:17" x14ac:dyDescent="0.4">
      <c r="A14" s="114" t="s">
        <v>965</v>
      </c>
      <c r="B14" s="114" t="s">
        <v>977</v>
      </c>
      <c r="H14" s="114" t="s">
        <v>948</v>
      </c>
      <c r="I14" s="114">
        <f>D2</f>
        <v>250</v>
      </c>
      <c r="J14" s="114">
        <v>24</v>
      </c>
      <c r="K14" s="415" t="str">
        <f>F3</f>
        <v>MCCB</v>
      </c>
      <c r="L14" s="114" t="s">
        <v>962</v>
      </c>
      <c r="M14" s="114" t="str">
        <f t="shared" ref="M14:M77" si="4">_xlfn.CONCAT("DB",J14,"-",IF(I14=250,"2-","4-"),IF(L14="IP42",42,56),IF(H14="Orange","-O","-G"),IF(K14="Non-Auto","","-M"))</f>
        <v>DB24-2-42-O-M</v>
      </c>
      <c r="N14" s="114" t="str">
        <f t="shared" ref="N14:N77" si="5">_xlfn.CONCAT("EUR-MDB",J14,IF(H14="Orange","O","G"),IF(I14=250,IF(K14="Non-Auto",IF(H14="Orange","R",""),"2MC"),IF(K14="Non-Auto","4NA","4MC")),IF(L14="IP42","",IF(AND(K14="Non-Auto",I14=250),"/WP","WP")))</f>
        <v>EUR-MDB24O2MC</v>
      </c>
      <c r="P14" s="114" t="str">
        <f t="shared" si="3"/>
        <v>DB24-2-42-O-M</v>
      </c>
      <c r="Q14" s="114" t="str">
        <f t="shared" si="3"/>
        <v>EUR-MDB24O2MC</v>
      </c>
    </row>
    <row r="15" spans="1:17" x14ac:dyDescent="0.4">
      <c r="A15" s="114" t="s">
        <v>978</v>
      </c>
      <c r="B15" s="114" t="s">
        <v>979</v>
      </c>
      <c r="H15" s="114" t="s">
        <v>948</v>
      </c>
      <c r="I15" s="114">
        <f>D2</f>
        <v>250</v>
      </c>
      <c r="J15" s="114">
        <v>36</v>
      </c>
      <c r="K15" s="415" t="s">
        <v>952</v>
      </c>
      <c r="L15" s="114" t="s">
        <v>962</v>
      </c>
      <c r="M15" s="114" t="str">
        <f t="shared" si="4"/>
        <v>DB36-2-42-O</v>
      </c>
      <c r="N15" s="114" t="str">
        <f t="shared" si="5"/>
        <v>EUR-MDB36OR</v>
      </c>
      <c r="P15" s="114" t="str">
        <f t="shared" si="3"/>
        <v>DB36-2-42-O</v>
      </c>
      <c r="Q15" s="114" t="str">
        <f t="shared" si="3"/>
        <v>EUR-MDB36OR</v>
      </c>
    </row>
    <row r="16" spans="1:17" x14ac:dyDescent="0.4">
      <c r="H16" s="114" t="s">
        <v>948</v>
      </c>
      <c r="I16" s="114">
        <f>D2</f>
        <v>250</v>
      </c>
      <c r="J16" s="114">
        <v>36</v>
      </c>
      <c r="K16" s="415" t="s">
        <v>950</v>
      </c>
      <c r="L16" s="114" t="s">
        <v>962</v>
      </c>
      <c r="M16" s="114" t="str">
        <f t="shared" si="4"/>
        <v>DB36-2-42-O-M</v>
      </c>
      <c r="N16" s="114" t="str">
        <f t="shared" si="5"/>
        <v>EUR-MDB36O2MC</v>
      </c>
      <c r="P16" s="114" t="str">
        <f t="shared" si="3"/>
        <v>DB36-2-42-O-M</v>
      </c>
      <c r="Q16" s="114" t="str">
        <f t="shared" si="3"/>
        <v>EUR-MDB36O2MC</v>
      </c>
    </row>
    <row r="17" spans="8:17" x14ac:dyDescent="0.4">
      <c r="H17" s="114" t="s">
        <v>948</v>
      </c>
      <c r="I17" s="114">
        <f>D2</f>
        <v>250</v>
      </c>
      <c r="J17" s="114">
        <f>E9</f>
        <v>48</v>
      </c>
      <c r="K17" s="415" t="str">
        <f>K15</f>
        <v>Non-Auto</v>
      </c>
      <c r="L17" s="114" t="s">
        <v>962</v>
      </c>
      <c r="M17" s="114" t="str">
        <f t="shared" si="4"/>
        <v>DB48-2-42-O</v>
      </c>
      <c r="N17" s="114" t="str">
        <f t="shared" si="5"/>
        <v>EUR-MDB48OR</v>
      </c>
      <c r="P17" s="114" t="str">
        <f t="shared" si="3"/>
        <v>DB48-2-42-O</v>
      </c>
      <c r="Q17" s="114" t="str">
        <f t="shared" si="3"/>
        <v>EUR-MDB48OR</v>
      </c>
    </row>
    <row r="18" spans="8:17" x14ac:dyDescent="0.4">
      <c r="H18" s="114" t="s">
        <v>948</v>
      </c>
      <c r="I18" s="114">
        <f>D2</f>
        <v>250</v>
      </c>
      <c r="J18" s="114">
        <f>E9</f>
        <v>48</v>
      </c>
      <c r="K18" s="415" t="str">
        <f>K16</f>
        <v>MCCB</v>
      </c>
      <c r="L18" s="114" t="s">
        <v>962</v>
      </c>
      <c r="M18" s="114" t="str">
        <f t="shared" si="4"/>
        <v>DB48-2-42-O-M</v>
      </c>
      <c r="N18" s="114" t="str">
        <f t="shared" si="5"/>
        <v>EUR-MDB48O2MC</v>
      </c>
      <c r="P18" s="114" t="str">
        <f t="shared" si="3"/>
        <v>DB48-2-42-O-M</v>
      </c>
      <c r="Q18" s="114" t="str">
        <f t="shared" si="3"/>
        <v>EUR-MDB48O2MC</v>
      </c>
    </row>
    <row r="19" spans="8:17" x14ac:dyDescent="0.4">
      <c r="H19" s="114" t="str">
        <f>H18</f>
        <v>Orange</v>
      </c>
      <c r="I19" s="114">
        <f>I18</f>
        <v>250</v>
      </c>
      <c r="J19" s="114">
        <v>60</v>
      </c>
      <c r="K19" s="415" t="str">
        <f>K17</f>
        <v>Non-Auto</v>
      </c>
      <c r="L19" s="114" t="str">
        <f>L18</f>
        <v>IP42</v>
      </c>
      <c r="M19" s="114" t="str">
        <f t="shared" si="4"/>
        <v>DB60-2-42-O</v>
      </c>
      <c r="N19" s="114" t="str">
        <f t="shared" si="5"/>
        <v>EUR-MDB60OR</v>
      </c>
      <c r="P19" s="114" t="str">
        <f t="shared" si="3"/>
        <v>DB60-2-42-O</v>
      </c>
      <c r="Q19" s="114" t="str">
        <f t="shared" si="3"/>
        <v>EUR-MDB60OR</v>
      </c>
    </row>
    <row r="20" spans="8:17" x14ac:dyDescent="0.4">
      <c r="H20" s="114" t="str">
        <f t="shared" ref="H20:I22" si="6">H19</f>
        <v>Orange</v>
      </c>
      <c r="I20" s="114">
        <f t="shared" si="6"/>
        <v>250</v>
      </c>
      <c r="J20" s="114">
        <v>60</v>
      </c>
      <c r="K20" s="415" t="str">
        <f t="shared" ref="K20:K22" si="7">K18</f>
        <v>MCCB</v>
      </c>
      <c r="L20" s="114" t="str">
        <f t="shared" ref="L20:L22" si="8">L19</f>
        <v>IP42</v>
      </c>
      <c r="M20" s="114" t="str">
        <f t="shared" si="4"/>
        <v>DB60-2-42-O-M</v>
      </c>
      <c r="N20" s="114" t="str">
        <f t="shared" si="5"/>
        <v>EUR-MDB60O2MC</v>
      </c>
      <c r="P20" s="114" t="str">
        <f t="shared" si="3"/>
        <v>DB60-2-42-O-M</v>
      </c>
      <c r="Q20" s="114" t="str">
        <f t="shared" si="3"/>
        <v>EUR-MDB60O2MC</v>
      </c>
    </row>
    <row r="21" spans="8:17" x14ac:dyDescent="0.4">
      <c r="H21" s="114" t="str">
        <f t="shared" si="6"/>
        <v>Orange</v>
      </c>
      <c r="I21" s="114">
        <f t="shared" si="6"/>
        <v>250</v>
      </c>
      <c r="J21" s="114">
        <v>72</v>
      </c>
      <c r="K21" s="415" t="str">
        <f t="shared" si="7"/>
        <v>Non-Auto</v>
      </c>
      <c r="L21" s="114" t="str">
        <f t="shared" si="8"/>
        <v>IP42</v>
      </c>
      <c r="M21" s="114" t="str">
        <f t="shared" si="4"/>
        <v>DB72-2-42-O</v>
      </c>
      <c r="N21" s="114" t="str">
        <f t="shared" si="5"/>
        <v>EUR-MDB72OR</v>
      </c>
      <c r="P21" s="114" t="str">
        <f t="shared" si="3"/>
        <v>DB72-2-42-O</v>
      </c>
      <c r="Q21" s="114" t="str">
        <f t="shared" si="3"/>
        <v>EUR-MDB72OR</v>
      </c>
    </row>
    <row r="22" spans="8:17" x14ac:dyDescent="0.4">
      <c r="H22" s="114" t="str">
        <f t="shared" si="6"/>
        <v>Orange</v>
      </c>
      <c r="I22" s="114">
        <f t="shared" si="6"/>
        <v>250</v>
      </c>
      <c r="J22" s="114">
        <v>72</v>
      </c>
      <c r="K22" s="415" t="str">
        <f t="shared" si="7"/>
        <v>MCCB</v>
      </c>
      <c r="L22" s="114" t="str">
        <f t="shared" si="8"/>
        <v>IP42</v>
      </c>
      <c r="M22" s="114" t="str">
        <f t="shared" si="4"/>
        <v>DB72-2-42-O-M</v>
      </c>
      <c r="N22" s="114" t="str">
        <f t="shared" si="5"/>
        <v>EUR-MDB72O2MC</v>
      </c>
      <c r="P22" s="114" t="str">
        <f t="shared" si="3"/>
        <v>DB72-2-42-O-M</v>
      </c>
      <c r="Q22" s="114" t="str">
        <f t="shared" si="3"/>
        <v>EUR-MDB72O2MC</v>
      </c>
    </row>
    <row r="23" spans="8:17" x14ac:dyDescent="0.4">
      <c r="H23" s="114" t="s">
        <v>948</v>
      </c>
      <c r="I23" s="114">
        <v>250</v>
      </c>
      <c r="J23" s="114">
        <v>24</v>
      </c>
      <c r="K23" s="415" t="s">
        <v>952</v>
      </c>
      <c r="L23" s="114" t="s">
        <v>947</v>
      </c>
      <c r="M23" s="114" t="str">
        <f t="shared" si="4"/>
        <v>DB24-2-56-O</v>
      </c>
      <c r="N23" s="114" t="str">
        <f t="shared" si="5"/>
        <v>EUR-MDB24OR/WP</v>
      </c>
      <c r="P23" s="114" t="str">
        <f t="shared" si="3"/>
        <v>DB24-2-56-O</v>
      </c>
      <c r="Q23" s="114" t="str">
        <f t="shared" si="3"/>
        <v>EUR-MDB24OR/WP</v>
      </c>
    </row>
    <row r="24" spans="8:17" x14ac:dyDescent="0.4">
      <c r="H24" s="114" t="s">
        <v>948</v>
      </c>
      <c r="I24" s="114">
        <v>250</v>
      </c>
      <c r="J24" s="114">
        <v>24</v>
      </c>
      <c r="K24" s="415" t="s">
        <v>950</v>
      </c>
      <c r="L24" s="114" t="s">
        <v>947</v>
      </c>
      <c r="M24" s="114" t="str">
        <f t="shared" si="4"/>
        <v>DB24-2-56-O-M</v>
      </c>
      <c r="N24" s="114" t="str">
        <f t="shared" si="5"/>
        <v>EUR-MDB24O2MCWP</v>
      </c>
      <c r="P24" s="114" t="str">
        <f t="shared" si="3"/>
        <v>DB24-2-56-O-M</v>
      </c>
      <c r="Q24" s="114" t="str">
        <f t="shared" si="3"/>
        <v>EUR-MDB24O2MCWP</v>
      </c>
    </row>
    <row r="25" spans="8:17" x14ac:dyDescent="0.4">
      <c r="H25" s="114" t="s">
        <v>948</v>
      </c>
      <c r="I25" s="114">
        <v>250</v>
      </c>
      <c r="J25" s="114">
        <v>36</v>
      </c>
      <c r="K25" s="415" t="s">
        <v>952</v>
      </c>
      <c r="L25" s="114" t="s">
        <v>947</v>
      </c>
      <c r="M25" s="114" t="str">
        <f t="shared" si="4"/>
        <v>DB36-2-56-O</v>
      </c>
      <c r="N25" s="114" t="str">
        <f t="shared" si="5"/>
        <v>EUR-MDB36OR/WP</v>
      </c>
      <c r="P25" s="114" t="str">
        <f t="shared" si="3"/>
        <v>DB36-2-56-O</v>
      </c>
      <c r="Q25" s="114" t="str">
        <f t="shared" si="3"/>
        <v>EUR-MDB36OR/WP</v>
      </c>
    </row>
    <row r="26" spans="8:17" x14ac:dyDescent="0.4">
      <c r="H26" s="114" t="s">
        <v>948</v>
      </c>
      <c r="I26" s="114">
        <v>250</v>
      </c>
      <c r="J26" s="114">
        <v>36</v>
      </c>
      <c r="K26" s="415" t="s">
        <v>950</v>
      </c>
      <c r="L26" s="114" t="s">
        <v>947</v>
      </c>
      <c r="M26" s="114" t="str">
        <f t="shared" si="4"/>
        <v>DB36-2-56-O-M</v>
      </c>
      <c r="N26" s="114" t="str">
        <f t="shared" si="5"/>
        <v>EUR-MDB36O2MCWP</v>
      </c>
      <c r="P26" s="114" t="str">
        <f t="shared" si="3"/>
        <v>DB36-2-56-O-M</v>
      </c>
      <c r="Q26" s="114" t="str">
        <f t="shared" si="3"/>
        <v>EUR-MDB36O2MCWP</v>
      </c>
    </row>
    <row r="27" spans="8:17" x14ac:dyDescent="0.4">
      <c r="H27" s="114" t="s">
        <v>948</v>
      </c>
      <c r="I27" s="114">
        <v>250</v>
      </c>
      <c r="J27" s="114">
        <v>48</v>
      </c>
      <c r="K27" s="415" t="s">
        <v>952</v>
      </c>
      <c r="L27" s="114" t="s">
        <v>947</v>
      </c>
      <c r="M27" s="114" t="str">
        <f t="shared" si="4"/>
        <v>DB48-2-56-O</v>
      </c>
      <c r="N27" s="114" t="str">
        <f t="shared" si="5"/>
        <v>EUR-MDB48OR/WP</v>
      </c>
      <c r="P27" s="114" t="str">
        <f t="shared" si="3"/>
        <v>DB48-2-56-O</v>
      </c>
      <c r="Q27" s="114" t="str">
        <f t="shared" si="3"/>
        <v>EUR-MDB48OR/WP</v>
      </c>
    </row>
    <row r="28" spans="8:17" x14ac:dyDescent="0.4">
      <c r="H28" s="114" t="s">
        <v>948</v>
      </c>
      <c r="I28" s="114">
        <v>250</v>
      </c>
      <c r="J28" s="114">
        <v>48</v>
      </c>
      <c r="K28" s="415" t="s">
        <v>950</v>
      </c>
      <c r="L28" s="114" t="s">
        <v>947</v>
      </c>
      <c r="M28" s="114" t="str">
        <f t="shared" si="4"/>
        <v>DB48-2-56-O-M</v>
      </c>
      <c r="N28" s="114" t="str">
        <f t="shared" si="5"/>
        <v>EUR-MDB48O2MCWP</v>
      </c>
      <c r="P28" s="114" t="str">
        <f t="shared" si="3"/>
        <v>DB48-2-56-O-M</v>
      </c>
      <c r="Q28" s="114" t="str">
        <f t="shared" si="3"/>
        <v>EUR-MDB48O2MCWP</v>
      </c>
    </row>
    <row r="29" spans="8:17" x14ac:dyDescent="0.4">
      <c r="H29" s="114" t="s">
        <v>948</v>
      </c>
      <c r="I29" s="114">
        <v>250</v>
      </c>
      <c r="J29" s="114">
        <v>60</v>
      </c>
      <c r="K29" s="415" t="s">
        <v>952</v>
      </c>
      <c r="L29" s="114" t="s">
        <v>947</v>
      </c>
      <c r="M29" s="114" t="str">
        <f t="shared" si="4"/>
        <v>DB60-2-56-O</v>
      </c>
      <c r="N29" s="114" t="str">
        <f t="shared" si="5"/>
        <v>EUR-MDB60OR/WP</v>
      </c>
      <c r="P29" s="114" t="str">
        <f t="shared" si="3"/>
        <v>DB60-2-56-O</v>
      </c>
      <c r="Q29" s="114" t="str">
        <f t="shared" si="3"/>
        <v>EUR-MDB60OR/WP</v>
      </c>
    </row>
    <row r="30" spans="8:17" x14ac:dyDescent="0.4">
      <c r="H30" s="114" t="s">
        <v>948</v>
      </c>
      <c r="I30" s="114">
        <v>250</v>
      </c>
      <c r="J30" s="114">
        <v>60</v>
      </c>
      <c r="K30" s="415" t="s">
        <v>950</v>
      </c>
      <c r="L30" s="114" t="s">
        <v>947</v>
      </c>
      <c r="M30" s="114" t="str">
        <f t="shared" si="4"/>
        <v>DB60-2-56-O-M</v>
      </c>
      <c r="N30" s="114" t="str">
        <f t="shared" si="5"/>
        <v>EUR-MDB60O2MCWP</v>
      </c>
      <c r="P30" s="114" t="str">
        <f t="shared" si="3"/>
        <v>DB60-2-56-O-M</v>
      </c>
      <c r="Q30" s="114" t="str">
        <f t="shared" si="3"/>
        <v>EUR-MDB60O2MCWP</v>
      </c>
    </row>
    <row r="31" spans="8:17" x14ac:dyDescent="0.4">
      <c r="H31" s="114" t="s">
        <v>948</v>
      </c>
      <c r="I31" s="114">
        <v>250</v>
      </c>
      <c r="J31" s="114">
        <v>72</v>
      </c>
      <c r="K31" s="415" t="s">
        <v>952</v>
      </c>
      <c r="L31" s="114" t="s">
        <v>947</v>
      </c>
      <c r="M31" s="114" t="str">
        <f t="shared" si="4"/>
        <v>DB72-2-56-O</v>
      </c>
      <c r="N31" s="114" t="str">
        <f t="shared" si="5"/>
        <v>EUR-MDB72OR/WP</v>
      </c>
      <c r="P31" s="114" t="str">
        <f t="shared" si="3"/>
        <v>DB72-2-56-O</v>
      </c>
      <c r="Q31" s="114" t="str">
        <f t="shared" si="3"/>
        <v>EUR-MDB72OR/WP</v>
      </c>
    </row>
    <row r="32" spans="8:17" x14ac:dyDescent="0.4">
      <c r="H32" s="114" t="s">
        <v>948</v>
      </c>
      <c r="I32" s="114">
        <v>250</v>
      </c>
      <c r="J32" s="114">
        <v>72</v>
      </c>
      <c r="K32" s="415" t="s">
        <v>950</v>
      </c>
      <c r="L32" s="114" t="s">
        <v>947</v>
      </c>
      <c r="M32" s="114" t="str">
        <f t="shared" si="4"/>
        <v>DB72-2-56-O-M</v>
      </c>
      <c r="N32" s="114" t="str">
        <f t="shared" si="5"/>
        <v>EUR-MDB72O2MCWP</v>
      </c>
      <c r="P32" s="114" t="str">
        <f t="shared" si="3"/>
        <v>DB72-2-56-O-M</v>
      </c>
      <c r="Q32" s="114" t="str">
        <f t="shared" si="3"/>
        <v>EUR-MDB72O2MCWP</v>
      </c>
    </row>
    <row r="33" spans="8:17" x14ac:dyDescent="0.4">
      <c r="H33" s="114" t="s">
        <v>948</v>
      </c>
      <c r="I33" s="114">
        <v>400</v>
      </c>
      <c r="J33" s="114">
        <v>24</v>
      </c>
      <c r="K33" s="415" t="s">
        <v>952</v>
      </c>
      <c r="L33" s="114" t="s">
        <v>962</v>
      </c>
      <c r="M33" s="114" t="str">
        <f t="shared" si="4"/>
        <v>DB24-4-42-O</v>
      </c>
      <c r="N33" s="114" t="str">
        <f t="shared" si="5"/>
        <v>EUR-MDB24O4NA</v>
      </c>
      <c r="P33" s="114" t="str">
        <f t="shared" si="3"/>
        <v>DB24-4-42-O</v>
      </c>
      <c r="Q33" s="114" t="str">
        <f t="shared" si="3"/>
        <v>EUR-MDB24O4NA</v>
      </c>
    </row>
    <row r="34" spans="8:17" x14ac:dyDescent="0.4">
      <c r="H34" s="114" t="s">
        <v>948</v>
      </c>
      <c r="I34" s="114">
        <v>400</v>
      </c>
      <c r="J34" s="114">
        <v>24</v>
      </c>
      <c r="K34" s="415" t="s">
        <v>950</v>
      </c>
      <c r="L34" s="114" t="s">
        <v>962</v>
      </c>
      <c r="M34" s="114" t="str">
        <f t="shared" si="4"/>
        <v>DB24-4-42-O-M</v>
      </c>
      <c r="N34" s="114" t="str">
        <f t="shared" si="5"/>
        <v>EUR-MDB24O4MC</v>
      </c>
      <c r="P34" s="114" t="str">
        <f t="shared" si="3"/>
        <v>DB24-4-42-O-M</v>
      </c>
      <c r="Q34" s="114" t="str">
        <f t="shared" si="3"/>
        <v>EUR-MDB24O4MC</v>
      </c>
    </row>
    <row r="35" spans="8:17" x14ac:dyDescent="0.4">
      <c r="H35" s="114" t="s">
        <v>948</v>
      </c>
      <c r="I35" s="114">
        <v>400</v>
      </c>
      <c r="J35" s="114">
        <v>36</v>
      </c>
      <c r="K35" s="415" t="s">
        <v>952</v>
      </c>
      <c r="L35" s="114" t="s">
        <v>962</v>
      </c>
      <c r="M35" s="114" t="str">
        <f t="shared" si="4"/>
        <v>DB36-4-42-O</v>
      </c>
      <c r="N35" s="114" t="str">
        <f t="shared" si="5"/>
        <v>EUR-MDB36O4NA</v>
      </c>
      <c r="P35" s="114" t="str">
        <f t="shared" si="3"/>
        <v>DB36-4-42-O</v>
      </c>
      <c r="Q35" s="114" t="str">
        <f t="shared" si="3"/>
        <v>EUR-MDB36O4NA</v>
      </c>
    </row>
    <row r="36" spans="8:17" x14ac:dyDescent="0.4">
      <c r="H36" s="114" t="s">
        <v>948</v>
      </c>
      <c r="I36" s="114">
        <v>400</v>
      </c>
      <c r="J36" s="114">
        <v>36</v>
      </c>
      <c r="K36" s="415" t="s">
        <v>950</v>
      </c>
      <c r="L36" s="114" t="s">
        <v>962</v>
      </c>
      <c r="M36" s="114" t="str">
        <f t="shared" si="4"/>
        <v>DB36-4-42-O-M</v>
      </c>
      <c r="N36" s="114" t="str">
        <f t="shared" si="5"/>
        <v>EUR-MDB36O4MC</v>
      </c>
      <c r="P36" s="114" t="str">
        <f t="shared" si="3"/>
        <v>DB36-4-42-O-M</v>
      </c>
      <c r="Q36" s="114" t="str">
        <f t="shared" si="3"/>
        <v>EUR-MDB36O4MC</v>
      </c>
    </row>
    <row r="37" spans="8:17" x14ac:dyDescent="0.4">
      <c r="H37" s="114" t="s">
        <v>948</v>
      </c>
      <c r="I37" s="114">
        <v>400</v>
      </c>
      <c r="J37" s="114">
        <v>48</v>
      </c>
      <c r="K37" s="415" t="s">
        <v>952</v>
      </c>
      <c r="L37" s="114" t="s">
        <v>962</v>
      </c>
      <c r="M37" s="114" t="str">
        <f t="shared" si="4"/>
        <v>DB48-4-42-O</v>
      </c>
      <c r="N37" s="114" t="str">
        <f t="shared" si="5"/>
        <v>EUR-MDB48O4NA</v>
      </c>
      <c r="P37" s="114" t="str">
        <f t="shared" si="3"/>
        <v>DB48-4-42-O</v>
      </c>
      <c r="Q37" s="114" t="str">
        <f t="shared" si="3"/>
        <v>EUR-MDB48O4NA</v>
      </c>
    </row>
    <row r="38" spans="8:17" x14ac:dyDescent="0.4">
      <c r="H38" s="114" t="s">
        <v>948</v>
      </c>
      <c r="I38" s="114">
        <v>400</v>
      </c>
      <c r="J38" s="114">
        <v>48</v>
      </c>
      <c r="K38" s="415" t="s">
        <v>950</v>
      </c>
      <c r="L38" s="114" t="s">
        <v>962</v>
      </c>
      <c r="M38" s="114" t="str">
        <f t="shared" si="4"/>
        <v>DB48-4-42-O-M</v>
      </c>
      <c r="N38" s="114" t="str">
        <f t="shared" si="5"/>
        <v>EUR-MDB48O4MC</v>
      </c>
      <c r="P38" s="114" t="str">
        <f t="shared" si="3"/>
        <v>DB48-4-42-O-M</v>
      </c>
      <c r="Q38" s="114" t="str">
        <f t="shared" si="3"/>
        <v>EUR-MDB48O4MC</v>
      </c>
    </row>
    <row r="39" spans="8:17" x14ac:dyDescent="0.4">
      <c r="H39" s="114" t="s">
        <v>948</v>
      </c>
      <c r="I39" s="114">
        <v>400</v>
      </c>
      <c r="J39" s="114">
        <v>60</v>
      </c>
      <c r="K39" s="415" t="s">
        <v>952</v>
      </c>
      <c r="L39" s="114" t="s">
        <v>962</v>
      </c>
      <c r="M39" s="114" t="str">
        <f t="shared" si="4"/>
        <v>DB60-4-42-O</v>
      </c>
      <c r="N39" s="114" t="str">
        <f t="shared" si="5"/>
        <v>EUR-MDB60O4NA</v>
      </c>
      <c r="P39" s="114" t="str">
        <f t="shared" si="3"/>
        <v>DB60-4-42-O</v>
      </c>
      <c r="Q39" s="114" t="str">
        <f t="shared" si="3"/>
        <v>EUR-MDB60O4NA</v>
      </c>
    </row>
    <row r="40" spans="8:17" x14ac:dyDescent="0.4">
      <c r="H40" s="114" t="s">
        <v>948</v>
      </c>
      <c r="I40" s="114">
        <v>400</v>
      </c>
      <c r="J40" s="114">
        <v>60</v>
      </c>
      <c r="K40" s="415" t="s">
        <v>950</v>
      </c>
      <c r="L40" s="114" t="s">
        <v>962</v>
      </c>
      <c r="M40" s="114" t="str">
        <f t="shared" si="4"/>
        <v>DB60-4-42-O-M</v>
      </c>
      <c r="N40" s="114" t="str">
        <f t="shared" si="5"/>
        <v>EUR-MDB60O4MC</v>
      </c>
      <c r="P40" s="114" t="str">
        <f t="shared" si="3"/>
        <v>DB60-4-42-O-M</v>
      </c>
      <c r="Q40" s="114" t="str">
        <f t="shared" si="3"/>
        <v>EUR-MDB60O4MC</v>
      </c>
    </row>
    <row r="41" spans="8:17" x14ac:dyDescent="0.4">
      <c r="H41" s="114" t="s">
        <v>948</v>
      </c>
      <c r="I41" s="114">
        <v>400</v>
      </c>
      <c r="J41" s="114">
        <v>72</v>
      </c>
      <c r="K41" s="415" t="s">
        <v>952</v>
      </c>
      <c r="L41" s="114" t="s">
        <v>962</v>
      </c>
      <c r="M41" s="114" t="str">
        <f t="shared" si="4"/>
        <v>DB72-4-42-O</v>
      </c>
      <c r="N41" s="114" t="str">
        <f t="shared" si="5"/>
        <v>EUR-MDB72O4NA</v>
      </c>
      <c r="P41" s="114" t="str">
        <f t="shared" si="3"/>
        <v>DB72-4-42-O</v>
      </c>
      <c r="Q41" s="114" t="str">
        <f t="shared" si="3"/>
        <v>EUR-MDB72O4NA</v>
      </c>
    </row>
    <row r="42" spans="8:17" x14ac:dyDescent="0.4">
      <c r="H42" s="114" t="s">
        <v>948</v>
      </c>
      <c r="I42" s="114">
        <v>400</v>
      </c>
      <c r="J42" s="114">
        <v>72</v>
      </c>
      <c r="K42" s="415" t="s">
        <v>950</v>
      </c>
      <c r="L42" s="114" t="s">
        <v>962</v>
      </c>
      <c r="M42" s="114" t="str">
        <f t="shared" si="4"/>
        <v>DB72-4-42-O-M</v>
      </c>
      <c r="N42" s="114" t="str">
        <f t="shared" si="5"/>
        <v>EUR-MDB72O4MC</v>
      </c>
      <c r="P42" s="114" t="str">
        <f t="shared" si="3"/>
        <v>DB72-4-42-O-M</v>
      </c>
      <c r="Q42" s="114" t="str">
        <f t="shared" si="3"/>
        <v>EUR-MDB72O4MC</v>
      </c>
    </row>
    <row r="43" spans="8:17" x14ac:dyDescent="0.4">
      <c r="H43" s="114" t="s">
        <v>948</v>
      </c>
      <c r="I43" s="114">
        <v>400</v>
      </c>
      <c r="J43" s="114">
        <v>24</v>
      </c>
      <c r="K43" s="415" t="s">
        <v>952</v>
      </c>
      <c r="L43" s="114" t="s">
        <v>947</v>
      </c>
      <c r="M43" s="114" t="str">
        <f t="shared" si="4"/>
        <v>DB24-4-56-O</v>
      </c>
      <c r="N43" s="114" t="str">
        <f t="shared" si="5"/>
        <v>EUR-MDB24O4NAWP</v>
      </c>
      <c r="P43" s="114" t="str">
        <f t="shared" si="3"/>
        <v>DB24-4-56-O</v>
      </c>
      <c r="Q43" s="114" t="str">
        <f t="shared" si="3"/>
        <v>EUR-MDB24O4NAWP</v>
      </c>
    </row>
    <row r="44" spans="8:17" x14ac:dyDescent="0.4">
      <c r="H44" s="114" t="s">
        <v>948</v>
      </c>
      <c r="I44" s="114">
        <v>400</v>
      </c>
      <c r="J44" s="114">
        <v>24</v>
      </c>
      <c r="K44" s="415" t="s">
        <v>950</v>
      </c>
      <c r="L44" s="114" t="s">
        <v>947</v>
      </c>
      <c r="M44" s="114" t="str">
        <f t="shared" si="4"/>
        <v>DB24-4-56-O-M</v>
      </c>
      <c r="N44" s="114" t="str">
        <f t="shared" si="5"/>
        <v>EUR-MDB24O4MCWP</v>
      </c>
      <c r="P44" s="114" t="str">
        <f t="shared" si="3"/>
        <v>DB24-4-56-O-M</v>
      </c>
      <c r="Q44" s="114" t="str">
        <f t="shared" si="3"/>
        <v>EUR-MDB24O4MCWP</v>
      </c>
    </row>
    <row r="45" spans="8:17" x14ac:dyDescent="0.4">
      <c r="H45" s="114" t="s">
        <v>948</v>
      </c>
      <c r="I45" s="114">
        <v>400</v>
      </c>
      <c r="J45" s="114">
        <v>36</v>
      </c>
      <c r="K45" s="415" t="s">
        <v>952</v>
      </c>
      <c r="L45" s="114" t="s">
        <v>947</v>
      </c>
      <c r="M45" s="114" t="str">
        <f t="shared" si="4"/>
        <v>DB36-4-56-O</v>
      </c>
      <c r="N45" s="114" t="str">
        <f t="shared" si="5"/>
        <v>EUR-MDB36O4NAWP</v>
      </c>
      <c r="P45" s="114" t="str">
        <f t="shared" si="3"/>
        <v>DB36-4-56-O</v>
      </c>
      <c r="Q45" s="114" t="str">
        <f t="shared" si="3"/>
        <v>EUR-MDB36O4NAWP</v>
      </c>
    </row>
    <row r="46" spans="8:17" x14ac:dyDescent="0.4">
      <c r="H46" s="114" t="s">
        <v>948</v>
      </c>
      <c r="I46" s="114">
        <v>400</v>
      </c>
      <c r="J46" s="114">
        <v>36</v>
      </c>
      <c r="K46" s="415" t="s">
        <v>950</v>
      </c>
      <c r="L46" s="114" t="s">
        <v>947</v>
      </c>
      <c r="M46" s="114" t="str">
        <f t="shared" si="4"/>
        <v>DB36-4-56-O-M</v>
      </c>
      <c r="N46" s="114" t="str">
        <f t="shared" si="5"/>
        <v>EUR-MDB36O4MCWP</v>
      </c>
      <c r="P46" s="114" t="str">
        <f t="shared" si="3"/>
        <v>DB36-4-56-O-M</v>
      </c>
      <c r="Q46" s="114" t="str">
        <f t="shared" si="3"/>
        <v>EUR-MDB36O4MCWP</v>
      </c>
    </row>
    <row r="47" spans="8:17" x14ac:dyDescent="0.4">
      <c r="H47" s="114" t="s">
        <v>948</v>
      </c>
      <c r="I47" s="114">
        <v>400</v>
      </c>
      <c r="J47" s="114">
        <v>48</v>
      </c>
      <c r="K47" s="415" t="s">
        <v>952</v>
      </c>
      <c r="L47" s="114" t="s">
        <v>947</v>
      </c>
      <c r="M47" s="114" t="str">
        <f t="shared" si="4"/>
        <v>DB48-4-56-O</v>
      </c>
      <c r="N47" s="114" t="str">
        <f t="shared" si="5"/>
        <v>EUR-MDB48O4NAWP</v>
      </c>
      <c r="P47" s="114" t="str">
        <f t="shared" si="3"/>
        <v>DB48-4-56-O</v>
      </c>
      <c r="Q47" s="114" t="str">
        <f t="shared" si="3"/>
        <v>EUR-MDB48O4NAWP</v>
      </c>
    </row>
    <row r="48" spans="8:17" x14ac:dyDescent="0.4">
      <c r="H48" s="114" t="s">
        <v>948</v>
      </c>
      <c r="I48" s="114">
        <v>400</v>
      </c>
      <c r="J48" s="114">
        <v>48</v>
      </c>
      <c r="K48" s="415" t="s">
        <v>950</v>
      </c>
      <c r="L48" s="114" t="s">
        <v>947</v>
      </c>
      <c r="M48" s="114" t="str">
        <f t="shared" si="4"/>
        <v>DB48-4-56-O-M</v>
      </c>
      <c r="N48" s="114" t="str">
        <f t="shared" si="5"/>
        <v>EUR-MDB48O4MCWP</v>
      </c>
      <c r="P48" s="114" t="str">
        <f t="shared" si="3"/>
        <v>DB48-4-56-O-M</v>
      </c>
      <c r="Q48" s="114" t="str">
        <f t="shared" si="3"/>
        <v>EUR-MDB48O4MCWP</v>
      </c>
    </row>
    <row r="49" spans="8:17" x14ac:dyDescent="0.4">
      <c r="H49" s="114" t="s">
        <v>948</v>
      </c>
      <c r="I49" s="114">
        <v>400</v>
      </c>
      <c r="J49" s="114">
        <v>60</v>
      </c>
      <c r="K49" s="415" t="s">
        <v>952</v>
      </c>
      <c r="L49" s="114" t="s">
        <v>947</v>
      </c>
      <c r="M49" s="114" t="str">
        <f t="shared" si="4"/>
        <v>DB60-4-56-O</v>
      </c>
      <c r="N49" s="114" t="str">
        <f t="shared" si="5"/>
        <v>EUR-MDB60O4NAWP</v>
      </c>
      <c r="P49" s="114" t="str">
        <f t="shared" si="3"/>
        <v>DB60-4-56-O</v>
      </c>
      <c r="Q49" s="114" t="str">
        <f t="shared" si="3"/>
        <v>EUR-MDB60O4NAWP</v>
      </c>
    </row>
    <row r="50" spans="8:17" x14ac:dyDescent="0.4">
      <c r="H50" s="114" t="s">
        <v>948</v>
      </c>
      <c r="I50" s="114">
        <v>400</v>
      </c>
      <c r="J50" s="114">
        <v>60</v>
      </c>
      <c r="K50" s="415" t="s">
        <v>950</v>
      </c>
      <c r="L50" s="114" t="s">
        <v>947</v>
      </c>
      <c r="M50" s="114" t="str">
        <f t="shared" si="4"/>
        <v>DB60-4-56-O-M</v>
      </c>
      <c r="N50" s="114" t="str">
        <f t="shared" si="5"/>
        <v>EUR-MDB60O4MCWP</v>
      </c>
      <c r="P50" s="114" t="str">
        <f t="shared" si="3"/>
        <v>DB60-4-56-O-M</v>
      </c>
      <c r="Q50" s="114" t="str">
        <f t="shared" si="3"/>
        <v>EUR-MDB60O4MCWP</v>
      </c>
    </row>
    <row r="51" spans="8:17" x14ac:dyDescent="0.4">
      <c r="H51" s="114" t="s">
        <v>948</v>
      </c>
      <c r="I51" s="114">
        <v>400</v>
      </c>
      <c r="J51" s="114">
        <v>72</v>
      </c>
      <c r="K51" s="415" t="s">
        <v>952</v>
      </c>
      <c r="L51" s="114" t="s">
        <v>947</v>
      </c>
      <c r="M51" s="114" t="str">
        <f t="shared" si="4"/>
        <v>DB72-4-56-O</v>
      </c>
      <c r="N51" s="114" t="str">
        <f t="shared" si="5"/>
        <v>EUR-MDB72O4NAWP</v>
      </c>
      <c r="P51" s="114" t="str">
        <f t="shared" si="3"/>
        <v>DB72-4-56-O</v>
      </c>
      <c r="Q51" s="114" t="str">
        <f t="shared" si="3"/>
        <v>EUR-MDB72O4NAWP</v>
      </c>
    </row>
    <row r="52" spans="8:17" x14ac:dyDescent="0.4">
      <c r="H52" s="114" t="s">
        <v>948</v>
      </c>
      <c r="I52" s="114">
        <v>400</v>
      </c>
      <c r="J52" s="114">
        <v>72</v>
      </c>
      <c r="K52" s="415" t="s">
        <v>950</v>
      </c>
      <c r="L52" s="114" t="s">
        <v>947</v>
      </c>
      <c r="M52" s="114" t="str">
        <f t="shared" si="4"/>
        <v>DB72-4-56-O-M</v>
      </c>
      <c r="N52" s="114" t="str">
        <f t="shared" si="5"/>
        <v>EUR-MDB72O4MCWP</v>
      </c>
      <c r="P52" s="114" t="str">
        <f t="shared" si="3"/>
        <v>DB72-4-56-O-M</v>
      </c>
      <c r="Q52" s="114" t="str">
        <f t="shared" si="3"/>
        <v>EUR-MDB72O4MCWP</v>
      </c>
    </row>
    <row r="53" spans="8:17" x14ac:dyDescent="0.4">
      <c r="H53" s="114" t="s">
        <v>951</v>
      </c>
      <c r="I53" s="114">
        <v>250</v>
      </c>
      <c r="J53" s="114">
        <v>24</v>
      </c>
      <c r="K53" s="415" t="s">
        <v>952</v>
      </c>
      <c r="L53" s="114" t="s">
        <v>962</v>
      </c>
      <c r="M53" s="114" t="str">
        <f t="shared" si="4"/>
        <v>DB24-2-42-G</v>
      </c>
      <c r="N53" s="114" t="str">
        <f t="shared" si="5"/>
        <v>EUR-MDB24G</v>
      </c>
      <c r="P53" s="114" t="str">
        <f t="shared" si="3"/>
        <v>DB24-2-42-G</v>
      </c>
      <c r="Q53" s="114" t="str">
        <f t="shared" si="3"/>
        <v>EUR-MDB24G</v>
      </c>
    </row>
    <row r="54" spans="8:17" x14ac:dyDescent="0.4">
      <c r="H54" s="114" t="s">
        <v>951</v>
      </c>
      <c r="I54" s="114">
        <v>250</v>
      </c>
      <c r="J54" s="114">
        <v>24</v>
      </c>
      <c r="K54" s="415" t="s">
        <v>950</v>
      </c>
      <c r="L54" s="114" t="s">
        <v>962</v>
      </c>
      <c r="M54" s="114" t="str">
        <f t="shared" si="4"/>
        <v>DB24-2-42-G-M</v>
      </c>
      <c r="N54" s="114" t="str">
        <f t="shared" si="5"/>
        <v>EUR-MDB24G2MC</v>
      </c>
      <c r="P54" s="114" t="str">
        <f t="shared" si="3"/>
        <v>DB24-2-42-G-M</v>
      </c>
      <c r="Q54" s="114" t="str">
        <f t="shared" si="3"/>
        <v>EUR-MDB24G2MC</v>
      </c>
    </row>
    <row r="55" spans="8:17" x14ac:dyDescent="0.4">
      <c r="H55" s="114" t="s">
        <v>951</v>
      </c>
      <c r="I55" s="114">
        <v>250</v>
      </c>
      <c r="J55" s="114">
        <v>36</v>
      </c>
      <c r="K55" s="415" t="s">
        <v>952</v>
      </c>
      <c r="L55" s="114" t="s">
        <v>962</v>
      </c>
      <c r="M55" s="114" t="str">
        <f t="shared" si="4"/>
        <v>DB36-2-42-G</v>
      </c>
      <c r="N55" s="114" t="str">
        <f t="shared" si="5"/>
        <v>EUR-MDB36G</v>
      </c>
      <c r="P55" s="114" t="str">
        <f t="shared" si="3"/>
        <v>DB36-2-42-G</v>
      </c>
      <c r="Q55" s="114" t="str">
        <f t="shared" si="3"/>
        <v>EUR-MDB36G</v>
      </c>
    </row>
    <row r="56" spans="8:17" x14ac:dyDescent="0.4">
      <c r="H56" s="114" t="s">
        <v>951</v>
      </c>
      <c r="I56" s="114">
        <v>250</v>
      </c>
      <c r="J56" s="114">
        <v>36</v>
      </c>
      <c r="K56" s="415" t="s">
        <v>950</v>
      </c>
      <c r="L56" s="114" t="s">
        <v>962</v>
      </c>
      <c r="M56" s="114" t="str">
        <f t="shared" si="4"/>
        <v>DB36-2-42-G-M</v>
      </c>
      <c r="N56" s="114" t="str">
        <f t="shared" si="5"/>
        <v>EUR-MDB36G2MC</v>
      </c>
      <c r="P56" s="114" t="str">
        <f t="shared" si="3"/>
        <v>DB36-2-42-G-M</v>
      </c>
      <c r="Q56" s="114" t="str">
        <f t="shared" si="3"/>
        <v>EUR-MDB36G2MC</v>
      </c>
    </row>
    <row r="57" spans="8:17" x14ac:dyDescent="0.4">
      <c r="H57" s="114" t="s">
        <v>951</v>
      </c>
      <c r="I57" s="114">
        <v>250</v>
      </c>
      <c r="J57" s="114">
        <v>48</v>
      </c>
      <c r="K57" s="415" t="s">
        <v>952</v>
      </c>
      <c r="L57" s="114" t="s">
        <v>962</v>
      </c>
      <c r="M57" s="114" t="str">
        <f t="shared" si="4"/>
        <v>DB48-2-42-G</v>
      </c>
      <c r="N57" s="114" t="str">
        <f t="shared" si="5"/>
        <v>EUR-MDB48G</v>
      </c>
      <c r="P57" s="114" t="str">
        <f t="shared" si="3"/>
        <v>DB48-2-42-G</v>
      </c>
      <c r="Q57" s="114" t="str">
        <f t="shared" si="3"/>
        <v>EUR-MDB48G</v>
      </c>
    </row>
    <row r="58" spans="8:17" x14ac:dyDescent="0.4">
      <c r="H58" s="114" t="s">
        <v>951</v>
      </c>
      <c r="I58" s="114">
        <v>250</v>
      </c>
      <c r="J58" s="114">
        <v>48</v>
      </c>
      <c r="K58" s="415" t="s">
        <v>950</v>
      </c>
      <c r="L58" s="114" t="s">
        <v>962</v>
      </c>
      <c r="M58" s="114" t="str">
        <f t="shared" si="4"/>
        <v>DB48-2-42-G-M</v>
      </c>
      <c r="N58" s="114" t="str">
        <f t="shared" si="5"/>
        <v>EUR-MDB48G2MC</v>
      </c>
      <c r="P58" s="114" t="str">
        <f t="shared" si="3"/>
        <v>DB48-2-42-G-M</v>
      </c>
      <c r="Q58" s="114" t="str">
        <f t="shared" si="3"/>
        <v>EUR-MDB48G2MC</v>
      </c>
    </row>
    <row r="59" spans="8:17" x14ac:dyDescent="0.4">
      <c r="H59" s="114" t="s">
        <v>951</v>
      </c>
      <c r="I59" s="114">
        <v>250</v>
      </c>
      <c r="J59" s="114">
        <v>60</v>
      </c>
      <c r="K59" s="415" t="s">
        <v>952</v>
      </c>
      <c r="L59" s="114" t="s">
        <v>962</v>
      </c>
      <c r="M59" s="114" t="str">
        <f t="shared" si="4"/>
        <v>DB60-2-42-G</v>
      </c>
      <c r="N59" s="114" t="str">
        <f t="shared" si="5"/>
        <v>EUR-MDB60G</v>
      </c>
      <c r="P59" s="114" t="str">
        <f t="shared" si="3"/>
        <v>DB60-2-42-G</v>
      </c>
      <c r="Q59" s="114" t="str">
        <f t="shared" si="3"/>
        <v>EUR-MDB60G</v>
      </c>
    </row>
    <row r="60" spans="8:17" x14ac:dyDescent="0.4">
      <c r="H60" s="114" t="s">
        <v>951</v>
      </c>
      <c r="I60" s="114">
        <v>250</v>
      </c>
      <c r="J60" s="114">
        <v>60</v>
      </c>
      <c r="K60" s="415" t="s">
        <v>950</v>
      </c>
      <c r="L60" s="114" t="s">
        <v>962</v>
      </c>
      <c r="M60" s="114" t="str">
        <f t="shared" si="4"/>
        <v>DB60-2-42-G-M</v>
      </c>
      <c r="N60" s="114" t="str">
        <f t="shared" si="5"/>
        <v>EUR-MDB60G2MC</v>
      </c>
      <c r="P60" s="114" t="str">
        <f t="shared" si="3"/>
        <v>DB60-2-42-G-M</v>
      </c>
      <c r="Q60" s="114" t="str">
        <f t="shared" si="3"/>
        <v>EUR-MDB60G2MC</v>
      </c>
    </row>
    <row r="61" spans="8:17" x14ac:dyDescent="0.4">
      <c r="H61" s="114" t="s">
        <v>951</v>
      </c>
      <c r="I61" s="114">
        <v>250</v>
      </c>
      <c r="J61" s="114">
        <v>72</v>
      </c>
      <c r="K61" s="415" t="s">
        <v>952</v>
      </c>
      <c r="L61" s="114" t="s">
        <v>962</v>
      </c>
      <c r="M61" s="114" t="str">
        <f t="shared" si="4"/>
        <v>DB72-2-42-G</v>
      </c>
      <c r="N61" s="114" t="str">
        <f t="shared" si="5"/>
        <v>EUR-MDB72G</v>
      </c>
      <c r="P61" s="114" t="str">
        <f t="shared" si="3"/>
        <v>DB72-2-42-G</v>
      </c>
      <c r="Q61" s="114" t="str">
        <f t="shared" si="3"/>
        <v>EUR-MDB72G</v>
      </c>
    </row>
    <row r="62" spans="8:17" x14ac:dyDescent="0.4">
      <c r="H62" s="114" t="s">
        <v>951</v>
      </c>
      <c r="I62" s="114">
        <v>250</v>
      </c>
      <c r="J62" s="114">
        <v>72</v>
      </c>
      <c r="K62" s="415" t="s">
        <v>950</v>
      </c>
      <c r="L62" s="114" t="s">
        <v>962</v>
      </c>
      <c r="M62" s="114" t="str">
        <f t="shared" si="4"/>
        <v>DB72-2-42-G-M</v>
      </c>
      <c r="N62" s="114" t="str">
        <f t="shared" si="5"/>
        <v>EUR-MDB72G2MC</v>
      </c>
      <c r="P62" s="114" t="str">
        <f t="shared" si="3"/>
        <v>DB72-2-42-G-M</v>
      </c>
      <c r="Q62" s="114" t="str">
        <f t="shared" si="3"/>
        <v>EUR-MDB72G2MC</v>
      </c>
    </row>
    <row r="63" spans="8:17" x14ac:dyDescent="0.4">
      <c r="H63" s="114" t="s">
        <v>951</v>
      </c>
      <c r="I63" s="114">
        <v>250</v>
      </c>
      <c r="J63" s="114">
        <v>24</v>
      </c>
      <c r="K63" s="415" t="s">
        <v>952</v>
      </c>
      <c r="L63" s="114" t="s">
        <v>947</v>
      </c>
      <c r="M63" s="114" t="str">
        <f t="shared" si="4"/>
        <v>DB24-2-56-G</v>
      </c>
      <c r="N63" s="114" t="str">
        <f t="shared" si="5"/>
        <v>EUR-MDB24G/WP</v>
      </c>
      <c r="P63" s="114" t="str">
        <f t="shared" si="3"/>
        <v>DB24-2-56-G</v>
      </c>
      <c r="Q63" s="114" t="str">
        <f t="shared" si="3"/>
        <v>EUR-MDB24G/WP</v>
      </c>
    </row>
    <row r="64" spans="8:17" x14ac:dyDescent="0.4">
      <c r="H64" s="114" t="s">
        <v>951</v>
      </c>
      <c r="I64" s="114">
        <v>250</v>
      </c>
      <c r="J64" s="114">
        <v>24</v>
      </c>
      <c r="K64" s="415" t="s">
        <v>950</v>
      </c>
      <c r="L64" s="114" t="s">
        <v>947</v>
      </c>
      <c r="M64" s="114" t="str">
        <f t="shared" si="4"/>
        <v>DB24-2-56-G-M</v>
      </c>
      <c r="N64" s="114" t="str">
        <f t="shared" si="5"/>
        <v>EUR-MDB24G2MCWP</v>
      </c>
      <c r="P64" s="114" t="str">
        <f t="shared" si="3"/>
        <v>DB24-2-56-G-M</v>
      </c>
      <c r="Q64" s="114" t="str">
        <f t="shared" si="3"/>
        <v>EUR-MDB24G2MCWP</v>
      </c>
    </row>
    <row r="65" spans="8:17" x14ac:dyDescent="0.4">
      <c r="H65" s="114" t="s">
        <v>951</v>
      </c>
      <c r="I65" s="114">
        <v>250</v>
      </c>
      <c r="J65" s="114">
        <v>36</v>
      </c>
      <c r="K65" s="415" t="s">
        <v>952</v>
      </c>
      <c r="L65" s="114" t="s">
        <v>947</v>
      </c>
      <c r="M65" s="114" t="str">
        <f t="shared" si="4"/>
        <v>DB36-2-56-G</v>
      </c>
      <c r="N65" s="114" t="str">
        <f t="shared" si="5"/>
        <v>EUR-MDB36G/WP</v>
      </c>
      <c r="P65" s="114" t="str">
        <f t="shared" si="3"/>
        <v>DB36-2-56-G</v>
      </c>
      <c r="Q65" s="114" t="str">
        <f t="shared" si="3"/>
        <v>EUR-MDB36G/WP</v>
      </c>
    </row>
    <row r="66" spans="8:17" x14ac:dyDescent="0.4">
      <c r="H66" s="114" t="s">
        <v>951</v>
      </c>
      <c r="I66" s="114">
        <v>250</v>
      </c>
      <c r="J66" s="114">
        <v>36</v>
      </c>
      <c r="K66" s="415" t="s">
        <v>950</v>
      </c>
      <c r="L66" s="114" t="s">
        <v>947</v>
      </c>
      <c r="M66" s="114" t="str">
        <f t="shared" si="4"/>
        <v>DB36-2-56-G-M</v>
      </c>
      <c r="N66" s="114" t="str">
        <f t="shared" si="5"/>
        <v>EUR-MDB36G2MCWP</v>
      </c>
      <c r="P66" s="114" t="str">
        <f t="shared" si="3"/>
        <v>DB36-2-56-G-M</v>
      </c>
      <c r="Q66" s="114" t="str">
        <f t="shared" si="3"/>
        <v>EUR-MDB36G2MCWP</v>
      </c>
    </row>
    <row r="67" spans="8:17" x14ac:dyDescent="0.4">
      <c r="H67" s="114" t="s">
        <v>951</v>
      </c>
      <c r="I67" s="114">
        <v>250</v>
      </c>
      <c r="J67" s="114">
        <v>48</v>
      </c>
      <c r="K67" s="415" t="s">
        <v>952</v>
      </c>
      <c r="L67" s="114" t="s">
        <v>947</v>
      </c>
      <c r="M67" s="114" t="str">
        <f t="shared" si="4"/>
        <v>DB48-2-56-G</v>
      </c>
      <c r="N67" s="114" t="str">
        <f t="shared" si="5"/>
        <v>EUR-MDB48G/WP</v>
      </c>
      <c r="P67" s="114" t="str">
        <f t="shared" si="3"/>
        <v>DB48-2-56-G</v>
      </c>
      <c r="Q67" s="114" t="str">
        <f t="shared" si="3"/>
        <v>EUR-MDB48G/WP</v>
      </c>
    </row>
    <row r="68" spans="8:17" x14ac:dyDescent="0.4">
      <c r="H68" s="114" t="s">
        <v>951</v>
      </c>
      <c r="I68" s="114">
        <v>250</v>
      </c>
      <c r="J68" s="114">
        <v>48</v>
      </c>
      <c r="K68" s="415" t="s">
        <v>950</v>
      </c>
      <c r="L68" s="114" t="s">
        <v>947</v>
      </c>
      <c r="M68" s="114" t="str">
        <f t="shared" si="4"/>
        <v>DB48-2-56-G-M</v>
      </c>
      <c r="N68" s="114" t="str">
        <f t="shared" si="5"/>
        <v>EUR-MDB48G2MCWP</v>
      </c>
      <c r="P68" s="114" t="str">
        <f t="shared" si="3"/>
        <v>DB48-2-56-G-M</v>
      </c>
      <c r="Q68" s="114" t="str">
        <f t="shared" si="3"/>
        <v>EUR-MDB48G2MCWP</v>
      </c>
    </row>
    <row r="69" spans="8:17" x14ac:dyDescent="0.4">
      <c r="H69" s="114" t="s">
        <v>951</v>
      </c>
      <c r="I69" s="114">
        <v>250</v>
      </c>
      <c r="J69" s="114">
        <v>60</v>
      </c>
      <c r="K69" s="415" t="s">
        <v>952</v>
      </c>
      <c r="L69" s="114" t="s">
        <v>947</v>
      </c>
      <c r="M69" s="114" t="str">
        <f t="shared" si="4"/>
        <v>DB60-2-56-G</v>
      </c>
      <c r="N69" s="114" t="str">
        <f t="shared" si="5"/>
        <v>EUR-MDB60G/WP</v>
      </c>
      <c r="P69" s="114" t="str">
        <f t="shared" si="3"/>
        <v>DB60-2-56-G</v>
      </c>
      <c r="Q69" s="114" t="str">
        <f t="shared" si="3"/>
        <v>EUR-MDB60G/WP</v>
      </c>
    </row>
    <row r="70" spans="8:17" x14ac:dyDescent="0.4">
      <c r="H70" s="114" t="s">
        <v>951</v>
      </c>
      <c r="I70" s="114">
        <v>250</v>
      </c>
      <c r="J70" s="114">
        <v>60</v>
      </c>
      <c r="K70" s="415" t="s">
        <v>950</v>
      </c>
      <c r="L70" s="114" t="s">
        <v>947</v>
      </c>
      <c r="M70" s="114" t="str">
        <f t="shared" si="4"/>
        <v>DB60-2-56-G-M</v>
      </c>
      <c r="N70" s="114" t="str">
        <f t="shared" si="5"/>
        <v>EUR-MDB60G2MCWP</v>
      </c>
      <c r="P70" s="114" t="str">
        <f t="shared" si="3"/>
        <v>DB60-2-56-G-M</v>
      </c>
      <c r="Q70" s="114" t="str">
        <f t="shared" si="3"/>
        <v>EUR-MDB60G2MCWP</v>
      </c>
    </row>
    <row r="71" spans="8:17" x14ac:dyDescent="0.4">
      <c r="H71" s="114" t="s">
        <v>951</v>
      </c>
      <c r="I71" s="114">
        <v>250</v>
      </c>
      <c r="J71" s="114">
        <v>72</v>
      </c>
      <c r="K71" s="415" t="s">
        <v>952</v>
      </c>
      <c r="L71" s="114" t="s">
        <v>947</v>
      </c>
      <c r="M71" s="114" t="str">
        <f t="shared" si="4"/>
        <v>DB72-2-56-G</v>
      </c>
      <c r="N71" s="114" t="str">
        <f t="shared" si="5"/>
        <v>EUR-MDB72G/WP</v>
      </c>
      <c r="P71" s="114" t="str">
        <f t="shared" si="3"/>
        <v>DB72-2-56-G</v>
      </c>
      <c r="Q71" s="114" t="str">
        <f t="shared" si="3"/>
        <v>EUR-MDB72G/WP</v>
      </c>
    </row>
    <row r="72" spans="8:17" x14ac:dyDescent="0.4">
      <c r="H72" s="114" t="s">
        <v>951</v>
      </c>
      <c r="I72" s="114">
        <v>250</v>
      </c>
      <c r="J72" s="114">
        <v>72</v>
      </c>
      <c r="K72" s="415" t="s">
        <v>950</v>
      </c>
      <c r="L72" s="114" t="s">
        <v>947</v>
      </c>
      <c r="M72" s="114" t="str">
        <f t="shared" si="4"/>
        <v>DB72-2-56-G-M</v>
      </c>
      <c r="N72" s="114" t="str">
        <f t="shared" si="5"/>
        <v>EUR-MDB72G2MCWP</v>
      </c>
      <c r="P72" s="114" t="str">
        <f t="shared" si="3"/>
        <v>DB72-2-56-G-M</v>
      </c>
      <c r="Q72" s="114" t="str">
        <f t="shared" si="3"/>
        <v>EUR-MDB72G2MCWP</v>
      </c>
    </row>
    <row r="73" spans="8:17" x14ac:dyDescent="0.4">
      <c r="H73" s="114" t="s">
        <v>951</v>
      </c>
      <c r="I73" s="114">
        <v>400</v>
      </c>
      <c r="J73" s="114">
        <v>24</v>
      </c>
      <c r="K73" s="415" t="s">
        <v>952</v>
      </c>
      <c r="L73" s="114" t="s">
        <v>962</v>
      </c>
      <c r="M73" s="114" t="str">
        <f t="shared" si="4"/>
        <v>DB24-4-42-G</v>
      </c>
      <c r="N73" s="114" t="str">
        <f t="shared" si="5"/>
        <v>EUR-MDB24G4NA</v>
      </c>
      <c r="P73" s="114" t="str">
        <f t="shared" si="3"/>
        <v>DB24-4-42-G</v>
      </c>
      <c r="Q73" s="114" t="str">
        <f t="shared" si="3"/>
        <v>EUR-MDB24G4NA</v>
      </c>
    </row>
    <row r="74" spans="8:17" x14ac:dyDescent="0.4">
      <c r="H74" s="114" t="s">
        <v>951</v>
      </c>
      <c r="I74" s="114">
        <v>400</v>
      </c>
      <c r="J74" s="114">
        <v>24</v>
      </c>
      <c r="K74" s="415" t="s">
        <v>950</v>
      </c>
      <c r="L74" s="114" t="s">
        <v>962</v>
      </c>
      <c r="M74" s="114" t="str">
        <f t="shared" si="4"/>
        <v>DB24-4-42-G-M</v>
      </c>
      <c r="N74" s="114" t="str">
        <f t="shared" si="5"/>
        <v>EUR-MDB24G4MC</v>
      </c>
      <c r="P74" s="114" t="str">
        <f t="shared" si="3"/>
        <v>DB24-4-42-G-M</v>
      </c>
      <c r="Q74" s="114" t="str">
        <f t="shared" si="3"/>
        <v>EUR-MDB24G4MC</v>
      </c>
    </row>
    <row r="75" spans="8:17" x14ac:dyDescent="0.4">
      <c r="H75" s="114" t="s">
        <v>951</v>
      </c>
      <c r="I75" s="114">
        <v>400</v>
      </c>
      <c r="J75" s="114">
        <v>36</v>
      </c>
      <c r="K75" s="415" t="s">
        <v>952</v>
      </c>
      <c r="L75" s="114" t="s">
        <v>962</v>
      </c>
      <c r="M75" s="114" t="str">
        <f t="shared" si="4"/>
        <v>DB36-4-42-G</v>
      </c>
      <c r="N75" s="114" t="str">
        <f t="shared" si="5"/>
        <v>EUR-MDB36G4NA</v>
      </c>
      <c r="P75" s="114" t="str">
        <f t="shared" si="3"/>
        <v>DB36-4-42-G</v>
      </c>
      <c r="Q75" s="114" t="str">
        <f t="shared" si="3"/>
        <v>EUR-MDB36G4NA</v>
      </c>
    </row>
    <row r="76" spans="8:17" x14ac:dyDescent="0.4">
      <c r="H76" s="114" t="s">
        <v>951</v>
      </c>
      <c r="I76" s="114">
        <v>400</v>
      </c>
      <c r="J76" s="114">
        <v>36</v>
      </c>
      <c r="K76" s="415" t="s">
        <v>950</v>
      </c>
      <c r="L76" s="114" t="s">
        <v>962</v>
      </c>
      <c r="M76" s="114" t="str">
        <f t="shared" si="4"/>
        <v>DB36-4-42-G-M</v>
      </c>
      <c r="N76" s="114" t="str">
        <f t="shared" si="5"/>
        <v>EUR-MDB36G4MC</v>
      </c>
      <c r="P76" s="114" t="str">
        <f t="shared" si="3"/>
        <v>DB36-4-42-G-M</v>
      </c>
      <c r="Q76" s="114" t="str">
        <f t="shared" si="3"/>
        <v>EUR-MDB36G4MC</v>
      </c>
    </row>
    <row r="77" spans="8:17" x14ac:dyDescent="0.4">
      <c r="H77" s="114" t="s">
        <v>951</v>
      </c>
      <c r="I77" s="114">
        <v>400</v>
      </c>
      <c r="J77" s="114">
        <v>48</v>
      </c>
      <c r="K77" s="415" t="s">
        <v>952</v>
      </c>
      <c r="L77" s="114" t="s">
        <v>962</v>
      </c>
      <c r="M77" s="114" t="str">
        <f t="shared" si="4"/>
        <v>DB48-4-42-G</v>
      </c>
      <c r="N77" s="114" t="str">
        <f t="shared" si="5"/>
        <v>EUR-MDB48G4NA</v>
      </c>
      <c r="P77" s="114" t="str">
        <f t="shared" ref="P77:Q92" si="9">M77</f>
        <v>DB48-4-42-G</v>
      </c>
      <c r="Q77" s="114" t="str">
        <f t="shared" si="9"/>
        <v>EUR-MDB48G4NA</v>
      </c>
    </row>
    <row r="78" spans="8:17" x14ac:dyDescent="0.4">
      <c r="H78" s="114" t="s">
        <v>951</v>
      </c>
      <c r="I78" s="114">
        <v>400</v>
      </c>
      <c r="J78" s="114">
        <v>48</v>
      </c>
      <c r="K78" s="415" t="s">
        <v>950</v>
      </c>
      <c r="L78" s="114" t="s">
        <v>962</v>
      </c>
      <c r="M78" s="114" t="str">
        <f t="shared" ref="M78:M92" si="10">_xlfn.CONCAT("DB",J78,"-",IF(I78=250,"2-","4-"),IF(L78="IP42",42,56),IF(H78="Orange","-O","-G"),IF(K78="Non-Auto","","-M"))</f>
        <v>DB48-4-42-G-M</v>
      </c>
      <c r="N78" s="114" t="str">
        <f t="shared" ref="N78:N92" si="11">_xlfn.CONCAT("EUR-MDB",J78,IF(H78="Orange","O","G"),IF(I78=250,IF(K78="Non-Auto",IF(H78="Orange","R",""),"2MC"),IF(K78="Non-Auto","4NA","4MC")),IF(L78="IP42","",IF(AND(K78="Non-Auto",I78=250),"/WP","WP")))</f>
        <v>EUR-MDB48G4MC</v>
      </c>
      <c r="P78" s="114" t="str">
        <f t="shared" si="9"/>
        <v>DB48-4-42-G-M</v>
      </c>
      <c r="Q78" s="114" t="str">
        <f t="shared" si="9"/>
        <v>EUR-MDB48G4MC</v>
      </c>
    </row>
    <row r="79" spans="8:17" x14ac:dyDescent="0.4">
      <c r="H79" s="114" t="s">
        <v>951</v>
      </c>
      <c r="I79" s="114">
        <v>400</v>
      </c>
      <c r="J79" s="114">
        <v>60</v>
      </c>
      <c r="K79" s="415" t="s">
        <v>952</v>
      </c>
      <c r="L79" s="114" t="s">
        <v>962</v>
      </c>
      <c r="M79" s="114" t="str">
        <f t="shared" si="10"/>
        <v>DB60-4-42-G</v>
      </c>
      <c r="N79" s="114" t="str">
        <f t="shared" si="11"/>
        <v>EUR-MDB60G4NA</v>
      </c>
      <c r="P79" s="114" t="str">
        <f t="shared" si="9"/>
        <v>DB60-4-42-G</v>
      </c>
      <c r="Q79" s="114" t="str">
        <f t="shared" si="9"/>
        <v>EUR-MDB60G4NA</v>
      </c>
    </row>
    <row r="80" spans="8:17" x14ac:dyDescent="0.4">
      <c r="H80" s="114" t="s">
        <v>951</v>
      </c>
      <c r="I80" s="114">
        <v>400</v>
      </c>
      <c r="J80" s="114">
        <v>60</v>
      </c>
      <c r="K80" s="415" t="s">
        <v>950</v>
      </c>
      <c r="L80" s="114" t="s">
        <v>962</v>
      </c>
      <c r="M80" s="114" t="str">
        <f t="shared" si="10"/>
        <v>DB60-4-42-G-M</v>
      </c>
      <c r="N80" s="114" t="str">
        <f t="shared" si="11"/>
        <v>EUR-MDB60G4MC</v>
      </c>
      <c r="P80" s="114" t="str">
        <f t="shared" si="9"/>
        <v>DB60-4-42-G-M</v>
      </c>
      <c r="Q80" s="114" t="str">
        <f t="shared" si="9"/>
        <v>EUR-MDB60G4MC</v>
      </c>
    </row>
    <row r="81" spans="8:17" x14ac:dyDescent="0.4">
      <c r="H81" s="114" t="s">
        <v>951</v>
      </c>
      <c r="I81" s="114">
        <v>400</v>
      </c>
      <c r="J81" s="114">
        <v>72</v>
      </c>
      <c r="K81" s="415" t="s">
        <v>952</v>
      </c>
      <c r="L81" s="114" t="s">
        <v>962</v>
      </c>
      <c r="M81" s="114" t="str">
        <f t="shared" si="10"/>
        <v>DB72-4-42-G</v>
      </c>
      <c r="N81" s="114" t="str">
        <f t="shared" si="11"/>
        <v>EUR-MDB72G4NA</v>
      </c>
      <c r="P81" s="114" t="str">
        <f t="shared" si="9"/>
        <v>DB72-4-42-G</v>
      </c>
      <c r="Q81" s="114" t="str">
        <f t="shared" si="9"/>
        <v>EUR-MDB72G4NA</v>
      </c>
    </row>
    <row r="82" spans="8:17" x14ac:dyDescent="0.4">
      <c r="H82" s="114" t="s">
        <v>951</v>
      </c>
      <c r="I82" s="114">
        <v>400</v>
      </c>
      <c r="J82" s="114">
        <v>72</v>
      </c>
      <c r="K82" s="415" t="s">
        <v>950</v>
      </c>
      <c r="L82" s="114" t="s">
        <v>962</v>
      </c>
      <c r="M82" s="114" t="str">
        <f t="shared" si="10"/>
        <v>DB72-4-42-G-M</v>
      </c>
      <c r="N82" s="114" t="str">
        <f t="shared" si="11"/>
        <v>EUR-MDB72G4MC</v>
      </c>
      <c r="P82" s="114" t="str">
        <f t="shared" si="9"/>
        <v>DB72-4-42-G-M</v>
      </c>
      <c r="Q82" s="114" t="str">
        <f t="shared" si="9"/>
        <v>EUR-MDB72G4MC</v>
      </c>
    </row>
    <row r="83" spans="8:17" x14ac:dyDescent="0.4">
      <c r="H83" s="114" t="s">
        <v>951</v>
      </c>
      <c r="I83" s="114">
        <v>400</v>
      </c>
      <c r="J83" s="114">
        <v>24</v>
      </c>
      <c r="K83" s="415" t="s">
        <v>952</v>
      </c>
      <c r="L83" s="114" t="s">
        <v>947</v>
      </c>
      <c r="M83" s="114" t="str">
        <f t="shared" si="10"/>
        <v>DB24-4-56-G</v>
      </c>
      <c r="N83" s="114" t="str">
        <f t="shared" si="11"/>
        <v>EUR-MDB24G4NAWP</v>
      </c>
      <c r="P83" s="114" t="str">
        <f t="shared" si="9"/>
        <v>DB24-4-56-G</v>
      </c>
      <c r="Q83" s="114" t="str">
        <f t="shared" si="9"/>
        <v>EUR-MDB24G4NAWP</v>
      </c>
    </row>
    <row r="84" spans="8:17" x14ac:dyDescent="0.4">
      <c r="H84" s="114" t="s">
        <v>951</v>
      </c>
      <c r="I84" s="114">
        <v>400</v>
      </c>
      <c r="J84" s="114">
        <v>24</v>
      </c>
      <c r="K84" s="415" t="s">
        <v>950</v>
      </c>
      <c r="L84" s="114" t="s">
        <v>947</v>
      </c>
      <c r="M84" s="114" t="str">
        <f t="shared" si="10"/>
        <v>DB24-4-56-G-M</v>
      </c>
      <c r="N84" s="114" t="str">
        <f t="shared" si="11"/>
        <v>EUR-MDB24G4MCWP</v>
      </c>
      <c r="P84" s="114" t="str">
        <f t="shared" si="9"/>
        <v>DB24-4-56-G-M</v>
      </c>
      <c r="Q84" s="114" t="str">
        <f t="shared" si="9"/>
        <v>EUR-MDB24G4MCWP</v>
      </c>
    </row>
    <row r="85" spans="8:17" x14ac:dyDescent="0.4">
      <c r="H85" s="114" t="s">
        <v>951</v>
      </c>
      <c r="I85" s="114">
        <v>400</v>
      </c>
      <c r="J85" s="114">
        <v>36</v>
      </c>
      <c r="K85" s="415" t="s">
        <v>952</v>
      </c>
      <c r="L85" s="114" t="s">
        <v>947</v>
      </c>
      <c r="M85" s="114" t="str">
        <f t="shared" si="10"/>
        <v>DB36-4-56-G</v>
      </c>
      <c r="N85" s="114" t="str">
        <f t="shared" si="11"/>
        <v>EUR-MDB36G4NAWP</v>
      </c>
      <c r="P85" s="114" t="str">
        <f t="shared" si="9"/>
        <v>DB36-4-56-G</v>
      </c>
      <c r="Q85" s="114" t="str">
        <f t="shared" si="9"/>
        <v>EUR-MDB36G4NAWP</v>
      </c>
    </row>
    <row r="86" spans="8:17" x14ac:dyDescent="0.4">
      <c r="H86" s="114" t="s">
        <v>951</v>
      </c>
      <c r="I86" s="114">
        <v>400</v>
      </c>
      <c r="J86" s="114">
        <v>36</v>
      </c>
      <c r="K86" s="415" t="s">
        <v>950</v>
      </c>
      <c r="L86" s="114" t="s">
        <v>947</v>
      </c>
      <c r="M86" s="114" t="str">
        <f t="shared" si="10"/>
        <v>DB36-4-56-G-M</v>
      </c>
      <c r="N86" s="114" t="str">
        <f t="shared" si="11"/>
        <v>EUR-MDB36G4MCWP</v>
      </c>
      <c r="P86" s="114" t="str">
        <f t="shared" si="9"/>
        <v>DB36-4-56-G-M</v>
      </c>
      <c r="Q86" s="114" t="str">
        <f t="shared" si="9"/>
        <v>EUR-MDB36G4MCWP</v>
      </c>
    </row>
    <row r="87" spans="8:17" x14ac:dyDescent="0.4">
      <c r="H87" s="114" t="s">
        <v>951</v>
      </c>
      <c r="I87" s="114">
        <v>400</v>
      </c>
      <c r="J87" s="114">
        <v>48</v>
      </c>
      <c r="K87" s="415" t="s">
        <v>952</v>
      </c>
      <c r="L87" s="114" t="s">
        <v>947</v>
      </c>
      <c r="M87" s="114" t="str">
        <f t="shared" si="10"/>
        <v>DB48-4-56-G</v>
      </c>
      <c r="N87" s="114" t="str">
        <f t="shared" si="11"/>
        <v>EUR-MDB48G4NAWP</v>
      </c>
      <c r="P87" s="114" t="str">
        <f t="shared" si="9"/>
        <v>DB48-4-56-G</v>
      </c>
      <c r="Q87" s="114" t="str">
        <f t="shared" si="9"/>
        <v>EUR-MDB48G4NAWP</v>
      </c>
    </row>
    <row r="88" spans="8:17" x14ac:dyDescent="0.4">
      <c r="H88" s="114" t="s">
        <v>951</v>
      </c>
      <c r="I88" s="114">
        <v>400</v>
      </c>
      <c r="J88" s="114">
        <v>48</v>
      </c>
      <c r="K88" s="415" t="s">
        <v>950</v>
      </c>
      <c r="L88" s="114" t="s">
        <v>947</v>
      </c>
      <c r="M88" s="114" t="str">
        <f t="shared" si="10"/>
        <v>DB48-4-56-G-M</v>
      </c>
      <c r="N88" s="114" t="str">
        <f t="shared" si="11"/>
        <v>EUR-MDB48G4MCWP</v>
      </c>
      <c r="P88" s="114" t="str">
        <f t="shared" si="9"/>
        <v>DB48-4-56-G-M</v>
      </c>
      <c r="Q88" s="114" t="str">
        <f t="shared" si="9"/>
        <v>EUR-MDB48G4MCWP</v>
      </c>
    </row>
    <row r="89" spans="8:17" x14ac:dyDescent="0.4">
      <c r="H89" s="114" t="s">
        <v>951</v>
      </c>
      <c r="I89" s="114">
        <v>400</v>
      </c>
      <c r="J89" s="114">
        <v>60</v>
      </c>
      <c r="K89" s="415" t="s">
        <v>952</v>
      </c>
      <c r="L89" s="114" t="s">
        <v>947</v>
      </c>
      <c r="M89" s="114" t="str">
        <f t="shared" si="10"/>
        <v>DB60-4-56-G</v>
      </c>
      <c r="N89" s="114" t="str">
        <f t="shared" si="11"/>
        <v>EUR-MDB60G4NAWP</v>
      </c>
      <c r="P89" s="114" t="str">
        <f t="shared" si="9"/>
        <v>DB60-4-56-G</v>
      </c>
      <c r="Q89" s="114" t="str">
        <f t="shared" si="9"/>
        <v>EUR-MDB60G4NAWP</v>
      </c>
    </row>
    <row r="90" spans="8:17" x14ac:dyDescent="0.4">
      <c r="H90" s="114" t="s">
        <v>951</v>
      </c>
      <c r="I90" s="114">
        <v>400</v>
      </c>
      <c r="J90" s="114">
        <v>60</v>
      </c>
      <c r="K90" s="415" t="s">
        <v>950</v>
      </c>
      <c r="L90" s="114" t="s">
        <v>947</v>
      </c>
      <c r="M90" s="114" t="str">
        <f t="shared" si="10"/>
        <v>DB60-4-56-G-M</v>
      </c>
      <c r="N90" s="114" t="str">
        <f t="shared" si="11"/>
        <v>EUR-MDB60G4MCWP</v>
      </c>
      <c r="P90" s="114" t="str">
        <f t="shared" si="9"/>
        <v>DB60-4-56-G-M</v>
      </c>
      <c r="Q90" s="114" t="str">
        <f t="shared" si="9"/>
        <v>EUR-MDB60G4MCWP</v>
      </c>
    </row>
    <row r="91" spans="8:17" x14ac:dyDescent="0.4">
      <c r="H91" s="114" t="s">
        <v>951</v>
      </c>
      <c r="I91" s="114">
        <v>400</v>
      </c>
      <c r="J91" s="114">
        <v>72</v>
      </c>
      <c r="K91" s="415" t="s">
        <v>952</v>
      </c>
      <c r="L91" s="114" t="s">
        <v>947</v>
      </c>
      <c r="M91" s="114" t="str">
        <f t="shared" si="10"/>
        <v>DB72-4-56-G</v>
      </c>
      <c r="N91" s="114" t="str">
        <f t="shared" si="11"/>
        <v>EUR-MDB72G4NAWP</v>
      </c>
      <c r="P91" s="114" t="str">
        <f t="shared" si="9"/>
        <v>DB72-4-56-G</v>
      </c>
      <c r="Q91" s="114" t="str">
        <f t="shared" si="9"/>
        <v>EUR-MDB72G4NAWP</v>
      </c>
    </row>
    <row r="92" spans="8:17" x14ac:dyDescent="0.4">
      <c r="H92" s="114" t="s">
        <v>951</v>
      </c>
      <c r="I92" s="114">
        <v>400</v>
      </c>
      <c r="J92" s="114">
        <v>72</v>
      </c>
      <c r="K92" s="415" t="s">
        <v>950</v>
      </c>
      <c r="L92" s="114" t="s">
        <v>947</v>
      </c>
      <c r="M92" s="114" t="str">
        <f t="shared" si="10"/>
        <v>DB72-4-56-G-M</v>
      </c>
      <c r="N92" s="114" t="str">
        <f t="shared" si="11"/>
        <v>EUR-MDB72G4MCWP</v>
      </c>
      <c r="P92" s="114" t="str">
        <f t="shared" si="9"/>
        <v>DB72-4-56-G-M</v>
      </c>
      <c r="Q92" s="114" t="str">
        <f t="shared" si="9"/>
        <v>EUR-MDB72G4MCWP</v>
      </c>
    </row>
  </sheetData>
  <conditionalFormatting sqref="K2:K11">
    <cfRule type="cellIs" dxfId="173" priority="1" operator="equal">
      <formula>$ZV$2</formula>
    </cfRule>
  </conditionalFormatting>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5C117-851E-4943-8177-047D49BC4FA0}">
  <dimension ref="A1:AN25"/>
  <sheetViews>
    <sheetView topLeftCell="E1" workbookViewId="0">
      <selection activeCell="M2" sqref="M2:X2"/>
    </sheetView>
  </sheetViews>
  <sheetFormatPr defaultRowHeight="14.6" x14ac:dyDescent="0.4"/>
  <cols>
    <col min="1" max="1" width="7.61328125" style="422" bestFit="1" customWidth="1"/>
    <col min="2" max="2" width="10.07421875" style="114" bestFit="1" customWidth="1"/>
    <col min="3" max="3" width="13.61328125" style="423" bestFit="1" customWidth="1"/>
    <col min="4" max="4" width="6.23046875" style="114" bestFit="1" customWidth="1"/>
    <col min="5" max="5" width="4.07421875" style="114" bestFit="1" customWidth="1"/>
    <col min="6" max="6" width="4.07421875" style="114" customWidth="1"/>
    <col min="7" max="8" width="12.15234375" style="114" customWidth="1"/>
    <col min="9" max="10" width="13.3046875" style="114" customWidth="1"/>
    <col min="11" max="11" width="17.4609375" style="114" customWidth="1"/>
    <col min="12" max="24" width="12.23046875" style="114" customWidth="1"/>
    <col min="25" max="25" width="12.3828125" style="424" hidden="1" customWidth="1"/>
    <col min="26" max="26" width="12.3828125" style="114" hidden="1" customWidth="1"/>
    <col min="27" max="27" width="16" style="114" hidden="1" customWidth="1"/>
    <col min="28" max="28" width="39" style="114" hidden="1" customWidth="1"/>
    <col min="29" max="34" width="9.23046875" style="114" hidden="1" customWidth="1"/>
    <col min="35" max="35" width="48.4609375" style="114" hidden="1" customWidth="1"/>
    <col min="36" max="36" width="55.15234375" style="114" hidden="1" customWidth="1"/>
    <col min="37" max="40" width="9.23046875" style="114" hidden="1" customWidth="1"/>
    <col min="41" max="42" width="9.23046875" style="114" customWidth="1"/>
    <col min="43" max="16384" width="9.23046875" style="114"/>
  </cols>
  <sheetData>
    <row r="1" spans="1:38" s="299" customFormat="1" ht="29.15" x14ac:dyDescent="0.4">
      <c r="A1" s="425" t="s">
        <v>931</v>
      </c>
      <c r="B1" s="425" t="s">
        <v>932</v>
      </c>
      <c r="C1" s="426" t="s">
        <v>933</v>
      </c>
      <c r="D1" s="425" t="s">
        <v>934</v>
      </c>
      <c r="E1" s="425" t="s">
        <v>844</v>
      </c>
      <c r="F1" s="425"/>
      <c r="G1" s="427" t="s">
        <v>980</v>
      </c>
      <c r="H1" s="427" t="s">
        <v>981</v>
      </c>
      <c r="I1" s="425" t="s">
        <v>936</v>
      </c>
      <c r="J1" s="425" t="s">
        <v>937</v>
      </c>
      <c r="K1" s="427" t="s">
        <v>982</v>
      </c>
      <c r="L1" s="427" t="s">
        <v>676</v>
      </c>
      <c r="M1" s="427" t="s">
        <v>983</v>
      </c>
      <c r="N1" s="427" t="s">
        <v>984</v>
      </c>
      <c r="O1" s="427" t="s">
        <v>985</v>
      </c>
      <c r="P1" s="427" t="s">
        <v>669</v>
      </c>
      <c r="Q1" s="427" t="str">
        <f>_Fan!F1</f>
        <v>Mechanical Thermostat</v>
      </c>
      <c r="R1" s="427" t="str">
        <f>_Fan!G1</f>
        <v>Run On Timer</v>
      </c>
      <c r="S1" s="427" t="str">
        <f>_Fan!H1</f>
        <v>Time Clock</v>
      </c>
      <c r="T1" s="427" t="str">
        <f>_Fan!I1</f>
        <v>Local Switch</v>
      </c>
      <c r="U1" s="427" t="str">
        <f>_Fan!J1</f>
        <v>Run Status Light</v>
      </c>
      <c r="V1" s="427" t="str">
        <f>_Fan!K1</f>
        <v>Jet Fan</v>
      </c>
      <c r="W1" s="427" t="str">
        <f>_Fan!L1</f>
        <v>VSD or KEF</v>
      </c>
      <c r="X1" s="427" t="str">
        <f>_Fan!M1</f>
        <v>Run &amp; Fault LEDs</v>
      </c>
      <c r="Y1" s="428"/>
      <c r="Z1" s="299">
        <f>MAX('@MSSB'!AD:AD)</f>
        <v>0</v>
      </c>
    </row>
    <row r="2" spans="1:38" x14ac:dyDescent="0.4">
      <c r="A2" s="429" t="str">
        <f>IF(NOT(K2="N/A"),IF(COUNTBLANK(L2:U2)=0,"VALID","INVALID"),"INVALID")</f>
        <v>INVALID</v>
      </c>
      <c r="B2" s="430" t="str">
        <f>_xlfn.CONCAT("Fan ",(ROW()-1))</f>
        <v>Fan 1</v>
      </c>
      <c r="C2" s="431">
        <f>IFERROR(E2*I2,0)</f>
        <v>0</v>
      </c>
      <c r="D2" s="430">
        <f>IFERROR(IF(ISBLANK(G2),J2*E2,G2*E2),0)</f>
        <v>0</v>
      </c>
      <c r="E2" s="430"/>
      <c r="F2" s="430">
        <f t="shared" ref="F2:F24" si="0">IF(COUNTBLANK(H2)=0,H2,IF(L2="Local",5,20))</f>
        <v>5</v>
      </c>
      <c r="G2" s="430"/>
      <c r="H2" s="430"/>
      <c r="I2" s="430" t="e">
        <f>IF(NOT(W2="No"),VLOOKUP(W2,_Fan!N:P,2,FALSE) + IF(W2="VSD",F2*(VLOOKUP("Switchboard Cable 1mm",'Part List'!$A:$G,3,FALSE) + VLOOKUP("2.5mm Twin and Earth",'Part List'!$A:$G,3,FALSE)*2),F2*(VLOOKUP("7030 2 pair TCAS7302P",'Part List'!$A:$G,3,FALSE) + VLOOKUP("4mm Cable 3 core and Earth",'Part List'!$A:$G,3,FALSE))),VLOOKUP(L2,_Fan!N:P,2,FALSE))
+VLOOKUP(O2,_Fan!N:P,2,FALSE)
+IF(X2="Yes", F2*(VLOOKUP("7030 2 pair TCAS7302P",'Part List'!$A:$G,3,FALSE)),0)
+IF(M2="YES",VLOOKUP(M$1,_Fan!N:P,2,FALSE),0)+IF(X2="YES",VLOOKUP(X$1,_Fan!N:P,2,FALSE),0)
+IF(N2="YES",VLOOKUP(N$1,_Fan!N:P,2,FALSE),0)
+IF(P2="YES",VLOOKUP(P$1,_Fan!N:P,2,FALSE),0)
+IF(Q2="YES",VLOOKUP(Q$1,_Fan!N:P,2,FALSE),0)
+IF(R2="YES",VLOOKUP(R$1,_Fan!N:P,2,FALSE),0)
+IF(S2="YES",VLOOKUP(S$1,_Fan!N:P,2,FALSE),0)
+IF(T2="YES",VLOOKUP(T$1,_Fan!N:P,2,FALSE),0)
+IF(U2="YES",VLOOKUP(U$1,_Fan!N:P,2,FALSE),0)
+IF(V2="Yes",VLOOKUP("4mm Cable 3 core and Earth",'Part List'!$A:$G,3,FALSE)+VLOOKUP("7030 2 pair TCAS7302P",'Part List'!$A:$G,3,FALSE),
VLOOKUP("2.5mm Twin and Earth",'Part List'!$A:$G,3,FALSE))*F2</f>
        <v>#N/A</v>
      </c>
      <c r="J2" s="430" t="e">
        <f>IF(NOT(W2="No"),VLOOKUP(W2,_Fan!N:P,3,FALSE) + IF(W2="VSD",F2*(VLOOKUP("Switchboard Cable 1mm",'Part List'!$A:$G,5,FALSE) + VLOOKUP("2.5mm Twin and Earth",'Part List'!$A:$G,5,FALSE)*2),F2*(VLOOKUP("7030 2 pair TCAS7302P",'Part List'!$A:$G,5,FALSE) + VLOOKUP("4mm Cable 3 core and Earth",'Part List'!$A:$G,5,FALSE))),VLOOKUP(L2,_Fan!N:P,3,FALSE))
+VLOOKUP(O2,_Fan!N:P,3,FALSE)
+IF(X2="Yes", F2*(VLOOKUP("7030 2 pair TCAS7302P",'Part List'!$A:$G,5,FALSE)),0)
+IF(M2="YES",VLOOKUP(M$1,_Fan!N:P,3,FALSE),0)+IF(X2="YES",VLOOKUP(X$1,_Fan!N:P,3,FALSE),0)
+IF(N2="YES",VLOOKUP(N$1,_Fan!N:P,3,FALSE),0)
+IF(P2="YES",VLOOKUP(P$1,_Fan!N:P,3,FALSE),0)
+IF(Q2="YES",VLOOKUP(Q$1,_Fan!N:P,3,FALSE),0)
+IF(R2="YES",VLOOKUP(R$1,_Fan!N:P,3,FALSE),0)
+IF(S2="YES",VLOOKUP(S$1,_Fan!N:P,3,FALSE),0)
+IF(T2="YES",VLOOKUP(T$1,_Fan!N:P,3,FALSE),0)
+IF(U2="YES",VLOOKUP(U$1,_Fan!N:P,3,FALSE),0)
+IF(V2="Yes",VLOOKUP("4mm Cable 3 core and Earth",'Part List'!$A:$G,5,FALSE)+VLOOKUP("7030 2 pair TCAS7302P",'Part List'!$A:$G,5,FALSE),
VLOOKUP("2.5mm Twin and Earth",'Part List'!$A:$G,5,FALSE))*F2</f>
        <v>#N/A</v>
      </c>
      <c r="K2" s="430" t="str">
        <f>IF(COUNTBLANK(L2:U2)=0,_xlfn.CONCAT("F",IF(L2="Local","L","M"),"-",IF(M2="Yes",1,0),IF(N2="Yes",1,0),IF(P2="Yes",1,0),IF(Q2="Yes",1,0),IF(R2="Yes",1,0),IF(S2="Yes",1,0),IF(T2="Yes",1,0),IF(U2="Yes",1,0), IF(O2 = "Interlock", "-I",
IF(O2 = "Interlock with Associated Units", "-IA",
IF(O2 = "Interlock with Lighting Circuit", "-IC",
IF(O2 = "Interlock with Local Switch", "-IS","")))),IF(V2="Yes","-J","")),"")</f>
        <v/>
      </c>
      <c r="L2" s="430" t="s">
        <v>991</v>
      </c>
      <c r="M2" s="430"/>
      <c r="N2" s="430"/>
      <c r="O2" s="430"/>
      <c r="P2" s="430"/>
      <c r="Q2" s="430"/>
      <c r="R2" s="430"/>
      <c r="S2" s="430"/>
      <c r="T2" s="430"/>
      <c r="U2" s="430"/>
      <c r="V2" s="430"/>
      <c r="W2" s="430"/>
      <c r="X2" s="430"/>
      <c r="Y2" s="432" t="str">
        <f>IF(A2="VALID",_xlfn.CONCAT("
",AF2,"
",REPT(" ",8),AG2,"
",REPT(" ",8),AH2,"
",REPT(" ", 8),AI2, "
"),"")</f>
        <v/>
      </c>
      <c r="Z2" s="114">
        <f xml:space="preserve"> IF(AND(E2&gt;0,A2="VALID"),Z1+1,Z1)</f>
        <v>0</v>
      </c>
      <c r="AA2" s="114" t="str">
        <f>_xlfn.CONCAT(E2," (",VLOOKUP(E2,[1]Backend!C:D,2,FALSE),")")</f>
        <v xml:space="preserve"> (Zero)</v>
      </c>
      <c r="AB2" s="114" t="str">
        <f>_xlfn.CONCAT(Z2," - Electrical power supply and controls to ",AA2,IF(V2="Yes"," Jet fan", " fan"))</f>
        <v>0 - Electrical power supply and controls to  (Zero) fan</v>
      </c>
      <c r="AC2" s="114" t="str">
        <f>IF((COUNTIF(M2:U2,"No") &lt; 9)," with: "," ")</f>
        <v xml:space="preserve"> with: </v>
      </c>
      <c r="AD2" s="114" t="str">
        <f>_xlfn.CONCAT(IF(M2 = "Yes",_xlfn.CONCAT($M$1, ", "),""),IF(N2 = "Yes",_xlfn.CONCAT($N$1, ", "),""),IF(P2 = "Yes",_xlfn.CONCAT($P$1, ", "),""),IF(Q2 = "Yes",_xlfn.CONCAT($Q$1, ", "),""),IF(R2 = "Yes",_xlfn.CONCAT($R$1, ", "),""),IF(S2 = "Yes",_xlfn.CONCAT($S$1, ", "),""),IF(T2 = "Yes",_xlfn.CONCAT($T$1, ", "),""),IF(U2 = "Yes",_xlfn.CONCAT($U$1, ", "),""),IF(NOT(O2 = "No"),_xlfn.CONCAT(O2, ", "),""))</f>
        <v xml:space="preserve">, </v>
      </c>
      <c r="AE2" s="114" t="str">
        <f>_xlfn.CONCAT("from ",L2, " Power Supply")</f>
        <v>from Local Power Supply</v>
      </c>
      <c r="AF2" s="114" t="str">
        <f>_xlfn.CONCAT(AB2,AC2,AD2,AE2)</f>
        <v>0 - Electrical power supply and controls to  (Zero) fan with: , from Local Power Supply</v>
      </c>
      <c r="AG2" s="114" t="str">
        <f>_xlfn.CONCAT(Z2,".1 - This includes supply and install of power and controls.")</f>
        <v>0.1 - This includes supply and install of power and controls.</v>
      </c>
      <c r="AH2" s="114" t="str">
        <f>_xlfn.CONCAT(Z2,".2 - Power for system includes: ",VLOOKUP(L2,_Fan!N:Q,4,FALSE))</f>
        <v xml:space="preserve">0.2 - Power for system includes: cabling to fan and control panel (from Builder's Electrician's isolator) and local isolator, </v>
      </c>
      <c r="AI2" s="114" t="e">
        <f t="shared" ref="AI2:AI22" si="1">IF(OR((L2="Local"),NOT(O2="No"),(COUNTIF(M2:U2,"Yes")&gt;0)),_xlfn.CONCAT(Z2,".3 - Controls for system includes: ",_xlfn.CONCAT(AJ2,IF(L2="Local","controls enclosure.","")),""),"")</f>
        <v>#N/A</v>
      </c>
      <c r="AJ2" s="114" t="e">
        <f>_xlfn.CONCAT(IF(M2="Yes",VLOOKUP(M$1,_Fan!N:AB,4,FALSE),""),IF(N2="Yes",VLOOKUP(N$1,_Fan!N:AB,4,FALSE),""),IF(NOT(O2="No"),VLOOKUP(O2,_Fan!N:AB,4,FALSE),""),IF(P2="Yes",VLOOKUP(P$1,_Fan!N:AB,4,FALSE),""),IF(Q2="Yes",VLOOKUP(Q$1,_Fan!N:AB,4,FALSE),""),IF(R2="Yes",VLOOKUP(R$1,_Fan!N:AB,4,FALSE),""),IF(S2="Yes",VLOOKUP(S$1,_Fan!N:AB,4,FALSE),""),IF(T2="Yes",VLOOKUP(T$1,_Fan!N:AB,4,FALSE),""),IF(U2="Yes",VLOOKUP(U$1,_Fan!N:AB,4,FALSE),""))</f>
        <v>#N/A</v>
      </c>
      <c r="AL2" s="114" t="str">
        <f>_xlfn.CONCAT(IF(V2="Yes","Jet fan","fan"),AC2,AD2)</f>
        <v xml:space="preserve">fan with: , </v>
      </c>
    </row>
    <row r="3" spans="1:38" x14ac:dyDescent="0.4">
      <c r="A3" s="429" t="str">
        <f>IF(NOT(K3="N/A"),IF(COUNTBLANK(L3:U3)=0,"VALID","INVALID"),"INVALID")</f>
        <v>INVALID</v>
      </c>
      <c r="B3" s="430" t="str">
        <f t="shared" ref="B3:B22" si="2">_xlfn.CONCAT("Fan ",(ROW()-1))</f>
        <v>Fan 2</v>
      </c>
      <c r="C3" s="431">
        <f t="shared" ref="C3:C22" si="3">IFERROR(E3*I3,0)</f>
        <v>0</v>
      </c>
      <c r="D3" s="430">
        <f t="shared" ref="D3:D22" si="4">IFERROR(IF(ISBLANK(G3),J3*E3,G3*E3),0)</f>
        <v>0</v>
      </c>
      <c r="E3" s="430"/>
      <c r="F3" s="430">
        <f t="shared" si="0"/>
        <v>20</v>
      </c>
      <c r="G3" s="430"/>
      <c r="H3" s="430"/>
      <c r="I3" s="430" t="e">
        <f>IF(NOT(W3="No"),VLOOKUP(W3,_Fan!N:P,2,FALSE) + IF(W3="VSD",F3*(VLOOKUP("Switchboard Cable 1mm",'Part List'!$A:$G,3,FALSE) + VLOOKUP("2.5mm Twin and Earth",'Part List'!$A:$G,3,FALSE)*2),F3*(VLOOKUP("7030 2 pair TCAS7302P",'Part List'!$A:$G,3,FALSE) + VLOOKUP("4mm Cable 3 core and Earth",'Part List'!$A:$G,3,FALSE))),VLOOKUP(L3,_Fan!N:P,2,FALSE))
+VLOOKUP(O3,_Fan!N:P,2,FALSE)
+IF(X3="Yes", F3*(VLOOKUP("7030 2 pair TCAS7302P",'Part List'!$A:$G,3,FALSE)),0)
+IF(M3="YES",VLOOKUP(M$1,_Fan!N:P,2,FALSE),0)+IF(X3="YES",VLOOKUP(X$1,_Fan!N:P,2,FALSE),0)
+IF(N3="YES",VLOOKUP(N$1,_Fan!N:P,2,FALSE),0)
+IF(P3="YES",VLOOKUP(P$1,_Fan!N:P,2,FALSE),0)
+IF(Q3="YES",VLOOKUP(Q$1,_Fan!N:P,2,FALSE),0)
+IF(R3="YES",VLOOKUP(R$1,_Fan!N:P,2,FALSE),0)
+IF(S3="YES",VLOOKUP(S$1,_Fan!N:P,2,FALSE),0)
+IF(T3="YES",VLOOKUP(T$1,_Fan!N:P,2,FALSE),0)
+IF(U3="YES",VLOOKUP(U$1,_Fan!N:P,2,FALSE),0)
+IF(V3="Yes",VLOOKUP("4mm Cable 3 core and Earth",'Part List'!$A:$G,3,FALSE)+VLOOKUP("7030 2 pair TCAS7302P",'Part List'!$A:$G,3,FALSE),
VLOOKUP("2.5mm Twin and Earth",'Part List'!$A:$G,3,FALSE))*F3</f>
        <v>#N/A</v>
      </c>
      <c r="J3" s="430" t="e">
        <f>IF(NOT(W3="No"),VLOOKUP(W3,_Fan!N:P,3,FALSE) + IF(W3="VSD",F3*(VLOOKUP("Switchboard Cable 1mm",'Part List'!$A:$G,5,FALSE) + VLOOKUP("2.5mm Twin and Earth",'Part List'!$A:$G,5,FALSE)*2),F3*(VLOOKUP("7030 2 pair TCAS7302P",'Part List'!$A:$G,5,FALSE) + VLOOKUP("4mm Cable 3 core and Earth",'Part List'!$A:$G,5,FALSE))),VLOOKUP(L3,_Fan!N:P,3,FALSE))
+VLOOKUP(O3,_Fan!N:P,3,FALSE)
+IF(X3="Yes", F3*(VLOOKUP("7030 2 pair TCAS7302P",'Part List'!$A:$G,5,FALSE)),0)
+IF(M3="YES",VLOOKUP(M$1,_Fan!N:P,3,FALSE),0)+IF(X3="YES",VLOOKUP(X$1,_Fan!N:P,3,FALSE),0)
+IF(N3="YES",VLOOKUP(N$1,_Fan!N:P,3,FALSE),0)
+IF(P3="YES",VLOOKUP(P$1,_Fan!N:P,3,FALSE),0)
+IF(Q3="YES",VLOOKUP(Q$1,_Fan!N:P,3,FALSE),0)
+IF(R3="YES",VLOOKUP(R$1,_Fan!N:P,3,FALSE),0)
+IF(S3="YES",VLOOKUP(S$1,_Fan!N:P,3,FALSE),0)
+IF(T3="YES",VLOOKUP(T$1,_Fan!N:P,3,FALSE),0)
+IF(U3="YES",VLOOKUP(U$1,_Fan!N:P,3,FALSE),0)
+IF(V3="Yes",VLOOKUP("4mm Cable 3 core and Earth",'Part List'!$A:$G,5,FALSE)+VLOOKUP("7030 2 pair TCAS7302P",'Part List'!$A:$G,5,FALSE),
VLOOKUP("2.5mm Twin and Earth",'Part List'!$A:$G,5,FALSE))*F3</f>
        <v>#N/A</v>
      </c>
      <c r="K3" s="430" t="str">
        <f t="shared" ref="K3:K22" si="5">IF(COUNTBLANK(L3:U3)=0,_xlfn.CONCAT("F",IF(L3="Local","L","M"),"-",IF(M3="Yes",1,0),IF(N3="Yes",1,0),IF(P3="Yes",1,0),IF(Q3="Yes",1,0),IF(R3="Yes",1,0),IF(S3="Yes",1,0),IF(T3="Yes",1,0),IF(U3="Yes",1,0), IF(O3 = "Interlock", "-I",
IF(O3 = "Interlock with Associated Units", "-IA",
IF(O3 = "Interlock with Lighting Circuit", "-IC",
IF(O3 = "Interlock with Local Switch", "-IS","")))),IF(V3="Yes","-J","")),"")</f>
        <v/>
      </c>
      <c r="L3" s="430" t="s">
        <v>678</v>
      </c>
      <c r="M3" s="430"/>
      <c r="N3" s="430"/>
      <c r="O3" s="430"/>
      <c r="P3" s="430"/>
      <c r="Q3" s="430"/>
      <c r="R3" s="430"/>
      <c r="S3" s="430"/>
      <c r="T3" s="430"/>
      <c r="U3" s="430"/>
      <c r="V3" s="430"/>
      <c r="W3" s="430"/>
      <c r="X3" s="430"/>
      <c r="Y3" s="432" t="str">
        <f t="shared" ref="Y3:Y22" si="6">IF(A3="VALID",_xlfn.CONCAT("
",AF3,"
",REPT(" ",8),AG3,"
",REPT(" ",8),AH3,"
",REPT(" ", 8),AI3, "
"),"")</f>
        <v/>
      </c>
      <c r="Z3" s="114">
        <f t="shared" ref="Z3:Z22" si="7" xml:space="preserve"> IF(AND(E3&gt;0,A3="VALID"),Z2+1,Z2)</f>
        <v>0</v>
      </c>
      <c r="AA3" s="114" t="str">
        <f>_xlfn.CONCAT(E3," (",VLOOKUP(E3,[1]Backend!C:D,2,FALSE),")")</f>
        <v xml:space="preserve"> (Zero)</v>
      </c>
      <c r="AB3" s="114" t="str">
        <f t="shared" ref="AB3:AB22" si="8">_xlfn.CONCAT(Z3," - Electrical power supply and controls to ",AA3," fan")</f>
        <v>0 - Electrical power supply and controls to  (Zero) fan</v>
      </c>
      <c r="AC3" s="114" t="str">
        <f t="shared" ref="AC3:AC22" si="9">IF((COUNTIF(M3:U3,"No") &lt; 9)," with: "," ")</f>
        <v xml:space="preserve"> with: </v>
      </c>
      <c r="AD3" s="114" t="str">
        <f t="shared" ref="AD3:AD22" si="10">_xlfn.CONCAT(IF(M3 = "Yes",_xlfn.CONCAT($M$1, ", "),""),IF(N3 = "Yes",_xlfn.CONCAT($N$1, ", "),""),IF(P3 = "Yes",_xlfn.CONCAT($P$1, ", "),""),IF(Q3 = "Yes",_xlfn.CONCAT($Q$1, ", "),""),IF(R3 = "Yes",_xlfn.CONCAT($R$1, ", "),""),IF(S3 = "Yes",_xlfn.CONCAT($S$1, ", "),""),IF(T3 = "Yes",_xlfn.CONCAT($T$1, ", "),""),IF(U3 = "Yes",_xlfn.CONCAT($U$1, ", "),""),IF(NOT(O3 = "No"),_xlfn.CONCAT(O3, ", "),""))</f>
        <v xml:space="preserve">, </v>
      </c>
      <c r="AE3" s="114" t="str">
        <f t="shared" ref="AE3:AE22" si="11">_xlfn.CONCAT("from ",L3, " Power Supply")</f>
        <v>from MSSB Power Supply</v>
      </c>
      <c r="AF3" s="114" t="str">
        <f>_xlfn.CONCAT(AB3,AC3,AD3,AE3)</f>
        <v>0 - Electrical power supply and controls to  (Zero) fan with: , from MSSB Power Supply</v>
      </c>
      <c r="AG3" s="114" t="str">
        <f t="shared" ref="AG3:AG22" si="12">_xlfn.CONCAT(Z3,".1 - This includes supply and install of power and controls.")</f>
        <v>0.1 - This includes supply and install of power and controls.</v>
      </c>
      <c r="AH3" s="114" t="str">
        <f>_xlfn.CONCAT(Z3,".2 - Power for system includes: ",VLOOKUP(L3,_Fan!N:Q,4,FALSE))</f>
        <v xml:space="preserve">0.2 - Power for system includes: CB and cabling to fan from MSSB, and local isolator, </v>
      </c>
      <c r="AI3" s="114" t="e">
        <f t="shared" si="1"/>
        <v>#N/A</v>
      </c>
      <c r="AJ3" s="114" t="e">
        <f>_xlfn.CONCAT(IF(M3="Yes",VLOOKUP(M$1,_Fan!N:AB,4,FALSE),""),IF(N3="Yes",VLOOKUP(N$1,_Fan!N:AB,4,FALSE),""),IF(NOT(O3="No"),VLOOKUP(O3,_Fan!N:AB,4,FALSE),""),IF(P3="Yes",VLOOKUP(P$1,_Fan!N:AB,4,FALSE),""),IF(Q3="Yes",VLOOKUP(Q$1,_Fan!N:AB,4,FALSE),""),IF(R3="Yes",VLOOKUP(R$1,_Fan!N:AB,4,FALSE),""),IF(S3="Yes",VLOOKUP(S$1,_Fan!N:AB,4,FALSE),""),IF(T3="Yes",VLOOKUP(T$1,_Fan!N:AB,4,FALSE),""),IF(U3="Yes",VLOOKUP(U$1,_Fan!N:AB,4,FALSE),""))</f>
        <v>#N/A</v>
      </c>
      <c r="AL3" s="114" t="str">
        <f t="shared" ref="AL3:AL22" si="13">_xlfn.CONCAT(IF(V3="Yes","Jet fan","fan"),AC3,AD3)</f>
        <v xml:space="preserve">fan with: , </v>
      </c>
    </row>
    <row r="4" spans="1:38" x14ac:dyDescent="0.4">
      <c r="A4" s="429" t="str">
        <f t="shared" ref="A4:A22" si="14">IF(NOT(K4="N/A"),IF(COUNTBLANK(L4:U4)=0,"VALID","INVALID"),"INVALID")</f>
        <v>INVALID</v>
      </c>
      <c r="B4" s="430" t="str">
        <f t="shared" si="2"/>
        <v>Fan 3</v>
      </c>
      <c r="C4" s="431">
        <f t="shared" si="3"/>
        <v>0</v>
      </c>
      <c r="D4" s="430">
        <f t="shared" si="4"/>
        <v>0</v>
      </c>
      <c r="E4" s="430"/>
      <c r="F4" s="430">
        <f t="shared" si="0"/>
        <v>20</v>
      </c>
      <c r="G4" s="430"/>
      <c r="H4" s="430"/>
      <c r="I4" s="430" t="e">
        <f>IF(NOT(W4="No"),VLOOKUP(W4,_Fan!N:P,2,FALSE) + IF(W4="VSD",F4*(VLOOKUP("Switchboard Cable 1mm",'Part List'!$A:$G,3,FALSE) + VLOOKUP("2.5mm Twin and Earth",'Part List'!$A:$G,3,FALSE)*2),F4*(VLOOKUP("7030 2 pair TCAS7302P",'Part List'!$A:$G,3,FALSE) + VLOOKUP("4mm Cable 3 core and Earth",'Part List'!$A:$G,3,FALSE))),VLOOKUP(L4,_Fan!N:P,2,FALSE))
+VLOOKUP(O4,_Fan!N:P,2,FALSE)
+IF(X4="Yes", F4*(VLOOKUP("7030 2 pair TCAS7302P",'Part List'!$A:$G,3,FALSE)),0)
+IF(M4="YES",VLOOKUP(M$1,_Fan!N:P,2,FALSE),0)+IF(X4="YES",VLOOKUP(X$1,_Fan!N:P,2,FALSE),0)
+IF(N4="YES",VLOOKUP(N$1,_Fan!N:P,2,FALSE),0)
+IF(P4="YES",VLOOKUP(P$1,_Fan!N:P,2,FALSE),0)
+IF(Q4="YES",VLOOKUP(Q$1,_Fan!N:P,2,FALSE),0)
+IF(R4="YES",VLOOKUP(R$1,_Fan!N:P,2,FALSE),0)
+IF(S4="YES",VLOOKUP(S$1,_Fan!N:P,2,FALSE),0)
+IF(T4="YES",VLOOKUP(T$1,_Fan!N:P,2,FALSE),0)
+IF(U4="YES",VLOOKUP(U$1,_Fan!N:P,2,FALSE),0)
+IF(V4="Yes",VLOOKUP("4mm Cable 3 core and Earth",'Part List'!$A:$G,3,FALSE)+VLOOKUP("7030 2 pair TCAS7302P",'Part List'!$A:$G,3,FALSE),
VLOOKUP("2.5mm Twin and Earth",'Part List'!$A:$G,3,FALSE))*F4</f>
        <v>#N/A</v>
      </c>
      <c r="J4" s="430" t="e">
        <f>IF(NOT(W4="No"),VLOOKUP(W4,_Fan!N:P,3,FALSE) + IF(W4="VSD",F4*(VLOOKUP("Switchboard Cable 1mm",'Part List'!$A:$G,5,FALSE) + VLOOKUP("2.5mm Twin and Earth",'Part List'!$A:$G,5,FALSE)*2),F4*(VLOOKUP("7030 2 pair TCAS7302P",'Part List'!$A:$G,5,FALSE) + VLOOKUP("4mm Cable 3 core and Earth",'Part List'!$A:$G,5,FALSE))),VLOOKUP(L4,_Fan!N:P,3,FALSE))
+VLOOKUP(O4,_Fan!N:P,3,FALSE)
+IF(X4="Yes", F4*(VLOOKUP("7030 2 pair TCAS7302P",'Part List'!$A:$G,5,FALSE)),0)
+IF(M4="YES",VLOOKUP(M$1,_Fan!N:P,3,FALSE),0)+IF(X4="YES",VLOOKUP(X$1,_Fan!N:P,3,FALSE),0)
+IF(N4="YES",VLOOKUP(N$1,_Fan!N:P,3,FALSE),0)
+IF(P4="YES",VLOOKUP(P$1,_Fan!N:P,3,FALSE),0)
+IF(Q4="YES",VLOOKUP(Q$1,_Fan!N:P,3,FALSE),0)
+IF(R4="YES",VLOOKUP(R$1,_Fan!N:P,3,FALSE),0)
+IF(S4="YES",VLOOKUP(S$1,_Fan!N:P,3,FALSE),0)
+IF(T4="YES",VLOOKUP(T$1,_Fan!N:P,3,FALSE),0)
+IF(U4="YES",VLOOKUP(U$1,_Fan!N:P,3,FALSE),0)
+IF(V4="Yes",VLOOKUP("4mm Cable 3 core and Earth",'Part List'!$A:$G,5,FALSE)+VLOOKUP("7030 2 pair TCAS7302P",'Part List'!$A:$G,5,FALSE),
VLOOKUP("2.5mm Twin and Earth",'Part List'!$A:$G,5,FALSE))*F4</f>
        <v>#N/A</v>
      </c>
      <c r="K4" s="430" t="str">
        <f t="shared" si="5"/>
        <v/>
      </c>
      <c r="L4" s="430" t="s">
        <v>678</v>
      </c>
      <c r="M4" s="430"/>
      <c r="N4" s="430"/>
      <c r="O4" s="430"/>
      <c r="P4" s="430"/>
      <c r="Q4" s="430"/>
      <c r="R4" s="430"/>
      <c r="S4" s="430"/>
      <c r="T4" s="430"/>
      <c r="U4" s="430"/>
      <c r="V4" s="430"/>
      <c r="W4" s="430"/>
      <c r="X4" s="430"/>
      <c r="Y4" s="432" t="str">
        <f t="shared" si="6"/>
        <v/>
      </c>
      <c r="Z4" s="114">
        <f t="shared" si="7"/>
        <v>0</v>
      </c>
      <c r="AA4" s="114" t="str">
        <f>_xlfn.CONCAT(E4," (",VLOOKUP(E4,[1]Backend!C:D,2,FALSE),")")</f>
        <v xml:space="preserve"> (Zero)</v>
      </c>
      <c r="AB4" s="114" t="str">
        <f t="shared" si="8"/>
        <v>0 - Electrical power supply and controls to  (Zero) fan</v>
      </c>
      <c r="AC4" s="114" t="str">
        <f t="shared" si="9"/>
        <v xml:space="preserve"> with: </v>
      </c>
      <c r="AD4" s="114" t="str">
        <f t="shared" si="10"/>
        <v xml:space="preserve">, </v>
      </c>
      <c r="AE4" s="114" t="str">
        <f t="shared" si="11"/>
        <v>from MSSB Power Supply</v>
      </c>
      <c r="AF4" s="114" t="str">
        <f>_xlfn.CONCAT(AB4,AC4,AD4,AE4)</f>
        <v>0 - Electrical power supply and controls to  (Zero) fan with: , from MSSB Power Supply</v>
      </c>
      <c r="AG4" s="114" t="str">
        <f t="shared" si="12"/>
        <v>0.1 - This includes supply and install of power and controls.</v>
      </c>
      <c r="AH4" s="114" t="str">
        <f>_xlfn.CONCAT(Z4,".2 - Power for system includes: ",VLOOKUP(L4,_Fan!N:Q,4,FALSE))</f>
        <v xml:space="preserve">0.2 - Power for system includes: CB and cabling to fan from MSSB, and local isolator, </v>
      </c>
      <c r="AI4" s="114" t="e">
        <f t="shared" si="1"/>
        <v>#N/A</v>
      </c>
      <c r="AJ4" s="114" t="e">
        <f>_xlfn.CONCAT(IF(M4="Yes",VLOOKUP(M$1,_Fan!N:AB,4,FALSE),""),IF(N4="Yes",VLOOKUP(N$1,_Fan!N:AB,4,FALSE),""),IF(NOT(O4="No"),VLOOKUP(O4,_Fan!N:AB,4,FALSE),""),IF(P4="Yes",VLOOKUP(P$1,_Fan!N:AB,4,FALSE),""),IF(Q4="Yes",VLOOKUP(Q$1,_Fan!N:AB,4,FALSE),""),IF(R4="Yes",VLOOKUP(R$1,_Fan!N:AB,4,FALSE),""),IF(S4="Yes",VLOOKUP(S$1,_Fan!N:AB,4,FALSE),""),IF(T4="Yes",VLOOKUP(T$1,_Fan!N:AB,4,FALSE),""),IF(U4="Yes",VLOOKUP(U$1,_Fan!N:AB,4,FALSE),""))</f>
        <v>#N/A</v>
      </c>
      <c r="AL4" s="114" t="str">
        <f t="shared" si="13"/>
        <v xml:space="preserve">fan with: , </v>
      </c>
    </row>
    <row r="5" spans="1:38" x14ac:dyDescent="0.4">
      <c r="A5" s="429" t="str">
        <f t="shared" si="14"/>
        <v>INVALID</v>
      </c>
      <c r="B5" s="430" t="str">
        <f t="shared" si="2"/>
        <v>Fan 4</v>
      </c>
      <c r="C5" s="431">
        <f t="shared" si="3"/>
        <v>0</v>
      </c>
      <c r="D5" s="430">
        <f t="shared" si="4"/>
        <v>0</v>
      </c>
      <c r="E5" s="430"/>
      <c r="F5" s="430">
        <f t="shared" si="0"/>
        <v>20</v>
      </c>
      <c r="G5" s="430"/>
      <c r="H5" s="430"/>
      <c r="I5" s="430" t="e">
        <f>IF(NOT(W5="No"),VLOOKUP(W5,_Fan!N:P,2,FALSE) + IF(W5="VSD",F5*(VLOOKUP("Switchboard Cable 1mm",'Part List'!$A:$G,3,FALSE) + VLOOKUP("2.5mm Twin and Earth",'Part List'!$A:$G,3,FALSE)*2),F5*(VLOOKUP("7030 2 pair TCAS7302P",'Part List'!$A:$G,3,FALSE) + VLOOKUP("4mm Cable 3 core and Earth",'Part List'!$A:$G,3,FALSE))),VLOOKUP(L5,_Fan!N:P,2,FALSE))
+VLOOKUP(O5,_Fan!N:P,2,FALSE)
+IF(X5="Yes", F5*(VLOOKUP("7030 2 pair TCAS7302P",'Part List'!$A:$G,3,FALSE)),0)
+IF(M5="YES",VLOOKUP(M$1,_Fan!N:P,2,FALSE),0)+IF(X5="YES",VLOOKUP(X$1,_Fan!N:P,2,FALSE),0)
+IF(N5="YES",VLOOKUP(N$1,_Fan!N:P,2,FALSE),0)
+IF(P5="YES",VLOOKUP(P$1,_Fan!N:P,2,FALSE),0)
+IF(Q5="YES",VLOOKUP(Q$1,_Fan!N:P,2,FALSE),0)
+IF(R5="YES",VLOOKUP(R$1,_Fan!N:P,2,FALSE),0)
+IF(S5="YES",VLOOKUP(S$1,_Fan!N:P,2,FALSE),0)
+IF(T5="YES",VLOOKUP(T$1,_Fan!N:P,2,FALSE),0)
+IF(U5="YES",VLOOKUP(U$1,_Fan!N:P,2,FALSE),0)
+IF(V5="Yes",VLOOKUP("4mm Cable 3 core and Earth",'Part List'!$A:$G,3,FALSE)+VLOOKUP("7030 2 pair TCAS7302P",'Part List'!$A:$G,3,FALSE),
VLOOKUP("2.5mm Twin and Earth",'Part List'!$A:$G,3,FALSE))*F5</f>
        <v>#N/A</v>
      </c>
      <c r="J5" s="430" t="e">
        <f>IF(NOT(W5="No"),VLOOKUP(W5,_Fan!N:P,3,FALSE) + IF(W5="VSD",F5*(VLOOKUP("Switchboard Cable 1mm",'Part List'!$A:$G,5,FALSE) + VLOOKUP("2.5mm Twin and Earth",'Part List'!$A:$G,5,FALSE)*2),F5*(VLOOKUP("7030 2 pair TCAS7302P",'Part List'!$A:$G,5,FALSE) + VLOOKUP("4mm Cable 3 core and Earth",'Part List'!$A:$G,5,FALSE))),VLOOKUP(L5,_Fan!N:P,3,FALSE))
+VLOOKUP(O5,_Fan!N:P,3,FALSE)
+IF(X5="Yes", F5*(VLOOKUP("7030 2 pair TCAS7302P",'Part List'!$A:$G,5,FALSE)),0)
+IF(M5="YES",VLOOKUP(M$1,_Fan!N:P,3,FALSE),0)+IF(X5="YES",VLOOKUP(X$1,_Fan!N:P,3,FALSE),0)
+IF(N5="YES",VLOOKUP(N$1,_Fan!N:P,3,FALSE),0)
+IF(P5="YES",VLOOKUP(P$1,_Fan!N:P,3,FALSE),0)
+IF(Q5="YES",VLOOKUP(Q$1,_Fan!N:P,3,FALSE),0)
+IF(R5="YES",VLOOKUP(R$1,_Fan!N:P,3,FALSE),0)
+IF(S5="YES",VLOOKUP(S$1,_Fan!N:P,3,FALSE),0)
+IF(T5="YES",VLOOKUP(T$1,_Fan!N:P,3,FALSE),0)
+IF(U5="YES",VLOOKUP(U$1,_Fan!N:P,3,FALSE),0)
+IF(V5="Yes",VLOOKUP("4mm Cable 3 core and Earth",'Part List'!$A:$G,5,FALSE)+VLOOKUP("7030 2 pair TCAS7302P",'Part List'!$A:$G,5,FALSE),
VLOOKUP("2.5mm Twin and Earth",'Part List'!$A:$G,5,FALSE))*F5</f>
        <v>#N/A</v>
      </c>
      <c r="K5" s="430" t="str">
        <f t="shared" si="5"/>
        <v/>
      </c>
      <c r="L5" s="430" t="s">
        <v>678</v>
      </c>
      <c r="M5" s="430"/>
      <c r="N5" s="430"/>
      <c r="O5" s="430"/>
      <c r="P5" s="430"/>
      <c r="Q5" s="430"/>
      <c r="R5" s="430"/>
      <c r="S5" s="430"/>
      <c r="T5" s="430"/>
      <c r="U5" s="430"/>
      <c r="V5" s="430"/>
      <c r="W5" s="430"/>
      <c r="X5" s="430"/>
      <c r="Y5" s="432" t="str">
        <f t="shared" si="6"/>
        <v/>
      </c>
      <c r="Z5" s="114">
        <f t="shared" si="7"/>
        <v>0</v>
      </c>
      <c r="AA5" s="114" t="str">
        <f>_xlfn.CONCAT(E5," (",VLOOKUP(E5,[1]Backend!C:D,2,FALSE),")")</f>
        <v xml:space="preserve"> (Zero)</v>
      </c>
      <c r="AB5" s="114" t="str">
        <f t="shared" si="8"/>
        <v>0 - Electrical power supply and controls to  (Zero) fan</v>
      </c>
      <c r="AC5" s="114" t="str">
        <f t="shared" si="9"/>
        <v xml:space="preserve"> with: </v>
      </c>
      <c r="AD5" s="114" t="str">
        <f t="shared" si="10"/>
        <v xml:space="preserve">, </v>
      </c>
      <c r="AE5" s="114" t="str">
        <f t="shared" si="11"/>
        <v>from MSSB Power Supply</v>
      </c>
      <c r="AF5" s="114" t="str">
        <f>_xlfn.CONCAT(AB5,AC5,AD5,AE5)</f>
        <v>0 - Electrical power supply and controls to  (Zero) fan with: , from MSSB Power Supply</v>
      </c>
      <c r="AG5" s="114" t="str">
        <f t="shared" si="12"/>
        <v>0.1 - This includes supply and install of power and controls.</v>
      </c>
      <c r="AH5" s="114" t="str">
        <f>_xlfn.CONCAT(Z5,".2 - Power for system includes: ",VLOOKUP(L5,_Fan!N:Q,4,FALSE))</f>
        <v xml:space="preserve">0.2 - Power for system includes: CB and cabling to fan from MSSB, and local isolator, </v>
      </c>
      <c r="AI5" s="114" t="e">
        <f t="shared" si="1"/>
        <v>#N/A</v>
      </c>
      <c r="AJ5" s="114" t="e">
        <f>_xlfn.CONCAT(IF(M5="Yes",VLOOKUP(M$1,_Fan!N:AB,4,FALSE),""),IF(N5="Yes",VLOOKUP(N$1,_Fan!N:AB,4,FALSE),""),IF(NOT(O5="No"),VLOOKUP(O5,_Fan!N:AB,4,FALSE),""),IF(P5="Yes",VLOOKUP(P$1,_Fan!N:AB,4,FALSE),""),IF(Q5="Yes",VLOOKUP(Q$1,_Fan!N:AB,4,FALSE),""),IF(R5="Yes",VLOOKUP(R$1,_Fan!N:AB,4,FALSE),""),IF(S5="Yes",VLOOKUP(S$1,_Fan!N:AB,4,FALSE),""),IF(T5="Yes",VLOOKUP(T$1,_Fan!N:AB,4,FALSE),""),IF(U5="Yes",VLOOKUP(U$1,_Fan!N:AB,4,FALSE),""))</f>
        <v>#N/A</v>
      </c>
      <c r="AL5" s="114" t="str">
        <f t="shared" si="13"/>
        <v xml:space="preserve">fan with: , </v>
      </c>
    </row>
    <row r="6" spans="1:38" x14ac:dyDescent="0.4">
      <c r="A6" s="429" t="str">
        <f t="shared" si="14"/>
        <v>INVALID</v>
      </c>
      <c r="B6" s="430" t="str">
        <f t="shared" si="2"/>
        <v>Fan 5</v>
      </c>
      <c r="C6" s="431">
        <f t="shared" si="3"/>
        <v>0</v>
      </c>
      <c r="D6" s="430">
        <f t="shared" si="4"/>
        <v>0</v>
      </c>
      <c r="E6" s="430"/>
      <c r="F6" s="430">
        <f t="shared" si="0"/>
        <v>20</v>
      </c>
      <c r="G6" s="430"/>
      <c r="H6" s="430"/>
      <c r="I6" s="430" t="e">
        <f>IF(NOT(W6="No"),VLOOKUP(W6,_Fan!N:P,2,FALSE) + IF(W6="VSD",F6*(VLOOKUP("Switchboard Cable 1mm",'Part List'!$A:$G,3,FALSE) + VLOOKUP("2.5mm Twin and Earth",'Part List'!$A:$G,3,FALSE)*2),F6*(VLOOKUP("7030 2 pair TCAS7302P",'Part List'!$A:$G,3,FALSE) + VLOOKUP("4mm Cable 3 core and Earth",'Part List'!$A:$G,3,FALSE))),VLOOKUP(L6,_Fan!N:P,2,FALSE))
+VLOOKUP(O6,_Fan!N:P,2,FALSE)
+IF(X6="Yes", F6*(VLOOKUP("7030 2 pair TCAS7302P",'Part List'!$A:$G,3,FALSE)),0)
+IF(M6="YES",VLOOKUP(M$1,_Fan!N:P,2,FALSE),0)+IF(X6="YES",VLOOKUP(X$1,_Fan!N:P,2,FALSE),0)
+IF(N6="YES",VLOOKUP(N$1,_Fan!N:P,2,FALSE),0)
+IF(P6="YES",VLOOKUP(P$1,_Fan!N:P,2,FALSE),0)
+IF(Q6="YES",VLOOKUP(Q$1,_Fan!N:P,2,FALSE),0)
+IF(R6="YES",VLOOKUP(R$1,_Fan!N:P,2,FALSE),0)
+IF(S6="YES",VLOOKUP(S$1,_Fan!N:P,2,FALSE),0)
+IF(T6="YES",VLOOKUP(T$1,_Fan!N:P,2,FALSE),0)
+IF(U6="YES",VLOOKUP(U$1,_Fan!N:P,2,FALSE),0)
+IF(V6="Yes",VLOOKUP("4mm Cable 3 core and Earth",'Part List'!$A:$G,3,FALSE)+VLOOKUP("7030 2 pair TCAS7302P",'Part List'!$A:$G,3,FALSE),
VLOOKUP("2.5mm Twin and Earth",'Part List'!$A:$G,3,FALSE))*F6</f>
        <v>#N/A</v>
      </c>
      <c r="J6" s="430" t="e">
        <f>IF(NOT(W6="No"),VLOOKUP(W6,_Fan!N:P,3,FALSE) + IF(W6="VSD",F6*(VLOOKUP("Switchboard Cable 1mm",'Part List'!$A:$G,5,FALSE) + VLOOKUP("2.5mm Twin and Earth",'Part List'!$A:$G,5,FALSE)*2),F6*(VLOOKUP("7030 2 pair TCAS7302P",'Part List'!$A:$G,5,FALSE) + VLOOKUP("4mm Cable 3 core and Earth",'Part List'!$A:$G,5,FALSE))),VLOOKUP(L6,_Fan!N:P,3,FALSE))
+VLOOKUP(O6,_Fan!N:P,3,FALSE)
+IF(X6="Yes", F6*(VLOOKUP("7030 2 pair TCAS7302P",'Part List'!$A:$G,5,FALSE)),0)
+IF(M6="YES",VLOOKUP(M$1,_Fan!N:P,3,FALSE),0)+IF(X6="YES",VLOOKUP(X$1,_Fan!N:P,3,FALSE),0)
+IF(N6="YES",VLOOKUP(N$1,_Fan!N:P,3,FALSE),0)
+IF(P6="YES",VLOOKUP(P$1,_Fan!N:P,3,FALSE),0)
+IF(Q6="YES",VLOOKUP(Q$1,_Fan!N:P,3,FALSE),0)
+IF(R6="YES",VLOOKUP(R$1,_Fan!N:P,3,FALSE),0)
+IF(S6="YES",VLOOKUP(S$1,_Fan!N:P,3,FALSE),0)
+IF(T6="YES",VLOOKUP(T$1,_Fan!N:P,3,FALSE),0)
+IF(U6="YES",VLOOKUP(U$1,_Fan!N:P,3,FALSE),0)
+IF(V6="Yes",VLOOKUP("4mm Cable 3 core and Earth",'Part List'!$A:$G,5,FALSE)+VLOOKUP("7030 2 pair TCAS7302P",'Part List'!$A:$G,5,FALSE),
VLOOKUP("2.5mm Twin and Earth",'Part List'!$A:$G,5,FALSE))*F6</f>
        <v>#N/A</v>
      </c>
      <c r="K6" s="430" t="str">
        <f t="shared" si="5"/>
        <v/>
      </c>
      <c r="L6" s="430" t="s">
        <v>678</v>
      </c>
      <c r="M6" s="430"/>
      <c r="N6" s="430"/>
      <c r="O6" s="430"/>
      <c r="P6" s="430"/>
      <c r="Q6" s="430"/>
      <c r="R6" s="430"/>
      <c r="S6" s="430"/>
      <c r="T6" s="430"/>
      <c r="U6" s="430"/>
      <c r="V6" s="430"/>
      <c r="W6" s="430"/>
      <c r="X6" s="430"/>
      <c r="Y6" s="432" t="str">
        <f t="shared" si="6"/>
        <v/>
      </c>
      <c r="Z6" s="114">
        <f t="shared" si="7"/>
        <v>0</v>
      </c>
      <c r="AA6" s="114" t="str">
        <f>_xlfn.CONCAT(E6," (",VLOOKUP(E6,[1]Backend!C:D,2,FALSE),")")</f>
        <v xml:space="preserve"> (Zero)</v>
      </c>
      <c r="AB6" s="114" t="str">
        <f t="shared" si="8"/>
        <v>0 - Electrical power supply and controls to  (Zero) fan</v>
      </c>
      <c r="AC6" s="114" t="str">
        <f t="shared" si="9"/>
        <v xml:space="preserve"> with: </v>
      </c>
      <c r="AD6" s="114" t="str">
        <f t="shared" si="10"/>
        <v xml:space="preserve">, </v>
      </c>
      <c r="AE6" s="114" t="str">
        <f t="shared" si="11"/>
        <v>from MSSB Power Supply</v>
      </c>
      <c r="AF6" s="114" t="str">
        <f t="shared" ref="AF6:AF22" si="15">_xlfn.CONCAT(AB6,AC6,AD6,AE6)</f>
        <v>0 - Electrical power supply and controls to  (Zero) fan with: , from MSSB Power Supply</v>
      </c>
      <c r="AG6" s="114" t="str">
        <f t="shared" si="12"/>
        <v>0.1 - This includes supply and install of power and controls.</v>
      </c>
      <c r="AH6" s="114" t="str">
        <f>_xlfn.CONCAT(Z6,".2 - Power for system includes: ",VLOOKUP(L6,_Fan!N:Q,4,FALSE))</f>
        <v xml:space="preserve">0.2 - Power for system includes: CB and cabling to fan from MSSB, and local isolator, </v>
      </c>
      <c r="AI6" s="114" t="e">
        <f>IF(OR((L6="Local"),NOT(O6="No"),(COUNTIF(M6:U6,"Yes")&gt;0)),_xlfn.CONCAT(Z6,".3 - Controls for system includes: ",_xlfn.CONCAT(AJ6,IF(L6="Local","controls enclosure.","")),""),"")</f>
        <v>#N/A</v>
      </c>
      <c r="AJ6" s="114" t="e">
        <f>_xlfn.CONCAT(IF(M6="Yes",VLOOKUP(M$1,_Fan!N:AB,4,FALSE),""),IF(N6="Yes",VLOOKUP(N$1,_Fan!N:AB,4,FALSE),""),IF(NOT(O6="No"),VLOOKUP(O6,_Fan!N:AB,4,FALSE),""),IF(P6="Yes",VLOOKUP(P$1,_Fan!N:AB,4,FALSE),""),IF(Q6="Yes",VLOOKUP(Q$1,_Fan!N:AB,4,FALSE),""),IF(R6="Yes",VLOOKUP(R$1,_Fan!N:AB,4,FALSE),""),IF(S6="Yes",VLOOKUP(S$1,_Fan!N:AB,4,FALSE),""),IF(T6="Yes",VLOOKUP(T$1,_Fan!N:AB,4,FALSE),""),IF(U6="Yes",VLOOKUP(U$1,_Fan!N:AB,4,FALSE),""))</f>
        <v>#N/A</v>
      </c>
      <c r="AL6" s="114" t="str">
        <f t="shared" si="13"/>
        <v xml:space="preserve">fan with: , </v>
      </c>
    </row>
    <row r="7" spans="1:38" x14ac:dyDescent="0.4">
      <c r="A7" s="429" t="str">
        <f t="shared" si="14"/>
        <v>INVALID</v>
      </c>
      <c r="B7" s="430" t="str">
        <f t="shared" si="2"/>
        <v>Fan 6</v>
      </c>
      <c r="C7" s="431">
        <f t="shared" si="3"/>
        <v>0</v>
      </c>
      <c r="D7" s="430">
        <f t="shared" si="4"/>
        <v>0</v>
      </c>
      <c r="E7" s="430"/>
      <c r="F7" s="430">
        <f t="shared" si="0"/>
        <v>20</v>
      </c>
      <c r="G7" s="430"/>
      <c r="H7" s="430"/>
      <c r="I7" s="430" t="e">
        <f>IF(NOT(W7="No"),VLOOKUP(W7,_Fan!N:P,2,FALSE) + IF(W7="VSD",F7*(VLOOKUP("Switchboard Cable 1mm",'Part List'!$A:$G,3,FALSE) + VLOOKUP("2.5mm Twin and Earth",'Part List'!$A:$G,3,FALSE)*2),F7*(VLOOKUP("7030 2 pair TCAS7302P",'Part List'!$A:$G,3,FALSE) + VLOOKUP("4mm Cable 3 core and Earth",'Part List'!$A:$G,3,FALSE))),VLOOKUP(L7,_Fan!N:P,2,FALSE))
+VLOOKUP(O7,_Fan!N:P,2,FALSE)
+IF(X7="Yes", F7*(VLOOKUP("7030 2 pair TCAS7302P",'Part List'!$A:$G,3,FALSE)),0)
+IF(M7="YES",VLOOKUP(M$1,_Fan!N:P,2,FALSE),0)+IF(X7="YES",VLOOKUP(X$1,_Fan!N:P,2,FALSE),0)
+IF(N7="YES",VLOOKUP(N$1,_Fan!N:P,2,FALSE),0)
+IF(P7="YES",VLOOKUP(P$1,_Fan!N:P,2,FALSE),0)
+IF(Q7="YES",VLOOKUP(Q$1,_Fan!N:P,2,FALSE),0)
+IF(R7="YES",VLOOKUP(R$1,_Fan!N:P,2,FALSE),0)
+IF(S7="YES",VLOOKUP(S$1,_Fan!N:P,2,FALSE),0)
+IF(T7="YES",VLOOKUP(T$1,_Fan!N:P,2,FALSE),0)
+IF(U7="YES",VLOOKUP(U$1,_Fan!N:P,2,FALSE),0)
+IF(V7="Yes",VLOOKUP("4mm Cable 3 core and Earth",'Part List'!$A:$G,3,FALSE)+VLOOKUP("7030 2 pair TCAS7302P",'Part List'!$A:$G,3,FALSE),
VLOOKUP("2.5mm Twin and Earth",'Part List'!$A:$G,3,FALSE))*F7</f>
        <v>#N/A</v>
      </c>
      <c r="J7" s="430" t="e">
        <f>IF(NOT(W7="No"),VLOOKUP(W7,_Fan!N:P,3,FALSE) + IF(W7="VSD",F7*(VLOOKUP("Switchboard Cable 1mm",'Part List'!$A:$G,5,FALSE) + VLOOKUP("2.5mm Twin and Earth",'Part List'!$A:$G,5,FALSE)*2),F7*(VLOOKUP("7030 2 pair TCAS7302P",'Part List'!$A:$G,5,FALSE) + VLOOKUP("4mm Cable 3 core and Earth",'Part List'!$A:$G,5,FALSE))),VLOOKUP(L7,_Fan!N:P,3,FALSE))
+VLOOKUP(O7,_Fan!N:P,3,FALSE)
+IF(X7="Yes", F7*(VLOOKUP("7030 2 pair TCAS7302P",'Part List'!$A:$G,5,FALSE)),0)
+IF(M7="YES",VLOOKUP(M$1,_Fan!N:P,3,FALSE),0)+IF(X7="YES",VLOOKUP(X$1,_Fan!N:P,3,FALSE),0)
+IF(N7="YES",VLOOKUP(N$1,_Fan!N:P,3,FALSE),0)
+IF(P7="YES",VLOOKUP(P$1,_Fan!N:P,3,FALSE),0)
+IF(Q7="YES",VLOOKUP(Q$1,_Fan!N:P,3,FALSE),0)
+IF(R7="YES",VLOOKUP(R$1,_Fan!N:P,3,FALSE),0)
+IF(S7="YES",VLOOKUP(S$1,_Fan!N:P,3,FALSE),0)
+IF(T7="YES",VLOOKUP(T$1,_Fan!N:P,3,FALSE),0)
+IF(U7="YES",VLOOKUP(U$1,_Fan!N:P,3,FALSE),0)
+IF(V7="Yes",VLOOKUP("4mm Cable 3 core and Earth",'Part List'!$A:$G,5,FALSE)+VLOOKUP("7030 2 pair TCAS7302P",'Part List'!$A:$G,5,FALSE),
VLOOKUP("2.5mm Twin and Earth",'Part List'!$A:$G,5,FALSE))*F7</f>
        <v>#N/A</v>
      </c>
      <c r="K7" s="430" t="str">
        <f t="shared" si="5"/>
        <v/>
      </c>
      <c r="L7" s="430" t="s">
        <v>678</v>
      </c>
      <c r="M7" s="430"/>
      <c r="N7" s="430"/>
      <c r="O7" s="430"/>
      <c r="P7" s="430"/>
      <c r="Q7" s="430"/>
      <c r="R7" s="430"/>
      <c r="S7" s="430"/>
      <c r="T7" s="430"/>
      <c r="U7" s="430"/>
      <c r="V7" s="430"/>
      <c r="W7" s="430"/>
      <c r="X7" s="430"/>
      <c r="Y7" s="432" t="str">
        <f t="shared" si="6"/>
        <v/>
      </c>
      <c r="Z7" s="114">
        <f t="shared" si="7"/>
        <v>0</v>
      </c>
      <c r="AA7" s="114" t="str">
        <f>_xlfn.CONCAT(E7," (",VLOOKUP(E7,[1]Backend!C:D,2,FALSE),")")</f>
        <v xml:space="preserve"> (Zero)</v>
      </c>
      <c r="AB7" s="114" t="str">
        <f t="shared" si="8"/>
        <v>0 - Electrical power supply and controls to  (Zero) fan</v>
      </c>
      <c r="AC7" s="114" t="str">
        <f t="shared" si="9"/>
        <v xml:space="preserve"> with: </v>
      </c>
      <c r="AD7" s="114" t="str">
        <f t="shared" si="10"/>
        <v xml:space="preserve">, </v>
      </c>
      <c r="AE7" s="114" t="str">
        <f t="shared" si="11"/>
        <v>from MSSB Power Supply</v>
      </c>
      <c r="AF7" s="114" t="str">
        <f t="shared" si="15"/>
        <v>0 - Electrical power supply and controls to  (Zero) fan with: , from MSSB Power Supply</v>
      </c>
      <c r="AG7" s="114" t="str">
        <f t="shared" si="12"/>
        <v>0.1 - This includes supply and install of power and controls.</v>
      </c>
      <c r="AH7" s="114" t="str">
        <f>_xlfn.CONCAT(Z7,".2 - Power for system includes: ",VLOOKUP(L7,_Fan!N:Q,4,FALSE))</f>
        <v xml:space="preserve">0.2 - Power for system includes: CB and cabling to fan from MSSB, and local isolator, </v>
      </c>
      <c r="AI7" s="114" t="e">
        <f t="shared" si="1"/>
        <v>#N/A</v>
      </c>
      <c r="AJ7" s="114" t="e">
        <f>_xlfn.CONCAT(IF(M7="Yes",VLOOKUP(M$1,_Fan!N:AB,4,FALSE),""),IF(N7="Yes",VLOOKUP(N$1,_Fan!N:AB,4,FALSE),""),IF(NOT(O7="No"),VLOOKUP(O7,_Fan!N:AB,4,FALSE),""),IF(P7="Yes",VLOOKUP(P$1,_Fan!N:AB,4,FALSE),""),IF(Q7="Yes",VLOOKUP(Q$1,_Fan!N:AB,4,FALSE),""),IF(R7="Yes",VLOOKUP(R$1,_Fan!N:AB,4,FALSE),""),IF(S7="Yes",VLOOKUP(S$1,_Fan!N:AB,4,FALSE),""),IF(T7="Yes",VLOOKUP(T$1,_Fan!N:AB,4,FALSE),""),IF(U7="Yes",VLOOKUP(U$1,_Fan!N:AB,4,FALSE),""))</f>
        <v>#N/A</v>
      </c>
      <c r="AL7" s="114" t="str">
        <f t="shared" si="13"/>
        <v xml:space="preserve">fan with: , </v>
      </c>
    </row>
    <row r="8" spans="1:38" x14ac:dyDescent="0.4">
      <c r="A8" s="429" t="str">
        <f t="shared" si="14"/>
        <v>INVALID</v>
      </c>
      <c r="B8" s="430" t="str">
        <f t="shared" si="2"/>
        <v>Fan 7</v>
      </c>
      <c r="C8" s="431">
        <f t="shared" si="3"/>
        <v>0</v>
      </c>
      <c r="D8" s="430">
        <f t="shared" si="4"/>
        <v>0</v>
      </c>
      <c r="E8" s="430"/>
      <c r="F8" s="430">
        <f t="shared" si="0"/>
        <v>20</v>
      </c>
      <c r="G8" s="430"/>
      <c r="H8" s="430"/>
      <c r="I8" s="430" t="e">
        <f>IF(NOT(W8="No"),VLOOKUP(W8,_Fan!N:P,2,FALSE) + IF(W8="VSD",F8*(VLOOKUP("Switchboard Cable 1mm",'Part List'!$A:$G,3,FALSE) + VLOOKUP("2.5mm Twin and Earth",'Part List'!$A:$G,3,FALSE)*2),F8*(VLOOKUP("7030 2 pair TCAS7302P",'Part List'!$A:$G,3,FALSE) + VLOOKUP("4mm Cable 3 core and Earth",'Part List'!$A:$G,3,FALSE))),VLOOKUP(L8,_Fan!N:P,2,FALSE))
+VLOOKUP(O8,_Fan!N:P,2,FALSE)
+IF(X8="Yes", F8*(VLOOKUP("7030 2 pair TCAS7302P",'Part List'!$A:$G,3,FALSE)),0)
+IF(M8="YES",VLOOKUP(M$1,_Fan!N:P,2,FALSE),0)+IF(X8="YES",VLOOKUP(X$1,_Fan!N:P,2,FALSE),0)
+IF(N8="YES",VLOOKUP(N$1,_Fan!N:P,2,FALSE),0)
+IF(P8="YES",VLOOKUP(P$1,_Fan!N:P,2,FALSE),0)
+IF(Q8="YES",VLOOKUP(Q$1,_Fan!N:P,2,FALSE),0)
+IF(R8="YES",VLOOKUP(R$1,_Fan!N:P,2,FALSE),0)
+IF(S8="YES",VLOOKUP(S$1,_Fan!N:P,2,FALSE),0)
+IF(T8="YES",VLOOKUP(T$1,_Fan!N:P,2,FALSE),0)
+IF(U8="YES",VLOOKUP(U$1,_Fan!N:P,2,FALSE),0)
+IF(V8="Yes",VLOOKUP("4mm Cable 3 core and Earth",'Part List'!$A:$G,3,FALSE)+VLOOKUP("7030 2 pair TCAS7302P",'Part List'!$A:$G,3,FALSE),
VLOOKUP("2.5mm Twin and Earth",'Part List'!$A:$G,3,FALSE))*F8</f>
        <v>#N/A</v>
      </c>
      <c r="J8" s="430" t="e">
        <f>IF(NOT(W8="No"),VLOOKUP(W8,_Fan!N:P,3,FALSE) + IF(W8="VSD",F8*(VLOOKUP("Switchboard Cable 1mm",'Part List'!$A:$G,5,FALSE) + VLOOKUP("2.5mm Twin and Earth",'Part List'!$A:$G,5,FALSE)*2),F8*(VLOOKUP("7030 2 pair TCAS7302P",'Part List'!$A:$G,5,FALSE) + VLOOKUP("4mm Cable 3 core and Earth",'Part List'!$A:$G,5,FALSE))),VLOOKUP(L8,_Fan!N:P,3,FALSE))
+VLOOKUP(O8,_Fan!N:P,3,FALSE)
+IF(X8="Yes", F8*(VLOOKUP("7030 2 pair TCAS7302P",'Part List'!$A:$G,5,FALSE)),0)
+IF(M8="YES",VLOOKUP(M$1,_Fan!N:P,3,FALSE),0)+IF(X8="YES",VLOOKUP(X$1,_Fan!N:P,3,FALSE),0)
+IF(N8="YES",VLOOKUP(N$1,_Fan!N:P,3,FALSE),0)
+IF(P8="YES",VLOOKUP(P$1,_Fan!N:P,3,FALSE),0)
+IF(Q8="YES",VLOOKUP(Q$1,_Fan!N:P,3,FALSE),0)
+IF(R8="YES",VLOOKUP(R$1,_Fan!N:P,3,FALSE),0)
+IF(S8="YES",VLOOKUP(S$1,_Fan!N:P,3,FALSE),0)
+IF(T8="YES",VLOOKUP(T$1,_Fan!N:P,3,FALSE),0)
+IF(U8="YES",VLOOKUP(U$1,_Fan!N:P,3,FALSE),0)
+IF(V8="Yes",VLOOKUP("4mm Cable 3 core and Earth",'Part List'!$A:$G,5,FALSE)+VLOOKUP("7030 2 pair TCAS7302P",'Part List'!$A:$G,5,FALSE),
VLOOKUP("2.5mm Twin and Earth",'Part List'!$A:$G,5,FALSE))*F8</f>
        <v>#N/A</v>
      </c>
      <c r="K8" s="430" t="str">
        <f t="shared" si="5"/>
        <v/>
      </c>
      <c r="L8" s="430" t="s">
        <v>678</v>
      </c>
      <c r="M8" s="430"/>
      <c r="N8" s="430"/>
      <c r="O8" s="430"/>
      <c r="P8" s="430"/>
      <c r="Q8" s="430"/>
      <c r="R8" s="430"/>
      <c r="S8" s="430"/>
      <c r="T8" s="430"/>
      <c r="U8" s="430"/>
      <c r="V8" s="430"/>
      <c r="W8" s="430"/>
      <c r="X8" s="430"/>
      <c r="Y8" s="432" t="str">
        <f t="shared" si="6"/>
        <v/>
      </c>
      <c r="Z8" s="114">
        <f t="shared" si="7"/>
        <v>0</v>
      </c>
      <c r="AA8" s="114" t="str">
        <f>_xlfn.CONCAT(E8," (",VLOOKUP(E8,[1]Backend!C:D,2,FALSE),")")</f>
        <v xml:space="preserve"> (Zero)</v>
      </c>
      <c r="AB8" s="114" t="str">
        <f t="shared" si="8"/>
        <v>0 - Electrical power supply and controls to  (Zero) fan</v>
      </c>
      <c r="AC8" s="114" t="str">
        <f t="shared" si="9"/>
        <v xml:space="preserve"> with: </v>
      </c>
      <c r="AD8" s="114" t="str">
        <f t="shared" si="10"/>
        <v xml:space="preserve">, </v>
      </c>
      <c r="AE8" s="114" t="str">
        <f t="shared" si="11"/>
        <v>from MSSB Power Supply</v>
      </c>
      <c r="AF8" s="114" t="str">
        <f t="shared" si="15"/>
        <v>0 - Electrical power supply and controls to  (Zero) fan with: , from MSSB Power Supply</v>
      </c>
      <c r="AG8" s="114" t="str">
        <f t="shared" si="12"/>
        <v>0.1 - This includes supply and install of power and controls.</v>
      </c>
      <c r="AH8" s="114" t="str">
        <f>_xlfn.CONCAT(Z8,".2 - Power for system includes: ",VLOOKUP(L8,_Fan!N:Q,4,FALSE))</f>
        <v xml:space="preserve">0.2 - Power for system includes: CB and cabling to fan from MSSB, and local isolator, </v>
      </c>
      <c r="AI8" s="114" t="e">
        <f t="shared" si="1"/>
        <v>#N/A</v>
      </c>
      <c r="AJ8" s="114" t="e">
        <f>_xlfn.CONCAT(IF(M8="Yes",VLOOKUP(M$1,_Fan!N:AB,4,FALSE),""),IF(N8="Yes",VLOOKUP(N$1,_Fan!N:AB,4,FALSE),""),IF(NOT(O8="No"),VLOOKUP(O8,_Fan!N:AB,4,FALSE),""),IF(P8="Yes",VLOOKUP(P$1,_Fan!N:AB,4,FALSE),""),IF(Q8="Yes",VLOOKUP(Q$1,_Fan!N:AB,4,FALSE),""),IF(R8="Yes",VLOOKUP(R$1,_Fan!N:AB,4,FALSE),""),IF(S8="Yes",VLOOKUP(S$1,_Fan!N:AB,4,FALSE),""),IF(T8="Yes",VLOOKUP(T$1,_Fan!N:AB,4,FALSE),""),IF(U8="Yes",VLOOKUP(U$1,_Fan!N:AB,4,FALSE),""))</f>
        <v>#N/A</v>
      </c>
      <c r="AL8" s="114" t="str">
        <f t="shared" si="13"/>
        <v xml:space="preserve">fan with: , </v>
      </c>
    </row>
    <row r="9" spans="1:38" x14ac:dyDescent="0.4">
      <c r="A9" s="429" t="str">
        <f t="shared" si="14"/>
        <v>INVALID</v>
      </c>
      <c r="B9" s="430" t="str">
        <f t="shared" si="2"/>
        <v>Fan 8</v>
      </c>
      <c r="C9" s="431">
        <f t="shared" si="3"/>
        <v>0</v>
      </c>
      <c r="D9" s="430">
        <f t="shared" si="4"/>
        <v>0</v>
      </c>
      <c r="E9" s="430"/>
      <c r="F9" s="430">
        <f t="shared" si="0"/>
        <v>20</v>
      </c>
      <c r="G9" s="430"/>
      <c r="H9" s="430"/>
      <c r="I9" s="430" t="e">
        <f>IF(NOT(W9="No"),VLOOKUP(W9,_Fan!N:P,2,FALSE) + IF(W9="VSD",F9*(VLOOKUP("Switchboard Cable 1mm",'Part List'!$A:$G,3,FALSE) + VLOOKUP("2.5mm Twin and Earth",'Part List'!$A:$G,3,FALSE)*2),F9*(VLOOKUP("7030 2 pair TCAS7302P",'Part List'!$A:$G,3,FALSE) + VLOOKUP("4mm Cable 3 core and Earth",'Part List'!$A:$G,3,FALSE))),VLOOKUP(L9,_Fan!N:P,2,FALSE))
+VLOOKUP(O9,_Fan!N:P,2,FALSE)
+IF(X9="Yes", F9*(VLOOKUP("7030 2 pair TCAS7302P",'Part List'!$A:$G,3,FALSE)),0)
+IF(M9="YES",VLOOKUP(M$1,_Fan!N:P,2,FALSE),0)+IF(X9="YES",VLOOKUP(X$1,_Fan!N:P,2,FALSE),0)
+IF(N9="YES",VLOOKUP(N$1,_Fan!N:P,2,FALSE),0)
+IF(P9="YES",VLOOKUP(P$1,_Fan!N:P,2,FALSE),0)
+IF(Q9="YES",VLOOKUP(Q$1,_Fan!N:P,2,FALSE),0)
+IF(R9="YES",VLOOKUP(R$1,_Fan!N:P,2,FALSE),0)
+IF(S9="YES",VLOOKUP(S$1,_Fan!N:P,2,FALSE),0)
+IF(T9="YES",VLOOKUP(T$1,_Fan!N:P,2,FALSE),0)
+IF(U9="YES",VLOOKUP(U$1,_Fan!N:P,2,FALSE),0)
+IF(V9="Yes",VLOOKUP("4mm Cable 3 core and Earth",'Part List'!$A:$G,3,FALSE)+VLOOKUP("7030 2 pair TCAS7302P",'Part List'!$A:$G,3,FALSE),
VLOOKUP("2.5mm Twin and Earth",'Part List'!$A:$G,3,FALSE))*F9</f>
        <v>#N/A</v>
      </c>
      <c r="J9" s="430" t="e">
        <f>IF(NOT(W9="No"),VLOOKUP(W9,_Fan!N:P,3,FALSE) + IF(W9="VSD",F9*(VLOOKUP("Switchboard Cable 1mm",'Part List'!$A:$G,5,FALSE) + VLOOKUP("2.5mm Twin and Earth",'Part List'!$A:$G,5,FALSE)*2),F9*(VLOOKUP("7030 2 pair TCAS7302P",'Part List'!$A:$G,5,FALSE) + VLOOKUP("4mm Cable 3 core and Earth",'Part List'!$A:$G,5,FALSE))),VLOOKUP(L9,_Fan!N:P,3,FALSE))
+VLOOKUP(O9,_Fan!N:P,3,FALSE)
+IF(X9="Yes", F9*(VLOOKUP("7030 2 pair TCAS7302P",'Part List'!$A:$G,5,FALSE)),0)
+IF(M9="YES",VLOOKUP(M$1,_Fan!N:P,3,FALSE),0)+IF(X9="YES",VLOOKUP(X$1,_Fan!N:P,3,FALSE),0)
+IF(N9="YES",VLOOKUP(N$1,_Fan!N:P,3,FALSE),0)
+IF(P9="YES",VLOOKUP(P$1,_Fan!N:P,3,FALSE),0)
+IF(Q9="YES",VLOOKUP(Q$1,_Fan!N:P,3,FALSE),0)
+IF(R9="YES",VLOOKUP(R$1,_Fan!N:P,3,FALSE),0)
+IF(S9="YES",VLOOKUP(S$1,_Fan!N:P,3,FALSE),0)
+IF(T9="YES",VLOOKUP(T$1,_Fan!N:P,3,FALSE),0)
+IF(U9="YES",VLOOKUP(U$1,_Fan!N:P,3,FALSE),0)
+IF(V9="Yes",VLOOKUP("4mm Cable 3 core and Earth",'Part List'!$A:$G,5,FALSE)+VLOOKUP("7030 2 pair TCAS7302P",'Part List'!$A:$G,5,FALSE),
VLOOKUP("2.5mm Twin and Earth",'Part List'!$A:$G,5,FALSE))*F9</f>
        <v>#N/A</v>
      </c>
      <c r="K9" s="430" t="str">
        <f t="shared" si="5"/>
        <v/>
      </c>
      <c r="L9" s="430" t="s">
        <v>678</v>
      </c>
      <c r="M9" s="430"/>
      <c r="N9" s="430"/>
      <c r="O9" s="430"/>
      <c r="P9" s="430"/>
      <c r="Q9" s="430"/>
      <c r="R9" s="430"/>
      <c r="S9" s="430"/>
      <c r="T9" s="430"/>
      <c r="U9" s="430"/>
      <c r="V9" s="430"/>
      <c r="W9" s="430"/>
      <c r="X9" s="430"/>
      <c r="Y9" s="432" t="str">
        <f t="shared" si="6"/>
        <v/>
      </c>
      <c r="Z9" s="114">
        <f t="shared" si="7"/>
        <v>0</v>
      </c>
      <c r="AA9" s="114" t="str">
        <f>_xlfn.CONCAT(E9," (",VLOOKUP(E9,[1]Backend!C:D,2,FALSE),")")</f>
        <v xml:space="preserve"> (Zero)</v>
      </c>
      <c r="AB9" s="114" t="str">
        <f t="shared" si="8"/>
        <v>0 - Electrical power supply and controls to  (Zero) fan</v>
      </c>
      <c r="AC9" s="114" t="str">
        <f t="shared" si="9"/>
        <v xml:space="preserve"> with: </v>
      </c>
      <c r="AD9" s="114" t="str">
        <f t="shared" si="10"/>
        <v xml:space="preserve">, </v>
      </c>
      <c r="AE9" s="114" t="str">
        <f t="shared" si="11"/>
        <v>from MSSB Power Supply</v>
      </c>
      <c r="AF9" s="114" t="str">
        <f t="shared" si="15"/>
        <v>0 - Electrical power supply and controls to  (Zero) fan with: , from MSSB Power Supply</v>
      </c>
      <c r="AG9" s="114" t="str">
        <f t="shared" si="12"/>
        <v>0.1 - This includes supply and install of power and controls.</v>
      </c>
      <c r="AH9" s="114" t="str">
        <f>_xlfn.CONCAT(Z9,".2 - Power for system includes: ",VLOOKUP(L9,_Fan!N:Q,4,FALSE))</f>
        <v xml:space="preserve">0.2 - Power for system includes: CB and cabling to fan from MSSB, and local isolator, </v>
      </c>
      <c r="AI9" s="114" t="e">
        <f t="shared" si="1"/>
        <v>#N/A</v>
      </c>
      <c r="AJ9" s="114" t="e">
        <f>_xlfn.CONCAT(IF(M9="Yes",VLOOKUP(M$1,_Fan!N:AB,4,FALSE),""),IF(N9="Yes",VLOOKUP(N$1,_Fan!N:AB,4,FALSE),""),IF(NOT(O9="No"),VLOOKUP(O9,_Fan!N:AB,4,FALSE),""),IF(P9="Yes",VLOOKUP(P$1,_Fan!N:AB,4,FALSE),""),IF(Q9="Yes",VLOOKUP(Q$1,_Fan!N:AB,4,FALSE),""),IF(R9="Yes",VLOOKUP(R$1,_Fan!N:AB,4,FALSE),""),IF(S9="Yes",VLOOKUP(S$1,_Fan!N:AB,4,FALSE),""),IF(T9="Yes",VLOOKUP(T$1,_Fan!N:AB,4,FALSE),""),IF(U9="Yes",VLOOKUP(U$1,_Fan!N:AB,4,FALSE),""))</f>
        <v>#N/A</v>
      </c>
      <c r="AL9" s="114" t="str">
        <f t="shared" si="13"/>
        <v xml:space="preserve">fan with: , </v>
      </c>
    </row>
    <row r="10" spans="1:38" x14ac:dyDescent="0.4">
      <c r="A10" s="429" t="str">
        <f t="shared" si="14"/>
        <v>INVALID</v>
      </c>
      <c r="B10" s="430" t="str">
        <f t="shared" si="2"/>
        <v>Fan 9</v>
      </c>
      <c r="C10" s="431">
        <f t="shared" si="3"/>
        <v>0</v>
      </c>
      <c r="D10" s="430">
        <f t="shared" si="4"/>
        <v>0</v>
      </c>
      <c r="E10" s="430"/>
      <c r="F10" s="430">
        <f t="shared" si="0"/>
        <v>20</v>
      </c>
      <c r="G10" s="430"/>
      <c r="H10" s="430"/>
      <c r="I10" s="430" t="e">
        <f>IF(NOT(W10="No"),VLOOKUP(W10,_Fan!N:P,2,FALSE) + IF(W10="VSD",F10*(VLOOKUP("Switchboard Cable 1mm",'Part List'!$A:$G,3,FALSE) + VLOOKUP("2.5mm Twin and Earth",'Part List'!$A:$G,3,FALSE)*2),F10*(VLOOKUP("7030 2 pair TCAS7302P",'Part List'!$A:$G,3,FALSE) + VLOOKUP("4mm Cable 3 core and Earth",'Part List'!$A:$G,3,FALSE))),VLOOKUP(L10,_Fan!N:P,2,FALSE))
+VLOOKUP(O10,_Fan!N:P,2,FALSE)
+IF(X10="Yes", F10*(VLOOKUP("7030 2 pair TCAS7302P",'Part List'!$A:$G,3,FALSE)),0)
+IF(M10="YES",VLOOKUP(M$1,_Fan!N:P,2,FALSE),0)+IF(X10="YES",VLOOKUP(X$1,_Fan!N:P,2,FALSE),0)
+IF(N10="YES",VLOOKUP(N$1,_Fan!N:P,2,FALSE),0)
+IF(P10="YES",VLOOKUP(P$1,_Fan!N:P,2,FALSE),0)
+IF(Q10="YES",VLOOKUP(Q$1,_Fan!N:P,2,FALSE),0)
+IF(R10="YES",VLOOKUP(R$1,_Fan!N:P,2,FALSE),0)
+IF(S10="YES",VLOOKUP(S$1,_Fan!N:P,2,FALSE),0)
+IF(T10="YES",VLOOKUP(T$1,_Fan!N:P,2,FALSE),0)
+IF(U10="YES",VLOOKUP(U$1,_Fan!N:P,2,FALSE),0)
+IF(V10="Yes",VLOOKUP("4mm Cable 3 core and Earth",'Part List'!$A:$G,3,FALSE)+VLOOKUP("7030 2 pair TCAS7302P",'Part List'!$A:$G,3,FALSE),
VLOOKUP("2.5mm Twin and Earth",'Part List'!$A:$G,3,FALSE))*F10</f>
        <v>#N/A</v>
      </c>
      <c r="J10" s="430" t="e">
        <f>IF(NOT(W10="No"),VLOOKUP(W10,_Fan!N:P,3,FALSE) + IF(W10="VSD",F10*(VLOOKUP("Switchboard Cable 1mm",'Part List'!$A:$G,5,FALSE) + VLOOKUP("2.5mm Twin and Earth",'Part List'!$A:$G,5,FALSE)*2),F10*(VLOOKUP("7030 2 pair TCAS7302P",'Part List'!$A:$G,5,FALSE) + VLOOKUP("4mm Cable 3 core and Earth",'Part List'!$A:$G,5,FALSE))),VLOOKUP(L10,_Fan!N:P,3,FALSE))
+VLOOKUP(O10,_Fan!N:P,3,FALSE)
+IF(X10="Yes", F10*(VLOOKUP("7030 2 pair TCAS7302P",'Part List'!$A:$G,5,FALSE)),0)
+IF(M10="YES",VLOOKUP(M$1,_Fan!N:P,3,FALSE),0)+IF(X10="YES",VLOOKUP(X$1,_Fan!N:P,3,FALSE),0)
+IF(N10="YES",VLOOKUP(N$1,_Fan!N:P,3,FALSE),0)
+IF(P10="YES",VLOOKUP(P$1,_Fan!N:P,3,FALSE),0)
+IF(Q10="YES",VLOOKUP(Q$1,_Fan!N:P,3,FALSE),0)
+IF(R10="YES",VLOOKUP(R$1,_Fan!N:P,3,FALSE),0)
+IF(S10="YES",VLOOKUP(S$1,_Fan!N:P,3,FALSE),0)
+IF(T10="YES",VLOOKUP(T$1,_Fan!N:P,3,FALSE),0)
+IF(U10="YES",VLOOKUP(U$1,_Fan!N:P,3,FALSE),0)
+IF(V10="Yes",VLOOKUP("4mm Cable 3 core and Earth",'Part List'!$A:$G,5,FALSE)+VLOOKUP("7030 2 pair TCAS7302P",'Part List'!$A:$G,5,FALSE),
VLOOKUP("2.5mm Twin and Earth",'Part List'!$A:$G,5,FALSE))*F10</f>
        <v>#N/A</v>
      </c>
      <c r="K10" s="430" t="str">
        <f t="shared" si="5"/>
        <v/>
      </c>
      <c r="L10" s="430" t="s">
        <v>678</v>
      </c>
      <c r="M10" s="430"/>
      <c r="N10" s="430"/>
      <c r="O10" s="430"/>
      <c r="P10" s="430"/>
      <c r="Q10" s="430"/>
      <c r="R10" s="430"/>
      <c r="S10" s="430"/>
      <c r="T10" s="430"/>
      <c r="U10" s="430"/>
      <c r="V10" s="430"/>
      <c r="W10" s="430"/>
      <c r="X10" s="430"/>
      <c r="Y10" s="432" t="str">
        <f t="shared" si="6"/>
        <v/>
      </c>
      <c r="Z10" s="114">
        <f t="shared" si="7"/>
        <v>0</v>
      </c>
      <c r="AA10" s="114" t="str">
        <f>_xlfn.CONCAT(E10," (",VLOOKUP(E10,[1]Backend!C:D,2,FALSE),")")</f>
        <v xml:space="preserve"> (Zero)</v>
      </c>
      <c r="AB10" s="114" t="str">
        <f t="shared" si="8"/>
        <v>0 - Electrical power supply and controls to  (Zero) fan</v>
      </c>
      <c r="AC10" s="114" t="str">
        <f t="shared" si="9"/>
        <v xml:space="preserve"> with: </v>
      </c>
      <c r="AD10" s="114" t="str">
        <f t="shared" si="10"/>
        <v xml:space="preserve">, </v>
      </c>
      <c r="AE10" s="114" t="str">
        <f t="shared" si="11"/>
        <v>from MSSB Power Supply</v>
      </c>
      <c r="AF10" s="114" t="str">
        <f t="shared" si="15"/>
        <v>0 - Electrical power supply and controls to  (Zero) fan with: , from MSSB Power Supply</v>
      </c>
      <c r="AG10" s="114" t="str">
        <f t="shared" si="12"/>
        <v>0.1 - This includes supply and install of power and controls.</v>
      </c>
      <c r="AH10" s="114" t="str">
        <f>_xlfn.CONCAT(Z10,".2 - Power for system includes: ",VLOOKUP(L10,_Fan!N:Q,4,FALSE))</f>
        <v xml:space="preserve">0.2 - Power for system includes: CB and cabling to fan from MSSB, and local isolator, </v>
      </c>
      <c r="AI10" s="114" t="e">
        <f t="shared" si="1"/>
        <v>#N/A</v>
      </c>
      <c r="AJ10" s="114" t="e">
        <f>_xlfn.CONCAT(IF(M10="Yes",VLOOKUP(M$1,_Fan!N:AB,4,FALSE),""),IF(N10="Yes",VLOOKUP(N$1,_Fan!N:AB,4,FALSE),""),IF(NOT(O10="No"),VLOOKUP(O10,_Fan!N:AB,4,FALSE),""),IF(P10="Yes",VLOOKUP(P$1,_Fan!N:AB,4,FALSE),""),IF(Q10="Yes",VLOOKUP(Q$1,_Fan!N:AB,4,FALSE),""),IF(R10="Yes",VLOOKUP(R$1,_Fan!N:AB,4,FALSE),""),IF(S10="Yes",VLOOKUP(S$1,_Fan!N:AB,4,FALSE),""),IF(T10="Yes",VLOOKUP(T$1,_Fan!N:AB,4,FALSE),""),IF(U10="Yes",VLOOKUP(U$1,_Fan!N:AB,4,FALSE),""))</f>
        <v>#N/A</v>
      </c>
      <c r="AL10" s="114" t="str">
        <f t="shared" si="13"/>
        <v xml:space="preserve">fan with: , </v>
      </c>
    </row>
    <row r="11" spans="1:38" x14ac:dyDescent="0.4">
      <c r="A11" s="429" t="str">
        <f t="shared" si="14"/>
        <v>INVALID</v>
      </c>
      <c r="B11" s="430" t="str">
        <f t="shared" si="2"/>
        <v>Fan 10</v>
      </c>
      <c r="C11" s="431">
        <f t="shared" si="3"/>
        <v>0</v>
      </c>
      <c r="D11" s="430">
        <f t="shared" si="4"/>
        <v>0</v>
      </c>
      <c r="E11" s="430"/>
      <c r="F11" s="430">
        <f t="shared" si="0"/>
        <v>20</v>
      </c>
      <c r="G11" s="430"/>
      <c r="H11" s="430"/>
      <c r="I11" s="430" t="e">
        <f>IF(NOT(W11="No"),VLOOKUP(W11,_Fan!N:P,2,FALSE) + IF(W11="VSD",F11*(VLOOKUP("Switchboard Cable 1mm",'Part List'!$A:$G,3,FALSE) + VLOOKUP("2.5mm Twin and Earth",'Part List'!$A:$G,3,FALSE)*2),F11*(VLOOKUP("7030 2 pair TCAS7302P",'Part List'!$A:$G,3,FALSE) + VLOOKUP("4mm Cable 3 core and Earth",'Part List'!$A:$G,3,FALSE))),VLOOKUP(L11,_Fan!N:P,2,FALSE))
+VLOOKUP(O11,_Fan!N:P,2,FALSE)
+IF(X11="Yes", F11*(VLOOKUP("7030 2 pair TCAS7302P",'Part List'!$A:$G,3,FALSE)),0)
+IF(M11="YES",VLOOKUP(M$1,_Fan!N:P,2,FALSE),0)+IF(X11="YES",VLOOKUP(X$1,_Fan!N:P,2,FALSE),0)
+IF(N11="YES",VLOOKUP(N$1,_Fan!N:P,2,FALSE),0)
+IF(P11="YES",VLOOKUP(P$1,_Fan!N:P,2,FALSE),0)
+IF(Q11="YES",VLOOKUP(Q$1,_Fan!N:P,2,FALSE),0)
+IF(R11="YES",VLOOKUP(R$1,_Fan!N:P,2,FALSE),0)
+IF(S11="YES",VLOOKUP(S$1,_Fan!N:P,2,FALSE),0)
+IF(T11="YES",VLOOKUP(T$1,_Fan!N:P,2,FALSE),0)
+IF(U11="YES",VLOOKUP(U$1,_Fan!N:P,2,FALSE),0)
+IF(V11="Yes",VLOOKUP("4mm Cable 3 core and Earth",'Part List'!$A:$G,3,FALSE)+VLOOKUP("7030 2 pair TCAS7302P",'Part List'!$A:$G,3,FALSE),
VLOOKUP("2.5mm Twin and Earth",'Part List'!$A:$G,3,FALSE))*F11</f>
        <v>#N/A</v>
      </c>
      <c r="J11" s="430" t="e">
        <f>IF(NOT(W11="No"),VLOOKUP(W11,_Fan!N:P,3,FALSE) + IF(W11="VSD",F11*(VLOOKUP("Switchboard Cable 1mm",'Part List'!$A:$G,5,FALSE) + VLOOKUP("2.5mm Twin and Earth",'Part List'!$A:$G,5,FALSE)*2),F11*(VLOOKUP("7030 2 pair TCAS7302P",'Part List'!$A:$G,5,FALSE) + VLOOKUP("4mm Cable 3 core and Earth",'Part List'!$A:$G,5,FALSE))),VLOOKUP(L11,_Fan!N:P,3,FALSE))
+VLOOKUP(O11,_Fan!N:P,3,FALSE)
+IF(X11="Yes", F11*(VLOOKUP("7030 2 pair TCAS7302P",'Part List'!$A:$G,5,FALSE)),0)
+IF(M11="YES",VLOOKUP(M$1,_Fan!N:P,3,FALSE),0)+IF(X11="YES",VLOOKUP(X$1,_Fan!N:P,3,FALSE),0)
+IF(N11="YES",VLOOKUP(N$1,_Fan!N:P,3,FALSE),0)
+IF(P11="YES",VLOOKUP(P$1,_Fan!N:P,3,FALSE),0)
+IF(Q11="YES",VLOOKUP(Q$1,_Fan!N:P,3,FALSE),0)
+IF(R11="YES",VLOOKUP(R$1,_Fan!N:P,3,FALSE),0)
+IF(S11="YES",VLOOKUP(S$1,_Fan!N:P,3,FALSE),0)
+IF(T11="YES",VLOOKUP(T$1,_Fan!N:P,3,FALSE),0)
+IF(U11="YES",VLOOKUP(U$1,_Fan!N:P,3,FALSE),0)
+IF(V11="Yes",VLOOKUP("4mm Cable 3 core and Earth",'Part List'!$A:$G,5,FALSE)+VLOOKUP("7030 2 pair TCAS7302P",'Part List'!$A:$G,5,FALSE),
VLOOKUP("2.5mm Twin and Earth",'Part List'!$A:$G,5,FALSE))*F11</f>
        <v>#N/A</v>
      </c>
      <c r="K11" s="430" t="str">
        <f t="shared" si="5"/>
        <v/>
      </c>
      <c r="L11" s="430" t="s">
        <v>678</v>
      </c>
      <c r="M11" s="430"/>
      <c r="N11" s="430"/>
      <c r="O11" s="430"/>
      <c r="P11" s="430"/>
      <c r="Q11" s="430"/>
      <c r="R11" s="430"/>
      <c r="S11" s="430"/>
      <c r="T11" s="430"/>
      <c r="U11" s="430"/>
      <c r="V11" s="430"/>
      <c r="W11" s="430"/>
      <c r="X11" s="430"/>
      <c r="Y11" s="432" t="str">
        <f t="shared" si="6"/>
        <v/>
      </c>
      <c r="Z11" s="114">
        <f t="shared" si="7"/>
        <v>0</v>
      </c>
      <c r="AA11" s="114" t="str">
        <f>_xlfn.CONCAT(E11," (",VLOOKUP(E11,[1]Backend!C:D,2,FALSE),")")</f>
        <v xml:space="preserve"> (Zero)</v>
      </c>
      <c r="AB11" s="114" t="str">
        <f t="shared" si="8"/>
        <v>0 - Electrical power supply and controls to  (Zero) fan</v>
      </c>
      <c r="AC11" s="114" t="str">
        <f t="shared" si="9"/>
        <v xml:space="preserve"> with: </v>
      </c>
      <c r="AD11" s="114" t="str">
        <f t="shared" si="10"/>
        <v xml:space="preserve">, </v>
      </c>
      <c r="AE11" s="114" t="str">
        <f t="shared" si="11"/>
        <v>from MSSB Power Supply</v>
      </c>
      <c r="AF11" s="114" t="str">
        <f t="shared" si="15"/>
        <v>0 - Electrical power supply and controls to  (Zero) fan with: , from MSSB Power Supply</v>
      </c>
      <c r="AG11" s="114" t="str">
        <f t="shared" si="12"/>
        <v>0.1 - This includes supply and install of power and controls.</v>
      </c>
      <c r="AH11" s="114" t="str">
        <f>_xlfn.CONCAT(Z11,".2 - Power for system includes: ",VLOOKUP(L11,_Fan!N:Q,4,FALSE))</f>
        <v xml:space="preserve">0.2 - Power for system includes: CB and cabling to fan from MSSB, and local isolator, </v>
      </c>
      <c r="AI11" s="114" t="e">
        <f t="shared" si="1"/>
        <v>#N/A</v>
      </c>
      <c r="AJ11" s="114" t="e">
        <f>_xlfn.CONCAT(IF(M11="Yes",VLOOKUP(M$1,_Fan!N:AB,4,FALSE),""),IF(N11="Yes",VLOOKUP(N$1,_Fan!N:AB,4,FALSE),""),IF(NOT(O11="No"),VLOOKUP(O11,_Fan!N:AB,4,FALSE),""),IF(P11="Yes",VLOOKUP(P$1,_Fan!N:AB,4,FALSE),""),IF(Q11="Yes",VLOOKUP(Q$1,_Fan!N:AB,4,FALSE),""),IF(R11="Yes",VLOOKUP(R$1,_Fan!N:AB,4,FALSE),""),IF(S11="Yes",VLOOKUP(S$1,_Fan!N:AB,4,FALSE),""),IF(T11="Yes",VLOOKUP(T$1,_Fan!N:AB,4,FALSE),""),IF(U11="Yes",VLOOKUP(U$1,_Fan!N:AB,4,FALSE),""))</f>
        <v>#N/A</v>
      </c>
      <c r="AL11" s="114" t="str">
        <f t="shared" si="13"/>
        <v xml:space="preserve">fan with: , </v>
      </c>
    </row>
    <row r="12" spans="1:38" x14ac:dyDescent="0.4">
      <c r="A12" s="429" t="str">
        <f t="shared" si="14"/>
        <v>INVALID</v>
      </c>
      <c r="B12" s="430" t="str">
        <f t="shared" si="2"/>
        <v>Fan 11</v>
      </c>
      <c r="C12" s="431">
        <f t="shared" si="3"/>
        <v>0</v>
      </c>
      <c r="D12" s="430">
        <f t="shared" si="4"/>
        <v>0</v>
      </c>
      <c r="E12" s="430"/>
      <c r="F12" s="430">
        <f t="shared" si="0"/>
        <v>20</v>
      </c>
      <c r="G12" s="430"/>
      <c r="H12" s="430"/>
      <c r="I12" s="430" t="e">
        <f>IF(NOT(W12="No"),VLOOKUP(W12,_Fan!N:P,2,FALSE) + IF(W12="VSD",F12*(VLOOKUP("Switchboard Cable 1mm",'Part List'!$A:$G,3,FALSE) + VLOOKUP("2.5mm Twin and Earth",'Part List'!$A:$G,3,FALSE)*2),F12*(VLOOKUP("7030 2 pair TCAS7302P",'Part List'!$A:$G,3,FALSE) + VLOOKUP("4mm Cable 3 core and Earth",'Part List'!$A:$G,3,FALSE))),VLOOKUP(L12,_Fan!N:P,2,FALSE))
+VLOOKUP(O12,_Fan!N:P,2,FALSE)
+IF(X12="Yes", F12*(VLOOKUP("7030 2 pair TCAS7302P",'Part List'!$A:$G,3,FALSE)),0)
+IF(M12="YES",VLOOKUP(M$1,_Fan!N:P,2,FALSE),0)+IF(X12="YES",VLOOKUP(X$1,_Fan!N:P,2,FALSE),0)
+IF(N12="YES",VLOOKUP(N$1,_Fan!N:P,2,FALSE),0)
+IF(P12="YES",VLOOKUP(P$1,_Fan!N:P,2,FALSE),0)
+IF(Q12="YES",VLOOKUP(Q$1,_Fan!N:P,2,FALSE),0)
+IF(R12="YES",VLOOKUP(R$1,_Fan!N:P,2,FALSE),0)
+IF(S12="YES",VLOOKUP(S$1,_Fan!N:P,2,FALSE),0)
+IF(T12="YES",VLOOKUP(T$1,_Fan!N:P,2,FALSE),0)
+IF(U12="YES",VLOOKUP(U$1,_Fan!N:P,2,FALSE),0)
+IF(V12="Yes",VLOOKUP("4mm Cable 3 core and Earth",'Part List'!$A:$G,3,FALSE)+VLOOKUP("7030 2 pair TCAS7302P",'Part List'!$A:$G,3,FALSE),
VLOOKUP("2.5mm Twin and Earth",'Part List'!$A:$G,3,FALSE))*F12</f>
        <v>#N/A</v>
      </c>
      <c r="J12" s="430" t="e">
        <f>IF(NOT(W12="No"),VLOOKUP(W12,_Fan!N:P,3,FALSE) + IF(W12="VSD",F12*(VLOOKUP("Switchboard Cable 1mm",'Part List'!$A:$G,5,FALSE) + VLOOKUP("2.5mm Twin and Earth",'Part List'!$A:$G,5,FALSE)*2),F12*(VLOOKUP("7030 2 pair TCAS7302P",'Part List'!$A:$G,5,FALSE) + VLOOKUP("4mm Cable 3 core and Earth",'Part List'!$A:$G,5,FALSE))),VLOOKUP(L12,_Fan!N:P,3,FALSE))
+VLOOKUP(O12,_Fan!N:P,3,FALSE)
+IF(X12="Yes", F12*(VLOOKUP("7030 2 pair TCAS7302P",'Part List'!$A:$G,5,FALSE)),0)
+IF(M12="YES",VLOOKUP(M$1,_Fan!N:P,3,FALSE),0)+IF(X12="YES",VLOOKUP(X$1,_Fan!N:P,3,FALSE),0)
+IF(N12="YES",VLOOKUP(N$1,_Fan!N:P,3,FALSE),0)
+IF(P12="YES",VLOOKUP(P$1,_Fan!N:P,3,FALSE),0)
+IF(Q12="YES",VLOOKUP(Q$1,_Fan!N:P,3,FALSE),0)
+IF(R12="YES",VLOOKUP(R$1,_Fan!N:P,3,FALSE),0)
+IF(S12="YES",VLOOKUP(S$1,_Fan!N:P,3,FALSE),0)
+IF(T12="YES",VLOOKUP(T$1,_Fan!N:P,3,FALSE),0)
+IF(U12="YES",VLOOKUP(U$1,_Fan!N:P,3,FALSE),0)
+IF(V12="Yes",VLOOKUP("4mm Cable 3 core and Earth",'Part List'!$A:$G,5,FALSE)+VLOOKUP("7030 2 pair TCAS7302P",'Part List'!$A:$G,5,FALSE),
VLOOKUP("2.5mm Twin and Earth",'Part List'!$A:$G,5,FALSE))*F12</f>
        <v>#N/A</v>
      </c>
      <c r="K12" s="430" t="str">
        <f t="shared" si="5"/>
        <v/>
      </c>
      <c r="L12" s="430" t="s">
        <v>678</v>
      </c>
      <c r="M12" s="430"/>
      <c r="N12" s="430"/>
      <c r="O12" s="430"/>
      <c r="P12" s="430"/>
      <c r="Q12" s="430"/>
      <c r="R12" s="430"/>
      <c r="S12" s="430"/>
      <c r="T12" s="430"/>
      <c r="U12" s="430"/>
      <c r="V12" s="430"/>
      <c r="W12" s="430"/>
      <c r="X12" s="430"/>
      <c r="Y12" s="432" t="str">
        <f t="shared" si="6"/>
        <v/>
      </c>
      <c r="Z12" s="114">
        <f t="shared" si="7"/>
        <v>0</v>
      </c>
      <c r="AA12" s="114" t="str">
        <f>_xlfn.CONCAT(E12," (",VLOOKUP(E12,[1]Backend!C:D,2,FALSE),")")</f>
        <v xml:space="preserve"> (Zero)</v>
      </c>
      <c r="AB12" s="114" t="str">
        <f t="shared" si="8"/>
        <v>0 - Electrical power supply and controls to  (Zero) fan</v>
      </c>
      <c r="AC12" s="114" t="str">
        <f t="shared" si="9"/>
        <v xml:space="preserve"> with: </v>
      </c>
      <c r="AD12" s="114" t="str">
        <f t="shared" si="10"/>
        <v xml:space="preserve">, </v>
      </c>
      <c r="AE12" s="114" t="str">
        <f t="shared" si="11"/>
        <v>from MSSB Power Supply</v>
      </c>
      <c r="AF12" s="114" t="str">
        <f t="shared" si="15"/>
        <v>0 - Electrical power supply and controls to  (Zero) fan with: , from MSSB Power Supply</v>
      </c>
      <c r="AG12" s="114" t="str">
        <f t="shared" si="12"/>
        <v>0.1 - This includes supply and install of power and controls.</v>
      </c>
      <c r="AH12" s="114" t="str">
        <f>_xlfn.CONCAT(Z12,".2 - Power for system includes: ",VLOOKUP(L12,_Fan!N:Q,4,FALSE))</f>
        <v xml:space="preserve">0.2 - Power for system includes: CB and cabling to fan from MSSB, and local isolator, </v>
      </c>
      <c r="AI12" s="114" t="e">
        <f t="shared" si="1"/>
        <v>#N/A</v>
      </c>
      <c r="AJ12" s="114" t="e">
        <f>_xlfn.CONCAT(IF(M12="Yes",VLOOKUP(M$1,_Fan!N:AB,4,FALSE),""),IF(N12="Yes",VLOOKUP(N$1,_Fan!N:AB,4,FALSE),""),IF(NOT(O12="No"),VLOOKUP(O12,_Fan!N:AB,4,FALSE),""),IF(P12="Yes",VLOOKUP(P$1,_Fan!N:AB,4,FALSE),""),IF(Q12="Yes",VLOOKUP(Q$1,_Fan!N:AB,4,FALSE),""),IF(R12="Yes",VLOOKUP(R$1,_Fan!N:AB,4,FALSE),""),IF(S12="Yes",VLOOKUP(S$1,_Fan!N:AB,4,FALSE),""),IF(T12="Yes",VLOOKUP(T$1,_Fan!N:AB,4,FALSE),""),IF(U12="Yes",VLOOKUP(U$1,_Fan!N:AB,4,FALSE),""))</f>
        <v>#N/A</v>
      </c>
      <c r="AL12" s="114" t="str">
        <f t="shared" si="13"/>
        <v xml:space="preserve">fan with: , </v>
      </c>
    </row>
    <row r="13" spans="1:38" x14ac:dyDescent="0.4">
      <c r="A13" s="429" t="str">
        <f t="shared" si="14"/>
        <v>INVALID</v>
      </c>
      <c r="B13" s="430" t="str">
        <f t="shared" si="2"/>
        <v>Fan 12</v>
      </c>
      <c r="C13" s="431">
        <f t="shared" si="3"/>
        <v>0</v>
      </c>
      <c r="D13" s="430">
        <f t="shared" si="4"/>
        <v>0</v>
      </c>
      <c r="E13" s="430"/>
      <c r="F13" s="430">
        <f t="shared" si="0"/>
        <v>20</v>
      </c>
      <c r="G13" s="430"/>
      <c r="H13" s="430"/>
      <c r="I13" s="430" t="e">
        <f>IF(NOT(W13="No"),VLOOKUP(W13,_Fan!N:P,2,FALSE) + IF(W13="VSD",F13*(VLOOKUP("Switchboard Cable 1mm",'Part List'!$A:$G,3,FALSE) + VLOOKUP("2.5mm Twin and Earth",'Part List'!$A:$G,3,FALSE)*2),F13*(VLOOKUP("7030 2 pair TCAS7302P",'Part List'!$A:$G,3,FALSE) + VLOOKUP("4mm Cable 3 core and Earth",'Part List'!$A:$G,3,FALSE))),VLOOKUP(L13,_Fan!N:P,2,FALSE))
+VLOOKUP(O13,_Fan!N:P,2,FALSE)
+IF(X13="Yes", F13*(VLOOKUP("7030 2 pair TCAS7302P",'Part List'!$A:$G,3,FALSE)),0)
+IF(M13="YES",VLOOKUP(M$1,_Fan!N:P,2,FALSE),0)+IF(X13="YES",VLOOKUP(X$1,_Fan!N:P,2,FALSE),0)
+IF(N13="YES",VLOOKUP(N$1,_Fan!N:P,2,FALSE),0)
+IF(P13="YES",VLOOKUP(P$1,_Fan!N:P,2,FALSE),0)
+IF(Q13="YES",VLOOKUP(Q$1,_Fan!N:P,2,FALSE),0)
+IF(R13="YES",VLOOKUP(R$1,_Fan!N:P,2,FALSE),0)
+IF(S13="YES",VLOOKUP(S$1,_Fan!N:P,2,FALSE),0)
+IF(T13="YES",VLOOKUP(T$1,_Fan!N:P,2,FALSE),0)
+IF(U13="YES",VLOOKUP(U$1,_Fan!N:P,2,FALSE),0)
+IF(V13="Yes",VLOOKUP("4mm Cable 3 core and Earth",'Part List'!$A:$G,3,FALSE)+VLOOKUP("7030 2 pair TCAS7302P",'Part List'!$A:$G,3,FALSE),
VLOOKUP("2.5mm Twin and Earth",'Part List'!$A:$G,3,FALSE))*F13</f>
        <v>#N/A</v>
      </c>
      <c r="J13" s="430" t="e">
        <f>IF(NOT(W13="No"),VLOOKUP(W13,_Fan!N:P,3,FALSE) + IF(W13="VSD",F13*(VLOOKUP("Switchboard Cable 1mm",'Part List'!$A:$G,5,FALSE) + VLOOKUP("2.5mm Twin and Earth",'Part List'!$A:$G,5,FALSE)*2),F13*(VLOOKUP("7030 2 pair TCAS7302P",'Part List'!$A:$G,5,FALSE) + VLOOKUP("4mm Cable 3 core and Earth",'Part List'!$A:$G,5,FALSE))),VLOOKUP(L13,_Fan!N:P,3,FALSE))
+VLOOKUP(O13,_Fan!N:P,3,FALSE)
+IF(X13="Yes", F13*(VLOOKUP("7030 2 pair TCAS7302P",'Part List'!$A:$G,5,FALSE)),0)
+IF(M13="YES",VLOOKUP(M$1,_Fan!N:P,3,FALSE),0)+IF(X13="YES",VLOOKUP(X$1,_Fan!N:P,3,FALSE),0)
+IF(N13="YES",VLOOKUP(N$1,_Fan!N:P,3,FALSE),0)
+IF(P13="YES",VLOOKUP(P$1,_Fan!N:P,3,FALSE),0)
+IF(Q13="YES",VLOOKUP(Q$1,_Fan!N:P,3,FALSE),0)
+IF(R13="YES",VLOOKUP(R$1,_Fan!N:P,3,FALSE),0)
+IF(S13="YES",VLOOKUP(S$1,_Fan!N:P,3,FALSE),0)
+IF(T13="YES",VLOOKUP(T$1,_Fan!N:P,3,FALSE),0)
+IF(U13="YES",VLOOKUP(U$1,_Fan!N:P,3,FALSE),0)
+IF(V13="Yes",VLOOKUP("4mm Cable 3 core and Earth",'Part List'!$A:$G,5,FALSE)+VLOOKUP("7030 2 pair TCAS7302P",'Part List'!$A:$G,5,FALSE),
VLOOKUP("2.5mm Twin and Earth",'Part List'!$A:$G,5,FALSE))*F13</f>
        <v>#N/A</v>
      </c>
      <c r="K13" s="430" t="str">
        <f t="shared" si="5"/>
        <v/>
      </c>
      <c r="L13" s="430" t="s">
        <v>678</v>
      </c>
      <c r="M13" s="430"/>
      <c r="N13" s="430"/>
      <c r="O13" s="430"/>
      <c r="P13" s="430"/>
      <c r="Q13" s="430"/>
      <c r="R13" s="430"/>
      <c r="S13" s="430"/>
      <c r="T13" s="430"/>
      <c r="U13" s="430"/>
      <c r="V13" s="430"/>
      <c r="W13" s="430"/>
      <c r="X13" s="430"/>
      <c r="Y13" s="432" t="str">
        <f t="shared" si="6"/>
        <v/>
      </c>
      <c r="Z13" s="114">
        <f t="shared" si="7"/>
        <v>0</v>
      </c>
      <c r="AA13" s="114" t="str">
        <f>_xlfn.CONCAT(E13," (",VLOOKUP(E13,[1]Backend!C:D,2,FALSE),")")</f>
        <v xml:space="preserve"> (Zero)</v>
      </c>
      <c r="AB13" s="114" t="str">
        <f t="shared" si="8"/>
        <v>0 - Electrical power supply and controls to  (Zero) fan</v>
      </c>
      <c r="AC13" s="114" t="str">
        <f t="shared" si="9"/>
        <v xml:space="preserve"> with: </v>
      </c>
      <c r="AD13" s="114" t="str">
        <f t="shared" si="10"/>
        <v xml:space="preserve">, </v>
      </c>
      <c r="AE13" s="114" t="str">
        <f t="shared" si="11"/>
        <v>from MSSB Power Supply</v>
      </c>
      <c r="AF13" s="114" t="str">
        <f t="shared" si="15"/>
        <v>0 - Electrical power supply and controls to  (Zero) fan with: , from MSSB Power Supply</v>
      </c>
      <c r="AG13" s="114" t="str">
        <f t="shared" si="12"/>
        <v>0.1 - This includes supply and install of power and controls.</v>
      </c>
      <c r="AH13" s="114" t="str">
        <f>_xlfn.CONCAT(Z13,".2 - Power for system includes: ",VLOOKUP(L13,_Fan!N:Q,4,FALSE))</f>
        <v xml:space="preserve">0.2 - Power for system includes: CB and cabling to fan from MSSB, and local isolator, </v>
      </c>
      <c r="AI13" s="114" t="e">
        <f t="shared" si="1"/>
        <v>#N/A</v>
      </c>
      <c r="AJ13" s="114" t="e">
        <f>_xlfn.CONCAT(IF(M13="Yes",VLOOKUP(M$1,_Fan!N:AB,4,FALSE),""),IF(N13="Yes",VLOOKUP(N$1,_Fan!N:AB,4,FALSE),""),IF(NOT(O13="No"),VLOOKUP(O13,_Fan!N:AB,4,FALSE),""),IF(P13="Yes",VLOOKUP(P$1,_Fan!N:AB,4,FALSE),""),IF(Q13="Yes",VLOOKUP(Q$1,_Fan!N:AB,4,FALSE),""),IF(R13="Yes",VLOOKUP(R$1,_Fan!N:AB,4,FALSE),""),IF(S13="Yes",VLOOKUP(S$1,_Fan!N:AB,4,FALSE),""),IF(T13="Yes",VLOOKUP(T$1,_Fan!N:AB,4,FALSE),""),IF(U13="Yes",VLOOKUP(U$1,_Fan!N:AB,4,FALSE),""))</f>
        <v>#N/A</v>
      </c>
      <c r="AL13" s="114" t="str">
        <f t="shared" si="13"/>
        <v xml:space="preserve">fan with: , </v>
      </c>
    </row>
    <row r="14" spans="1:38" x14ac:dyDescent="0.4">
      <c r="A14" s="429" t="str">
        <f t="shared" si="14"/>
        <v>INVALID</v>
      </c>
      <c r="B14" s="430" t="str">
        <f t="shared" si="2"/>
        <v>Fan 13</v>
      </c>
      <c r="C14" s="431">
        <f t="shared" si="3"/>
        <v>0</v>
      </c>
      <c r="D14" s="430">
        <f t="shared" si="4"/>
        <v>0</v>
      </c>
      <c r="E14" s="430"/>
      <c r="F14" s="430">
        <f t="shared" si="0"/>
        <v>20</v>
      </c>
      <c r="G14" s="430"/>
      <c r="H14" s="430"/>
      <c r="I14" s="430" t="e">
        <f>IF(NOT(W14="No"),VLOOKUP(W14,_Fan!N:P,2,FALSE) + IF(W14="VSD",F14*(VLOOKUP("Switchboard Cable 1mm",'Part List'!$A:$G,3,FALSE) + VLOOKUP("2.5mm Twin and Earth",'Part List'!$A:$G,3,FALSE)*2),F14*(VLOOKUP("7030 2 pair TCAS7302P",'Part List'!$A:$G,3,FALSE) + VLOOKUP("4mm Cable 3 core and Earth",'Part List'!$A:$G,3,FALSE))),VLOOKUP(L14,_Fan!N:P,2,FALSE))
+VLOOKUP(O14,_Fan!N:P,2,FALSE)
+IF(X14="Yes", F14*(VLOOKUP("7030 2 pair TCAS7302P",'Part List'!$A:$G,3,FALSE)),0)
+IF(M14="YES",VLOOKUP(M$1,_Fan!N:P,2,FALSE),0)+IF(X14="YES",VLOOKUP(X$1,_Fan!N:P,2,FALSE),0)
+IF(N14="YES",VLOOKUP(N$1,_Fan!N:P,2,FALSE),0)
+IF(P14="YES",VLOOKUP(P$1,_Fan!N:P,2,FALSE),0)
+IF(Q14="YES",VLOOKUP(Q$1,_Fan!N:P,2,FALSE),0)
+IF(R14="YES",VLOOKUP(R$1,_Fan!N:P,2,FALSE),0)
+IF(S14="YES",VLOOKUP(S$1,_Fan!N:P,2,FALSE),0)
+IF(T14="YES",VLOOKUP(T$1,_Fan!N:P,2,FALSE),0)
+IF(U14="YES",VLOOKUP(U$1,_Fan!N:P,2,FALSE),0)
+IF(V14="Yes",VLOOKUP("4mm Cable 3 core and Earth",'Part List'!$A:$G,3,FALSE)+VLOOKUP("7030 2 pair TCAS7302P",'Part List'!$A:$G,3,FALSE),
VLOOKUP("2.5mm Twin and Earth",'Part List'!$A:$G,3,FALSE))*F14</f>
        <v>#N/A</v>
      </c>
      <c r="J14" s="430" t="e">
        <f>IF(NOT(W14="No"),VLOOKUP(W14,_Fan!N:P,3,FALSE) + IF(W14="VSD",F14*(VLOOKUP("Switchboard Cable 1mm",'Part List'!$A:$G,5,FALSE) + VLOOKUP("2.5mm Twin and Earth",'Part List'!$A:$G,5,FALSE)*2),F14*(VLOOKUP("7030 2 pair TCAS7302P",'Part List'!$A:$G,5,FALSE) + VLOOKUP("4mm Cable 3 core and Earth",'Part List'!$A:$G,5,FALSE))),VLOOKUP(L14,_Fan!N:P,3,FALSE))
+VLOOKUP(O14,_Fan!N:P,3,FALSE)
+IF(X14="Yes", F14*(VLOOKUP("7030 2 pair TCAS7302P",'Part List'!$A:$G,5,FALSE)),0)
+IF(M14="YES",VLOOKUP(M$1,_Fan!N:P,3,FALSE),0)+IF(X14="YES",VLOOKUP(X$1,_Fan!N:P,3,FALSE),0)
+IF(N14="YES",VLOOKUP(N$1,_Fan!N:P,3,FALSE),0)
+IF(P14="YES",VLOOKUP(P$1,_Fan!N:P,3,FALSE),0)
+IF(Q14="YES",VLOOKUP(Q$1,_Fan!N:P,3,FALSE),0)
+IF(R14="YES",VLOOKUP(R$1,_Fan!N:P,3,FALSE),0)
+IF(S14="YES",VLOOKUP(S$1,_Fan!N:P,3,FALSE),0)
+IF(T14="YES",VLOOKUP(T$1,_Fan!N:P,3,FALSE),0)
+IF(U14="YES",VLOOKUP(U$1,_Fan!N:P,3,FALSE),0)
+IF(V14="Yes",VLOOKUP("4mm Cable 3 core and Earth",'Part List'!$A:$G,5,FALSE)+VLOOKUP("7030 2 pair TCAS7302P",'Part List'!$A:$G,5,FALSE),
VLOOKUP("2.5mm Twin and Earth",'Part List'!$A:$G,5,FALSE))*F14</f>
        <v>#N/A</v>
      </c>
      <c r="K14" s="430" t="str">
        <f t="shared" si="5"/>
        <v/>
      </c>
      <c r="L14" s="430" t="s">
        <v>678</v>
      </c>
      <c r="M14" s="430"/>
      <c r="N14" s="430"/>
      <c r="O14" s="430"/>
      <c r="P14" s="430"/>
      <c r="Q14" s="430"/>
      <c r="R14" s="430"/>
      <c r="S14" s="430"/>
      <c r="T14" s="430"/>
      <c r="U14" s="430"/>
      <c r="V14" s="430"/>
      <c r="W14" s="430"/>
      <c r="X14" s="430"/>
      <c r="Y14" s="432" t="str">
        <f t="shared" si="6"/>
        <v/>
      </c>
      <c r="Z14" s="114">
        <f t="shared" si="7"/>
        <v>0</v>
      </c>
      <c r="AA14" s="114" t="str">
        <f>_xlfn.CONCAT(E14," (",VLOOKUP(E14,[1]Backend!C:D,2,FALSE),")")</f>
        <v xml:space="preserve"> (Zero)</v>
      </c>
      <c r="AB14" s="114" t="str">
        <f t="shared" si="8"/>
        <v>0 - Electrical power supply and controls to  (Zero) fan</v>
      </c>
      <c r="AC14" s="114" t="str">
        <f t="shared" si="9"/>
        <v xml:space="preserve"> with: </v>
      </c>
      <c r="AD14" s="114" t="str">
        <f t="shared" si="10"/>
        <v xml:space="preserve">, </v>
      </c>
      <c r="AE14" s="114" t="str">
        <f t="shared" si="11"/>
        <v>from MSSB Power Supply</v>
      </c>
      <c r="AF14" s="114" t="str">
        <f t="shared" si="15"/>
        <v>0 - Electrical power supply and controls to  (Zero) fan with: , from MSSB Power Supply</v>
      </c>
      <c r="AG14" s="114" t="str">
        <f t="shared" si="12"/>
        <v>0.1 - This includes supply and install of power and controls.</v>
      </c>
      <c r="AH14" s="114" t="str">
        <f>_xlfn.CONCAT(Z14,".2 - Power for system includes: ",VLOOKUP(L14,_Fan!N:Q,4,FALSE))</f>
        <v xml:space="preserve">0.2 - Power for system includes: CB and cabling to fan from MSSB, and local isolator, </v>
      </c>
      <c r="AI14" s="114" t="e">
        <f t="shared" si="1"/>
        <v>#N/A</v>
      </c>
      <c r="AJ14" s="114" t="e">
        <f>_xlfn.CONCAT(IF(M14="Yes",VLOOKUP(M$1,_Fan!N:AB,4,FALSE),""),IF(N14="Yes",VLOOKUP(N$1,_Fan!N:AB,4,FALSE),""),IF(NOT(O14="No"),VLOOKUP(O14,_Fan!N:AB,4,FALSE),""),IF(P14="Yes",VLOOKUP(P$1,_Fan!N:AB,4,FALSE),""),IF(Q14="Yes",VLOOKUP(Q$1,_Fan!N:AB,4,FALSE),""),IF(R14="Yes",VLOOKUP(R$1,_Fan!N:AB,4,FALSE),""),IF(S14="Yes",VLOOKUP(S$1,_Fan!N:AB,4,FALSE),""),IF(T14="Yes",VLOOKUP(T$1,_Fan!N:AB,4,FALSE),""),IF(U14="Yes",VLOOKUP(U$1,_Fan!N:AB,4,FALSE),""))</f>
        <v>#N/A</v>
      </c>
      <c r="AL14" s="114" t="str">
        <f t="shared" si="13"/>
        <v xml:space="preserve">fan with: , </v>
      </c>
    </row>
    <row r="15" spans="1:38" x14ac:dyDescent="0.4">
      <c r="A15" s="429" t="str">
        <f t="shared" si="14"/>
        <v>INVALID</v>
      </c>
      <c r="B15" s="430" t="str">
        <f t="shared" si="2"/>
        <v>Fan 14</v>
      </c>
      <c r="C15" s="431">
        <f t="shared" si="3"/>
        <v>0</v>
      </c>
      <c r="D15" s="430">
        <f t="shared" si="4"/>
        <v>0</v>
      </c>
      <c r="E15" s="430"/>
      <c r="F15" s="430">
        <f t="shared" si="0"/>
        <v>20</v>
      </c>
      <c r="G15" s="430"/>
      <c r="H15" s="430"/>
      <c r="I15" s="430" t="e">
        <f>IF(NOT(W15="No"),VLOOKUP(W15,_Fan!N:P,2,FALSE) + IF(W15="VSD",F15*(VLOOKUP("Switchboard Cable 1mm",'Part List'!$A:$G,3,FALSE) + VLOOKUP("2.5mm Twin and Earth",'Part List'!$A:$G,3,FALSE)*2),F15*(VLOOKUP("7030 2 pair TCAS7302P",'Part List'!$A:$G,3,FALSE) + VLOOKUP("4mm Cable 3 core and Earth",'Part List'!$A:$G,3,FALSE))),VLOOKUP(L15,_Fan!N:P,2,FALSE))
+VLOOKUP(O15,_Fan!N:P,2,FALSE)
+IF(X15="Yes", F15*(VLOOKUP("7030 2 pair TCAS7302P",'Part List'!$A:$G,3,FALSE)),0)
+IF(M15="YES",VLOOKUP(M$1,_Fan!N:P,2,FALSE),0)+IF(X15="YES",VLOOKUP(X$1,_Fan!N:P,2,FALSE),0)
+IF(N15="YES",VLOOKUP(N$1,_Fan!N:P,2,FALSE),0)
+IF(P15="YES",VLOOKUP(P$1,_Fan!N:P,2,FALSE),0)
+IF(Q15="YES",VLOOKUP(Q$1,_Fan!N:P,2,FALSE),0)
+IF(R15="YES",VLOOKUP(R$1,_Fan!N:P,2,FALSE),0)
+IF(S15="YES",VLOOKUP(S$1,_Fan!N:P,2,FALSE),0)
+IF(T15="YES",VLOOKUP(T$1,_Fan!N:P,2,FALSE),0)
+IF(U15="YES",VLOOKUP(U$1,_Fan!N:P,2,FALSE),0)
+IF(V15="Yes",VLOOKUP("4mm Cable 3 core and Earth",'Part List'!$A:$G,3,FALSE)+VLOOKUP("7030 2 pair TCAS7302P",'Part List'!$A:$G,3,FALSE),
VLOOKUP("2.5mm Twin and Earth",'Part List'!$A:$G,3,FALSE))*F15</f>
        <v>#N/A</v>
      </c>
      <c r="J15" s="430" t="e">
        <f>IF(NOT(W15="No"),VLOOKUP(W15,_Fan!N:P,3,FALSE) + IF(W15="VSD",F15*(VLOOKUP("Switchboard Cable 1mm",'Part List'!$A:$G,5,FALSE) + VLOOKUP("2.5mm Twin and Earth",'Part List'!$A:$G,5,FALSE)*2),F15*(VLOOKUP("7030 2 pair TCAS7302P",'Part List'!$A:$G,5,FALSE) + VLOOKUP("4mm Cable 3 core and Earth",'Part List'!$A:$G,5,FALSE))),VLOOKUP(L15,_Fan!N:P,3,FALSE))
+VLOOKUP(O15,_Fan!N:P,3,FALSE)
+IF(X15="Yes", F15*(VLOOKUP("7030 2 pair TCAS7302P",'Part List'!$A:$G,5,FALSE)),0)
+IF(M15="YES",VLOOKUP(M$1,_Fan!N:P,3,FALSE),0)+IF(X15="YES",VLOOKUP(X$1,_Fan!N:P,3,FALSE),0)
+IF(N15="YES",VLOOKUP(N$1,_Fan!N:P,3,FALSE),0)
+IF(P15="YES",VLOOKUP(P$1,_Fan!N:P,3,FALSE),0)
+IF(Q15="YES",VLOOKUP(Q$1,_Fan!N:P,3,FALSE),0)
+IF(R15="YES",VLOOKUP(R$1,_Fan!N:P,3,FALSE),0)
+IF(S15="YES",VLOOKUP(S$1,_Fan!N:P,3,FALSE),0)
+IF(T15="YES",VLOOKUP(T$1,_Fan!N:P,3,FALSE),0)
+IF(U15="YES",VLOOKUP(U$1,_Fan!N:P,3,FALSE),0)
+IF(V15="Yes",VLOOKUP("4mm Cable 3 core and Earth",'Part List'!$A:$G,5,FALSE)+VLOOKUP("7030 2 pair TCAS7302P",'Part List'!$A:$G,5,FALSE),
VLOOKUP("2.5mm Twin and Earth",'Part List'!$A:$G,5,FALSE))*F15</f>
        <v>#N/A</v>
      </c>
      <c r="K15" s="430" t="str">
        <f t="shared" si="5"/>
        <v/>
      </c>
      <c r="L15" s="430" t="s">
        <v>678</v>
      </c>
      <c r="M15" s="430"/>
      <c r="N15" s="430"/>
      <c r="O15" s="430"/>
      <c r="P15" s="430"/>
      <c r="Q15" s="430"/>
      <c r="R15" s="430"/>
      <c r="S15" s="430"/>
      <c r="T15" s="430"/>
      <c r="U15" s="430"/>
      <c r="V15" s="430"/>
      <c r="W15" s="430"/>
      <c r="X15" s="430"/>
      <c r="Y15" s="432" t="str">
        <f t="shared" si="6"/>
        <v/>
      </c>
      <c r="Z15" s="114">
        <f t="shared" si="7"/>
        <v>0</v>
      </c>
      <c r="AA15" s="114" t="str">
        <f>_xlfn.CONCAT(E15," (",VLOOKUP(E15,[1]Backend!C:D,2,FALSE),")")</f>
        <v xml:space="preserve"> (Zero)</v>
      </c>
      <c r="AB15" s="114" t="str">
        <f t="shared" si="8"/>
        <v>0 - Electrical power supply and controls to  (Zero) fan</v>
      </c>
      <c r="AC15" s="114" t="str">
        <f t="shared" si="9"/>
        <v xml:space="preserve"> with: </v>
      </c>
      <c r="AD15" s="114" t="str">
        <f t="shared" si="10"/>
        <v xml:space="preserve">, </v>
      </c>
      <c r="AE15" s="114" t="str">
        <f t="shared" si="11"/>
        <v>from MSSB Power Supply</v>
      </c>
      <c r="AF15" s="114" t="str">
        <f t="shared" si="15"/>
        <v>0 - Electrical power supply and controls to  (Zero) fan with: , from MSSB Power Supply</v>
      </c>
      <c r="AG15" s="114" t="str">
        <f t="shared" si="12"/>
        <v>0.1 - This includes supply and install of power and controls.</v>
      </c>
      <c r="AH15" s="114" t="str">
        <f>_xlfn.CONCAT(Z15,".2 - Power for system includes: ",VLOOKUP(L15,_Fan!N:Q,4,FALSE))</f>
        <v xml:space="preserve">0.2 - Power for system includes: CB and cabling to fan from MSSB, and local isolator, </v>
      </c>
      <c r="AI15" s="114" t="e">
        <f t="shared" si="1"/>
        <v>#N/A</v>
      </c>
      <c r="AJ15" s="114" t="e">
        <f>_xlfn.CONCAT(IF(M15="Yes",VLOOKUP(M$1,_Fan!N:AB,4,FALSE),""),IF(N15="Yes",VLOOKUP(N$1,_Fan!N:AB,4,FALSE),""),IF(NOT(O15="No"),VLOOKUP(O15,_Fan!N:AB,4,FALSE),""),IF(P15="Yes",VLOOKUP(P$1,_Fan!N:AB,4,FALSE),""),IF(Q15="Yes",VLOOKUP(Q$1,_Fan!N:AB,4,FALSE),""),IF(R15="Yes",VLOOKUP(R$1,_Fan!N:AB,4,FALSE),""),IF(S15="Yes",VLOOKUP(S$1,_Fan!N:AB,4,FALSE),""),IF(T15="Yes",VLOOKUP(T$1,_Fan!N:AB,4,FALSE),""),IF(U15="Yes",VLOOKUP(U$1,_Fan!N:AB,4,FALSE),""))</f>
        <v>#N/A</v>
      </c>
      <c r="AL15" s="114" t="str">
        <f t="shared" si="13"/>
        <v xml:space="preserve">fan with: , </v>
      </c>
    </row>
    <row r="16" spans="1:38" x14ac:dyDescent="0.4">
      <c r="A16" s="429" t="str">
        <f t="shared" si="14"/>
        <v>INVALID</v>
      </c>
      <c r="B16" s="430" t="str">
        <f t="shared" si="2"/>
        <v>Fan 15</v>
      </c>
      <c r="C16" s="431">
        <f t="shared" si="3"/>
        <v>0</v>
      </c>
      <c r="D16" s="430">
        <f t="shared" si="4"/>
        <v>0</v>
      </c>
      <c r="E16" s="430"/>
      <c r="F16" s="430">
        <f t="shared" si="0"/>
        <v>20</v>
      </c>
      <c r="G16" s="430"/>
      <c r="H16" s="430"/>
      <c r="I16" s="430" t="e">
        <f>IF(NOT(W16="No"),VLOOKUP(W16,_Fan!N:P,2,FALSE) + IF(W16="VSD",F16*(VLOOKUP("Switchboard Cable 1mm",'Part List'!$A:$G,3,FALSE) + VLOOKUP("2.5mm Twin and Earth",'Part List'!$A:$G,3,FALSE)*2),F16*(VLOOKUP("7030 2 pair TCAS7302P",'Part List'!$A:$G,3,FALSE) + VLOOKUP("4mm Cable 3 core and Earth",'Part List'!$A:$G,3,FALSE))),VLOOKUP(L16,_Fan!N:P,2,FALSE))
+VLOOKUP(O16,_Fan!N:P,2,FALSE)
+IF(X16="Yes", F16*(VLOOKUP("7030 2 pair TCAS7302P",'Part List'!$A:$G,3,FALSE)),0)
+IF(M16="YES",VLOOKUP(M$1,_Fan!N:P,2,FALSE),0)+IF(X16="YES",VLOOKUP(X$1,_Fan!N:P,2,FALSE),0)
+IF(N16="YES",VLOOKUP(N$1,_Fan!N:P,2,FALSE),0)
+IF(P16="YES",VLOOKUP(P$1,_Fan!N:P,2,FALSE),0)
+IF(Q16="YES",VLOOKUP(Q$1,_Fan!N:P,2,FALSE),0)
+IF(R16="YES",VLOOKUP(R$1,_Fan!N:P,2,FALSE),0)
+IF(S16="YES",VLOOKUP(S$1,_Fan!N:P,2,FALSE),0)
+IF(T16="YES",VLOOKUP(T$1,_Fan!N:P,2,FALSE),0)
+IF(U16="YES",VLOOKUP(U$1,_Fan!N:P,2,FALSE),0)
+IF(V16="Yes",VLOOKUP("4mm Cable 3 core and Earth",'Part List'!$A:$G,3,FALSE)+VLOOKUP("7030 2 pair TCAS7302P",'Part List'!$A:$G,3,FALSE),
VLOOKUP("2.5mm Twin and Earth",'Part List'!$A:$G,3,FALSE))*F16</f>
        <v>#N/A</v>
      </c>
      <c r="J16" s="430" t="e">
        <f>IF(NOT(W16="No"),VLOOKUP(W16,_Fan!N:P,3,FALSE) + IF(W16="VSD",F16*(VLOOKUP("Switchboard Cable 1mm",'Part List'!$A:$G,5,FALSE) + VLOOKUP("2.5mm Twin and Earth",'Part List'!$A:$G,5,FALSE)*2),F16*(VLOOKUP("7030 2 pair TCAS7302P",'Part List'!$A:$G,5,FALSE) + VLOOKUP("4mm Cable 3 core and Earth",'Part List'!$A:$G,5,FALSE))),VLOOKUP(L16,_Fan!N:P,3,FALSE))
+VLOOKUP(O16,_Fan!N:P,3,FALSE)
+IF(X16="Yes", F16*(VLOOKUP("7030 2 pair TCAS7302P",'Part List'!$A:$G,5,FALSE)),0)
+IF(M16="YES",VLOOKUP(M$1,_Fan!N:P,3,FALSE),0)+IF(X16="YES",VLOOKUP(X$1,_Fan!N:P,3,FALSE),0)
+IF(N16="YES",VLOOKUP(N$1,_Fan!N:P,3,FALSE),0)
+IF(P16="YES",VLOOKUP(P$1,_Fan!N:P,3,FALSE),0)
+IF(Q16="YES",VLOOKUP(Q$1,_Fan!N:P,3,FALSE),0)
+IF(R16="YES",VLOOKUP(R$1,_Fan!N:P,3,FALSE),0)
+IF(S16="YES",VLOOKUP(S$1,_Fan!N:P,3,FALSE),0)
+IF(T16="YES",VLOOKUP(T$1,_Fan!N:P,3,FALSE),0)
+IF(U16="YES",VLOOKUP(U$1,_Fan!N:P,3,FALSE),0)
+IF(V16="Yes",VLOOKUP("4mm Cable 3 core and Earth",'Part List'!$A:$G,5,FALSE)+VLOOKUP("7030 2 pair TCAS7302P",'Part List'!$A:$G,5,FALSE),
VLOOKUP("2.5mm Twin and Earth",'Part List'!$A:$G,5,FALSE))*F16</f>
        <v>#N/A</v>
      </c>
      <c r="K16" s="430" t="str">
        <f t="shared" si="5"/>
        <v/>
      </c>
      <c r="L16" s="430" t="s">
        <v>678</v>
      </c>
      <c r="M16" s="430"/>
      <c r="N16" s="430"/>
      <c r="O16" s="430"/>
      <c r="P16" s="430"/>
      <c r="Q16" s="430"/>
      <c r="R16" s="430"/>
      <c r="S16" s="430"/>
      <c r="T16" s="430"/>
      <c r="U16" s="430"/>
      <c r="V16" s="430"/>
      <c r="W16" s="430"/>
      <c r="X16" s="430"/>
      <c r="Y16" s="432" t="str">
        <f t="shared" si="6"/>
        <v/>
      </c>
      <c r="Z16" s="114">
        <f t="shared" si="7"/>
        <v>0</v>
      </c>
      <c r="AA16" s="114" t="str">
        <f>_xlfn.CONCAT(E16," (",VLOOKUP(E16,[1]Backend!C:D,2,FALSE),")")</f>
        <v xml:space="preserve"> (Zero)</v>
      </c>
      <c r="AB16" s="114" t="str">
        <f t="shared" si="8"/>
        <v>0 - Electrical power supply and controls to  (Zero) fan</v>
      </c>
      <c r="AC16" s="114" t="str">
        <f t="shared" si="9"/>
        <v xml:space="preserve"> with: </v>
      </c>
      <c r="AD16" s="114" t="str">
        <f t="shared" si="10"/>
        <v xml:space="preserve">, </v>
      </c>
      <c r="AE16" s="114" t="str">
        <f t="shared" si="11"/>
        <v>from MSSB Power Supply</v>
      </c>
      <c r="AF16" s="114" t="str">
        <f t="shared" si="15"/>
        <v>0 - Electrical power supply and controls to  (Zero) fan with: , from MSSB Power Supply</v>
      </c>
      <c r="AG16" s="114" t="str">
        <f t="shared" si="12"/>
        <v>0.1 - This includes supply and install of power and controls.</v>
      </c>
      <c r="AH16" s="114" t="str">
        <f>_xlfn.CONCAT(Z16,".2 - Power for system includes: ",VLOOKUP(L16,_Fan!N:Q,4,FALSE))</f>
        <v xml:space="preserve">0.2 - Power for system includes: CB and cabling to fan from MSSB, and local isolator, </v>
      </c>
      <c r="AI16" s="114" t="e">
        <f t="shared" si="1"/>
        <v>#N/A</v>
      </c>
      <c r="AJ16" s="114" t="e">
        <f>_xlfn.CONCAT(IF(M16="Yes",VLOOKUP(M$1,_Fan!N:AB,4,FALSE),""),IF(N16="Yes",VLOOKUP(N$1,_Fan!N:AB,4,FALSE),""),IF(NOT(O16="No"),VLOOKUP(O16,_Fan!N:AB,4,FALSE),""),IF(P16="Yes",VLOOKUP(P$1,_Fan!N:AB,4,FALSE),""),IF(Q16="Yes",VLOOKUP(Q$1,_Fan!N:AB,4,FALSE),""),IF(R16="Yes",VLOOKUP(R$1,_Fan!N:AB,4,FALSE),""),IF(S16="Yes",VLOOKUP(S$1,_Fan!N:AB,4,FALSE),""),IF(T16="Yes",VLOOKUP(T$1,_Fan!N:AB,4,FALSE),""),IF(U16="Yes",VLOOKUP(U$1,_Fan!N:AB,4,FALSE),""))</f>
        <v>#N/A</v>
      </c>
      <c r="AL16" s="114" t="str">
        <f t="shared" si="13"/>
        <v xml:space="preserve">fan with: , </v>
      </c>
    </row>
    <row r="17" spans="1:38" x14ac:dyDescent="0.4">
      <c r="A17" s="429" t="str">
        <f t="shared" si="14"/>
        <v>INVALID</v>
      </c>
      <c r="B17" s="430" t="str">
        <f t="shared" si="2"/>
        <v>Fan 16</v>
      </c>
      <c r="C17" s="431">
        <f t="shared" si="3"/>
        <v>0</v>
      </c>
      <c r="D17" s="430">
        <f t="shared" si="4"/>
        <v>0</v>
      </c>
      <c r="E17" s="430"/>
      <c r="F17" s="430">
        <f t="shared" si="0"/>
        <v>20</v>
      </c>
      <c r="G17" s="430"/>
      <c r="H17" s="430"/>
      <c r="I17" s="430" t="e">
        <f>IF(NOT(W17="No"),VLOOKUP(W17,_Fan!N:P,2,FALSE) + IF(W17="VSD",F17*(VLOOKUP("Switchboard Cable 1mm",'Part List'!$A:$G,3,FALSE) + VLOOKUP("2.5mm Twin and Earth",'Part List'!$A:$G,3,FALSE)*2),F17*(VLOOKUP("7030 2 pair TCAS7302P",'Part List'!$A:$G,3,FALSE) + VLOOKUP("4mm Cable 3 core and Earth",'Part List'!$A:$G,3,FALSE))),VLOOKUP(L17,_Fan!N:P,2,FALSE))
+VLOOKUP(O17,_Fan!N:P,2,FALSE)
+IF(X17="Yes", F17*(VLOOKUP("7030 2 pair TCAS7302P",'Part List'!$A:$G,3,FALSE)),0)
+IF(M17="YES",VLOOKUP(M$1,_Fan!N:P,2,FALSE),0)+IF(X17="YES",VLOOKUP(X$1,_Fan!N:P,2,FALSE),0)
+IF(N17="YES",VLOOKUP(N$1,_Fan!N:P,2,FALSE),0)
+IF(P17="YES",VLOOKUP(P$1,_Fan!N:P,2,FALSE),0)
+IF(Q17="YES",VLOOKUP(Q$1,_Fan!N:P,2,FALSE),0)
+IF(R17="YES",VLOOKUP(R$1,_Fan!N:P,2,FALSE),0)
+IF(S17="YES",VLOOKUP(S$1,_Fan!N:P,2,FALSE),0)
+IF(T17="YES",VLOOKUP(T$1,_Fan!N:P,2,FALSE),0)
+IF(U17="YES",VLOOKUP(U$1,_Fan!N:P,2,FALSE),0)
+IF(V17="Yes",VLOOKUP("4mm Cable 3 core and Earth",'Part List'!$A:$G,3,FALSE)+VLOOKUP("7030 2 pair TCAS7302P",'Part List'!$A:$G,3,FALSE),
VLOOKUP("2.5mm Twin and Earth",'Part List'!$A:$G,3,FALSE))*F17</f>
        <v>#N/A</v>
      </c>
      <c r="J17" s="430" t="e">
        <f>IF(NOT(W17="No"),VLOOKUP(W17,_Fan!N:P,3,FALSE) + IF(W17="VSD",F17*(VLOOKUP("Switchboard Cable 1mm",'Part List'!$A:$G,5,FALSE) + VLOOKUP("2.5mm Twin and Earth",'Part List'!$A:$G,5,FALSE)*2),F17*(VLOOKUP("7030 2 pair TCAS7302P",'Part List'!$A:$G,5,FALSE) + VLOOKUP("4mm Cable 3 core and Earth",'Part List'!$A:$G,5,FALSE))),VLOOKUP(L17,_Fan!N:P,3,FALSE))
+VLOOKUP(O17,_Fan!N:P,3,FALSE)
+IF(X17="Yes", F17*(VLOOKUP("7030 2 pair TCAS7302P",'Part List'!$A:$G,5,FALSE)),0)
+IF(M17="YES",VLOOKUP(M$1,_Fan!N:P,3,FALSE),0)+IF(X17="YES",VLOOKUP(X$1,_Fan!N:P,3,FALSE),0)
+IF(N17="YES",VLOOKUP(N$1,_Fan!N:P,3,FALSE),0)
+IF(P17="YES",VLOOKUP(P$1,_Fan!N:P,3,FALSE),0)
+IF(Q17="YES",VLOOKUP(Q$1,_Fan!N:P,3,FALSE),0)
+IF(R17="YES",VLOOKUP(R$1,_Fan!N:P,3,FALSE),0)
+IF(S17="YES",VLOOKUP(S$1,_Fan!N:P,3,FALSE),0)
+IF(T17="YES",VLOOKUP(T$1,_Fan!N:P,3,FALSE),0)
+IF(U17="YES",VLOOKUP(U$1,_Fan!N:P,3,FALSE),0)
+IF(V17="Yes",VLOOKUP("4mm Cable 3 core and Earth",'Part List'!$A:$G,5,FALSE)+VLOOKUP("7030 2 pair TCAS7302P",'Part List'!$A:$G,5,FALSE),
VLOOKUP("2.5mm Twin and Earth",'Part List'!$A:$G,5,FALSE))*F17</f>
        <v>#N/A</v>
      </c>
      <c r="K17" s="430" t="str">
        <f t="shared" si="5"/>
        <v/>
      </c>
      <c r="L17" s="430" t="s">
        <v>678</v>
      </c>
      <c r="M17" s="430"/>
      <c r="N17" s="430"/>
      <c r="O17" s="430"/>
      <c r="P17" s="430"/>
      <c r="Q17" s="430"/>
      <c r="R17" s="430"/>
      <c r="S17" s="430"/>
      <c r="T17" s="430"/>
      <c r="U17" s="430"/>
      <c r="V17" s="430"/>
      <c r="W17" s="430"/>
      <c r="X17" s="430"/>
      <c r="Y17" s="432" t="str">
        <f t="shared" si="6"/>
        <v/>
      </c>
      <c r="Z17" s="114">
        <f t="shared" si="7"/>
        <v>0</v>
      </c>
      <c r="AA17" s="114" t="str">
        <f>_xlfn.CONCAT(E17," (",VLOOKUP(E17,[1]Backend!C:D,2,FALSE),")")</f>
        <v xml:space="preserve"> (Zero)</v>
      </c>
      <c r="AB17" s="114" t="str">
        <f t="shared" si="8"/>
        <v>0 - Electrical power supply and controls to  (Zero) fan</v>
      </c>
      <c r="AC17" s="114" t="str">
        <f t="shared" si="9"/>
        <v xml:space="preserve"> with: </v>
      </c>
      <c r="AD17" s="114" t="str">
        <f t="shared" si="10"/>
        <v xml:space="preserve">, </v>
      </c>
      <c r="AE17" s="114" t="str">
        <f t="shared" si="11"/>
        <v>from MSSB Power Supply</v>
      </c>
      <c r="AF17" s="114" t="str">
        <f t="shared" si="15"/>
        <v>0 - Electrical power supply and controls to  (Zero) fan with: , from MSSB Power Supply</v>
      </c>
      <c r="AG17" s="114" t="str">
        <f t="shared" si="12"/>
        <v>0.1 - This includes supply and install of power and controls.</v>
      </c>
      <c r="AH17" s="114" t="str">
        <f>_xlfn.CONCAT(Z17,".2 - Power for system includes: ",VLOOKUP(L17,_Fan!N:Q,4,FALSE))</f>
        <v xml:space="preserve">0.2 - Power for system includes: CB and cabling to fan from MSSB, and local isolator, </v>
      </c>
      <c r="AI17" s="114" t="e">
        <f t="shared" si="1"/>
        <v>#N/A</v>
      </c>
      <c r="AJ17" s="114" t="e">
        <f>_xlfn.CONCAT(IF(M17="Yes",VLOOKUP(M$1,_Fan!N:AB,4,FALSE),""),IF(N17="Yes",VLOOKUP(N$1,_Fan!N:AB,4,FALSE),""),IF(NOT(O17="No"),VLOOKUP(O17,_Fan!N:AB,4,FALSE),""),IF(P17="Yes",VLOOKUP(P$1,_Fan!N:AB,4,FALSE),""),IF(Q17="Yes",VLOOKUP(Q$1,_Fan!N:AB,4,FALSE),""),IF(R17="Yes",VLOOKUP(R$1,_Fan!N:AB,4,FALSE),""),IF(S17="Yes",VLOOKUP(S$1,_Fan!N:AB,4,FALSE),""),IF(T17="Yes",VLOOKUP(T$1,_Fan!N:AB,4,FALSE),""),IF(U17="Yes",VLOOKUP(U$1,_Fan!N:AB,4,FALSE),""))</f>
        <v>#N/A</v>
      </c>
      <c r="AL17" s="114" t="str">
        <f t="shared" si="13"/>
        <v xml:space="preserve">fan with: , </v>
      </c>
    </row>
    <row r="18" spans="1:38" x14ac:dyDescent="0.4">
      <c r="A18" s="429" t="str">
        <f t="shared" si="14"/>
        <v>INVALID</v>
      </c>
      <c r="B18" s="430" t="str">
        <f t="shared" si="2"/>
        <v>Fan 17</v>
      </c>
      <c r="C18" s="431">
        <f t="shared" si="3"/>
        <v>0</v>
      </c>
      <c r="D18" s="430">
        <f t="shared" si="4"/>
        <v>0</v>
      </c>
      <c r="E18" s="430"/>
      <c r="F18" s="430">
        <f t="shared" si="0"/>
        <v>20</v>
      </c>
      <c r="G18" s="430"/>
      <c r="H18" s="430"/>
      <c r="I18" s="430" t="e">
        <f>IF(NOT(W18="No"),VLOOKUP(W18,_Fan!N:P,2,FALSE) + IF(W18="VSD",F18*(VLOOKUP("Switchboard Cable 1mm",'Part List'!$A:$G,3,FALSE) + VLOOKUP("2.5mm Twin and Earth",'Part List'!$A:$G,3,FALSE)*2),F18*(VLOOKUP("7030 2 pair TCAS7302P",'Part List'!$A:$G,3,FALSE) + VLOOKUP("4mm Cable 3 core and Earth",'Part List'!$A:$G,3,FALSE))),VLOOKUP(L18,_Fan!N:P,2,FALSE))
+VLOOKUP(O18,_Fan!N:P,2,FALSE)
+IF(X18="Yes", F18*(VLOOKUP("7030 2 pair TCAS7302P",'Part List'!$A:$G,3,FALSE)),0)
+IF(M18="YES",VLOOKUP(M$1,_Fan!N:P,2,FALSE),0)+IF(X18="YES",VLOOKUP(X$1,_Fan!N:P,2,FALSE),0)
+IF(N18="YES",VLOOKUP(N$1,_Fan!N:P,2,FALSE),0)
+IF(P18="YES",VLOOKUP(P$1,_Fan!N:P,2,FALSE),0)
+IF(Q18="YES",VLOOKUP(Q$1,_Fan!N:P,2,FALSE),0)
+IF(R18="YES",VLOOKUP(R$1,_Fan!N:P,2,FALSE),0)
+IF(S18="YES",VLOOKUP(S$1,_Fan!N:P,2,FALSE),0)
+IF(T18="YES",VLOOKUP(T$1,_Fan!N:P,2,FALSE),0)
+IF(U18="YES",VLOOKUP(U$1,_Fan!N:P,2,FALSE),0)
+IF(V18="Yes",VLOOKUP("4mm Cable 3 core and Earth",'Part List'!$A:$G,3,FALSE)+VLOOKUP("7030 2 pair TCAS7302P",'Part List'!$A:$G,3,FALSE),
VLOOKUP("2.5mm Twin and Earth",'Part List'!$A:$G,3,FALSE))*F18</f>
        <v>#N/A</v>
      </c>
      <c r="J18" s="430" t="e">
        <f>IF(NOT(W18="No"),VLOOKUP(W18,_Fan!N:P,3,FALSE) + IF(W18="VSD",F18*(VLOOKUP("Switchboard Cable 1mm",'Part List'!$A:$G,5,FALSE) + VLOOKUP("2.5mm Twin and Earth",'Part List'!$A:$G,5,FALSE)*2),F18*(VLOOKUP("7030 2 pair TCAS7302P",'Part List'!$A:$G,5,FALSE) + VLOOKUP("4mm Cable 3 core and Earth",'Part List'!$A:$G,5,FALSE))),VLOOKUP(L18,_Fan!N:P,3,FALSE))
+VLOOKUP(O18,_Fan!N:P,3,FALSE)
+IF(X18="Yes", F18*(VLOOKUP("7030 2 pair TCAS7302P",'Part List'!$A:$G,5,FALSE)),0)
+IF(M18="YES",VLOOKUP(M$1,_Fan!N:P,3,FALSE),0)+IF(X18="YES",VLOOKUP(X$1,_Fan!N:P,3,FALSE),0)
+IF(N18="YES",VLOOKUP(N$1,_Fan!N:P,3,FALSE),0)
+IF(P18="YES",VLOOKUP(P$1,_Fan!N:P,3,FALSE),0)
+IF(Q18="YES",VLOOKUP(Q$1,_Fan!N:P,3,FALSE),0)
+IF(R18="YES",VLOOKUP(R$1,_Fan!N:P,3,FALSE),0)
+IF(S18="YES",VLOOKUP(S$1,_Fan!N:P,3,FALSE),0)
+IF(T18="YES",VLOOKUP(T$1,_Fan!N:P,3,FALSE),0)
+IF(U18="YES",VLOOKUP(U$1,_Fan!N:P,3,FALSE),0)
+IF(V18="Yes",VLOOKUP("4mm Cable 3 core and Earth",'Part List'!$A:$G,5,FALSE)+VLOOKUP("7030 2 pair TCAS7302P",'Part List'!$A:$G,5,FALSE),
VLOOKUP("2.5mm Twin and Earth",'Part List'!$A:$G,5,FALSE))*F18</f>
        <v>#N/A</v>
      </c>
      <c r="K18" s="430" t="str">
        <f t="shared" si="5"/>
        <v/>
      </c>
      <c r="L18" s="430" t="s">
        <v>678</v>
      </c>
      <c r="M18" s="430"/>
      <c r="N18" s="430"/>
      <c r="O18" s="430"/>
      <c r="P18" s="430"/>
      <c r="Q18" s="430"/>
      <c r="R18" s="430"/>
      <c r="S18" s="430"/>
      <c r="T18" s="430"/>
      <c r="U18" s="430"/>
      <c r="V18" s="430"/>
      <c r="W18" s="430"/>
      <c r="X18" s="430"/>
      <c r="Y18" s="432" t="str">
        <f t="shared" si="6"/>
        <v/>
      </c>
      <c r="Z18" s="114">
        <f t="shared" si="7"/>
        <v>0</v>
      </c>
      <c r="AA18" s="114" t="str">
        <f>_xlfn.CONCAT(E18," (",VLOOKUP(E18,[1]Backend!C:D,2,FALSE),")")</f>
        <v xml:space="preserve"> (Zero)</v>
      </c>
      <c r="AB18" s="114" t="str">
        <f t="shared" si="8"/>
        <v>0 - Electrical power supply and controls to  (Zero) fan</v>
      </c>
      <c r="AC18" s="114" t="str">
        <f t="shared" si="9"/>
        <v xml:space="preserve"> with: </v>
      </c>
      <c r="AD18" s="114" t="str">
        <f t="shared" si="10"/>
        <v xml:space="preserve">, </v>
      </c>
      <c r="AE18" s="114" t="str">
        <f t="shared" si="11"/>
        <v>from MSSB Power Supply</v>
      </c>
      <c r="AF18" s="114" t="str">
        <f t="shared" si="15"/>
        <v>0 - Electrical power supply and controls to  (Zero) fan with: , from MSSB Power Supply</v>
      </c>
      <c r="AG18" s="114" t="str">
        <f t="shared" si="12"/>
        <v>0.1 - This includes supply and install of power and controls.</v>
      </c>
      <c r="AH18" s="114" t="str">
        <f>_xlfn.CONCAT(Z18,".2 - Power for system includes: ",VLOOKUP(L18,_Fan!N:Q,4,FALSE))</f>
        <v xml:space="preserve">0.2 - Power for system includes: CB and cabling to fan from MSSB, and local isolator, </v>
      </c>
      <c r="AI18" s="114" t="e">
        <f t="shared" si="1"/>
        <v>#N/A</v>
      </c>
      <c r="AJ18" s="114" t="e">
        <f>_xlfn.CONCAT(IF(M18="Yes",VLOOKUP(M$1,_Fan!N:AB,4,FALSE),""),IF(N18="Yes",VLOOKUP(N$1,_Fan!N:AB,4,FALSE),""),IF(NOT(O18="No"),VLOOKUP(O18,_Fan!N:AB,4,FALSE),""),IF(P18="Yes",VLOOKUP(P$1,_Fan!N:AB,4,FALSE),""),IF(Q18="Yes",VLOOKUP(Q$1,_Fan!N:AB,4,FALSE),""),IF(R18="Yes",VLOOKUP(R$1,_Fan!N:AB,4,FALSE),""),IF(S18="Yes",VLOOKUP(S$1,_Fan!N:AB,4,FALSE),""),IF(T18="Yes",VLOOKUP(T$1,_Fan!N:AB,4,FALSE),""),IF(U18="Yes",VLOOKUP(U$1,_Fan!N:AB,4,FALSE),""))</f>
        <v>#N/A</v>
      </c>
      <c r="AL18" s="114" t="str">
        <f t="shared" si="13"/>
        <v xml:space="preserve">fan with: , </v>
      </c>
    </row>
    <row r="19" spans="1:38" x14ac:dyDescent="0.4">
      <c r="A19" s="429" t="str">
        <f t="shared" si="14"/>
        <v>INVALID</v>
      </c>
      <c r="B19" s="430" t="str">
        <f t="shared" si="2"/>
        <v>Fan 18</v>
      </c>
      <c r="C19" s="431">
        <f t="shared" si="3"/>
        <v>0</v>
      </c>
      <c r="D19" s="430">
        <f t="shared" si="4"/>
        <v>0</v>
      </c>
      <c r="E19" s="430"/>
      <c r="F19" s="430">
        <f t="shared" si="0"/>
        <v>20</v>
      </c>
      <c r="G19" s="430"/>
      <c r="H19" s="430"/>
      <c r="I19" s="430" t="e">
        <f>IF(NOT(W19="No"),VLOOKUP(W19,_Fan!N:P,2,FALSE) + IF(W19="VSD",F19*(VLOOKUP("Switchboard Cable 1mm",'Part List'!$A:$G,3,FALSE) + VLOOKUP("2.5mm Twin and Earth",'Part List'!$A:$G,3,FALSE)*2),F19*(VLOOKUP("7030 2 pair TCAS7302P",'Part List'!$A:$G,3,FALSE) + VLOOKUP("4mm Cable 3 core and Earth",'Part List'!$A:$G,3,FALSE))),VLOOKUP(L19,_Fan!N:P,2,FALSE))
+VLOOKUP(O19,_Fan!N:P,2,FALSE)
+IF(X19="Yes", F19*(VLOOKUP("7030 2 pair TCAS7302P",'Part List'!$A:$G,3,FALSE)),0)
+IF(M19="YES",VLOOKUP(M$1,_Fan!N:P,2,FALSE),0)+IF(X19="YES",VLOOKUP(X$1,_Fan!N:P,2,FALSE),0)
+IF(N19="YES",VLOOKUP(N$1,_Fan!N:P,2,FALSE),0)
+IF(P19="YES",VLOOKUP(P$1,_Fan!N:P,2,FALSE),0)
+IF(Q19="YES",VLOOKUP(Q$1,_Fan!N:P,2,FALSE),0)
+IF(R19="YES",VLOOKUP(R$1,_Fan!N:P,2,FALSE),0)
+IF(S19="YES",VLOOKUP(S$1,_Fan!N:P,2,FALSE),0)
+IF(T19="YES",VLOOKUP(T$1,_Fan!N:P,2,FALSE),0)
+IF(U19="YES",VLOOKUP(U$1,_Fan!N:P,2,FALSE),0)
+IF(V19="Yes",VLOOKUP("4mm Cable 3 core and Earth",'Part List'!$A:$G,3,FALSE)+VLOOKUP("7030 2 pair TCAS7302P",'Part List'!$A:$G,3,FALSE),
VLOOKUP("2.5mm Twin and Earth",'Part List'!$A:$G,3,FALSE))*F19</f>
        <v>#N/A</v>
      </c>
      <c r="J19" s="430" t="e">
        <f>IF(NOT(W19="No"),VLOOKUP(W19,_Fan!N:P,3,FALSE) + IF(W19="VSD",F19*(VLOOKUP("Switchboard Cable 1mm",'Part List'!$A:$G,5,FALSE) + VLOOKUP("2.5mm Twin and Earth",'Part List'!$A:$G,5,FALSE)*2),F19*(VLOOKUP("7030 2 pair TCAS7302P",'Part List'!$A:$G,5,FALSE) + VLOOKUP("4mm Cable 3 core and Earth",'Part List'!$A:$G,5,FALSE))),VLOOKUP(L19,_Fan!N:P,3,FALSE))
+VLOOKUP(O19,_Fan!N:P,3,FALSE)
+IF(X19="Yes", F19*(VLOOKUP("7030 2 pair TCAS7302P",'Part List'!$A:$G,5,FALSE)),0)
+IF(M19="YES",VLOOKUP(M$1,_Fan!N:P,3,FALSE),0)+IF(X19="YES",VLOOKUP(X$1,_Fan!N:P,3,FALSE),0)
+IF(N19="YES",VLOOKUP(N$1,_Fan!N:P,3,FALSE),0)
+IF(P19="YES",VLOOKUP(P$1,_Fan!N:P,3,FALSE),0)
+IF(Q19="YES",VLOOKUP(Q$1,_Fan!N:P,3,FALSE),0)
+IF(R19="YES",VLOOKUP(R$1,_Fan!N:P,3,FALSE),0)
+IF(S19="YES",VLOOKUP(S$1,_Fan!N:P,3,FALSE),0)
+IF(T19="YES",VLOOKUP(T$1,_Fan!N:P,3,FALSE),0)
+IF(U19="YES",VLOOKUP(U$1,_Fan!N:P,3,FALSE),0)
+IF(V19="Yes",VLOOKUP("4mm Cable 3 core and Earth",'Part List'!$A:$G,5,FALSE)+VLOOKUP("7030 2 pair TCAS7302P",'Part List'!$A:$G,5,FALSE),
VLOOKUP("2.5mm Twin and Earth",'Part List'!$A:$G,5,FALSE))*F19</f>
        <v>#N/A</v>
      </c>
      <c r="K19" s="430" t="str">
        <f t="shared" si="5"/>
        <v/>
      </c>
      <c r="L19" s="430" t="s">
        <v>678</v>
      </c>
      <c r="M19" s="430"/>
      <c r="N19" s="430"/>
      <c r="O19" s="430"/>
      <c r="P19" s="430"/>
      <c r="Q19" s="430"/>
      <c r="R19" s="430"/>
      <c r="S19" s="430"/>
      <c r="T19" s="430"/>
      <c r="U19" s="430"/>
      <c r="V19" s="430"/>
      <c r="W19" s="430"/>
      <c r="X19" s="430"/>
      <c r="Y19" s="432" t="str">
        <f t="shared" si="6"/>
        <v/>
      </c>
      <c r="Z19" s="114">
        <f t="shared" si="7"/>
        <v>0</v>
      </c>
      <c r="AA19" s="114" t="str">
        <f>_xlfn.CONCAT(E19," (",VLOOKUP(E19,[1]Backend!C:D,2,FALSE),")")</f>
        <v xml:space="preserve"> (Zero)</v>
      </c>
      <c r="AB19" s="114" t="str">
        <f t="shared" si="8"/>
        <v>0 - Electrical power supply and controls to  (Zero) fan</v>
      </c>
      <c r="AC19" s="114" t="str">
        <f t="shared" si="9"/>
        <v xml:space="preserve"> with: </v>
      </c>
      <c r="AD19" s="114" t="str">
        <f t="shared" si="10"/>
        <v xml:space="preserve">, </v>
      </c>
      <c r="AE19" s="114" t="str">
        <f t="shared" si="11"/>
        <v>from MSSB Power Supply</v>
      </c>
      <c r="AF19" s="114" t="str">
        <f t="shared" si="15"/>
        <v>0 - Electrical power supply and controls to  (Zero) fan with: , from MSSB Power Supply</v>
      </c>
      <c r="AG19" s="114" t="str">
        <f t="shared" si="12"/>
        <v>0.1 - This includes supply and install of power and controls.</v>
      </c>
      <c r="AH19" s="114" t="str">
        <f>_xlfn.CONCAT(Z19,".2 - Power for system includes: ",VLOOKUP(L19,_Fan!N:Q,4,FALSE))</f>
        <v xml:space="preserve">0.2 - Power for system includes: CB and cabling to fan from MSSB, and local isolator, </v>
      </c>
      <c r="AI19" s="114" t="e">
        <f t="shared" si="1"/>
        <v>#N/A</v>
      </c>
      <c r="AJ19" s="114" t="e">
        <f>_xlfn.CONCAT(IF(M19="Yes",VLOOKUP(M$1,_Fan!N:AB,4,FALSE),""),IF(N19="Yes",VLOOKUP(N$1,_Fan!N:AB,4,FALSE),""),IF(NOT(O19="No"),VLOOKUP(O19,_Fan!N:AB,4,FALSE),""),IF(P19="Yes",VLOOKUP(P$1,_Fan!N:AB,4,FALSE),""),IF(Q19="Yes",VLOOKUP(Q$1,_Fan!N:AB,4,FALSE),""),IF(R19="Yes",VLOOKUP(R$1,_Fan!N:AB,4,FALSE),""),IF(S19="Yes",VLOOKUP(S$1,_Fan!N:AB,4,FALSE),""),IF(T19="Yes",VLOOKUP(T$1,_Fan!N:AB,4,FALSE),""),IF(U19="Yes",VLOOKUP(U$1,_Fan!N:AB,4,FALSE),""))</f>
        <v>#N/A</v>
      </c>
      <c r="AL19" s="114" t="str">
        <f t="shared" si="13"/>
        <v xml:space="preserve">fan with: , </v>
      </c>
    </row>
    <row r="20" spans="1:38" x14ac:dyDescent="0.4">
      <c r="A20" s="429" t="str">
        <f t="shared" si="14"/>
        <v>INVALID</v>
      </c>
      <c r="B20" s="430" t="str">
        <f t="shared" si="2"/>
        <v>Fan 19</v>
      </c>
      <c r="C20" s="431">
        <f t="shared" si="3"/>
        <v>0</v>
      </c>
      <c r="D20" s="430">
        <f t="shared" si="4"/>
        <v>0</v>
      </c>
      <c r="E20" s="430"/>
      <c r="F20" s="430">
        <f t="shared" si="0"/>
        <v>20</v>
      </c>
      <c r="G20" s="430"/>
      <c r="H20" s="430"/>
      <c r="I20" s="430" t="e">
        <f>IF(NOT(W20="No"),VLOOKUP(W20,_Fan!N:P,2,FALSE) + IF(W20="VSD",F20*(VLOOKUP("Switchboard Cable 1mm",'Part List'!$A:$G,3,FALSE) + VLOOKUP("2.5mm Twin and Earth",'Part List'!$A:$G,3,FALSE)*2),F20*(VLOOKUP("7030 2 pair TCAS7302P",'Part List'!$A:$G,3,FALSE) + VLOOKUP("4mm Cable 3 core and Earth",'Part List'!$A:$G,3,FALSE))),VLOOKUP(L20,_Fan!N:P,2,FALSE))
+VLOOKUP(O20,_Fan!N:P,2,FALSE)
+IF(X20="Yes", F20*(VLOOKUP("7030 2 pair TCAS7302P",'Part List'!$A:$G,3,FALSE)),0)
+IF(M20="YES",VLOOKUP(M$1,_Fan!N:P,2,FALSE),0)+IF(X20="YES",VLOOKUP(X$1,_Fan!N:P,2,FALSE),0)
+IF(N20="YES",VLOOKUP(N$1,_Fan!N:P,2,FALSE),0)
+IF(P20="YES",VLOOKUP(P$1,_Fan!N:P,2,FALSE),0)
+IF(Q20="YES",VLOOKUP(Q$1,_Fan!N:P,2,FALSE),0)
+IF(R20="YES",VLOOKUP(R$1,_Fan!N:P,2,FALSE),0)
+IF(S20="YES",VLOOKUP(S$1,_Fan!N:P,2,FALSE),0)
+IF(T20="YES",VLOOKUP(T$1,_Fan!N:P,2,FALSE),0)
+IF(U20="YES",VLOOKUP(U$1,_Fan!N:P,2,FALSE),0)
+IF(V20="Yes",VLOOKUP("4mm Cable 3 core and Earth",'Part List'!$A:$G,3,FALSE)+VLOOKUP("7030 2 pair TCAS7302P",'Part List'!$A:$G,3,FALSE),
VLOOKUP("2.5mm Twin and Earth",'Part List'!$A:$G,3,FALSE))*F20</f>
        <v>#N/A</v>
      </c>
      <c r="J20" s="430" t="e">
        <f>IF(NOT(W20="No"),VLOOKUP(W20,_Fan!N:P,3,FALSE) + IF(W20="VSD",F20*(VLOOKUP("Switchboard Cable 1mm",'Part List'!$A:$G,5,FALSE) + VLOOKUP("2.5mm Twin and Earth",'Part List'!$A:$G,5,FALSE)*2),F20*(VLOOKUP("7030 2 pair TCAS7302P",'Part List'!$A:$G,5,FALSE) + VLOOKUP("4mm Cable 3 core and Earth",'Part List'!$A:$G,5,FALSE))),VLOOKUP(L20,_Fan!N:P,3,FALSE))
+VLOOKUP(O20,_Fan!N:P,3,FALSE)
+IF(X20="Yes", F20*(VLOOKUP("7030 2 pair TCAS7302P",'Part List'!$A:$G,5,FALSE)),0)
+IF(M20="YES",VLOOKUP(M$1,_Fan!N:P,3,FALSE),0)+IF(X20="YES",VLOOKUP(X$1,_Fan!N:P,3,FALSE),0)
+IF(N20="YES",VLOOKUP(N$1,_Fan!N:P,3,FALSE),0)
+IF(P20="YES",VLOOKUP(P$1,_Fan!N:P,3,FALSE),0)
+IF(Q20="YES",VLOOKUP(Q$1,_Fan!N:P,3,FALSE),0)
+IF(R20="YES",VLOOKUP(R$1,_Fan!N:P,3,FALSE),0)
+IF(S20="YES",VLOOKUP(S$1,_Fan!N:P,3,FALSE),0)
+IF(T20="YES",VLOOKUP(T$1,_Fan!N:P,3,FALSE),0)
+IF(U20="YES",VLOOKUP(U$1,_Fan!N:P,3,FALSE),0)
+IF(V20="Yes",VLOOKUP("4mm Cable 3 core and Earth",'Part List'!$A:$G,5,FALSE)+VLOOKUP("7030 2 pair TCAS7302P",'Part List'!$A:$G,5,FALSE),
VLOOKUP("2.5mm Twin and Earth",'Part List'!$A:$G,5,FALSE))*F20</f>
        <v>#N/A</v>
      </c>
      <c r="K20" s="430" t="str">
        <f t="shared" si="5"/>
        <v/>
      </c>
      <c r="L20" s="430" t="s">
        <v>678</v>
      </c>
      <c r="M20" s="430"/>
      <c r="N20" s="430"/>
      <c r="O20" s="430"/>
      <c r="P20" s="430"/>
      <c r="Q20" s="430"/>
      <c r="R20" s="430"/>
      <c r="S20" s="430"/>
      <c r="T20" s="430"/>
      <c r="U20" s="430"/>
      <c r="V20" s="430"/>
      <c r="W20" s="430"/>
      <c r="X20" s="430"/>
      <c r="Y20" s="432" t="str">
        <f t="shared" si="6"/>
        <v/>
      </c>
      <c r="Z20" s="114">
        <f t="shared" si="7"/>
        <v>0</v>
      </c>
      <c r="AA20" s="114" t="str">
        <f>_xlfn.CONCAT(E20," (",VLOOKUP(E20,[1]Backend!C:D,2,FALSE),")")</f>
        <v xml:space="preserve"> (Zero)</v>
      </c>
      <c r="AB20" s="114" t="str">
        <f t="shared" si="8"/>
        <v>0 - Electrical power supply and controls to  (Zero) fan</v>
      </c>
      <c r="AC20" s="114" t="str">
        <f t="shared" si="9"/>
        <v xml:space="preserve"> with: </v>
      </c>
      <c r="AD20" s="114" t="str">
        <f t="shared" si="10"/>
        <v xml:space="preserve">, </v>
      </c>
      <c r="AE20" s="114" t="str">
        <f t="shared" si="11"/>
        <v>from MSSB Power Supply</v>
      </c>
      <c r="AF20" s="114" t="str">
        <f t="shared" si="15"/>
        <v>0 - Electrical power supply and controls to  (Zero) fan with: , from MSSB Power Supply</v>
      </c>
      <c r="AG20" s="114" t="str">
        <f t="shared" si="12"/>
        <v>0.1 - This includes supply and install of power and controls.</v>
      </c>
      <c r="AH20" s="114" t="str">
        <f>_xlfn.CONCAT(Z20,".2 - Power for system includes: ",VLOOKUP(L20,_Fan!N:Q,4,FALSE))</f>
        <v xml:space="preserve">0.2 - Power for system includes: CB and cabling to fan from MSSB, and local isolator, </v>
      </c>
      <c r="AI20" s="114" t="e">
        <f t="shared" si="1"/>
        <v>#N/A</v>
      </c>
      <c r="AJ20" s="114" t="e">
        <f>_xlfn.CONCAT(IF(M20="Yes",VLOOKUP(M$1,_Fan!N:AB,4,FALSE),""),IF(N20="Yes",VLOOKUP(N$1,_Fan!N:AB,4,FALSE),""),IF(NOT(O20="No"),VLOOKUP(O20,_Fan!N:AB,4,FALSE),""),IF(P20="Yes",VLOOKUP(P$1,_Fan!N:AB,4,FALSE),""),IF(Q20="Yes",VLOOKUP(Q$1,_Fan!N:AB,4,FALSE),""),IF(R20="Yes",VLOOKUP(R$1,_Fan!N:AB,4,FALSE),""),IF(S20="Yes",VLOOKUP(S$1,_Fan!N:AB,4,FALSE),""),IF(T20="Yes",VLOOKUP(T$1,_Fan!N:AB,4,FALSE),""),IF(U20="Yes",VLOOKUP(U$1,_Fan!N:AB,4,FALSE),""))</f>
        <v>#N/A</v>
      </c>
      <c r="AL20" s="114" t="str">
        <f t="shared" si="13"/>
        <v xml:space="preserve">fan with: , </v>
      </c>
    </row>
    <row r="21" spans="1:38" x14ac:dyDescent="0.4">
      <c r="A21" s="429" t="str">
        <f t="shared" si="14"/>
        <v>INVALID</v>
      </c>
      <c r="B21" s="430" t="str">
        <f t="shared" si="2"/>
        <v>Fan 20</v>
      </c>
      <c r="C21" s="431">
        <f t="shared" si="3"/>
        <v>0</v>
      </c>
      <c r="D21" s="430">
        <f t="shared" si="4"/>
        <v>0</v>
      </c>
      <c r="E21" s="430"/>
      <c r="F21" s="430">
        <f t="shared" si="0"/>
        <v>20</v>
      </c>
      <c r="G21" s="430"/>
      <c r="H21" s="430"/>
      <c r="I21" s="430" t="e">
        <f>IF(NOT(W21="No"),VLOOKUP(W21,_Fan!N:P,2,FALSE) + IF(W21="VSD",F21*(VLOOKUP("Switchboard Cable 1mm",'Part List'!$A:$G,3,FALSE) + VLOOKUP("2.5mm Twin and Earth",'Part List'!$A:$G,3,FALSE)*2),F21*(VLOOKUP("7030 2 pair TCAS7302P",'Part List'!$A:$G,3,FALSE) + VLOOKUP("4mm Cable 3 core and Earth",'Part List'!$A:$G,3,FALSE))),VLOOKUP(L21,_Fan!N:P,2,FALSE))
+VLOOKUP(O21,_Fan!N:P,2,FALSE)
+IF(X21="Yes", F21*(VLOOKUP("7030 2 pair TCAS7302P",'Part List'!$A:$G,3,FALSE)),0)
+IF(M21="YES",VLOOKUP(M$1,_Fan!N:P,2,FALSE),0)+IF(X21="YES",VLOOKUP(X$1,_Fan!N:P,2,FALSE),0)
+IF(N21="YES",VLOOKUP(N$1,_Fan!N:P,2,FALSE),0)
+IF(P21="YES",VLOOKUP(P$1,_Fan!N:P,2,FALSE),0)
+IF(Q21="YES",VLOOKUP(Q$1,_Fan!N:P,2,FALSE),0)
+IF(R21="YES",VLOOKUP(R$1,_Fan!N:P,2,FALSE),0)
+IF(S21="YES",VLOOKUP(S$1,_Fan!N:P,2,FALSE),0)
+IF(T21="YES",VLOOKUP(T$1,_Fan!N:P,2,FALSE),0)
+IF(U21="YES",VLOOKUP(U$1,_Fan!N:P,2,FALSE),0)
+IF(V21="Yes",VLOOKUP("4mm Cable 3 core and Earth",'Part List'!$A:$G,3,FALSE)+VLOOKUP("7030 2 pair TCAS7302P",'Part List'!$A:$G,3,FALSE),
VLOOKUP("2.5mm Twin and Earth",'Part List'!$A:$G,3,FALSE))*F21</f>
        <v>#N/A</v>
      </c>
      <c r="J21" s="430" t="e">
        <f>IF(NOT(W21="No"),VLOOKUP(W21,_Fan!N:P,3,FALSE) + IF(W21="VSD",F21*(VLOOKUP("Switchboard Cable 1mm",'Part List'!$A:$G,5,FALSE) + VLOOKUP("2.5mm Twin and Earth",'Part List'!$A:$G,5,FALSE)*2),F21*(VLOOKUP("7030 2 pair TCAS7302P",'Part List'!$A:$G,5,FALSE) + VLOOKUP("4mm Cable 3 core and Earth",'Part List'!$A:$G,5,FALSE))),VLOOKUP(L21,_Fan!N:P,3,FALSE))
+VLOOKUP(O21,_Fan!N:P,3,FALSE)
+IF(X21="Yes", F21*(VLOOKUP("7030 2 pair TCAS7302P",'Part List'!$A:$G,5,FALSE)),0)
+IF(M21="YES",VLOOKUP(M$1,_Fan!N:P,3,FALSE),0)+IF(X21="YES",VLOOKUP(X$1,_Fan!N:P,3,FALSE),0)
+IF(N21="YES",VLOOKUP(N$1,_Fan!N:P,3,FALSE),0)
+IF(P21="YES",VLOOKUP(P$1,_Fan!N:P,3,FALSE),0)
+IF(Q21="YES",VLOOKUP(Q$1,_Fan!N:P,3,FALSE),0)
+IF(R21="YES",VLOOKUP(R$1,_Fan!N:P,3,FALSE),0)
+IF(S21="YES",VLOOKUP(S$1,_Fan!N:P,3,FALSE),0)
+IF(T21="YES",VLOOKUP(T$1,_Fan!N:P,3,FALSE),0)
+IF(U21="YES",VLOOKUP(U$1,_Fan!N:P,3,FALSE),0)
+IF(V21="Yes",VLOOKUP("4mm Cable 3 core and Earth",'Part List'!$A:$G,5,FALSE)+VLOOKUP("7030 2 pair TCAS7302P",'Part List'!$A:$G,5,FALSE),
VLOOKUP("2.5mm Twin and Earth",'Part List'!$A:$G,5,FALSE))*F21</f>
        <v>#N/A</v>
      </c>
      <c r="K21" s="430" t="str">
        <f t="shared" si="5"/>
        <v/>
      </c>
      <c r="L21" s="430" t="s">
        <v>678</v>
      </c>
      <c r="M21" s="430"/>
      <c r="N21" s="430"/>
      <c r="O21" s="430"/>
      <c r="P21" s="430"/>
      <c r="Q21" s="430"/>
      <c r="R21" s="430"/>
      <c r="S21" s="430"/>
      <c r="T21" s="430"/>
      <c r="U21" s="430"/>
      <c r="V21" s="430"/>
      <c r="W21" s="430"/>
      <c r="X21" s="430"/>
      <c r="Y21" s="432" t="str">
        <f t="shared" si="6"/>
        <v/>
      </c>
      <c r="Z21" s="114">
        <f t="shared" si="7"/>
        <v>0</v>
      </c>
      <c r="AA21" s="114" t="str">
        <f>_xlfn.CONCAT(E21," (",VLOOKUP(E21,[1]Backend!C:D,2,FALSE),")")</f>
        <v xml:space="preserve"> (Zero)</v>
      </c>
      <c r="AB21" s="114" t="str">
        <f t="shared" si="8"/>
        <v>0 - Electrical power supply and controls to  (Zero) fan</v>
      </c>
      <c r="AC21" s="114" t="str">
        <f t="shared" si="9"/>
        <v xml:space="preserve"> with: </v>
      </c>
      <c r="AD21" s="114" t="str">
        <f t="shared" si="10"/>
        <v xml:space="preserve">, </v>
      </c>
      <c r="AE21" s="114" t="str">
        <f t="shared" si="11"/>
        <v>from MSSB Power Supply</v>
      </c>
      <c r="AF21" s="114" t="str">
        <f t="shared" si="15"/>
        <v>0 - Electrical power supply and controls to  (Zero) fan with: , from MSSB Power Supply</v>
      </c>
      <c r="AG21" s="114" t="str">
        <f t="shared" si="12"/>
        <v>0.1 - This includes supply and install of power and controls.</v>
      </c>
      <c r="AH21" s="114" t="str">
        <f>_xlfn.CONCAT(Z21,".2 - Power for system includes: ",VLOOKUP(L21,_Fan!N:Q,4,FALSE))</f>
        <v xml:space="preserve">0.2 - Power for system includes: CB and cabling to fan from MSSB, and local isolator, </v>
      </c>
      <c r="AI21" s="114" t="e">
        <f t="shared" si="1"/>
        <v>#N/A</v>
      </c>
      <c r="AJ21" s="114" t="e">
        <f>_xlfn.CONCAT(IF(M21="Yes",VLOOKUP(M$1,_Fan!N:AB,4,FALSE),""),IF(N21="Yes",VLOOKUP(N$1,_Fan!N:AB,4,FALSE),""),IF(NOT(O21="No"),VLOOKUP(O21,_Fan!N:AB,4,FALSE),""),IF(P21="Yes",VLOOKUP(P$1,_Fan!N:AB,4,FALSE),""),IF(Q21="Yes",VLOOKUP(Q$1,_Fan!N:AB,4,FALSE),""),IF(R21="Yes",VLOOKUP(R$1,_Fan!N:AB,4,FALSE),""),IF(S21="Yes",VLOOKUP(S$1,_Fan!N:AB,4,FALSE),""),IF(T21="Yes",VLOOKUP(T$1,_Fan!N:AB,4,FALSE),""),IF(U21="Yes",VLOOKUP(U$1,_Fan!N:AB,4,FALSE),""))</f>
        <v>#N/A</v>
      </c>
      <c r="AL21" s="114" t="str">
        <f t="shared" si="13"/>
        <v xml:space="preserve">fan with: , </v>
      </c>
    </row>
    <row r="22" spans="1:38" x14ac:dyDescent="0.4">
      <c r="A22" s="429" t="str">
        <f t="shared" si="14"/>
        <v>INVALID</v>
      </c>
      <c r="B22" s="430" t="str">
        <f t="shared" si="2"/>
        <v>Fan 21</v>
      </c>
      <c r="C22" s="431">
        <f t="shared" si="3"/>
        <v>0</v>
      </c>
      <c r="D22" s="430">
        <f t="shared" si="4"/>
        <v>0</v>
      </c>
      <c r="E22" s="430"/>
      <c r="F22" s="430">
        <f t="shared" si="0"/>
        <v>20</v>
      </c>
      <c r="G22" s="430"/>
      <c r="H22" s="430"/>
      <c r="I22" s="430" t="e">
        <f>IF(NOT(W22="No"),VLOOKUP(W22,_Fan!N:P,2,FALSE) + IF(W22="VSD",F22*(VLOOKUP("Switchboard Cable 1mm",'Part List'!$A:$G,3,FALSE) + VLOOKUP("2.5mm Twin and Earth",'Part List'!$A:$G,3,FALSE)*2),F22*(VLOOKUP("7030 2 pair TCAS7302P",'Part List'!$A:$G,3,FALSE) + VLOOKUP("4mm Cable 3 core and Earth",'Part List'!$A:$G,3,FALSE))),VLOOKUP(L22,_Fan!N:P,2,FALSE))
+VLOOKUP(O22,_Fan!N:P,2,FALSE)
+IF(X22="Yes", F22*(VLOOKUP("7030 2 pair TCAS7302P",'Part List'!$A:$G,3,FALSE)),0)
+IF(M22="YES",VLOOKUP(M$1,_Fan!N:P,2,FALSE),0)+IF(X22="YES",VLOOKUP(X$1,_Fan!N:P,2,FALSE),0)
+IF(N22="YES",VLOOKUP(N$1,_Fan!N:P,2,FALSE),0)
+IF(P22="YES",VLOOKUP(P$1,_Fan!N:P,2,FALSE),0)
+IF(Q22="YES",VLOOKUP(Q$1,_Fan!N:P,2,FALSE),0)
+IF(R22="YES",VLOOKUP(R$1,_Fan!N:P,2,FALSE),0)
+IF(S22="YES",VLOOKUP(S$1,_Fan!N:P,2,FALSE),0)
+IF(T22="YES",VLOOKUP(T$1,_Fan!N:P,2,FALSE),0)
+IF(U22="YES",VLOOKUP(U$1,_Fan!N:P,2,FALSE),0)
+IF(V22="Yes",VLOOKUP("4mm Cable 3 core and Earth",'Part List'!$A:$G,3,FALSE)+VLOOKUP("7030 2 pair TCAS7302P",'Part List'!$A:$G,3,FALSE),
VLOOKUP("2.5mm Twin and Earth",'Part List'!$A:$G,3,FALSE))*F22</f>
        <v>#N/A</v>
      </c>
      <c r="J22" s="430" t="e">
        <f>IF(NOT(W22="No"),VLOOKUP(W22,_Fan!N:P,3,FALSE) + IF(W22="VSD",F22*(VLOOKUP("Switchboard Cable 1mm",'Part List'!$A:$G,5,FALSE) + VLOOKUP("2.5mm Twin and Earth",'Part List'!$A:$G,5,FALSE)*2),F22*(VLOOKUP("7030 2 pair TCAS7302P",'Part List'!$A:$G,5,FALSE) + VLOOKUP("4mm Cable 3 core and Earth",'Part List'!$A:$G,5,FALSE))),VLOOKUP(L22,_Fan!N:P,3,FALSE))
+VLOOKUP(O22,_Fan!N:P,3,FALSE)
+IF(X22="Yes", F22*(VLOOKUP("7030 2 pair TCAS7302P",'Part List'!$A:$G,5,FALSE)),0)
+IF(M22="YES",VLOOKUP(M$1,_Fan!N:P,3,FALSE),0)+IF(X22="YES",VLOOKUP(X$1,_Fan!N:P,3,FALSE),0)
+IF(N22="YES",VLOOKUP(N$1,_Fan!N:P,3,FALSE),0)
+IF(P22="YES",VLOOKUP(P$1,_Fan!N:P,3,FALSE),0)
+IF(Q22="YES",VLOOKUP(Q$1,_Fan!N:P,3,FALSE),0)
+IF(R22="YES",VLOOKUP(R$1,_Fan!N:P,3,FALSE),0)
+IF(S22="YES",VLOOKUP(S$1,_Fan!N:P,3,FALSE),0)
+IF(T22="YES",VLOOKUP(T$1,_Fan!N:P,3,FALSE),0)
+IF(U22="YES",VLOOKUP(U$1,_Fan!N:P,3,FALSE),0)
+IF(V22="Yes",VLOOKUP("4mm Cable 3 core and Earth",'Part List'!$A:$G,5,FALSE)+VLOOKUP("7030 2 pair TCAS7302P",'Part List'!$A:$G,5,FALSE),
VLOOKUP("2.5mm Twin and Earth",'Part List'!$A:$G,5,FALSE))*F22</f>
        <v>#N/A</v>
      </c>
      <c r="K22" s="430" t="str">
        <f t="shared" si="5"/>
        <v/>
      </c>
      <c r="L22" s="430" t="s">
        <v>678</v>
      </c>
      <c r="M22" s="430"/>
      <c r="N22" s="430"/>
      <c r="O22" s="430"/>
      <c r="P22" s="430"/>
      <c r="Q22" s="430"/>
      <c r="R22" s="430"/>
      <c r="S22" s="430"/>
      <c r="T22" s="430"/>
      <c r="U22" s="430"/>
      <c r="V22" s="430"/>
      <c r="W22" s="430"/>
      <c r="X22" s="430"/>
      <c r="Y22" s="432" t="str">
        <f t="shared" si="6"/>
        <v/>
      </c>
      <c r="Z22" s="114">
        <f t="shared" si="7"/>
        <v>0</v>
      </c>
      <c r="AA22" s="114" t="str">
        <f>_xlfn.CONCAT(E22," (",VLOOKUP(E22,[1]Backend!C:D,2,FALSE),")")</f>
        <v xml:space="preserve"> (Zero)</v>
      </c>
      <c r="AB22" s="114" t="str">
        <f t="shared" si="8"/>
        <v>0 - Electrical power supply and controls to  (Zero) fan</v>
      </c>
      <c r="AC22" s="114" t="str">
        <f t="shared" si="9"/>
        <v xml:space="preserve"> with: </v>
      </c>
      <c r="AD22" s="114" t="str">
        <f t="shared" si="10"/>
        <v xml:space="preserve">, </v>
      </c>
      <c r="AE22" s="114" t="str">
        <f t="shared" si="11"/>
        <v>from MSSB Power Supply</v>
      </c>
      <c r="AF22" s="114" t="str">
        <f t="shared" si="15"/>
        <v>0 - Electrical power supply and controls to  (Zero) fan with: , from MSSB Power Supply</v>
      </c>
      <c r="AG22" s="114" t="str">
        <f t="shared" si="12"/>
        <v>0.1 - This includes supply and install of power and controls.</v>
      </c>
      <c r="AH22" s="114" t="str">
        <f>_xlfn.CONCAT(Z22,".2 - Power for system includes: ",VLOOKUP(L22,_Fan!N:Q,4,FALSE))</f>
        <v xml:space="preserve">0.2 - Power for system includes: CB and cabling to fan from MSSB, and local isolator, </v>
      </c>
      <c r="AI22" s="114" t="e">
        <f t="shared" si="1"/>
        <v>#N/A</v>
      </c>
      <c r="AJ22" s="114" t="e">
        <f>_xlfn.CONCAT(IF(M22="Yes",VLOOKUP(M$1,_Fan!N:AB,4,FALSE),""),IF(N22="Yes",VLOOKUP(N$1,_Fan!N:AB,4,FALSE),""),IF(NOT(O22="No"),VLOOKUP(O22,_Fan!N:AB,4,FALSE),""),IF(P22="Yes",VLOOKUP(P$1,_Fan!N:AB,4,FALSE),""),IF(Q22="Yes",VLOOKUP(Q$1,_Fan!N:AB,4,FALSE),""),IF(R22="Yes",VLOOKUP(R$1,_Fan!N:AB,4,FALSE),""),IF(S22="Yes",VLOOKUP(S$1,_Fan!N:AB,4,FALSE),""),IF(T22="Yes",VLOOKUP(T$1,_Fan!N:AB,4,FALSE),""),IF(U22="Yes",VLOOKUP(U$1,_Fan!N:AB,4,FALSE),""))</f>
        <v>#N/A</v>
      </c>
      <c r="AL22" s="114" t="str">
        <f t="shared" si="13"/>
        <v xml:space="preserve">fan with: , </v>
      </c>
    </row>
    <row r="23" spans="1:38" x14ac:dyDescent="0.4">
      <c r="B23" s="296"/>
      <c r="F23" s="430">
        <f>IF(COUNTBLANK(H23)=0,H23,IF(L23="Local",5,20))</f>
        <v>20</v>
      </c>
    </row>
    <row r="24" spans="1:38" x14ac:dyDescent="0.4">
      <c r="B24" s="296"/>
      <c r="F24" s="430">
        <f t="shared" si="0"/>
        <v>20</v>
      </c>
    </row>
    <row r="25" spans="1:38" x14ac:dyDescent="0.4">
      <c r="B25" s="296"/>
      <c r="U25" s="433"/>
      <c r="V25" s="433"/>
      <c r="W25" s="433"/>
      <c r="X25" s="433"/>
    </row>
  </sheetData>
  <conditionalFormatting sqref="A2:A22">
    <cfRule type="cellIs" dxfId="172" priority="16" operator="equal">
      <formula>"INVALID"</formula>
    </cfRule>
    <cfRule type="cellIs" dxfId="171" priority="17" operator="equal">
      <formula>"VALID"</formula>
    </cfRule>
  </conditionalFormatting>
  <conditionalFormatting sqref="L6:U22 L3:L5 L2:O2">
    <cfRule type="cellIs" dxfId="170" priority="15" operator="equal">
      <formula>$ZR$2</formula>
    </cfRule>
  </conditionalFormatting>
  <conditionalFormatting sqref="AI1:AI1048576">
    <cfRule type="colorScale" priority="14">
      <colorScale>
        <cfvo type="min"/>
        <cfvo type="max"/>
        <color rgb="FF63BE7B"/>
        <color rgb="FFFCFCFF"/>
      </colorScale>
    </cfRule>
  </conditionalFormatting>
  <conditionalFormatting sqref="V6:V22 X6:X22">
    <cfRule type="cellIs" dxfId="169" priority="13" operator="equal">
      <formula>$ZR$2</formula>
    </cfRule>
  </conditionalFormatting>
  <conditionalFormatting sqref="O3">
    <cfRule type="cellIs" dxfId="168" priority="12" operator="equal">
      <formula>$ZR$2</formula>
    </cfRule>
  </conditionalFormatting>
  <conditionalFormatting sqref="O4 Q4">
    <cfRule type="cellIs" dxfId="167" priority="11" operator="equal">
      <formula>$ZR$2</formula>
    </cfRule>
  </conditionalFormatting>
  <conditionalFormatting sqref="W3:W22">
    <cfRule type="cellIs" dxfId="166" priority="9" operator="equal">
      <formula>$ZR$2</formula>
    </cfRule>
  </conditionalFormatting>
  <conditionalFormatting sqref="M3:N3">
    <cfRule type="cellIs" dxfId="165" priority="8" operator="equal">
      <formula>$ZR$2</formula>
    </cfRule>
  </conditionalFormatting>
  <conditionalFormatting sqref="P3:V3 X3">
    <cfRule type="cellIs" dxfId="164" priority="7" operator="equal">
      <formula>$ZR$2</formula>
    </cfRule>
  </conditionalFormatting>
  <conditionalFormatting sqref="M4:N4">
    <cfRule type="cellIs" dxfId="163" priority="6" operator="equal">
      <formula>$ZR$2</formula>
    </cfRule>
  </conditionalFormatting>
  <conditionalFormatting sqref="P4">
    <cfRule type="cellIs" dxfId="162" priority="5" operator="equal">
      <formula>$ZR$2</formula>
    </cfRule>
  </conditionalFormatting>
  <conditionalFormatting sqref="R4:V4 X4">
    <cfRule type="cellIs" dxfId="161" priority="4" operator="equal">
      <formula>$ZR$2</formula>
    </cfRule>
  </conditionalFormatting>
  <conditionalFormatting sqref="M5:V5 X5">
    <cfRule type="cellIs" dxfId="160" priority="3" operator="equal">
      <formula>$ZR$2</formula>
    </cfRule>
  </conditionalFormatting>
  <conditionalFormatting sqref="P2:X2">
    <cfRule type="cellIs" dxfId="159" priority="1" operator="equal">
      <formula>$ZR$2</formula>
    </cfRule>
  </conditionalFormatting>
  <dataValidations count="1">
    <dataValidation type="decimal" operator="greaterThanOrEqual" allowBlank="1" showInputMessage="1" showErrorMessage="1" promptTitle="[OVERRIDE] Hours" prompt="Override the default hours for the unit_x000a_" sqref="J2:J22" xr:uid="{9404B34E-618C-4660-8B3C-C8569DADBA11}">
      <formula1>0</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9556F34E-D66B-4600-A711-AAF619CEB765}">
          <x14:formula1>
            <xm:f>_Fan!D$2:D$6</xm:f>
          </x14:formula1>
          <xm:sqref>O6:O22</xm:sqref>
        </x14:dataValidation>
        <x14:dataValidation type="list" allowBlank="1" showInputMessage="1" showErrorMessage="1" xr:uid="{09319789-730F-428C-886B-F7B28E9DEBF1}">
          <x14:formula1>
            <xm:f>_Fan!A$2:A$3</xm:f>
          </x14:formula1>
          <xm:sqref>L2:L22 M6:N22 X2:X22 P3:V22 M2:O5 P2:W2</xm:sqref>
        </x14:dataValidation>
        <x14:dataValidation type="list" allowBlank="1" showInputMessage="1" showErrorMessage="1" xr:uid="{230CBC57-3B20-4378-969D-7E45D6899B52}">
          <x14:formula1>
            <xm:f>_Fan!L$2:L$4</xm:f>
          </x14:formula1>
          <xm:sqref>W3:W22</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20</vt:i4>
      </vt:variant>
      <vt:variant>
        <vt:lpstr>Named Ranges</vt:lpstr>
      </vt:variant>
      <vt:variant>
        <vt:i4>2</vt:i4>
      </vt:variant>
    </vt:vector>
  </HeadingPairs>
  <TitlesOfParts>
    <vt:vector size="22" baseType="lpstr">
      <vt:lpstr>Job Summary</vt:lpstr>
      <vt:lpstr>Sheet1</vt:lpstr>
      <vt:lpstr>Sheet4</vt:lpstr>
      <vt:lpstr>Takeoffs</vt:lpstr>
      <vt:lpstr>Sheet2</vt:lpstr>
      <vt:lpstr>Sheet3</vt:lpstr>
      <vt:lpstr>@MSSB</vt:lpstr>
      <vt:lpstr>_MSSB</vt:lpstr>
      <vt:lpstr>@Fan</vt:lpstr>
      <vt:lpstr>_Fan</vt:lpstr>
      <vt:lpstr>@VRF</vt:lpstr>
      <vt:lpstr>_VRF</vt:lpstr>
      <vt:lpstr>@Chiller</vt:lpstr>
      <vt:lpstr>_Chiller</vt:lpstr>
      <vt:lpstr>@Other</vt:lpstr>
      <vt:lpstr>_Other</vt:lpstr>
      <vt:lpstr>@Car Park</vt:lpstr>
      <vt:lpstr>Part List</vt:lpstr>
      <vt:lpstr>IGOC_Parts</vt:lpstr>
      <vt:lpstr>MJS Controls</vt:lpstr>
      <vt:lpstr>'Job Summary'!Print_Area</vt:lpstr>
      <vt:lpstr>Takeoffs!Print_Area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Sargent</dc:creator>
  <cp:lastModifiedBy>Samuel Williams</cp:lastModifiedBy>
  <cp:lastPrinted>2018-07-17T23:53:59Z</cp:lastPrinted>
  <dcterms:created xsi:type="dcterms:W3CDTF">2017-10-19T06:04:18Z</dcterms:created>
  <dcterms:modified xsi:type="dcterms:W3CDTF">2018-07-25T00:50:42Z</dcterms:modified>
</cp:coreProperties>
</file>