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"/>
    </mc:Choice>
  </mc:AlternateContent>
  <xr:revisionPtr revIDLastSave="0" documentId="13_ncr:1_{7432E7C7-D6E1-46D4-879A-CE6125F14597}" xr6:coauthVersionLast="32" xr6:coauthVersionMax="32" xr10:uidLastSave="{00000000-0000-0000-0000-000000000000}"/>
  <bookViews>
    <workbookView xWindow="0" yWindow="0" windowWidth="9137" windowHeight="0" xr2:uid="{AF75B441-9CA0-466C-9A03-A4D6E7E2FCD8}"/>
  </bookViews>
  <sheets>
    <sheet name="BOM" sheetId="1" r:id="rId1"/>
    <sheet name="Mount" sheetId="2" r:id="rId2"/>
    <sheet name="Sensor" sheetId="3" r:id="rId3"/>
    <sheet name="Data" sheetId="4" r:id="rId4"/>
  </sheets>
  <definedNames>
    <definedName name="_xlnm._FilterDatabase" localSheetId="0" hidden="1">BOM!$A$6:$L$18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A19" i="1"/>
  <c r="B19" i="1" s="1"/>
  <c r="H19" i="1"/>
  <c r="A20" i="1"/>
  <c r="B20" i="1" s="1"/>
  <c r="H20" i="1"/>
  <c r="A21" i="1"/>
  <c r="B21" i="1" s="1"/>
  <c r="H21" i="1"/>
  <c r="A22" i="1"/>
  <c r="B22" i="1" s="1"/>
  <c r="H22" i="1"/>
  <c r="A23" i="1"/>
  <c r="B23" i="1" s="1"/>
  <c r="H23" i="1"/>
  <c r="A24" i="1"/>
  <c r="B24" i="1" s="1"/>
  <c r="H24" i="1"/>
  <c r="A25" i="1"/>
  <c r="B25" i="1" s="1"/>
  <c r="H25" i="1"/>
  <c r="A26" i="1"/>
  <c r="B26" i="1" s="1"/>
  <c r="H26" i="1"/>
  <c r="A27" i="1"/>
  <c r="B27" i="1" s="1"/>
  <c r="H27" i="1"/>
  <c r="A28" i="1"/>
  <c r="B28" i="1" s="1"/>
  <c r="H28" i="1"/>
  <c r="A29" i="1"/>
  <c r="B29" i="1" s="1"/>
  <c r="H29" i="1"/>
  <c r="A30" i="1"/>
  <c r="B30" i="1" s="1"/>
  <c r="H30" i="1"/>
  <c r="C11" i="2"/>
  <c r="D11" i="2"/>
  <c r="E11" i="2" s="1"/>
  <c r="F11" i="2"/>
  <c r="G11" i="2"/>
  <c r="C10" i="2"/>
  <c r="D10" i="2"/>
  <c r="E10" i="2" s="1"/>
  <c r="F10" i="2"/>
  <c r="G10" i="2"/>
  <c r="C6" i="3"/>
  <c r="D6" i="3"/>
  <c r="E6" i="3" s="1"/>
  <c r="F6" i="3"/>
  <c r="G6" i="3"/>
  <c r="O23" i="1" l="1"/>
  <c r="O22" i="1"/>
  <c r="J27" i="1"/>
  <c r="K27" i="1" s="1"/>
  <c r="M27" i="1"/>
  <c r="J25" i="1"/>
  <c r="K25" i="1" s="1"/>
  <c r="M25" i="1"/>
  <c r="J21" i="1"/>
  <c r="K21" i="1" s="1"/>
  <c r="M21" i="1"/>
  <c r="J30" i="1"/>
  <c r="K30" i="1" s="1"/>
  <c r="M30" i="1"/>
  <c r="J26" i="1"/>
  <c r="M26" i="1"/>
  <c r="J20" i="1"/>
  <c r="K20" i="1" s="1"/>
  <c r="M20" i="1"/>
  <c r="J28" i="1"/>
  <c r="K28" i="1" s="1"/>
  <c r="M28" i="1"/>
  <c r="J24" i="1"/>
  <c r="K24" i="1" s="1"/>
  <c r="M24" i="1"/>
  <c r="J22" i="1"/>
  <c r="M22" i="1"/>
  <c r="M29" i="1"/>
  <c r="M19" i="1"/>
  <c r="J29" i="1"/>
  <c r="K29" i="1" s="1"/>
  <c r="J23" i="1"/>
  <c r="M23" i="1"/>
  <c r="J19" i="1"/>
  <c r="K19" i="1" s="1"/>
  <c r="D29" i="1"/>
  <c r="D28" i="1"/>
  <c r="D27" i="1"/>
  <c r="D26" i="1"/>
  <c r="D25" i="1"/>
  <c r="D24" i="1"/>
  <c r="D23" i="1"/>
  <c r="D22" i="1"/>
  <c r="D21" i="1"/>
  <c r="D20" i="1"/>
  <c r="D19" i="1"/>
  <c r="G30" i="1"/>
  <c r="C30" i="1"/>
  <c r="G29" i="1"/>
  <c r="C29" i="1"/>
  <c r="G28" i="1"/>
  <c r="C28" i="1"/>
  <c r="G27" i="1"/>
  <c r="C27" i="1"/>
  <c r="G26" i="1"/>
  <c r="P26" i="1" s="1"/>
  <c r="C26" i="1"/>
  <c r="G25" i="1"/>
  <c r="C25" i="1"/>
  <c r="G24" i="1"/>
  <c r="C24" i="1"/>
  <c r="G23" i="1"/>
  <c r="P23" i="1" s="1"/>
  <c r="C23" i="1"/>
  <c r="G22" i="1"/>
  <c r="P22" i="1" s="1"/>
  <c r="C22" i="1"/>
  <c r="G21" i="1"/>
  <c r="C21" i="1"/>
  <c r="G20" i="1"/>
  <c r="C20" i="1"/>
  <c r="G19" i="1"/>
  <c r="C19" i="1"/>
  <c r="D30" i="1"/>
  <c r="F30" i="1"/>
  <c r="F29" i="1"/>
  <c r="F28" i="1"/>
  <c r="F27" i="1"/>
  <c r="F26" i="1"/>
  <c r="F25" i="1"/>
  <c r="F24" i="1"/>
  <c r="F23" i="1"/>
  <c r="F22" i="1"/>
  <c r="F21" i="1"/>
  <c r="F20" i="1"/>
  <c r="F19" i="1"/>
  <c r="H8" i="1"/>
  <c r="H9" i="1"/>
  <c r="H10" i="1"/>
  <c r="H11" i="1"/>
  <c r="H12" i="1"/>
  <c r="H13" i="1"/>
  <c r="H14" i="1"/>
  <c r="H15" i="1"/>
  <c r="H16" i="1"/>
  <c r="H17" i="1"/>
  <c r="H18" i="1"/>
  <c r="H7" i="1"/>
  <c r="K23" i="1" l="1"/>
  <c r="L23" i="1" s="1"/>
  <c r="Q23" i="1"/>
  <c r="K22" i="1"/>
  <c r="L22" i="1" s="1"/>
  <c r="Q22" i="1"/>
  <c r="S22" i="1" s="1"/>
  <c r="K26" i="1"/>
  <c r="L26" i="1" s="1"/>
  <c r="Q26" i="1"/>
  <c r="S26" i="1" s="1"/>
  <c r="E30" i="1"/>
  <c r="L30" i="1"/>
  <c r="E22" i="1"/>
  <c r="R22" i="1" s="1"/>
  <c r="E26" i="1"/>
  <c r="R26" i="1" s="1"/>
  <c r="E19" i="1"/>
  <c r="L19" i="1"/>
  <c r="E23" i="1"/>
  <c r="R23" i="1" s="1"/>
  <c r="E27" i="1"/>
  <c r="L27" i="1"/>
  <c r="E20" i="1"/>
  <c r="L20" i="1"/>
  <c r="E24" i="1"/>
  <c r="L24" i="1"/>
  <c r="E28" i="1"/>
  <c r="L28" i="1"/>
  <c r="E21" i="1"/>
  <c r="L21" i="1"/>
  <c r="E25" i="1"/>
  <c r="L25" i="1"/>
  <c r="E29" i="1"/>
  <c r="L29" i="1"/>
  <c r="A10" i="1"/>
  <c r="B10" i="1" s="1"/>
  <c r="J10" i="1" s="1"/>
  <c r="A11" i="1"/>
  <c r="B11" i="1" s="1"/>
  <c r="A12" i="1"/>
  <c r="B12" i="1" s="1"/>
  <c r="D12" i="1"/>
  <c r="A13" i="1"/>
  <c r="B13" i="1" s="1"/>
  <c r="A14" i="1"/>
  <c r="B14" i="1" s="1"/>
  <c r="A15" i="1"/>
  <c r="B15" i="1" s="1"/>
  <c r="J15" i="1" s="1"/>
  <c r="A16" i="1"/>
  <c r="D16" i="1"/>
  <c r="A17" i="1"/>
  <c r="B17" i="1" s="1"/>
  <c r="A18" i="1"/>
  <c r="B18" i="1" s="1"/>
  <c r="A8" i="1"/>
  <c r="B8" i="1" s="1"/>
  <c r="J8" i="1" s="1"/>
  <c r="D8" i="1"/>
  <c r="A9" i="1"/>
  <c r="B9" i="1" s="1"/>
  <c r="G6" i="1"/>
  <c r="G5" i="3"/>
  <c r="G4" i="3"/>
  <c r="G3" i="3"/>
  <c r="G2" i="3"/>
  <c r="G1" i="3"/>
  <c r="G3" i="2"/>
  <c r="G4" i="2"/>
  <c r="G5" i="2"/>
  <c r="G6" i="2"/>
  <c r="G7" i="2"/>
  <c r="G8" i="2"/>
  <c r="G9" i="2"/>
  <c r="G2" i="2"/>
  <c r="G1" i="2"/>
  <c r="F1" i="2"/>
  <c r="D1" i="2"/>
  <c r="C1" i="2"/>
  <c r="A1" i="2"/>
  <c r="C3" i="3"/>
  <c r="D3" i="3"/>
  <c r="F3" i="3"/>
  <c r="C4" i="3"/>
  <c r="D4" i="3"/>
  <c r="E4" i="3" s="1"/>
  <c r="F4" i="3"/>
  <c r="C5" i="3"/>
  <c r="D5" i="3"/>
  <c r="E5" i="3" s="1"/>
  <c r="F5" i="3"/>
  <c r="C3" i="2"/>
  <c r="D3" i="2"/>
  <c r="E3" i="2" s="1"/>
  <c r="F3" i="2"/>
  <c r="C4" i="2"/>
  <c r="D4" i="2"/>
  <c r="E4" i="2" s="1"/>
  <c r="F4" i="2"/>
  <c r="C5" i="2"/>
  <c r="D5" i="2"/>
  <c r="E5" i="2" s="1"/>
  <c r="F5" i="2"/>
  <c r="C6" i="2"/>
  <c r="D6" i="2"/>
  <c r="E6" i="2" s="1"/>
  <c r="F6" i="2"/>
  <c r="C7" i="2"/>
  <c r="D7" i="2"/>
  <c r="E7" i="2" s="1"/>
  <c r="F7" i="2"/>
  <c r="C8" i="2"/>
  <c r="D8" i="2"/>
  <c r="E8" i="2" s="1"/>
  <c r="F8" i="2"/>
  <c r="C9" i="2"/>
  <c r="D9" i="2"/>
  <c r="E9" i="2" s="1"/>
  <c r="F9" i="2"/>
  <c r="B5" i="4"/>
  <c r="B4" i="4"/>
  <c r="B3" i="4"/>
  <c r="B7" i="4"/>
  <c r="B9" i="4"/>
  <c r="B6" i="4"/>
  <c r="B8" i="4"/>
  <c r="F2" i="3"/>
  <c r="D2" i="3"/>
  <c r="E2" i="3" s="1"/>
  <c r="C2" i="3"/>
  <c r="A7" i="1"/>
  <c r="F7" i="1" s="1"/>
  <c r="F2" i="2"/>
  <c r="D2" i="2"/>
  <c r="E2" i="2" s="1"/>
  <c r="C2" i="2"/>
  <c r="S27" i="1" l="1"/>
  <c r="D13" i="1"/>
  <c r="D11" i="1"/>
  <c r="D17" i="1"/>
  <c r="D15" i="1"/>
  <c r="E15" i="1" s="1"/>
  <c r="M12" i="1"/>
  <c r="J12" i="1"/>
  <c r="K12" i="1" s="1"/>
  <c r="L12" i="1" s="1"/>
  <c r="M18" i="1"/>
  <c r="J18" i="1"/>
  <c r="K18" i="1" s="1"/>
  <c r="M9" i="1"/>
  <c r="J9" i="1"/>
  <c r="M13" i="1"/>
  <c r="J13" i="1"/>
  <c r="K13" i="1" s="1"/>
  <c r="L13" i="1" s="1"/>
  <c r="M11" i="1"/>
  <c r="J11" i="1"/>
  <c r="K11" i="1" s="1"/>
  <c r="L11" i="1" s="1"/>
  <c r="M14" i="1"/>
  <c r="J14" i="1"/>
  <c r="K14" i="1" s="1"/>
  <c r="M17" i="1"/>
  <c r="J17" i="1"/>
  <c r="K8" i="1"/>
  <c r="L8" i="1" s="1"/>
  <c r="M8" i="1"/>
  <c r="K15" i="1"/>
  <c r="M15" i="1"/>
  <c r="K10" i="1"/>
  <c r="M10" i="1"/>
  <c r="E12" i="1"/>
  <c r="K9" i="1"/>
  <c r="G7" i="1"/>
  <c r="D7" i="1"/>
  <c r="D18" i="1"/>
  <c r="E18" i="1" s="1"/>
  <c r="D14" i="1"/>
  <c r="E14" i="1" s="1"/>
  <c r="D10" i="1"/>
  <c r="B16" i="1"/>
  <c r="J16" i="1" s="1"/>
  <c r="E3" i="3"/>
  <c r="K17" i="1"/>
  <c r="E17" i="1"/>
  <c r="E13" i="1"/>
  <c r="E11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F18" i="1"/>
  <c r="F17" i="1"/>
  <c r="F16" i="1"/>
  <c r="F15" i="1"/>
  <c r="F14" i="1"/>
  <c r="F13" i="1"/>
  <c r="F12" i="1"/>
  <c r="F11" i="1"/>
  <c r="F10" i="1"/>
  <c r="E8" i="1"/>
  <c r="D9" i="1"/>
  <c r="G8" i="1"/>
  <c r="C8" i="1"/>
  <c r="G9" i="1"/>
  <c r="C9" i="1"/>
  <c r="F8" i="1"/>
  <c r="F9" i="1"/>
  <c r="B7" i="1"/>
  <c r="C7" i="1"/>
  <c r="L17" i="1" l="1"/>
  <c r="L15" i="1"/>
  <c r="M7" i="1"/>
  <c r="J7" i="1"/>
  <c r="K7" i="1" s="1"/>
  <c r="L7" i="1" s="1"/>
  <c r="L10" i="1"/>
  <c r="L14" i="1"/>
  <c r="K16" i="1"/>
  <c r="L16" i="1" s="1"/>
  <c r="M16" i="1"/>
  <c r="E10" i="1"/>
  <c r="L18" i="1"/>
  <c r="E16" i="1"/>
  <c r="L9" i="1"/>
  <c r="E9" i="1"/>
  <c r="E7" i="1"/>
  <c r="E1" i="1" l="1"/>
  <c r="L1" i="1" l="1"/>
</calcChain>
</file>

<file path=xl/sharedStrings.xml><?xml version="1.0" encoding="utf-8"?>
<sst xmlns="http://schemas.openxmlformats.org/spreadsheetml/2006/main" count="130" uniqueCount="90">
  <si>
    <t>QTY</t>
  </si>
  <si>
    <t>Part</t>
  </si>
  <si>
    <t>Part Number</t>
  </si>
  <si>
    <t>Cost</t>
  </si>
  <si>
    <t>Total</t>
  </si>
  <si>
    <t>TOTAL</t>
  </si>
  <si>
    <t>BOM</t>
  </si>
  <si>
    <t>Mount:</t>
  </si>
  <si>
    <t>Sensor:</t>
  </si>
  <si>
    <t>Osram Opto CHIPLED 0603 470 nm Blue LED, 1608 (0603) SMD package</t>
  </si>
  <si>
    <t>Parts</t>
  </si>
  <si>
    <t>Blue Led</t>
  </si>
  <si>
    <t>Note</t>
  </si>
  <si>
    <t>10 Pack</t>
  </si>
  <si>
    <t>Notes</t>
  </si>
  <si>
    <t>Res 10k</t>
  </si>
  <si>
    <t>Res 220</t>
  </si>
  <si>
    <t>Res 1k</t>
  </si>
  <si>
    <t>STM32 Nucleo-32 development board</t>
  </si>
  <si>
    <t>Nucleo</t>
  </si>
  <si>
    <t xml:space="preserve">Vishay TCRT5000L, Through Hole Reflective Sensor, Transistor Output 2, Leaded package </t>
  </si>
  <si>
    <t>Reflective IR Sensor</t>
  </si>
  <si>
    <t>RS USB2.0 Cable, A-MicroB, M/M, 1.8m</t>
  </si>
  <si>
    <t>USB to Micro USB Cable (1.8m)</t>
  </si>
  <si>
    <t>RJ45 YELLOW PATCH LEADS UTP</t>
  </si>
  <si>
    <t>Ethernet Cable 1.5m</t>
  </si>
  <si>
    <t>HARWIN M20, 2.54mm Pitch, 36 Way, 1 Row, Straight Pin Header, Through Hole</t>
  </si>
  <si>
    <t>PCB Header 36 Pin M</t>
  </si>
  <si>
    <t xml:space="preserve">HARWIN M20, 2.54mm Pitch, 36 Way, 1 Row, Right Angle Pin Header, Through Hole </t>
  </si>
  <si>
    <t>PCB Header 36 Pin M, Right Angle</t>
  </si>
  <si>
    <t>Ethernet Header</t>
  </si>
  <si>
    <t xml:space="preserve">RS Pro Cat5 8 Way Right Angle PCB Mount Unshielded RJ45 Connector Female </t>
  </si>
  <si>
    <t xml:space="preserve">331-6437 </t>
  </si>
  <si>
    <t>RS Stock No.</t>
  </si>
  <si>
    <t>Picked</t>
  </si>
  <si>
    <t>Remaining</t>
  </si>
  <si>
    <t>Outstanding</t>
  </si>
  <si>
    <t>Safety</t>
  </si>
  <si>
    <t xml:space="preserve">697-3617 </t>
  </si>
  <si>
    <t>547-3166</t>
  </si>
  <si>
    <t>Vishay CRCW Series Thick Film Surface Mount Fixed Resistor 0805 Case 220Ω ±1% 0.125W ±100ppm/°C</t>
  </si>
  <si>
    <t>679-1096</t>
  </si>
  <si>
    <t>Vishay CRCW Series Thick Film Surface Mount Fixed Resistor 0805 Case 10kΩ ±1% 0.125W ±100ppm/°C</t>
  </si>
  <si>
    <t>679-0816</t>
  </si>
  <si>
    <t xml:space="preserve">Vishay CRCW Series Thick Film Surface Mount Fixed Resistor 0805 Case 1kΩ ±1% 0.125W ±100ppm/°C </t>
  </si>
  <si>
    <t>679-0982</t>
  </si>
  <si>
    <t>50 Pack</t>
  </si>
  <si>
    <t>547-3217</t>
  </si>
  <si>
    <t>Inventory</t>
  </si>
  <si>
    <t xml:space="preserve">Stelvio Kontek MODUCOM Series 2.54mm Pitch 45 Way 1 Row Straight PCB Socket, Through Hole, Solder Termination </t>
  </si>
  <si>
    <t>230-4893</t>
  </si>
  <si>
    <t>PCB Header 45 Pin, Socket</t>
  </si>
  <si>
    <t>Remaining Inventory</t>
  </si>
  <si>
    <t>JCS Hi-Torque Steel Slotted Hex Hose Clip Bolt Drive, 9mm Band Width, 14mm - 16mm Inside Diameter</t>
  </si>
  <si>
    <t>Hose Clamp (16mm)</t>
  </si>
  <si>
    <t>727-5936</t>
  </si>
  <si>
    <t xml:space="preserve">RS Pro Nylon Snap Grip, 4.2mm Band Width, 5.6mm - 6.5mm Inside Diameter </t>
  </si>
  <si>
    <t>Nylon Snap Grip</t>
  </si>
  <si>
    <t>475-1415</t>
  </si>
  <si>
    <t>KK 2 Way</t>
  </si>
  <si>
    <t>KK 3 Way</t>
  </si>
  <si>
    <t>KK 3 Way [Right]</t>
  </si>
  <si>
    <t xml:space="preserve">Molex KK 254 6410, 2.54mm Pitch, 3 Way, 1 Row, Straight PCB Header, Through Hole </t>
  </si>
  <si>
    <t>483-8477</t>
  </si>
  <si>
    <t>KK 6 way</t>
  </si>
  <si>
    <t>Molex KK 254 6410, 2.54mm Pitch, 6 Way, 1 Row, Straight PCB Header, Through Hole</t>
  </si>
  <si>
    <t>483-8506</t>
  </si>
  <si>
    <t xml:space="preserve">Molex KK 254 6410, 2.54mm Pitch, 8 Way, 1 Row, Straight PCB Header, Through Hole </t>
  </si>
  <si>
    <t>KK 8 way</t>
  </si>
  <si>
    <t>483-8528</t>
  </si>
  <si>
    <t xml:space="preserve">Molex KK 254 6410, 2.54mm Pitch, 12 Way, 1 Row, Straight PCB Header, Through Hole </t>
  </si>
  <si>
    <t>KK 12 way</t>
  </si>
  <si>
    <t xml:space="preserve">Molex KK 254 6410, 2.54mm Pitch, 2 Way, 1 Row, Straight PCB Header, Through Hole </t>
  </si>
  <si>
    <t>483-8461</t>
  </si>
  <si>
    <t>Molex KK 254 7478, 2.54mm Pitch, 2 Way, 1 Row, Right Angle PCB Header, Through Hole</t>
  </si>
  <si>
    <t>483-8540</t>
  </si>
  <si>
    <t>No.</t>
  </si>
  <si>
    <t>Qty</t>
  </si>
  <si>
    <t>173-2922</t>
  </si>
  <si>
    <t>5 Pack</t>
  </si>
  <si>
    <t>KK 3 Way [Con]</t>
  </si>
  <si>
    <t xml:space="preserve">Molex KK 254 2695, 2.54mm Pitch, 12 Way, 1 Row Female Connector Housing </t>
  </si>
  <si>
    <t>KK 12 Way [Con]</t>
  </si>
  <si>
    <t>679-5439</t>
  </si>
  <si>
    <t>679-5375</t>
  </si>
  <si>
    <t xml:space="preserve">Molex KK 254 2695, 2.54mm Pitch, 3 Way, 1 Row Female Connector Housing </t>
  </si>
  <si>
    <t xml:space="preserve">Molex KK 4809 Crimp Terminal Contact, Female, 0.05mm² to 0.35mm², 30AWG to 22AWG, Tin Plating </t>
  </si>
  <si>
    <t>100 Pck</t>
  </si>
  <si>
    <t>Crimp Terminal</t>
  </si>
  <si>
    <t>467-598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</si>
</sst>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2" x14ac:knownFonts="1">
    <font>
      <sz val="11"/>
      <color theme="1"/>
      <name val="Consolas"/>
      <family val="2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" fontId="0" fillId="0" borderId="0" xfId="0" applyNumberFormat="1"/>
    <xf numFmtId="41" fontId="0" fillId="0" borderId="1" xfId="1" applyFont="1" applyBorder="1"/>
    <xf numFmtId="164" fontId="0" fillId="0" borderId="0" xfId="2" applyNumberFormat="1" applyFont="1"/>
    <xf numFmtId="0" fontId="0" fillId="0" borderId="0" xfId="0" applyNumberFormat="1"/>
    <xf numFmtId="41" fontId="0" fillId="0" borderId="0" xfId="0" applyNumberFormat="1"/>
  </cellXfs>
  <cellStyles count="3">
    <cellStyle name="Comma [0]" xfId="1" builtinId="6"/>
    <cellStyle name="Currency" xfId="2" builtinId="4"/>
    <cellStyle name="Normal" xfId="0" builtinId="0"/>
  </cellStyles>
  <dxfs count="1">
    <dxf>
      <font>
        <b/>
        <i val="0"/>
      </font>
      <fill>
        <patternFill>
          <bgColor rgb="FFFDEFE7"/>
        </patternFill>
      </fill>
    </dxf>
  </dxfs>
  <tableStyles count="0" defaultTableStyle="TableStyleMedium2" defaultPivotStyle="PivotStyleLight16"/>
  <colors>
    <mruColors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234042</xdr:colOff>
      <xdr:row>0</xdr:row>
      <xdr:rowOff>142888</xdr:rowOff>
    </xdr:from>
    <xdr:to>
      <xdr:col>12</xdr:col>
      <xdr:colOff>87085</xdr:colOff>
      <xdr:row>23</xdr:row>
      <xdr:rowOff>12372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31E7A-B978-4A3D-9A7D-4E6886FDA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9342" y="142888"/>
          <a:ext cx="2639786" cy="4125798"/>
        </a:xfrm>
        <a:prstGeom prst="rect">
          <a:avLst/>
        </a:prstGeom>
      </xdr:spPr>
    </xdr:pic>
    <xdr:clientData/>
  </xdr:twoCellAnchor>
  <xdr:twoCellAnchor editAs="oneCell">
    <xdr:from>
      <xdr:col>10</xdr:col>
      <xdr:colOff>153224</xdr:colOff>
      <xdr:row>3</xdr:row>
      <xdr:rowOff>76201</xdr:rowOff>
    </xdr:from>
    <xdr:to>
      <xdr:col>14</xdr:col>
      <xdr:colOff>467210</xdr:colOff>
      <xdr:row>19</xdr:row>
      <xdr:rowOff>68562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4877A2-B630-4CCC-8898-9E14EFBB9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97081" y="631372"/>
          <a:ext cx="3100729" cy="2953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0E25-680F-45CE-A537-9ABE076D869C}">
  <dimension ref="A1:S30"/>
  <sheetViews>
    <sheetView tabSelected="1" topLeftCell="A13" workbookViewId="0">
      <selection activeCell="T18" sqref="T18"/>
    </sheetView>
  </sheetViews>
  <sheetFormatPr defaultRowHeight="14.6" x14ac:dyDescent="0.4"/>
  <cols>
    <col min="1" max="1" width="28.140625" customWidth="1"/>
    <col min="4" max="4" width="9.140625" customWidth="1"/>
    <col min="8" max="8" width="13.92578125" style="1" customWidth="1"/>
    <col min="13" max="13" width="5.7109375" customWidth="1"/>
  </cols>
  <sheetData>
    <row r="1" spans="1:17" x14ac:dyDescent="0.4">
      <c r="A1" t="s">
        <v>6</v>
      </c>
      <c r="D1" t="s">
        <v>5</v>
      </c>
      <c r="E1">
        <f>SUM(E7:E177)</f>
        <v>264.79599999999999</v>
      </c>
      <c r="K1" t="s">
        <v>36</v>
      </c>
      <c r="L1">
        <f>SUM(L7:L125)</f>
        <v>0</v>
      </c>
      <c r="Q1" s="2">
        <v>43210</v>
      </c>
    </row>
    <row r="2" spans="1:17" x14ac:dyDescent="0.4">
      <c r="A2" t="s">
        <v>7</v>
      </c>
      <c r="B2">
        <v>7</v>
      </c>
      <c r="Q2">
        <v>7</v>
      </c>
    </row>
    <row r="3" spans="1:17" x14ac:dyDescent="0.4">
      <c r="A3" t="s">
        <v>8</v>
      </c>
      <c r="B3">
        <v>28</v>
      </c>
      <c r="Q3">
        <v>26</v>
      </c>
    </row>
    <row r="6" spans="1:17" x14ac:dyDescent="0.4">
      <c r="A6" t="s">
        <v>1</v>
      </c>
      <c r="B6" t="s">
        <v>0</v>
      </c>
      <c r="C6" t="s">
        <v>2</v>
      </c>
      <c r="D6" t="s">
        <v>3</v>
      </c>
      <c r="E6" t="s">
        <v>4</v>
      </c>
      <c r="F6" t="s">
        <v>14</v>
      </c>
      <c r="G6" t="str">
        <f>Data!E1</f>
        <v>RS Stock No.</v>
      </c>
      <c r="H6" s="1" t="s">
        <v>48</v>
      </c>
      <c r="I6" t="s">
        <v>37</v>
      </c>
      <c r="J6" t="s">
        <v>34</v>
      </c>
      <c r="K6" t="s">
        <v>35</v>
      </c>
      <c r="L6" t="s">
        <v>4</v>
      </c>
      <c r="M6" t="s">
        <v>52</v>
      </c>
    </row>
    <row r="7" spans="1:17" x14ac:dyDescent="0.4">
      <c r="A7" t="str">
        <f>Data!A2</f>
        <v>Blue Led</v>
      </c>
      <c r="B7">
        <f>IF(ISERROR(VLOOKUP($A7,Mount!$A$2:$F$33,2,FALSE)*$B$2),0,VLOOKUP($A7,Mount!$A$2:$F$33,2,FALSE)*$B$2) +
IF(ISERROR(VLOOKUP($A7,Sensor!$A$2:$F$33,2,FALSE)*$B$3),0,VLOOKUP($A7,Sensor!$A$2:$F$33,2,FALSE)*$B$3)</f>
        <v>7</v>
      </c>
      <c r="C7" t="str">
        <f>VLOOKUP($A7,Data!$A$2:$D$66,3,FALSE)</f>
        <v>Osram Opto CHIPLED 0603 470 nm Blue LED, 1608 (0603) SMD package</v>
      </c>
      <c r="D7">
        <f>IF(ISERROR(VLOOKUP($A7,Data!$A$2:$D$66,2,FALSE)),0,VLOOKUP($A7,Data!$A$2:$D$66,2,FALSE))</f>
        <v>0.40400000000000003</v>
      </c>
      <c r="E7">
        <f>IF(ISERROR(D7*B7),0,D7*B7)</f>
        <v>2.8280000000000003</v>
      </c>
      <c r="F7" t="str">
        <f>VLOOKUP($A7,Data!$A$2:$D$66,4,FALSE)</f>
        <v>10 Pack</v>
      </c>
      <c r="G7" t="str">
        <f>VLOOKUP($A7,Data!$A$2:$E$66,5,FALSE)</f>
        <v xml:space="preserve">697-3617 </v>
      </c>
      <c r="H7" s="3">
        <f>Data!F2</f>
        <v>3</v>
      </c>
      <c r="I7" s="3"/>
      <c r="J7" s="3">
        <f>B7</f>
        <v>7</v>
      </c>
      <c r="K7" s="3">
        <f>IF((B7-J7+I7-H7)&lt;0, 0, B7-J7+I7-H7)</f>
        <v>0</v>
      </c>
      <c r="L7" s="3">
        <f>D7*K7</f>
        <v>0</v>
      </c>
      <c r="M7" s="3">
        <f>IF((H7-B7)&lt;0,0,(H7-B7))</f>
        <v>0</v>
      </c>
    </row>
    <row r="8" spans="1:17" x14ac:dyDescent="0.4">
      <c r="A8" t="str">
        <f>Data!A3</f>
        <v>Res 10k</v>
      </c>
      <c r="B8">
        <f>IF(ISERROR(VLOOKUP($A8,Mount!$A$2:$F$33,2,FALSE)*$B$2),0,VLOOKUP($A8,Mount!$A$2:$F$33,2,FALSE)*$B$2) +
IF(ISERROR(VLOOKUP($A8,Sensor!$A$2:$F$33,2,FALSE)*$B$3),0,VLOOKUP($A8,Sensor!$A$2:$F$33,2,FALSE)*$B$3)</f>
        <v>28</v>
      </c>
      <c r="C8" t="str">
        <f>VLOOKUP($A8,Data!$A$2:$D$66,3,FALSE)</f>
        <v>Vishay CRCW Series Thick Film Surface Mount Fixed Resistor 0805 Case 10kΩ ±1% 0.125W ±100ppm/°C</v>
      </c>
      <c r="D8">
        <f>IF(ISERROR(VLOOKUP($A8,Data!$A$2:$D$66,2,FALSE)),0,VLOOKUP($A8,Data!$A$2:$D$66,2,FALSE))</f>
        <v>3.6000000000000004E-2</v>
      </c>
      <c r="E8">
        <f t="shared" ref="E8:E10" si="0">IF(ISERROR(D8*B8),0,D8*B8)</f>
        <v>1.008</v>
      </c>
      <c r="F8" t="str">
        <f>VLOOKUP($A8,Data!$A$2:$D$66,4,FALSE)</f>
        <v>50 Pack</v>
      </c>
      <c r="G8" t="str">
        <f>VLOOKUP($A8,Data!$A$2:$E$66,5,FALSE)</f>
        <v>679-0816</v>
      </c>
      <c r="H8" s="3">
        <f>Data!F3</f>
        <v>24</v>
      </c>
      <c r="I8" s="3"/>
      <c r="J8" s="3">
        <f t="shared" ref="J8:J18" si="1">B8</f>
        <v>28</v>
      </c>
      <c r="K8" s="3">
        <f t="shared" ref="K8:K10" si="2">IF((B8-J8+I8-H8)&lt;0, 0, B8-J8+I8-H8)</f>
        <v>0</v>
      </c>
      <c r="L8" s="3">
        <f t="shared" ref="L8:L10" si="3">D8*K8</f>
        <v>0</v>
      </c>
      <c r="M8" s="3">
        <f t="shared" ref="M8:M18" si="4">IF((H8-B8)&lt;0,0,(H8-B8))</f>
        <v>0</v>
      </c>
    </row>
    <row r="9" spans="1:17" x14ac:dyDescent="0.4">
      <c r="A9" t="str">
        <f>Data!A4</f>
        <v>Res 220</v>
      </c>
      <c r="B9">
        <f>IF(ISERROR(VLOOKUP($A9,Mount!$A$2:$F$33,2,FALSE)*$B$2),0,VLOOKUP($A9,Mount!$A$2:$F$33,2,FALSE)*$B$2) +
IF(ISERROR(VLOOKUP($A9,Sensor!$A$2:$F$33,2,FALSE)*$B$3),0,VLOOKUP($A9,Sensor!$A$2:$F$33,2,FALSE)*$B$3)</f>
        <v>28</v>
      </c>
      <c r="C9" t="str">
        <f>VLOOKUP($A9,Data!$A$2:$D$66,3,FALSE)</f>
        <v>Vishay CRCW Series Thick Film Surface Mount Fixed Resistor 0805 Case 220Ω ±1% 0.125W ±100ppm/°C</v>
      </c>
      <c r="D9">
        <f>IF(ISERROR(VLOOKUP($A9,Data!$A$2:$D$66,2,FALSE)),0,VLOOKUP($A9,Data!$A$2:$D$66,2,FALSE))</f>
        <v>3.6000000000000004E-2</v>
      </c>
      <c r="E9">
        <f t="shared" si="0"/>
        <v>1.008</v>
      </c>
      <c r="F9" t="str">
        <f>VLOOKUP($A9,Data!$A$2:$D$66,4,FALSE)</f>
        <v>50 Pack</v>
      </c>
      <c r="G9" t="str">
        <f>VLOOKUP($A9,Data!$A$2:$E$66,5,FALSE)</f>
        <v>679-1096</v>
      </c>
      <c r="H9" s="3">
        <f>Data!F4</f>
        <v>24</v>
      </c>
      <c r="I9" s="3"/>
      <c r="J9" s="3">
        <f t="shared" si="1"/>
        <v>28</v>
      </c>
      <c r="K9" s="3">
        <f t="shared" si="2"/>
        <v>0</v>
      </c>
      <c r="L9" s="3">
        <f t="shared" si="3"/>
        <v>0</v>
      </c>
      <c r="M9" s="3">
        <f t="shared" si="4"/>
        <v>0</v>
      </c>
    </row>
    <row r="10" spans="1:17" x14ac:dyDescent="0.4">
      <c r="A10" t="str">
        <f>Data!A5</f>
        <v>Res 1k</v>
      </c>
      <c r="B10">
        <f>IF(ISERROR(VLOOKUP($A10,Mount!$A$2:$F$33,2,FALSE)*$B$2),0,VLOOKUP($A10,Mount!$A$2:$F$33,2,FALSE)*$B$2) +
IF(ISERROR(VLOOKUP($A10,Sensor!$A$2:$F$33,2,FALSE)*$B$3),0,VLOOKUP($A10,Sensor!$A$2:$F$33,2,FALSE)*$B$3)</f>
        <v>7</v>
      </c>
      <c r="C10" t="str">
        <f>VLOOKUP($A10,Data!$A$2:$D$66,3,FALSE)</f>
        <v xml:space="preserve">Vishay CRCW Series Thick Film Surface Mount Fixed Resistor 0805 Case 1kΩ ±1% 0.125W ±100ppm/°C </v>
      </c>
      <c r="D10">
        <f>IF(ISERROR(VLOOKUP($A10,Data!$A$2:$D$66,2,FALSE)),0,VLOOKUP($A10,Data!$A$2:$D$66,2,FALSE))</f>
        <v>3.6000000000000004E-2</v>
      </c>
      <c r="E10">
        <f t="shared" si="0"/>
        <v>0.252</v>
      </c>
      <c r="F10" t="str">
        <f>VLOOKUP($A10,Data!$A$2:$D$66,4,FALSE)</f>
        <v>50 Pack</v>
      </c>
      <c r="G10" t="str">
        <f>VLOOKUP($A10,Data!$A$2:$E$66,5,FALSE)</f>
        <v>679-0982</v>
      </c>
      <c r="H10" s="3">
        <f>Data!F5</f>
        <v>43</v>
      </c>
      <c r="I10" s="3"/>
      <c r="J10" s="3">
        <f t="shared" si="1"/>
        <v>7</v>
      </c>
      <c r="K10" s="3">
        <f t="shared" si="2"/>
        <v>0</v>
      </c>
      <c r="L10" s="3">
        <f t="shared" si="3"/>
        <v>0</v>
      </c>
      <c r="M10" s="3">
        <f t="shared" si="4"/>
        <v>36</v>
      </c>
    </row>
    <row r="11" spans="1:17" x14ac:dyDescent="0.4">
      <c r="A11" t="str">
        <f>Data!A6</f>
        <v>Nucleo</v>
      </c>
      <c r="B11">
        <f>IF(ISERROR(VLOOKUP($A11,Mount!$A$2:$F$33,2,FALSE)*$B$2),0,VLOOKUP($A11,Mount!$A$2:$F$33,2,FALSE)*$B$2) +
IF(ISERROR(VLOOKUP($A11,Sensor!$A$2:$F$33,2,FALSE)*$B$3),0,VLOOKUP($A11,Sensor!$A$2:$F$33,2,FALSE)*$B$3)</f>
        <v>7</v>
      </c>
      <c r="C11" t="str">
        <f>VLOOKUP($A11,Data!$A$2:$D$66,3,FALSE)</f>
        <v>STM32 Nucleo-32 development board</v>
      </c>
      <c r="D11">
        <f>IF(ISERROR(VLOOKUP($A11,Data!$A$2:$D$66,2,FALSE)),0,VLOOKUP($A11,Data!$A$2:$D$66,2,FALSE))</f>
        <v>16.73</v>
      </c>
      <c r="E11">
        <f t="shared" ref="E11:E18" si="5">IF(ISERROR(D11*B11),0,D11*B11)</f>
        <v>117.11</v>
      </c>
      <c r="F11">
        <f>VLOOKUP($A11,Data!$A$2:$D$66,4,FALSE)</f>
        <v>0</v>
      </c>
      <c r="G11">
        <f>VLOOKUP($A11,Data!$A$2:$E$66,5,FALSE)</f>
        <v>0</v>
      </c>
      <c r="H11" s="3">
        <f>Data!F6</f>
        <v>1</v>
      </c>
      <c r="I11" s="3"/>
      <c r="J11" s="3">
        <f t="shared" si="1"/>
        <v>7</v>
      </c>
      <c r="K11" s="3">
        <f t="shared" ref="K11:K18" si="6">IF((B11-J11+I11-H11)&lt;0, 0, B11-J11+I11-H11)</f>
        <v>0</v>
      </c>
      <c r="L11" s="3">
        <f t="shared" ref="L11:L18" si="7">D11*K11</f>
        <v>0</v>
      </c>
      <c r="M11" s="3">
        <f t="shared" si="4"/>
        <v>0</v>
      </c>
    </row>
    <row r="12" spans="1:17" x14ac:dyDescent="0.4">
      <c r="A12" t="str">
        <f>Data!A7</f>
        <v>Reflective IR Sensor</v>
      </c>
      <c r="B12">
        <f>IF(ISERROR(VLOOKUP($A12,Mount!$A$2:$F$33,2,FALSE)*$B$2),0,VLOOKUP($A12,Mount!$A$2:$F$33,2,FALSE)*$B$2) +
IF(ISERROR(VLOOKUP($A12,Sensor!$A$2:$F$33,2,FALSE)*$B$3),0,VLOOKUP($A12,Sensor!$A$2:$F$33,2,FALSE)*$B$3)</f>
        <v>28</v>
      </c>
      <c r="C12" t="str">
        <f>VLOOKUP($A12,Data!$A$2:$D$66,3,FALSE)</f>
        <v xml:space="preserve">Vishay TCRT5000L, Through Hole Reflective Sensor, Transistor Output 2, Leaded package </v>
      </c>
      <c r="D12">
        <f>IF(ISERROR(VLOOKUP($A12,Data!$A$2:$D$66,2,FALSE)),0,VLOOKUP($A12,Data!$A$2:$D$66,2,FALSE))</f>
        <v>1.3169999999999999</v>
      </c>
      <c r="E12">
        <f t="shared" si="5"/>
        <v>36.875999999999998</v>
      </c>
      <c r="F12">
        <f>VLOOKUP($A12,Data!$A$2:$D$66,4,FALSE)</f>
        <v>0</v>
      </c>
      <c r="G12">
        <f>VLOOKUP($A12,Data!$A$2:$E$66,5,FALSE)</f>
        <v>0</v>
      </c>
      <c r="H12" s="3">
        <f>Data!F7</f>
        <v>3</v>
      </c>
      <c r="I12" s="3"/>
      <c r="J12" s="3">
        <f t="shared" si="1"/>
        <v>28</v>
      </c>
      <c r="K12" s="3">
        <f t="shared" si="6"/>
        <v>0</v>
      </c>
      <c r="L12" s="3">
        <f t="shared" si="7"/>
        <v>0</v>
      </c>
      <c r="M12" s="3">
        <f t="shared" si="4"/>
        <v>0</v>
      </c>
    </row>
    <row r="13" spans="1:17" x14ac:dyDescent="0.4">
      <c r="A13" t="str">
        <f>Data!A8</f>
        <v>USB to Micro USB Cable (1.8m)</v>
      </c>
      <c r="B13">
        <f>IF(ISERROR(VLOOKUP($A13,Mount!$A$2:$F$33,2,FALSE)*$B$2),0,VLOOKUP($A13,Mount!$A$2:$F$33,2,FALSE)*$B$2) +
IF(ISERROR(VLOOKUP($A13,Sensor!$A$2:$F$33,2,FALSE)*$B$3),0,VLOOKUP($A13,Sensor!$A$2:$F$33,2,FALSE)*$B$3)</f>
        <v>7</v>
      </c>
      <c r="C13" t="str">
        <f>VLOOKUP($A13,Data!$A$2:$D$66,3,FALSE)</f>
        <v>RS USB2.0 Cable, A-MicroB, M/M, 1.8m</v>
      </c>
      <c r="D13">
        <f>IF(ISERROR(VLOOKUP($A13,Data!$A$2:$D$66,2,FALSE)),0,VLOOKUP($A13,Data!$A$2:$D$66,2,FALSE))</f>
        <v>2.5100000000000002</v>
      </c>
      <c r="E13">
        <f t="shared" si="5"/>
        <v>17.57</v>
      </c>
      <c r="F13">
        <f>VLOOKUP($A13,Data!$A$2:$D$66,4,FALSE)</f>
        <v>0</v>
      </c>
      <c r="G13">
        <f>VLOOKUP($A13,Data!$A$2:$E$66,5,FALSE)</f>
        <v>0</v>
      </c>
      <c r="H13" s="3">
        <f>Data!F8</f>
        <v>1</v>
      </c>
      <c r="I13" s="3"/>
      <c r="J13" s="3">
        <f t="shared" si="1"/>
        <v>7</v>
      </c>
      <c r="K13" s="3">
        <f t="shared" si="6"/>
        <v>0</v>
      </c>
      <c r="L13" s="3">
        <f t="shared" si="7"/>
        <v>0</v>
      </c>
      <c r="M13" s="3">
        <f t="shared" si="4"/>
        <v>0</v>
      </c>
    </row>
    <row r="14" spans="1:17" x14ac:dyDescent="0.4">
      <c r="A14" t="str">
        <f>Data!A9</f>
        <v>Ethernet Cable 1.5m</v>
      </c>
      <c r="B14">
        <f>IF(ISERROR(VLOOKUP($A14,Mount!$A$2:$F$33,2,FALSE)*$B$2),0,VLOOKUP($A14,Mount!$A$2:$F$33,2,FALSE)*$B$2) +
IF(ISERROR(VLOOKUP($A14,Sensor!$A$2:$F$33,2,FALSE)*$B$3),0,VLOOKUP($A14,Sensor!$A$2:$F$33,2,FALSE)*$B$3)</f>
        <v>7</v>
      </c>
      <c r="C14" t="str">
        <f>VLOOKUP($A14,Data!$A$2:$D$66,3,FALSE)</f>
        <v>RJ45 YELLOW PATCH LEADS UTP</v>
      </c>
      <c r="D14">
        <f>IF(ISERROR(VLOOKUP($A14,Data!$A$2:$D$66,2,FALSE)),0,VLOOKUP($A14,Data!$A$2:$D$66,2,FALSE))</f>
        <v>2.8299999999999996</v>
      </c>
      <c r="E14">
        <f t="shared" si="5"/>
        <v>19.809999999999999</v>
      </c>
      <c r="F14">
        <f>VLOOKUP($A14,Data!$A$2:$D$66,4,FALSE)</f>
        <v>0</v>
      </c>
      <c r="G14">
        <f>VLOOKUP($A14,Data!$A$2:$E$66,5,FALSE)</f>
        <v>0</v>
      </c>
      <c r="H14" s="3">
        <f>Data!F9</f>
        <v>1</v>
      </c>
      <c r="I14" s="3"/>
      <c r="J14" s="3">
        <f t="shared" si="1"/>
        <v>7</v>
      </c>
      <c r="K14" s="3">
        <f t="shared" si="6"/>
        <v>0</v>
      </c>
      <c r="L14" s="3">
        <f t="shared" si="7"/>
        <v>0</v>
      </c>
      <c r="M14" s="3">
        <f t="shared" si="4"/>
        <v>0</v>
      </c>
    </row>
    <row r="15" spans="1:17" x14ac:dyDescent="0.4">
      <c r="A15" t="str">
        <f>Data!A10</f>
        <v>PCB Header 36 Pin M</v>
      </c>
      <c r="B15">
        <f>IF(ISERROR(VLOOKUP($A15,Mount!$A$2:$F$33,2,FALSE)*$B$2),0,VLOOKUP($A15,Mount!$A$2:$F$33,2,FALSE)*$B$2) +
IF(ISERROR(VLOOKUP($A15,Sensor!$A$2:$F$33,2,FALSE)*$B$3),0,VLOOKUP($A15,Sensor!$A$2:$F$33,2,FALSE)*$B$3)</f>
        <v>0</v>
      </c>
      <c r="C15" t="str">
        <f>VLOOKUP($A15,Data!$A$2:$D$66,3,FALSE)</f>
        <v>HARWIN M20, 2.54mm Pitch, 36 Way, 1 Row, Straight Pin Header, Through Hole</v>
      </c>
      <c r="D15">
        <f>IF(ISERROR(VLOOKUP($A15,Data!$A$2:$D$66,2,FALSE)),0,VLOOKUP($A15,Data!$A$2:$D$66,2,FALSE))</f>
        <v>1.32</v>
      </c>
      <c r="E15">
        <f t="shared" si="5"/>
        <v>0</v>
      </c>
      <c r="F15">
        <f>VLOOKUP($A15,Data!$A$2:$D$66,4,FALSE)</f>
        <v>0</v>
      </c>
      <c r="G15" t="str">
        <f>VLOOKUP($A15,Data!$A$2:$E$66,5,FALSE)</f>
        <v>547-3166</v>
      </c>
      <c r="H15" s="3">
        <f>Data!F10</f>
        <v>0</v>
      </c>
      <c r="I15" s="3"/>
      <c r="J15" s="3">
        <f t="shared" si="1"/>
        <v>0</v>
      </c>
      <c r="K15" s="3">
        <f t="shared" si="6"/>
        <v>0</v>
      </c>
      <c r="L15" s="3">
        <f t="shared" si="7"/>
        <v>0</v>
      </c>
      <c r="M15" s="3">
        <f t="shared" si="4"/>
        <v>0</v>
      </c>
    </row>
    <row r="16" spans="1:17" x14ac:dyDescent="0.4">
      <c r="A16" t="str">
        <f>Data!A11</f>
        <v>PCB Header 36 Pin M, Right Angle</v>
      </c>
      <c r="B16">
        <f>IF(ISERROR(VLOOKUP($A16,Mount!$A$2:$F$33,2,FALSE)*$B$2),0,VLOOKUP($A16,Mount!$A$2:$F$33,2,FALSE)*$B$2) +
IF(ISERROR(VLOOKUP($A16,Sensor!$A$2:$F$33,2,FALSE)*$B$3),0,VLOOKUP($A16,Sensor!$A$2:$F$33,2,FALSE)*$B$3)</f>
        <v>0</v>
      </c>
      <c r="C16" t="str">
        <f>VLOOKUP($A16,Data!$A$2:$D$66,3,FALSE)</f>
        <v xml:space="preserve">HARWIN M20, 2.54mm Pitch, 36 Way, 1 Row, Right Angle Pin Header, Through Hole </v>
      </c>
      <c r="D16">
        <f>IF(ISERROR(VLOOKUP($A16,Data!$A$2:$D$66,2,FALSE)),0,VLOOKUP($A16,Data!$A$2:$D$66,2,FALSE))</f>
        <v>1.78</v>
      </c>
      <c r="E16">
        <f t="shared" si="5"/>
        <v>0</v>
      </c>
      <c r="F16">
        <f>VLOOKUP($A16,Data!$A$2:$D$66,4,FALSE)</f>
        <v>0</v>
      </c>
      <c r="G16" t="str">
        <f>VLOOKUP($A16,Data!$A$2:$E$66,5,FALSE)</f>
        <v>547-3217</v>
      </c>
      <c r="H16" s="3">
        <f>Data!F11</f>
        <v>0</v>
      </c>
      <c r="I16" s="3"/>
      <c r="J16" s="3">
        <f t="shared" si="1"/>
        <v>0</v>
      </c>
      <c r="K16" s="3">
        <f t="shared" si="6"/>
        <v>0</v>
      </c>
      <c r="L16" s="3">
        <f t="shared" si="7"/>
        <v>0</v>
      </c>
      <c r="M16" s="3">
        <f t="shared" si="4"/>
        <v>0</v>
      </c>
    </row>
    <row r="17" spans="1:19" x14ac:dyDescent="0.4">
      <c r="A17" t="str">
        <f>Data!A12</f>
        <v>PCB Header 45 Pin, Socket</v>
      </c>
      <c r="B17">
        <f>IF(ISERROR(VLOOKUP($A17,Mount!$A$2:$F$33,2,FALSE)*$B$2),0,VLOOKUP($A17,Mount!$A$2:$F$33,2,FALSE)*$B$2) +
IF(ISERROR(VLOOKUP($A17,Sensor!$A$2:$F$33,2,FALSE)*$B$3),0,VLOOKUP($A17,Sensor!$A$2:$F$33,2,FALSE)*$B$3)</f>
        <v>0</v>
      </c>
      <c r="C17" t="str">
        <f>VLOOKUP($A17,Data!$A$2:$D$66,3,FALSE)</f>
        <v xml:space="preserve">Stelvio Kontek MODUCOM Series 2.54mm Pitch 45 Way 1 Row Straight PCB Socket, Through Hole, Solder Termination </v>
      </c>
      <c r="D17">
        <f>IF(ISERROR(VLOOKUP($A17,Data!$A$2:$D$66,2,FALSE)),0,VLOOKUP($A17,Data!$A$2:$D$66,2,FALSE))</f>
        <v>3.02</v>
      </c>
      <c r="E17">
        <f t="shared" si="5"/>
        <v>0</v>
      </c>
      <c r="F17">
        <f>VLOOKUP($A17,Data!$A$2:$D$66,4,FALSE)</f>
        <v>0</v>
      </c>
      <c r="G17" t="str">
        <f>VLOOKUP($A17,Data!$A$2:$E$66,5,FALSE)</f>
        <v>230-4893</v>
      </c>
      <c r="H17" s="3">
        <f>Data!F12</f>
        <v>0</v>
      </c>
      <c r="I17" s="3"/>
      <c r="J17" s="3">
        <f t="shared" si="1"/>
        <v>0</v>
      </c>
      <c r="K17" s="3">
        <f t="shared" si="6"/>
        <v>0</v>
      </c>
      <c r="L17" s="3">
        <f t="shared" si="7"/>
        <v>0</v>
      </c>
      <c r="M17" s="3">
        <f t="shared" si="4"/>
        <v>0</v>
      </c>
    </row>
    <row r="18" spans="1:19" x14ac:dyDescent="0.4">
      <c r="A18" t="str">
        <f>Data!A13</f>
        <v>Ethernet Header</v>
      </c>
      <c r="B18">
        <f>IF(ISERROR(VLOOKUP($A18,Mount!$A$2:$F$33,2,FALSE)*$B$2),0,VLOOKUP($A18,Mount!$A$2:$F$33,2,FALSE)*$B$2) +
IF(ISERROR(VLOOKUP($A18,Sensor!$A$2:$F$33,2,FALSE)*$B$3),0,VLOOKUP($A18,Sensor!$A$2:$F$33,2,FALSE)*$B$3)</f>
        <v>14</v>
      </c>
      <c r="C18" t="str">
        <f>VLOOKUP($A18,Data!$A$2:$D$66,3,FALSE)</f>
        <v xml:space="preserve">RS Pro Cat5 8 Way Right Angle PCB Mount Unshielded RJ45 Connector Female </v>
      </c>
      <c r="D18">
        <f>IF(ISERROR(VLOOKUP($A18,Data!$A$2:$D$66,2,FALSE)),0,VLOOKUP($A18,Data!$A$2:$D$66,2,FALSE))</f>
        <v>1.8</v>
      </c>
      <c r="E18">
        <f t="shared" si="5"/>
        <v>25.2</v>
      </c>
      <c r="F18">
        <f>VLOOKUP($A18,Data!$A$2:$D$66,4,FALSE)</f>
        <v>0</v>
      </c>
      <c r="G18" t="str">
        <f>VLOOKUP($A18,Data!$A$2:$E$66,5,FALSE)</f>
        <v xml:space="preserve">331-6437 </v>
      </c>
      <c r="H18" s="3">
        <f>Data!F13</f>
        <v>2</v>
      </c>
      <c r="I18" s="3"/>
      <c r="J18" s="3">
        <f t="shared" si="1"/>
        <v>14</v>
      </c>
      <c r="K18" s="3">
        <f t="shared" si="6"/>
        <v>0</v>
      </c>
      <c r="L18" s="3">
        <f t="shared" si="7"/>
        <v>0</v>
      </c>
      <c r="M18" s="3">
        <f t="shared" si="4"/>
        <v>0</v>
      </c>
    </row>
    <row r="19" spans="1:19" x14ac:dyDescent="0.4">
      <c r="A19" t="str">
        <f>Data!A14</f>
        <v>Hose Clamp (16mm)</v>
      </c>
      <c r="B19">
        <f>IF(ISERROR(VLOOKUP($A19,Mount!$A$2:$F$33,2,FALSE)*$B$2),0,VLOOKUP($A19,Mount!$A$2:$F$33,2,FALSE)*$B$2) +
IF(ISERROR(VLOOKUP($A19,Sensor!$A$2:$F$33,2,FALSE)*$B$3),0,VLOOKUP($A19,Sensor!$A$2:$F$33,2,FALSE)*$B$3)</f>
        <v>0</v>
      </c>
      <c r="C19" t="str">
        <f>VLOOKUP($A19,Data!$A$2:$D$66,3,FALSE)</f>
        <v>JCS Hi-Torque Steel Slotted Hex Hose Clip Bolt Drive, 9mm Band Width, 14mm - 16mm Inside Diameter</v>
      </c>
      <c r="D19">
        <f>IF(ISERROR(VLOOKUP($A19,Data!$A$2:$D$66,2,FALSE)),0,VLOOKUP($A19,Data!$A$2:$D$66,2,FALSE))</f>
        <v>0.54100000000000004</v>
      </c>
      <c r="E19">
        <f t="shared" ref="E19:E30" si="8">IF(ISERROR(D19*B19),0,D19*B19)</f>
        <v>0</v>
      </c>
      <c r="F19" t="str">
        <f>VLOOKUP($A19,Data!$A$2:$D$66,4,FALSE)</f>
        <v>10 Pack</v>
      </c>
      <c r="G19" t="str">
        <f>VLOOKUP($A19,Data!$A$2:$E$66,5,FALSE)</f>
        <v>727-5936</v>
      </c>
      <c r="H19" s="3">
        <f>Data!F14</f>
        <v>0</v>
      </c>
      <c r="I19" s="3"/>
      <c r="J19" s="3">
        <f t="shared" ref="J19:J30" si="9">B19</f>
        <v>0</v>
      </c>
      <c r="K19" s="3">
        <f t="shared" ref="K19:K30" si="10">IF((B19-J19+I19-H19)&lt;0, 0, B19-J19+I19-H19)</f>
        <v>0</v>
      </c>
      <c r="L19" s="3">
        <f t="shared" ref="L19:L30" si="11">D19*K19</f>
        <v>0</v>
      </c>
      <c r="M19" s="3">
        <f t="shared" ref="M19:M30" si="12">IF((H19-B19)&lt;0,0,(H19-B19))</f>
        <v>0</v>
      </c>
    </row>
    <row r="20" spans="1:19" x14ac:dyDescent="0.4">
      <c r="A20" t="str">
        <f>Data!A15</f>
        <v>Nylon Snap Grip</v>
      </c>
      <c r="B20">
        <f>IF(ISERROR(VLOOKUP($A20,Mount!$A$2:$F$33,2,FALSE)*$B$2),0,VLOOKUP($A20,Mount!$A$2:$F$33,2,FALSE)*$B$2) +
IF(ISERROR(VLOOKUP($A20,Sensor!$A$2:$F$33,2,FALSE)*$B$3),0,VLOOKUP($A20,Sensor!$A$2:$F$33,2,FALSE)*$B$3)</f>
        <v>0</v>
      </c>
      <c r="C20" t="str">
        <f>VLOOKUP($A20,Data!$A$2:$D$66,3,FALSE)</f>
        <v xml:space="preserve">RS Pro Nylon Snap Grip, 4.2mm Band Width, 5.6mm - 6.5mm Inside Diameter </v>
      </c>
      <c r="D20">
        <f>IF(ISERROR(VLOOKUP($A20,Data!$A$2:$D$66,2,FALSE)),0,VLOOKUP($A20,Data!$A$2:$D$66,2,FALSE))</f>
        <v>0.56200000000000006</v>
      </c>
      <c r="E20">
        <f t="shared" si="8"/>
        <v>0</v>
      </c>
      <c r="F20" t="str">
        <f>VLOOKUP($A20,Data!$A$2:$D$66,4,FALSE)</f>
        <v>10 Pack</v>
      </c>
      <c r="G20" t="str">
        <f>VLOOKUP($A20,Data!$A$2:$E$66,5,FALSE)</f>
        <v>475-1415</v>
      </c>
      <c r="H20" s="3">
        <f>Data!F15</f>
        <v>0</v>
      </c>
      <c r="I20" s="3"/>
      <c r="J20" s="3">
        <f t="shared" si="9"/>
        <v>0</v>
      </c>
      <c r="K20" s="3">
        <f t="shared" si="10"/>
        <v>0</v>
      </c>
      <c r="L20" s="3">
        <f t="shared" si="11"/>
        <v>0</v>
      </c>
      <c r="M20" s="3">
        <f t="shared" si="12"/>
        <v>0</v>
      </c>
      <c r="O20" t="s">
        <v>1</v>
      </c>
      <c r="P20" t="s">
        <v>76</v>
      </c>
      <c r="Q20" t="s">
        <v>77</v>
      </c>
      <c r="R20" t="s">
        <v>3</v>
      </c>
    </row>
    <row r="21" spans="1:19" x14ac:dyDescent="0.4">
      <c r="A21" t="str">
        <f>Data!A16</f>
        <v>KK 2 Way</v>
      </c>
      <c r="B21">
        <f>IF(ISERROR(VLOOKUP($A21,Mount!$A$2:$F$33,2,FALSE)*$B$2),0,VLOOKUP($A21,Mount!$A$2:$F$33,2,FALSE)*$B$2) +
IF(ISERROR(VLOOKUP($A21,Sensor!$A$2:$F$33,2,FALSE)*$B$3),0,VLOOKUP($A21,Sensor!$A$2:$F$33,2,FALSE)*$B$3)</f>
        <v>0</v>
      </c>
      <c r="C21" t="str">
        <f>VLOOKUP($A21,Data!$A$2:$D$66,3,FALSE)</f>
        <v xml:space="preserve">Molex KK 254 6410, 2.54mm Pitch, 2 Way, 1 Row, Straight PCB Header, Through Hole </v>
      </c>
      <c r="D21">
        <f>IF(ISERROR(VLOOKUP($A21,Data!$A$2:$D$66,2,FALSE)),0,VLOOKUP($A21,Data!$A$2:$D$66,2,FALSE))</f>
        <v>0.221</v>
      </c>
      <c r="E21">
        <f t="shared" si="8"/>
        <v>0</v>
      </c>
      <c r="F21" t="str">
        <f>VLOOKUP($A21,Data!$A$2:$D$66,4,FALSE)</f>
        <v>10 Pack</v>
      </c>
      <c r="G21" t="str">
        <f>VLOOKUP($A21,Data!$A$2:$E$66,5,FALSE)</f>
        <v>483-8461</v>
      </c>
      <c r="H21" s="3">
        <f>Data!F16</f>
        <v>0</v>
      </c>
      <c r="I21" s="3"/>
      <c r="J21" s="3">
        <f t="shared" si="9"/>
        <v>0</v>
      </c>
      <c r="K21" s="3">
        <f t="shared" si="10"/>
        <v>0</v>
      </c>
      <c r="L21" s="3">
        <f t="shared" si="11"/>
        <v>0</v>
      </c>
      <c r="M21" s="3">
        <f t="shared" si="12"/>
        <v>0</v>
      </c>
      <c r="Q21" s="6"/>
    </row>
    <row r="22" spans="1:19" x14ac:dyDescent="0.4">
      <c r="A22" t="str">
        <f>Data!A17</f>
        <v>KK 3 Way</v>
      </c>
      <c r="B22">
        <f>IF(ISERROR(VLOOKUP($A22,Mount!$A$2:$F$33,2,FALSE)*$B$2),0,VLOOKUP($A22,Mount!$A$2:$F$33,2,FALSE)*$B$2) +
IF(ISERROR(VLOOKUP($A22,Sensor!$A$2:$F$33,2,FALSE)*$B$3),0,VLOOKUP($A22,Sensor!$A$2:$F$33,2,FALSE)*$B$3)</f>
        <v>63</v>
      </c>
      <c r="C22" t="str">
        <f>VLOOKUP($A22,Data!$A$2:$D$66,3,FALSE)</f>
        <v xml:space="preserve">Molex KK 254 6410, 2.54mm Pitch, 3 Way, 1 Row, Straight PCB Header, Through Hole </v>
      </c>
      <c r="D22">
        <f>IF(ISERROR(VLOOKUP($A22,Data!$A$2:$D$66,2,FALSE)),0,VLOOKUP($A22,Data!$A$2:$D$66,2,FALSE))</f>
        <v>0.432</v>
      </c>
      <c r="E22">
        <f t="shared" si="8"/>
        <v>27.216000000000001</v>
      </c>
      <c r="F22" t="str">
        <f>VLOOKUP($A22,Data!$A$2:$D$66,4,FALSE)</f>
        <v>10 Pack</v>
      </c>
      <c r="G22" t="str">
        <f>VLOOKUP($A22,Data!$A$2:$E$66,5,FALSE)</f>
        <v>483-8477</v>
      </c>
      <c r="H22" s="3">
        <f>Data!F17</f>
        <v>0</v>
      </c>
      <c r="I22" s="3"/>
      <c r="J22" s="3">
        <f t="shared" si="9"/>
        <v>63</v>
      </c>
      <c r="K22" s="3">
        <f t="shared" si="10"/>
        <v>0</v>
      </c>
      <c r="L22" s="3">
        <f t="shared" si="11"/>
        <v>0</v>
      </c>
      <c r="M22" s="3">
        <f t="shared" si="12"/>
        <v>0</v>
      </c>
      <c r="O22" t="str">
        <f t="shared" ref="O22:O26" si="13">A22</f>
        <v>KK 3 Way</v>
      </c>
      <c r="P22" t="str">
        <f t="shared" ref="P22:P26" si="14">G22</f>
        <v>483-8477</v>
      </c>
      <c r="Q22" s="6">
        <f t="shared" ref="Q22:Q26" si="15">J22</f>
        <v>63</v>
      </c>
      <c r="R22">
        <f t="shared" ref="R22:R26" si="16">E22</f>
        <v>27.216000000000001</v>
      </c>
      <c r="S22" s="6">
        <f>Q22*3</f>
        <v>189</v>
      </c>
    </row>
    <row r="23" spans="1:19" x14ac:dyDescent="0.4">
      <c r="A23" t="str">
        <f>Data!A18</f>
        <v>KK 3 Way [Right]</v>
      </c>
      <c r="B23">
        <f>IF(ISERROR(VLOOKUP($A23,Mount!$A$2:$F$33,2,FALSE)*$B$2),0,VLOOKUP($A23,Mount!$A$2:$F$33,2,FALSE)*$B$2) +
IF(ISERROR(VLOOKUP($A23,Sensor!$A$2:$F$33,2,FALSE)*$B$3),0,VLOOKUP($A23,Sensor!$A$2:$F$33,2,FALSE)*$B$3)</f>
        <v>0</v>
      </c>
      <c r="C23" t="str">
        <f>VLOOKUP($A23,Data!$A$2:$D$66,3,FALSE)</f>
        <v>Molex KK 254 7478, 2.54mm Pitch, 2 Way, 1 Row, Right Angle PCB Header, Through Hole</v>
      </c>
      <c r="D23">
        <f>IF(ISERROR(VLOOKUP($A23,Data!$A$2:$D$66,2,FALSE)),0,VLOOKUP($A23,Data!$A$2:$D$66,2,FALSE))</f>
        <v>1.4379999999999999</v>
      </c>
      <c r="E23">
        <f t="shared" si="8"/>
        <v>0</v>
      </c>
      <c r="F23" t="str">
        <f>VLOOKUP($A23,Data!$A$2:$D$66,4,FALSE)</f>
        <v>5 Pack</v>
      </c>
      <c r="G23" t="str">
        <f>VLOOKUP($A23,Data!$A$2:$E$66,5,FALSE)</f>
        <v>173-2922</v>
      </c>
      <c r="H23" s="3">
        <f>Data!F18</f>
        <v>0</v>
      </c>
      <c r="I23" s="3"/>
      <c r="J23" s="3">
        <f t="shared" si="9"/>
        <v>0</v>
      </c>
      <c r="K23" s="3">
        <f t="shared" si="10"/>
        <v>0</v>
      </c>
      <c r="L23" s="3">
        <f t="shared" si="11"/>
        <v>0</v>
      </c>
      <c r="M23" s="3">
        <f t="shared" si="12"/>
        <v>0</v>
      </c>
      <c r="O23" t="str">
        <f t="shared" si="13"/>
        <v>KK 3 Way [Right]</v>
      </c>
      <c r="P23" t="str">
        <f t="shared" si="14"/>
        <v>173-2922</v>
      </c>
      <c r="Q23" s="6">
        <f t="shared" si="15"/>
        <v>0</v>
      </c>
      <c r="R23">
        <f t="shared" si="16"/>
        <v>0</v>
      </c>
    </row>
    <row r="24" spans="1:19" x14ac:dyDescent="0.4">
      <c r="A24" t="str">
        <f>Data!A19</f>
        <v>KK 6 way</v>
      </c>
      <c r="B24">
        <f>IF(ISERROR(VLOOKUP($A24,Mount!$A$2:$F$33,2,FALSE)*$B$2),0,VLOOKUP($A24,Mount!$A$2:$F$33,2,FALSE)*$B$2) +
IF(ISERROR(VLOOKUP($A24,Sensor!$A$2:$F$33,2,FALSE)*$B$3),0,VLOOKUP($A24,Sensor!$A$2:$F$33,2,FALSE)*$B$3)</f>
        <v>0</v>
      </c>
      <c r="C24" t="str">
        <f>VLOOKUP($A24,Data!$A$2:$D$66,3,FALSE)</f>
        <v>Molex KK 254 6410, 2.54mm Pitch, 6 Way, 1 Row, Straight PCB Header, Through Hole</v>
      </c>
      <c r="D24">
        <f>IF(ISERROR(VLOOKUP($A24,Data!$A$2:$D$66,2,FALSE)),0,VLOOKUP($A24,Data!$A$2:$D$66,2,FALSE))</f>
        <v>0.56599999999999995</v>
      </c>
      <c r="E24">
        <f t="shared" si="8"/>
        <v>0</v>
      </c>
      <c r="F24" t="str">
        <f>VLOOKUP($A24,Data!$A$2:$D$66,4,FALSE)</f>
        <v>10 Pack</v>
      </c>
      <c r="G24" t="str">
        <f>VLOOKUP($A24,Data!$A$2:$E$66,5,FALSE)</f>
        <v>483-8506</v>
      </c>
      <c r="H24" s="3">
        <f>Data!F19</f>
        <v>0</v>
      </c>
      <c r="I24" s="3"/>
      <c r="J24" s="3">
        <f t="shared" si="9"/>
        <v>0</v>
      </c>
      <c r="K24" s="3">
        <f t="shared" si="10"/>
        <v>0</v>
      </c>
      <c r="L24" s="3">
        <f t="shared" si="11"/>
        <v>0</v>
      </c>
      <c r="M24" s="3">
        <f t="shared" si="12"/>
        <v>0</v>
      </c>
      <c r="Q24" s="6"/>
    </row>
    <row r="25" spans="1:19" x14ac:dyDescent="0.4">
      <c r="A25" t="str">
        <f>Data!A20</f>
        <v>KK 8 way</v>
      </c>
      <c r="B25">
        <f>IF(ISERROR(VLOOKUP($A25,Mount!$A$2:$F$33,2,FALSE)*$B$2),0,VLOOKUP($A25,Mount!$A$2:$F$33,2,FALSE)*$B$2) +
IF(ISERROR(VLOOKUP($A25,Sensor!$A$2:$F$33,2,FALSE)*$B$3),0,VLOOKUP($A25,Sensor!$A$2:$F$33,2,FALSE)*$B$3)</f>
        <v>0</v>
      </c>
      <c r="C25" t="str">
        <f>VLOOKUP($A25,Data!$A$2:$D$66,3,FALSE)</f>
        <v xml:space="preserve">Molex KK 254 6410, 2.54mm Pitch, 8 Way, 1 Row, Straight PCB Header, Through Hole </v>
      </c>
      <c r="D25">
        <f>IF(ISERROR(VLOOKUP($A25,Data!$A$2:$D$66,2,FALSE)),0,VLOOKUP($A25,Data!$A$2:$D$66,2,FALSE))</f>
        <v>0.89600000000000002</v>
      </c>
      <c r="E25">
        <f t="shared" si="8"/>
        <v>0</v>
      </c>
      <c r="F25" t="str">
        <f>VLOOKUP($A25,Data!$A$2:$D$66,4,FALSE)</f>
        <v>10 Pack</v>
      </c>
      <c r="G25" t="str">
        <f>VLOOKUP($A25,Data!$A$2:$E$66,5,FALSE)</f>
        <v>483-8528</v>
      </c>
      <c r="H25" s="3">
        <f>Data!F20</f>
        <v>0</v>
      </c>
      <c r="I25" s="3"/>
      <c r="J25" s="3">
        <f t="shared" si="9"/>
        <v>0</v>
      </c>
      <c r="K25" s="3">
        <f t="shared" si="10"/>
        <v>0</v>
      </c>
      <c r="L25" s="3">
        <f t="shared" si="11"/>
        <v>0</v>
      </c>
      <c r="M25" s="3">
        <f t="shared" si="12"/>
        <v>0</v>
      </c>
      <c r="Q25" s="6"/>
    </row>
    <row r="26" spans="1:19" x14ac:dyDescent="0.4">
      <c r="A26" t="str">
        <f>Data!A21</f>
        <v>KK 12 way</v>
      </c>
      <c r="B26">
        <f>IF(ISERROR(VLOOKUP($A26,Mount!$A$2:$F$33,2,FALSE)*$B$2),0,VLOOKUP($A26,Mount!$A$2:$F$33,2,FALSE)*$B$2) +
IF(ISERROR(VLOOKUP($A26,Sensor!$A$2:$F$33,2,FALSE)*$B$3),0,VLOOKUP($A26,Sensor!$A$2:$F$33,2,FALSE)*$B$3)</f>
        <v>14</v>
      </c>
      <c r="C26" t="str">
        <f>VLOOKUP($A26,Data!$A$2:$D$66,3,FALSE)</f>
        <v xml:space="preserve">Molex KK 254 6410, 2.54mm Pitch, 12 Way, 1 Row, Straight PCB Header, Through Hole </v>
      </c>
      <c r="D26">
        <f>IF(ISERROR(VLOOKUP($A26,Data!$A$2:$D$66,2,FALSE)),0,VLOOKUP($A26,Data!$A$2:$D$66,2,FALSE))</f>
        <v>1.137</v>
      </c>
      <c r="E26">
        <f t="shared" si="8"/>
        <v>15.917999999999999</v>
      </c>
      <c r="F26" t="str">
        <f>VLOOKUP($A26,Data!$A$2:$D$66,4,FALSE)</f>
        <v>10 Pack</v>
      </c>
      <c r="G26" t="str">
        <f>VLOOKUP($A26,Data!$A$2:$E$66,5,FALSE)</f>
        <v>483-8540</v>
      </c>
      <c r="H26" s="3">
        <f>Data!F21</f>
        <v>0</v>
      </c>
      <c r="I26" s="3"/>
      <c r="J26" s="3">
        <f t="shared" si="9"/>
        <v>14</v>
      </c>
      <c r="K26" s="3">
        <f t="shared" si="10"/>
        <v>0</v>
      </c>
      <c r="L26" s="3">
        <f t="shared" si="11"/>
        <v>0</v>
      </c>
      <c r="M26" s="3">
        <f t="shared" si="12"/>
        <v>0</v>
      </c>
      <c r="O26" t="str">
        <f t="shared" si="13"/>
        <v>KK 12 way</v>
      </c>
      <c r="P26" t="str">
        <f t="shared" si="14"/>
        <v>483-8540</v>
      </c>
      <c r="Q26" s="6">
        <f t="shared" si="15"/>
        <v>14</v>
      </c>
      <c r="R26">
        <f t="shared" si="16"/>
        <v>15.917999999999999</v>
      </c>
      <c r="S26" s="6">
        <f>Q26*12</f>
        <v>168</v>
      </c>
    </row>
    <row r="27" spans="1:19" x14ac:dyDescent="0.4">
      <c r="A27" t="str">
        <f>Data!A22</f>
        <v>KK 3 Way [Con]</v>
      </c>
      <c r="B27">
        <f>IF(ISERROR(VLOOKUP($A27,Mount!$A$2:$F$33,2,FALSE)*$B$2),0,VLOOKUP($A27,Mount!$A$2:$F$33,2,FALSE)*$B$2) +
IF(ISERROR(VLOOKUP($A27,Sensor!$A$2:$F$33,2,FALSE)*$B$3),0,VLOOKUP($A27,Sensor!$A$2:$F$33,2,FALSE)*$B$3)</f>
        <v>0</v>
      </c>
      <c r="C27" t="str">
        <f>VLOOKUP($A27,Data!$A$2:$D$66,3,FALSE)</f>
        <v xml:space="preserve">Molex KK 254 2695, 2.54mm Pitch, 3 Way, 1 Row Female Connector Housing </v>
      </c>
      <c r="D27">
        <f>IF(ISERROR(VLOOKUP($A27,Data!$A$2:$D$66,2,FALSE)),0,VLOOKUP($A27,Data!$A$2:$D$66,2,FALSE))</f>
        <v>0.14699999999999999</v>
      </c>
      <c r="E27">
        <f t="shared" si="8"/>
        <v>0</v>
      </c>
      <c r="F27" t="str">
        <f>VLOOKUP($A27,Data!$A$2:$D$66,4,FALSE)</f>
        <v>10 Pack</v>
      </c>
      <c r="G27" t="str">
        <f>VLOOKUP($A27,Data!$A$2:$E$66,5,FALSE)</f>
        <v>679-5375</v>
      </c>
      <c r="H27" s="3">
        <f>Data!F22</f>
        <v>0</v>
      </c>
      <c r="I27" s="3"/>
      <c r="J27" s="3">
        <f t="shared" si="9"/>
        <v>0</v>
      </c>
      <c r="K27" s="3">
        <f t="shared" si="10"/>
        <v>0</v>
      </c>
      <c r="L27" s="3">
        <f t="shared" si="11"/>
        <v>0</v>
      </c>
      <c r="M27" s="3">
        <f t="shared" si="12"/>
        <v>0</v>
      </c>
      <c r="Q27" s="6"/>
      <c r="S27" s="6">
        <f>SUM(S22:S26)</f>
        <v>357</v>
      </c>
    </row>
    <row r="28" spans="1:19" x14ac:dyDescent="0.4">
      <c r="A28" t="str">
        <f>Data!A23</f>
        <v>KK 12 Way [Con]</v>
      </c>
      <c r="B28">
        <f>IF(ISERROR(VLOOKUP($A28,Mount!$A$2:$F$33,2,FALSE)*$B$2),0,VLOOKUP($A28,Mount!$A$2:$F$33,2,FALSE)*$B$2) +
IF(ISERROR(VLOOKUP($A28,Sensor!$A$2:$F$33,2,FALSE)*$B$3),0,VLOOKUP($A28,Sensor!$A$2:$F$33,2,FALSE)*$B$3)</f>
        <v>0</v>
      </c>
      <c r="C28" t="str">
        <f>VLOOKUP($A28,Data!$A$2:$D$66,3,FALSE)</f>
        <v xml:space="preserve">Molex KK 254 2695, 2.54mm Pitch, 12 Way, 1 Row Female Connector Housing </v>
      </c>
      <c r="D28">
        <f>IF(ISERROR(VLOOKUP($A28,Data!$A$2:$D$66,2,FALSE)),0,VLOOKUP($A28,Data!$A$2:$D$66,2,FALSE))</f>
        <v>0.754</v>
      </c>
      <c r="E28">
        <f t="shared" si="8"/>
        <v>0</v>
      </c>
      <c r="F28" t="str">
        <f>VLOOKUP($A28,Data!$A$2:$D$66,4,FALSE)</f>
        <v>10 Pack</v>
      </c>
      <c r="G28" t="str">
        <f>VLOOKUP($A28,Data!$A$2:$E$66,5,FALSE)</f>
        <v>679-5439</v>
      </c>
      <c r="H28" s="3">
        <f>Data!F23</f>
        <v>0</v>
      </c>
      <c r="I28" s="3"/>
      <c r="J28" s="3">
        <f t="shared" si="9"/>
        <v>0</v>
      </c>
      <c r="K28" s="3">
        <f t="shared" si="10"/>
        <v>0</v>
      </c>
      <c r="L28" s="3">
        <f t="shared" si="11"/>
        <v>0</v>
      </c>
      <c r="M28" s="3">
        <f t="shared" si="12"/>
        <v>0</v>
      </c>
      <c r="Q28" s="6"/>
    </row>
    <row r="29" spans="1:19" x14ac:dyDescent="0.4">
      <c r="A29" t="str">
        <f>Data!A24</f>
        <v>Crimp Terminal</v>
      </c>
      <c r="B29">
        <f>IF(ISERROR(VLOOKUP($A29,Mount!$A$2:$F$33,2,FALSE)*$B$2),0,VLOOKUP($A29,Mount!$A$2:$F$33,2,FALSE)*$B$2) +
IF(ISERROR(VLOOKUP($A29,Sensor!$A$2:$F$33,2,FALSE)*$B$3),0,VLOOKUP($A29,Sensor!$A$2:$F$33,2,FALSE)*$B$3)</f>
        <v>0</v>
      </c>
      <c r="C29" t="str">
        <f>VLOOKUP($A29,Data!$A$2:$D$66,3,FALSE)</f>
        <v xml:space="preserve">Molex KK 4809 Crimp Terminal Contact, Female, 0.05mm² to 0.35mm², 30AWG to 22AWG, Tin Plating </v>
      </c>
      <c r="D29">
        <f>IF(ISERROR(VLOOKUP($A29,Data!$A$2:$D$66,2,FALSE)),0,VLOOKUP($A29,Data!$A$2:$D$66,2,FALSE))</f>
        <v>0.11700000000000001</v>
      </c>
      <c r="E29">
        <f t="shared" si="8"/>
        <v>0</v>
      </c>
      <c r="F29" t="str">
        <f>VLOOKUP($A29,Data!$A$2:$D$66,4,FALSE)</f>
        <v>100 Pck</v>
      </c>
      <c r="G29" t="str">
        <f>VLOOKUP($A29,Data!$A$2:$E$66,5,FALSE)</f>
        <v>467-598</v>
      </c>
      <c r="H29" s="3">
        <f>Data!F24</f>
        <v>0</v>
      </c>
      <c r="I29" s="3"/>
      <c r="J29" s="3">
        <f t="shared" si="9"/>
        <v>0</v>
      </c>
      <c r="K29" s="3">
        <f t="shared" si="10"/>
        <v>0</v>
      </c>
      <c r="L29" s="3">
        <f t="shared" si="11"/>
        <v>0</v>
      </c>
      <c r="M29" s="3">
        <f t="shared" si="12"/>
        <v>0</v>
      </c>
      <c r="Q29" s="6"/>
    </row>
    <row r="30" spans="1:19" x14ac:dyDescent="0.4">
      <c r="A30">
        <f>Data!A25</f>
        <v>0</v>
      </c>
      <c r="B30">
        <f>IF(ISERROR(VLOOKUP($A30,Mount!$A$2:$F$33,2,FALSE)*$B$2),0,VLOOKUP($A30,Mount!$A$2:$F$33,2,FALSE)*$B$2) +
IF(ISERROR(VLOOKUP($A30,Sensor!$A$2:$F$33,2,FALSE)*$B$3),0,VLOOKUP($A30,Sensor!$A$2:$F$33,2,FALSE)*$B$3)</f>
        <v>0</v>
      </c>
      <c r="C30" t="e">
        <f>VLOOKUP($A30,Data!$A$2:$D$66,3,FALSE)</f>
        <v>#N/A</v>
      </c>
      <c r="D30">
        <f>IF(ISERROR(VLOOKUP($A30,Data!$A$2:$D$66,2,FALSE)),0,VLOOKUP($A30,Data!$A$2:$D$66,2,FALSE))</f>
        <v>0</v>
      </c>
      <c r="E30">
        <f t="shared" si="8"/>
        <v>0</v>
      </c>
      <c r="F30" t="e">
        <f>VLOOKUP($A30,Data!$A$2:$D$66,4,FALSE)</f>
        <v>#N/A</v>
      </c>
      <c r="G30" t="e">
        <f>VLOOKUP($A30,Data!$A$2:$E$66,5,FALSE)</f>
        <v>#N/A</v>
      </c>
      <c r="H30" s="3">
        <f>Data!F25</f>
        <v>0</v>
      </c>
      <c r="I30" s="3"/>
      <c r="J30" s="3">
        <f t="shared" si="9"/>
        <v>0</v>
      </c>
      <c r="K30" s="3">
        <f t="shared" si="10"/>
        <v>0</v>
      </c>
      <c r="L30" s="3">
        <f t="shared" si="11"/>
        <v>0</v>
      </c>
      <c r="M30" s="3">
        <f t="shared" si="12"/>
        <v>0</v>
      </c>
      <c r="Q30" s="6"/>
    </row>
  </sheetData>
  <autoFilter ref="A6:L18" xr:uid="{05399568-C6B0-4EC5-B86A-E9FC6597612F}"/>
  <conditionalFormatting sqref="K7:K30 O7:O30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A6E2-9AD0-48C6-8468-2239704E7287}">
  <dimension ref="A1:G11"/>
  <sheetViews>
    <sheetView workbookViewId="0">
      <selection activeCell="B11" sqref="B11"/>
    </sheetView>
  </sheetViews>
  <sheetFormatPr defaultRowHeight="14.6" x14ac:dyDescent="0.4"/>
  <cols>
    <col min="1" max="1" width="27.85546875" customWidth="1"/>
    <col min="3" max="3" width="19.78515625" customWidth="1"/>
  </cols>
  <sheetData>
    <row r="1" spans="1:7" x14ac:dyDescent="0.4">
      <c r="A1" t="str">
        <f>Data!A1</f>
        <v>Parts</v>
      </c>
      <c r="B1" t="s">
        <v>0</v>
      </c>
      <c r="C1" t="str">
        <f>Data!C1</f>
        <v>Part Number</v>
      </c>
      <c r="D1" t="str">
        <f>Data!B1</f>
        <v>Cost</v>
      </c>
      <c r="E1" t="s">
        <v>4</v>
      </c>
      <c r="F1" t="str">
        <f>Data!D1</f>
        <v>Note</v>
      </c>
      <c r="G1" t="str">
        <f>Data!E1</f>
        <v>RS Stock No.</v>
      </c>
    </row>
    <row r="2" spans="1:7" x14ac:dyDescent="0.4">
      <c r="A2" t="s">
        <v>19</v>
      </c>
      <c r="B2">
        <v>1</v>
      </c>
      <c r="C2" t="str">
        <f>VLOOKUP($A2,Data!$A$2:$D$66,3,FALSE)</f>
        <v>STM32 Nucleo-32 development board</v>
      </c>
      <c r="D2">
        <f>VLOOKUP($A2,Data!$A$2:$D$66,2,FALSE)</f>
        <v>16.73</v>
      </c>
      <c r="E2">
        <f>B2*D2</f>
        <v>16.73</v>
      </c>
      <c r="F2">
        <f>VLOOKUP($A2,Data!$A$2:$D$66,4,FALSE)</f>
        <v>0</v>
      </c>
      <c r="G2">
        <f>VLOOKUP($A2,Data!$A$2:$E$66,5,FALSE)</f>
        <v>0</v>
      </c>
    </row>
    <row r="3" spans="1:7" x14ac:dyDescent="0.4">
      <c r="A3" t="s">
        <v>17</v>
      </c>
      <c r="B3">
        <v>1</v>
      </c>
      <c r="C3" t="str">
        <f>VLOOKUP($A3,Data!$A$2:$D$66,3,FALSE)</f>
        <v xml:space="preserve">Vishay CRCW Series Thick Film Surface Mount Fixed Resistor 0805 Case 1kΩ ±1% 0.125W ±100ppm/°C </v>
      </c>
      <c r="D3">
        <f>VLOOKUP($A3,Data!$A$2:$D$66,2,FALSE)</f>
        <v>3.6000000000000004E-2</v>
      </c>
      <c r="E3">
        <f t="shared" ref="E3:E9" si="0">B3*D3</f>
        <v>3.6000000000000004E-2</v>
      </c>
      <c r="F3" t="str">
        <f>VLOOKUP($A3,Data!$A$2:$D$66,4,FALSE)</f>
        <v>50 Pack</v>
      </c>
      <c r="G3" t="str">
        <f>VLOOKUP($A3,Data!$A$2:$E$66,5,FALSE)</f>
        <v>679-0982</v>
      </c>
    </row>
    <row r="4" spans="1:7" x14ac:dyDescent="0.4">
      <c r="A4" t="s">
        <v>27</v>
      </c>
      <c r="C4" t="str">
        <f>VLOOKUP($A4,Data!$A$2:$D$66,3,FALSE)</f>
        <v>HARWIN M20, 2.54mm Pitch, 36 Way, 1 Row, Straight Pin Header, Through Hole</v>
      </c>
      <c r="D4">
        <f>VLOOKUP($A4,Data!$A$2:$D$66,2,FALSE)</f>
        <v>1.32</v>
      </c>
      <c r="E4">
        <f t="shared" si="0"/>
        <v>0</v>
      </c>
      <c r="F4">
        <f>VLOOKUP($A4,Data!$A$2:$D$66,4,FALSE)</f>
        <v>0</v>
      </c>
      <c r="G4" t="str">
        <f>VLOOKUP($A4,Data!$A$2:$E$66,5,FALSE)</f>
        <v>547-3166</v>
      </c>
    </row>
    <row r="5" spans="1:7" x14ac:dyDescent="0.4">
      <c r="A5" t="s">
        <v>51</v>
      </c>
      <c r="C5" t="str">
        <f>VLOOKUP($A5,Data!$A$2:$D$66,3,FALSE)</f>
        <v xml:space="preserve">Stelvio Kontek MODUCOM Series 2.54mm Pitch 45 Way 1 Row Straight PCB Socket, Through Hole, Solder Termination </v>
      </c>
      <c r="D5">
        <f>VLOOKUP($A5,Data!$A$2:$D$66,2,FALSE)</f>
        <v>3.02</v>
      </c>
      <c r="E5">
        <f t="shared" si="0"/>
        <v>0</v>
      </c>
      <c r="F5">
        <f>VLOOKUP($A5,Data!$A$2:$D$66,4,FALSE)</f>
        <v>0</v>
      </c>
      <c r="G5" t="str">
        <f>VLOOKUP($A5,Data!$A$2:$E$66,5,FALSE)</f>
        <v>230-4893</v>
      </c>
    </row>
    <row r="6" spans="1:7" x14ac:dyDescent="0.4">
      <c r="A6" t="s">
        <v>25</v>
      </c>
      <c r="B6">
        <v>1</v>
      </c>
      <c r="C6" t="str">
        <f>VLOOKUP($A6,Data!$A$2:$D$66,3,FALSE)</f>
        <v>RJ45 YELLOW PATCH LEADS UTP</v>
      </c>
      <c r="D6">
        <f>VLOOKUP($A6,Data!$A$2:$D$66,2,FALSE)</f>
        <v>2.8299999999999996</v>
      </c>
      <c r="E6">
        <f t="shared" si="0"/>
        <v>2.8299999999999996</v>
      </c>
      <c r="F6">
        <f>VLOOKUP($A6,Data!$A$2:$D$66,4,FALSE)</f>
        <v>0</v>
      </c>
      <c r="G6">
        <f>VLOOKUP($A6,Data!$A$2:$E$66,5,FALSE)</f>
        <v>0</v>
      </c>
    </row>
    <row r="7" spans="1:7" x14ac:dyDescent="0.4">
      <c r="A7" t="s">
        <v>30</v>
      </c>
      <c r="B7">
        <v>2</v>
      </c>
      <c r="C7" t="str">
        <f>VLOOKUP($A7,Data!$A$2:$D$66,3,FALSE)</f>
        <v xml:space="preserve">RS Pro Cat5 8 Way Right Angle PCB Mount Unshielded RJ45 Connector Female </v>
      </c>
      <c r="D7">
        <f>VLOOKUP($A7,Data!$A$2:$D$66,2,FALSE)</f>
        <v>1.8</v>
      </c>
      <c r="E7">
        <f t="shared" si="0"/>
        <v>3.6</v>
      </c>
      <c r="F7">
        <f>VLOOKUP($A7,Data!$A$2:$D$66,4,FALSE)</f>
        <v>0</v>
      </c>
      <c r="G7" t="str">
        <f>VLOOKUP($A7,Data!$A$2:$E$66,5,FALSE)</f>
        <v xml:space="preserve">331-6437 </v>
      </c>
    </row>
    <row r="8" spans="1:7" x14ac:dyDescent="0.4">
      <c r="A8" t="s">
        <v>23</v>
      </c>
      <c r="B8">
        <v>1</v>
      </c>
      <c r="C8" t="str">
        <f>VLOOKUP($A8,Data!$A$2:$D$66,3,FALSE)</f>
        <v>RS USB2.0 Cable, A-MicroB, M/M, 1.8m</v>
      </c>
      <c r="D8">
        <f>VLOOKUP($A8,Data!$A$2:$D$66,2,FALSE)</f>
        <v>2.5100000000000002</v>
      </c>
      <c r="E8">
        <f t="shared" si="0"/>
        <v>2.5100000000000002</v>
      </c>
      <c r="F8">
        <f>VLOOKUP($A8,Data!$A$2:$D$66,4,FALSE)</f>
        <v>0</v>
      </c>
      <c r="G8">
        <f>VLOOKUP($A8,Data!$A$2:$E$66,5,FALSE)</f>
        <v>0</v>
      </c>
    </row>
    <row r="9" spans="1:7" x14ac:dyDescent="0.4">
      <c r="A9" t="s">
        <v>11</v>
      </c>
      <c r="B9">
        <v>1</v>
      </c>
      <c r="C9" t="str">
        <f>VLOOKUP($A9,Data!$A$2:$D$66,3,FALSE)</f>
        <v>Osram Opto CHIPLED 0603 470 nm Blue LED, 1608 (0603) SMD package</v>
      </c>
      <c r="D9">
        <f>VLOOKUP($A9,Data!$A$2:$D$66,2,FALSE)</f>
        <v>0.40400000000000003</v>
      </c>
      <c r="E9">
        <f t="shared" si="0"/>
        <v>0.40400000000000003</v>
      </c>
      <c r="F9" t="str">
        <f>VLOOKUP($A9,Data!$A$2:$D$66,4,FALSE)</f>
        <v>10 Pack</v>
      </c>
      <c r="G9" t="str">
        <f>VLOOKUP($A9,Data!$A$2:$E$66,5,FALSE)</f>
        <v xml:space="preserve">697-3617 </v>
      </c>
    </row>
    <row r="10" spans="1:7" x14ac:dyDescent="0.4">
      <c r="A10" t="s">
        <v>71</v>
      </c>
      <c r="B10">
        <v>2</v>
      </c>
      <c r="C10" t="str">
        <f>VLOOKUP($A10,Data!$A$2:$D$66,3,FALSE)</f>
        <v xml:space="preserve">Molex KK 254 6410, 2.54mm Pitch, 12 Way, 1 Row, Straight PCB Header, Through Hole </v>
      </c>
      <c r="D10">
        <f>VLOOKUP($A10,Data!$A$2:$D$66,2,FALSE)</f>
        <v>1.137</v>
      </c>
      <c r="E10">
        <f t="shared" ref="E10:E11" si="1">B10*D10</f>
        <v>2.274</v>
      </c>
      <c r="F10" t="str">
        <f>VLOOKUP($A10,Data!$A$2:$D$66,4,FALSE)</f>
        <v>10 Pack</v>
      </c>
      <c r="G10" t="str">
        <f>VLOOKUP($A10,Data!$A$2:$E$66,5,FALSE)</f>
        <v>483-8540</v>
      </c>
    </row>
    <row r="11" spans="1:7" x14ac:dyDescent="0.4">
      <c r="A11" t="s">
        <v>60</v>
      </c>
      <c r="B11">
        <v>5</v>
      </c>
      <c r="C11" t="str">
        <f>VLOOKUP($A11,Data!$A$2:$D$66,3,FALSE)</f>
        <v xml:space="preserve">Molex KK 254 6410, 2.54mm Pitch, 3 Way, 1 Row, Straight PCB Header, Through Hole </v>
      </c>
      <c r="D11">
        <f>VLOOKUP($A11,Data!$A$2:$D$66,2,FALSE)</f>
        <v>0.432</v>
      </c>
      <c r="E11">
        <f t="shared" si="1"/>
        <v>2.16</v>
      </c>
      <c r="F11" t="str">
        <f>VLOOKUP($A11,Data!$A$2:$D$66,4,FALSE)</f>
        <v>10 Pack</v>
      </c>
      <c r="G11" t="str">
        <f>VLOOKUP($A11,Data!$A$2:$E$66,5,FALSE)</f>
        <v>483-8477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88D2B-362B-4496-BBED-9BEF280BB8E1}">
          <x14:formula1>
            <xm:f>Data!$A$2:$A$320</xm:f>
          </x14:formula1>
          <xm:sqref>A2:A32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23D4-41B9-483E-8DE7-0112CA939A14}">
  <dimension ref="A1:G6"/>
  <sheetViews>
    <sheetView workbookViewId="0">
      <selection activeCell="A6" sqref="A6"/>
    </sheetView>
  </sheetViews>
  <sheetFormatPr defaultRowHeight="14.6" x14ac:dyDescent="0.4"/>
  <cols>
    <col min="3" max="3" width="19.78515625" customWidth="1"/>
  </cols>
  <sheetData>
    <row r="1" spans="1:7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14</v>
      </c>
      <c r="G1" t="str">
        <f>Data!E1</f>
        <v>RS Stock No.</v>
      </c>
    </row>
    <row r="2" spans="1:7" x14ac:dyDescent="0.4">
      <c r="A2" t="s">
        <v>16</v>
      </c>
      <c r="B2">
        <v>1</v>
      </c>
      <c r="C2" t="str">
        <f>VLOOKUP($A2,Data!$A$2:$D$66,3,FALSE)</f>
        <v>Vishay CRCW Series Thick Film Surface Mount Fixed Resistor 0805 Case 220Ω ±1% 0.125W ±100ppm/°C</v>
      </c>
      <c r="D2">
        <f>VLOOKUP($A2,Data!$A$2:$D$66,2,FALSE)</f>
        <v>3.6000000000000004E-2</v>
      </c>
      <c r="E2">
        <f>B2*D2</f>
        <v>3.6000000000000004E-2</v>
      </c>
      <c r="F2" t="str">
        <f>VLOOKUP($A2,Data!$A$2:$D$66,4,FALSE)</f>
        <v>50 Pack</v>
      </c>
      <c r="G2" t="str">
        <f>VLOOKUP($A2,Data!$A$2:$E$66,5,FALSE)</f>
        <v>679-1096</v>
      </c>
    </row>
    <row r="3" spans="1:7" x14ac:dyDescent="0.4">
      <c r="A3" t="s">
        <v>29</v>
      </c>
      <c r="B3">
        <v>0</v>
      </c>
      <c r="C3" t="str">
        <f>VLOOKUP($A3,Data!$A$2:$D$66,3,FALSE)</f>
        <v xml:space="preserve">HARWIN M20, 2.54mm Pitch, 36 Way, 1 Row, Right Angle Pin Header, Through Hole </v>
      </c>
      <c r="D3">
        <f>VLOOKUP($A3,Data!$A$2:$D$66,2,FALSE)</f>
        <v>1.78</v>
      </c>
      <c r="E3">
        <f t="shared" ref="E3:E5" si="0">B3*D3</f>
        <v>0</v>
      </c>
      <c r="F3">
        <f>VLOOKUP($A3,Data!$A$2:$D$66,4,FALSE)</f>
        <v>0</v>
      </c>
      <c r="G3" t="str">
        <f>VLOOKUP($A3,Data!$A$2:$E$66,5,FALSE)</f>
        <v>547-3217</v>
      </c>
    </row>
    <row r="4" spans="1:7" x14ac:dyDescent="0.4">
      <c r="A4" t="s">
        <v>15</v>
      </c>
      <c r="B4">
        <v>1</v>
      </c>
      <c r="C4" t="str">
        <f>VLOOKUP($A4,Data!$A$2:$D$66,3,FALSE)</f>
        <v>Vishay CRCW Series Thick Film Surface Mount Fixed Resistor 0805 Case 10kΩ ±1% 0.125W ±100ppm/°C</v>
      </c>
      <c r="D4">
        <f>VLOOKUP($A4,Data!$A$2:$D$66,2,FALSE)</f>
        <v>3.6000000000000004E-2</v>
      </c>
      <c r="E4">
        <f t="shared" si="0"/>
        <v>3.6000000000000004E-2</v>
      </c>
      <c r="F4" t="str">
        <f>VLOOKUP($A4,Data!$A$2:$D$66,4,FALSE)</f>
        <v>50 Pack</v>
      </c>
      <c r="G4" t="str">
        <f>VLOOKUP($A4,Data!$A$2:$E$66,5,FALSE)</f>
        <v>679-0816</v>
      </c>
    </row>
    <row r="5" spans="1:7" x14ac:dyDescent="0.4">
      <c r="A5" t="s">
        <v>21</v>
      </c>
      <c r="B5">
        <v>1</v>
      </c>
      <c r="C5" t="str">
        <f>VLOOKUP($A5,Data!$A$2:$D$66,3,FALSE)</f>
        <v xml:space="preserve">Vishay TCRT5000L, Through Hole Reflective Sensor, Transistor Output 2, Leaded package </v>
      </c>
      <c r="D5">
        <f>VLOOKUP($A5,Data!$A$2:$D$66,2,FALSE)</f>
        <v>1.3169999999999999</v>
      </c>
      <c r="E5">
        <f t="shared" si="0"/>
        <v>1.3169999999999999</v>
      </c>
      <c r="F5">
        <f>VLOOKUP($A5,Data!$A$2:$D$66,4,FALSE)</f>
        <v>0</v>
      </c>
      <c r="G5">
        <f>VLOOKUP($A5,Data!$A$2:$E$66,5,FALSE)</f>
        <v>0</v>
      </c>
    </row>
    <row r="6" spans="1:7" x14ac:dyDescent="0.4">
      <c r="A6" t="s">
        <v>60</v>
      </c>
      <c r="B6">
        <v>1</v>
      </c>
      <c r="C6" t="str">
        <f>VLOOKUP($A6,Data!$A$2:$D$66,3,FALSE)</f>
        <v xml:space="preserve">Molex KK 254 6410, 2.54mm Pitch, 3 Way, 1 Row, Straight PCB Header, Through Hole </v>
      </c>
      <c r="D6">
        <f>VLOOKUP($A6,Data!$A$2:$D$66,2,FALSE)</f>
        <v>0.432</v>
      </c>
      <c r="E6">
        <f t="shared" ref="E6" si="1">B6*D6</f>
        <v>0.432</v>
      </c>
      <c r="F6" t="str">
        <f>VLOOKUP($A6,Data!$A$2:$D$66,4,FALSE)</f>
        <v>10 Pack</v>
      </c>
      <c r="G6" t="str">
        <f>VLOOKUP($A6,Data!$A$2:$E$66,5,FALSE)</f>
        <v>483-8477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EA314-004E-463B-A62F-AEF1CBC3FFDA}">
          <x14:formula1>
            <xm:f>Data!$A$2:$A$320</xm:f>
          </x14:formula1>
          <xm:sqref>A2:A32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0FF8-64CD-4D48-92EC-4974A125A522}">
  <dimension ref="A1:G24"/>
  <sheetViews>
    <sheetView zoomScaleNormal="100" workbookViewId="0">
      <selection activeCell="C21" sqref="C21"/>
    </sheetView>
  </sheetViews>
  <sheetFormatPr defaultRowHeight="14.6" x14ac:dyDescent="0.4"/>
  <cols>
    <col min="2" max="2" width="10.78515625" style="4" bestFit="1" customWidth="1"/>
    <col min="3" max="3" width="92.5" customWidth="1"/>
  </cols>
  <sheetData>
    <row r="1" spans="1:7" x14ac:dyDescent="0.4">
      <c r="A1" t="s">
        <v>10</v>
      </c>
      <c r="B1" s="4" t="s">
        <v>3</v>
      </c>
      <c r="C1" t="s">
        <v>2</v>
      </c>
      <c r="D1" t="s">
        <v>12</v>
      </c>
      <c r="E1" t="s">
        <v>33</v>
      </c>
      <c r="F1" t="s">
        <v>48</v>
      </c>
    </row>
    <row r="2" spans="1:7" x14ac:dyDescent="0.4">
      <c r="A2" t="s">
        <v>11</v>
      </c>
      <c r="B2" s="4">
        <v>0.40400000000000003</v>
      </c>
      <c r="C2" t="s">
        <v>9</v>
      </c>
      <c r="D2" t="s">
        <v>13</v>
      </c>
      <c r="E2" t="s">
        <v>38</v>
      </c>
      <c r="F2">
        <v>3</v>
      </c>
    </row>
    <row r="3" spans="1:7" x14ac:dyDescent="0.4">
      <c r="A3" t="s">
        <v>15</v>
      </c>
      <c r="B3" s="4">
        <f>1.8/50</f>
        <v>3.6000000000000004E-2</v>
      </c>
      <c r="C3" t="s">
        <v>42</v>
      </c>
      <c r="D3" t="s">
        <v>46</v>
      </c>
      <c r="E3" t="s">
        <v>43</v>
      </c>
      <c r="F3">
        <v>24</v>
      </c>
    </row>
    <row r="4" spans="1:7" x14ac:dyDescent="0.4">
      <c r="A4" t="s">
        <v>16</v>
      </c>
      <c r="B4" s="4">
        <f t="shared" ref="B4:B5" si="0">1.8/50</f>
        <v>3.6000000000000004E-2</v>
      </c>
      <c r="C4" t="s">
        <v>40</v>
      </c>
      <c r="D4" t="s">
        <v>46</v>
      </c>
      <c r="E4" t="s">
        <v>41</v>
      </c>
      <c r="F4">
        <v>24</v>
      </c>
    </row>
    <row r="5" spans="1:7" x14ac:dyDescent="0.4">
      <c r="A5" t="s">
        <v>17</v>
      </c>
      <c r="B5" s="4">
        <f t="shared" si="0"/>
        <v>3.6000000000000004E-2</v>
      </c>
      <c r="C5" t="s">
        <v>44</v>
      </c>
      <c r="D5" t="s">
        <v>46</v>
      </c>
      <c r="E5" t="s">
        <v>45</v>
      </c>
      <c r="F5">
        <v>43</v>
      </c>
    </row>
    <row r="6" spans="1:7" x14ac:dyDescent="0.4">
      <c r="A6" t="s">
        <v>19</v>
      </c>
      <c r="B6" s="4">
        <f>33.46/2</f>
        <v>16.73</v>
      </c>
      <c r="C6" t="s">
        <v>18</v>
      </c>
      <c r="F6">
        <v>1</v>
      </c>
    </row>
    <row r="7" spans="1:7" x14ac:dyDescent="0.4">
      <c r="A7" t="s">
        <v>21</v>
      </c>
      <c r="B7" s="4">
        <f>26.34/20</f>
        <v>1.3169999999999999</v>
      </c>
      <c r="C7" t="s">
        <v>20</v>
      </c>
      <c r="F7">
        <v>3</v>
      </c>
    </row>
    <row r="8" spans="1:7" x14ac:dyDescent="0.4">
      <c r="A8" t="s">
        <v>23</v>
      </c>
      <c r="B8" s="4">
        <f>17.57/7</f>
        <v>2.5100000000000002</v>
      </c>
      <c r="C8" t="s">
        <v>22</v>
      </c>
      <c r="F8">
        <v>1</v>
      </c>
    </row>
    <row r="9" spans="1:7" x14ac:dyDescent="0.4">
      <c r="A9" t="s">
        <v>25</v>
      </c>
      <c r="B9" s="4">
        <f>19.81/7</f>
        <v>2.8299999999999996</v>
      </c>
      <c r="C9" t="s">
        <v>24</v>
      </c>
      <c r="F9">
        <v>1</v>
      </c>
    </row>
    <row r="10" spans="1:7" x14ac:dyDescent="0.4">
      <c r="A10" t="s">
        <v>27</v>
      </c>
      <c r="B10" s="4">
        <v>1.32</v>
      </c>
      <c r="C10" t="s">
        <v>26</v>
      </c>
      <c r="E10" t="s">
        <v>39</v>
      </c>
    </row>
    <row r="11" spans="1:7" x14ac:dyDescent="0.4">
      <c r="A11" t="s">
        <v>29</v>
      </c>
      <c r="B11" s="4">
        <v>1.78</v>
      </c>
      <c r="C11" t="s">
        <v>28</v>
      </c>
      <c r="E11" t="s">
        <v>47</v>
      </c>
    </row>
    <row r="12" spans="1:7" x14ac:dyDescent="0.4">
      <c r="A12" t="s">
        <v>51</v>
      </c>
      <c r="B12" s="4">
        <v>3.02</v>
      </c>
      <c r="C12" t="s">
        <v>49</v>
      </c>
      <c r="E12" t="s">
        <v>50</v>
      </c>
    </row>
    <row r="13" spans="1:7" x14ac:dyDescent="0.4">
      <c r="A13" t="s">
        <v>30</v>
      </c>
      <c r="B13" s="4">
        <v>1.8</v>
      </c>
      <c r="C13" t="s">
        <v>31</v>
      </c>
      <c r="E13" t="s">
        <v>32</v>
      </c>
      <c r="F13">
        <v>2</v>
      </c>
    </row>
    <row r="14" spans="1:7" x14ac:dyDescent="0.4">
      <c r="A14" t="s">
        <v>54</v>
      </c>
      <c r="B14" s="4">
        <v>0.54100000000000004</v>
      </c>
      <c r="C14" t="s">
        <v>53</v>
      </c>
      <c r="D14" t="s">
        <v>13</v>
      </c>
      <c r="E14" t="s">
        <v>55</v>
      </c>
    </row>
    <row r="15" spans="1:7" x14ac:dyDescent="0.4">
      <c r="A15" t="s">
        <v>57</v>
      </c>
      <c r="B15" s="4">
        <v>0.56200000000000006</v>
      </c>
      <c r="C15" t="s">
        <v>56</v>
      </c>
      <c r="D15" t="s">
        <v>13</v>
      </c>
      <c r="E15" t="s">
        <v>58</v>
      </c>
    </row>
    <row r="16" spans="1:7" x14ac:dyDescent="0.4">
      <c r="A16" t="s">
        <v>59</v>
      </c>
      <c r="B16" s="4">
        <v>0.221</v>
      </c>
      <c r="C16" t="s">
        <v>72</v>
      </c>
      <c r="D16" t="s">
        <v>13</v>
      </c>
      <c r="E16" t="s">
        <v>73</v>
      </c>
      <c r="G16" s="5"/>
    </row>
    <row r="17" spans="1:7" x14ac:dyDescent="0.4">
      <c r="A17" t="s">
        <v>60</v>
      </c>
      <c r="B17" s="4">
        <v>0.432</v>
      </c>
      <c r="C17" t="s">
        <v>62</v>
      </c>
      <c r="D17" t="s">
        <v>13</v>
      </c>
      <c r="E17" t="s">
        <v>63</v>
      </c>
      <c r="G17" s="5">
        <v>5</v>
      </c>
    </row>
    <row r="18" spans="1:7" x14ac:dyDescent="0.4">
      <c r="A18" t="s">
        <v>61</v>
      </c>
      <c r="B18" s="4">
        <v>1.4379999999999999</v>
      </c>
      <c r="C18" t="s">
        <v>74</v>
      </c>
      <c r="D18" t="s">
        <v>79</v>
      </c>
      <c r="E18" t="s">
        <v>78</v>
      </c>
      <c r="G18" s="5">
        <v>4</v>
      </c>
    </row>
    <row r="19" spans="1:7" x14ac:dyDescent="0.4">
      <c r="A19" t="s">
        <v>64</v>
      </c>
      <c r="B19" s="4">
        <v>0.56599999999999995</v>
      </c>
      <c r="C19" t="s">
        <v>65</v>
      </c>
      <c r="D19" t="s">
        <v>13</v>
      </c>
      <c r="E19" t="s">
        <v>66</v>
      </c>
      <c r="G19" s="5"/>
    </row>
    <row r="20" spans="1:7" x14ac:dyDescent="0.4">
      <c r="A20" t="s">
        <v>68</v>
      </c>
      <c r="B20" s="4">
        <v>0.89600000000000002</v>
      </c>
      <c r="C20" t="s">
        <v>67</v>
      </c>
      <c r="D20" t="s">
        <v>13</v>
      </c>
      <c r="E20" t="s">
        <v>69</v>
      </c>
      <c r="G20" s="5"/>
    </row>
    <row r="21" spans="1:7" x14ac:dyDescent="0.4">
      <c r="A21" t="s">
        <v>71</v>
      </c>
      <c r="B21" s="4">
        <v>1.137</v>
      </c>
      <c r="C21" t="s">
        <v>70</v>
      </c>
      <c r="D21" t="s">
        <v>13</v>
      </c>
      <c r="E21" t="s">
        <v>75</v>
      </c>
      <c r="G21" s="5">
        <v>2</v>
      </c>
    </row>
    <row r="22" spans="1:7" x14ac:dyDescent="0.4">
      <c r="A22" t="s">
        <v>80</v>
      </c>
      <c r="B22" s="4">
        <v>0.14699999999999999</v>
      </c>
      <c r="C22" t="s">
        <v>85</v>
      </c>
      <c r="D22" t="s">
        <v>13</v>
      </c>
      <c r="E22" t="s">
        <v>84</v>
      </c>
    </row>
    <row r="23" spans="1:7" x14ac:dyDescent="0.4">
      <c r="A23" t="s">
        <v>82</v>
      </c>
      <c r="B23" s="4">
        <v>0.754</v>
      </c>
      <c r="C23" t="s">
        <v>81</v>
      </c>
      <c r="D23" t="s">
        <v>13</v>
      </c>
      <c r="E23" t="s">
        <v>83</v>
      </c>
    </row>
    <row r="24" spans="1:7" x14ac:dyDescent="0.4">
      <c r="A24" t="s">
        <v>88</v>
      </c>
      <c r="B24">
        <v>0.11700000000000001</v>
      </c>
      <c r="C24" t="s">
        <v>86</v>
      </c>
      <c r="D24" t="s">
        <v>87</v>
      </c>
      <c r="E24" t="s">
        <v>89</v>
      </c>
    </row>
  </sheetData>
  <conditionalFormatting sqref="G16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Mount</vt:lpstr>
      <vt:lpstr>Sensor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2018-04-20T02:46:46Z</dcterms:created>
  <dcterms:modified xsi:type="dcterms:W3CDTF">2018-05-06T05:44:33Z</dcterms:modified>
</cp:coreProperties>
</file>