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amuel\workspace\METR4901\Report\"/>
    </mc:Choice>
  </mc:AlternateContent>
  <xr:revisionPtr revIDLastSave="0" documentId="13_ncr:1_{04624BA6-4E6E-454D-87F1-3966FC10D520}" xr6:coauthVersionLast="33" xr6:coauthVersionMax="33" xr10:uidLastSave="{00000000-0000-0000-0000-000000000000}"/>
  <bookViews>
    <workbookView xWindow="0" yWindow="0" windowWidth="27429" windowHeight="11023" xr2:uid="{EA1F1417-5E9D-4960-A68D-0B4549A49CFA}"/>
  </bookViews>
  <sheets>
    <sheet name="Sheet1" sheetId="1" r:id="rId1"/>
    <sheet name="Sheet2" sheetId="2" r:id="rId2"/>
  </sheets>
  <externalReferences>
    <externalReference r:id="rId3"/>
  </externalReferences>
  <calcPr calcId="17901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1" l="1"/>
  <c r="F18" i="1"/>
  <c r="F17" i="1" l="1"/>
  <c r="B17" i="1"/>
  <c r="E6" i="1" l="1"/>
  <c r="E7" i="1"/>
  <c r="E8" i="1"/>
  <c r="E3" i="1"/>
  <c r="F16" i="1" l="1"/>
  <c r="B16" i="1"/>
  <c r="O23" i="2" l="1"/>
  <c r="O24" i="2" s="1"/>
  <c r="O25" i="2"/>
  <c r="O22" i="2"/>
  <c r="P20" i="2"/>
  <c r="P21" i="2"/>
  <c r="O21" i="2"/>
  <c r="O20" i="2"/>
  <c r="O19" i="2"/>
  <c r="P19" i="2"/>
  <c r="M18" i="2"/>
  <c r="O15" i="2"/>
  <c r="P15" i="2"/>
  <c r="O16" i="2"/>
  <c r="P16" i="2"/>
  <c r="O17" i="2"/>
  <c r="O26" i="2" s="1"/>
  <c r="P17" i="2"/>
  <c r="O18" i="2"/>
  <c r="P18" i="2"/>
  <c r="N14" i="2"/>
  <c r="P14" i="2" s="1"/>
  <c r="M14" i="2"/>
  <c r="O14" i="2" s="1"/>
  <c r="O9" i="2"/>
  <c r="O10" i="2"/>
  <c r="O8" i="2"/>
  <c r="P3" i="2"/>
  <c r="O3" i="2"/>
  <c r="O4" i="2"/>
  <c r="P4" i="2"/>
  <c r="O5" i="2"/>
  <c r="P5" i="2"/>
  <c r="O6" i="2"/>
  <c r="P6" i="2"/>
  <c r="O7" i="2"/>
  <c r="P7" i="2"/>
  <c r="P8" i="2"/>
  <c r="P9" i="2"/>
  <c r="P10" i="2"/>
  <c r="O11" i="2"/>
  <c r="P11" i="2"/>
  <c r="P12" i="2"/>
  <c r="O13" i="2"/>
  <c r="P13" i="2"/>
  <c r="P2" i="2"/>
  <c r="O2" i="2"/>
  <c r="O27" i="2" l="1"/>
  <c r="B14" i="1" l="1"/>
  <c r="B15" i="1"/>
  <c r="F15" i="1"/>
  <c r="F14" i="1" l="1"/>
  <c r="G23" i="1" l="1"/>
  <c r="F13" i="1"/>
  <c r="B13" i="1"/>
  <c r="F11" i="1" l="1"/>
  <c r="F12" i="1"/>
  <c r="B12" i="1" l="1"/>
  <c r="E4" i="1" l="1"/>
  <c r="E5" i="1"/>
  <c r="E9" i="1"/>
  <c r="E10" i="1"/>
  <c r="Y25" i="1" l="1"/>
  <c r="Y24" i="1"/>
  <c r="B11" i="1" l="1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E2" i="1" l="1"/>
  <c r="G22" i="1"/>
  <c r="G21" i="1" s="1"/>
  <c r="G20" i="1" s="1"/>
  <c r="G19" i="1" s="1"/>
  <c r="G18" i="1" s="1"/>
  <c r="G17" i="1" s="1"/>
  <c r="G16" i="1" s="1"/>
  <c r="G15" i="1" s="1"/>
  <c r="G14" i="1" s="1"/>
  <c r="G13" i="1" s="1"/>
  <c r="G12" i="1" s="1"/>
  <c r="G11" i="1" s="1"/>
  <c r="G10" i="1" s="1"/>
  <c r="G9" i="1" s="1"/>
  <c r="C6" i="1"/>
  <c r="B6" i="1" s="1"/>
  <c r="B10" i="1"/>
  <c r="C7" i="1" l="1"/>
  <c r="C8" i="1" s="1"/>
  <c r="B8" i="1" s="1"/>
  <c r="B9" i="1"/>
  <c r="B7" i="1"/>
  <c r="U2" i="1"/>
  <c r="C2" i="1" l="1"/>
  <c r="G2" i="1" s="1"/>
  <c r="A2" i="2"/>
  <c r="A10" i="2"/>
  <c r="A7" i="2"/>
  <c r="A13" i="2"/>
  <c r="A12" i="2"/>
  <c r="A1" i="2"/>
  <c r="A8" i="2"/>
  <c r="A9" i="2"/>
  <c r="A15" i="2"/>
  <c r="A6" i="2"/>
  <c r="A16" i="2"/>
  <c r="A4" i="2"/>
  <c r="A5" i="2"/>
  <c r="A11" i="2"/>
  <c r="A3" i="2"/>
  <c r="A14" i="2"/>
</calcChain>
</file>

<file path=xl/sharedStrings.xml><?xml version="1.0" encoding="utf-8"?>
<sst xmlns="http://schemas.openxmlformats.org/spreadsheetml/2006/main" count="37" uniqueCount="37">
  <si>
    <t>Date</t>
  </si>
  <si>
    <t>Pages</t>
  </si>
  <si>
    <t>Pages Expected</t>
  </si>
  <si>
    <t>BACKGROUND AND PROBLEM BREAKDOWN</t>
  </si>
  <si>
    <t>THESIS DEFINITION AND SCOPE</t>
  </si>
  <si>
    <t>BACKGROUND</t>
  </si>
  <si>
    <t>APPROACH AND EXECUTION</t>
  </si>
  <si>
    <t>CONCLUSION</t>
  </si>
  <si>
    <t>LED</t>
  </si>
  <si>
    <t>Controller</t>
  </si>
  <si>
    <t>Sensor</t>
  </si>
  <si>
    <t>1K</t>
  </si>
  <si>
    <t>10k</t>
  </si>
  <si>
    <t>3H</t>
  </si>
  <si>
    <t>3C</t>
  </si>
  <si>
    <t>12C</t>
  </si>
  <si>
    <t>12H</t>
  </si>
  <si>
    <t>YZC</t>
  </si>
  <si>
    <t>IR</t>
  </si>
  <si>
    <t>RJ45</t>
  </si>
  <si>
    <t>Ether H</t>
  </si>
  <si>
    <t>220 Ohm</t>
  </si>
  <si>
    <t>Crimp</t>
  </si>
  <si>
    <t>INA125</t>
  </si>
  <si>
    <t>LV385</t>
  </si>
  <si>
    <t>STM</t>
  </si>
  <si>
    <t>Socket</t>
  </si>
  <si>
    <t>MicroUSB</t>
  </si>
  <si>
    <t>Load Resistor</t>
  </si>
  <si>
    <t>Ribbon Cable</t>
  </si>
  <si>
    <t>Nylon M3 Washer</t>
  </si>
  <si>
    <t>Load Cell Mount</t>
  </si>
  <si>
    <t>M3 (15mm)</t>
  </si>
  <si>
    <t>Nut</t>
  </si>
  <si>
    <t>M3 (25mm)</t>
  </si>
  <si>
    <t>M3 (35mm)</t>
  </si>
  <si>
    <t>Washer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</si>
</sst>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onsolas"/>
      <family val="2"/>
    </font>
    <font>
      <sz val="11"/>
      <color theme="1"/>
      <name val="Consolas"/>
      <family val="2"/>
    </font>
    <font>
      <b/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6" fontId="0" fillId="0" borderId="0" xfId="0" applyNumberFormat="1"/>
    <xf numFmtId="9" fontId="0" fillId="0" borderId="0" xfId="1" applyFont="1"/>
    <xf numFmtId="16" fontId="2" fillId="0" borderId="0" xfId="0" applyNumberFormat="1" applyFont="1"/>
    <xf numFmtId="0" fontId="2" fillId="0" borderId="0" xfId="0" applyFont="1"/>
    <xf numFmtId="9" fontId="0" fillId="0" borderId="1" xfId="1" applyFont="1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Pages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Sheet1!$A$3:$A$23</c:f>
              <c:numCache>
                <c:formatCode>d\-mmm</c:formatCode>
                <c:ptCount val="21"/>
                <c:pt idx="0">
                  <c:v>43242</c:v>
                </c:pt>
                <c:pt idx="1">
                  <c:v>43243</c:v>
                </c:pt>
                <c:pt idx="2">
                  <c:v>43244</c:v>
                </c:pt>
                <c:pt idx="3">
                  <c:v>43245</c:v>
                </c:pt>
                <c:pt idx="4">
                  <c:v>43246</c:v>
                </c:pt>
                <c:pt idx="5">
                  <c:v>43247</c:v>
                </c:pt>
                <c:pt idx="6">
                  <c:v>43248</c:v>
                </c:pt>
                <c:pt idx="7">
                  <c:v>43249</c:v>
                </c:pt>
                <c:pt idx="8">
                  <c:v>43250</c:v>
                </c:pt>
                <c:pt idx="9">
                  <c:v>43251</c:v>
                </c:pt>
                <c:pt idx="10">
                  <c:v>43252</c:v>
                </c:pt>
                <c:pt idx="11">
                  <c:v>43253</c:v>
                </c:pt>
                <c:pt idx="12">
                  <c:v>43254</c:v>
                </c:pt>
                <c:pt idx="13">
                  <c:v>43255</c:v>
                </c:pt>
                <c:pt idx="14">
                  <c:v>43256</c:v>
                </c:pt>
                <c:pt idx="15">
                  <c:v>43257</c:v>
                </c:pt>
                <c:pt idx="16">
                  <c:v>43258</c:v>
                </c:pt>
                <c:pt idx="17">
                  <c:v>43259</c:v>
                </c:pt>
                <c:pt idx="18">
                  <c:v>43260</c:v>
                </c:pt>
                <c:pt idx="19">
                  <c:v>43261</c:v>
                </c:pt>
                <c:pt idx="20">
                  <c:v>43262</c:v>
                </c:pt>
              </c:numCache>
            </c:numRef>
          </c:xVal>
          <c:yVal>
            <c:numRef>
              <c:f>Sheet1!$B$3:$B$23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13</c:v>
                </c:pt>
                <c:pt idx="9">
                  <c:v>14</c:v>
                </c:pt>
                <c:pt idx="10">
                  <c:v>8</c:v>
                </c:pt>
                <c:pt idx="11">
                  <c:v>13</c:v>
                </c:pt>
                <c:pt idx="12">
                  <c:v>4</c:v>
                </c:pt>
                <c:pt idx="13">
                  <c:v>28</c:v>
                </c:pt>
                <c:pt idx="14">
                  <c:v>10</c:v>
                </c:pt>
                <c:pt idx="1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0-41E5-BA24-65A1654E1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69328"/>
        <c:axId val="532668016"/>
      </c:scatterChart>
      <c:valAx>
        <c:axId val="532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8016"/>
        <c:crosses val="autoZero"/>
        <c:crossBetween val="midCat"/>
      </c:valAx>
      <c:valAx>
        <c:axId val="532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Pages (in total)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101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Sheet1!$A$3:$A$22</c:f>
              <c:numCache>
                <c:formatCode>d\-mmm</c:formatCode>
                <c:ptCount val="20"/>
                <c:pt idx="0">
                  <c:v>43242</c:v>
                </c:pt>
                <c:pt idx="1">
                  <c:v>43243</c:v>
                </c:pt>
                <c:pt idx="2">
                  <c:v>43244</c:v>
                </c:pt>
                <c:pt idx="3">
                  <c:v>43245</c:v>
                </c:pt>
                <c:pt idx="4">
                  <c:v>43246</c:v>
                </c:pt>
                <c:pt idx="5">
                  <c:v>43247</c:v>
                </c:pt>
                <c:pt idx="6">
                  <c:v>43248</c:v>
                </c:pt>
                <c:pt idx="7">
                  <c:v>43249</c:v>
                </c:pt>
                <c:pt idx="8">
                  <c:v>43250</c:v>
                </c:pt>
                <c:pt idx="9">
                  <c:v>43251</c:v>
                </c:pt>
                <c:pt idx="10">
                  <c:v>43252</c:v>
                </c:pt>
                <c:pt idx="11">
                  <c:v>43253</c:v>
                </c:pt>
                <c:pt idx="12">
                  <c:v>43254</c:v>
                </c:pt>
                <c:pt idx="13">
                  <c:v>43255</c:v>
                </c:pt>
                <c:pt idx="14">
                  <c:v>43256</c:v>
                </c:pt>
                <c:pt idx="15">
                  <c:v>43257</c:v>
                </c:pt>
                <c:pt idx="16">
                  <c:v>43258</c:v>
                </c:pt>
                <c:pt idx="17">
                  <c:v>43259</c:v>
                </c:pt>
                <c:pt idx="18">
                  <c:v>43260</c:v>
                </c:pt>
                <c:pt idx="19">
                  <c:v>43261</c:v>
                </c:pt>
              </c:numCache>
            </c:numRef>
          </c:xVal>
          <c:yVal>
            <c:numRef>
              <c:f>Sheet1!$C$3:$C$22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  <c:pt idx="8">
                  <c:v>42</c:v>
                </c:pt>
                <c:pt idx="9">
                  <c:v>56</c:v>
                </c:pt>
                <c:pt idx="10">
                  <c:v>64</c:v>
                </c:pt>
                <c:pt idx="11">
                  <c:v>77</c:v>
                </c:pt>
                <c:pt idx="12">
                  <c:v>81</c:v>
                </c:pt>
                <c:pt idx="13">
                  <c:v>109</c:v>
                </c:pt>
                <c:pt idx="14">
                  <c:v>119</c:v>
                </c:pt>
                <c:pt idx="15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32-45D4-BC56-53FFBD0FB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69328"/>
        <c:axId val="532668016"/>
      </c:scatterChart>
      <c:valAx>
        <c:axId val="532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8016"/>
        <c:crosses val="autoZero"/>
        <c:crossBetween val="midCat"/>
      </c:valAx>
      <c:valAx>
        <c:axId val="532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Sheet1!$A$3:$A$23</c:f>
              <c:numCache>
                <c:formatCode>d\-mmm</c:formatCode>
                <c:ptCount val="21"/>
                <c:pt idx="0">
                  <c:v>43242</c:v>
                </c:pt>
                <c:pt idx="1">
                  <c:v>43243</c:v>
                </c:pt>
                <c:pt idx="2">
                  <c:v>43244</c:v>
                </c:pt>
                <c:pt idx="3">
                  <c:v>43245</c:v>
                </c:pt>
                <c:pt idx="4">
                  <c:v>43246</c:v>
                </c:pt>
                <c:pt idx="5">
                  <c:v>43247</c:v>
                </c:pt>
                <c:pt idx="6">
                  <c:v>43248</c:v>
                </c:pt>
                <c:pt idx="7">
                  <c:v>43249</c:v>
                </c:pt>
                <c:pt idx="8">
                  <c:v>43250</c:v>
                </c:pt>
                <c:pt idx="9">
                  <c:v>43251</c:v>
                </c:pt>
                <c:pt idx="10">
                  <c:v>43252</c:v>
                </c:pt>
                <c:pt idx="11">
                  <c:v>43253</c:v>
                </c:pt>
                <c:pt idx="12">
                  <c:v>43254</c:v>
                </c:pt>
                <c:pt idx="13">
                  <c:v>43255</c:v>
                </c:pt>
                <c:pt idx="14">
                  <c:v>43256</c:v>
                </c:pt>
                <c:pt idx="15">
                  <c:v>43257</c:v>
                </c:pt>
                <c:pt idx="16">
                  <c:v>43258</c:v>
                </c:pt>
                <c:pt idx="17">
                  <c:v>43259</c:v>
                </c:pt>
                <c:pt idx="18">
                  <c:v>43260</c:v>
                </c:pt>
                <c:pt idx="19">
                  <c:v>43261</c:v>
                </c:pt>
                <c:pt idx="20">
                  <c:v>43262</c:v>
                </c:pt>
              </c:numCache>
            </c:numRef>
          </c:xVal>
          <c:yVal>
            <c:numRef>
              <c:f>Sheet1!$D$3:$D$23</c:f>
              <c:numCache>
                <c:formatCode>General</c:formatCode>
                <c:ptCount val="21"/>
                <c:pt idx="0">
                  <c:v>0</c:v>
                </c:pt>
                <c:pt idx="8">
                  <c:v>8349</c:v>
                </c:pt>
                <c:pt idx="9">
                  <c:v>11727</c:v>
                </c:pt>
                <c:pt idx="10">
                  <c:v>13787</c:v>
                </c:pt>
                <c:pt idx="11">
                  <c:v>15849</c:v>
                </c:pt>
                <c:pt idx="12">
                  <c:v>17862</c:v>
                </c:pt>
                <c:pt idx="13">
                  <c:v>20507</c:v>
                </c:pt>
                <c:pt idx="14">
                  <c:v>22954</c:v>
                </c:pt>
                <c:pt idx="15">
                  <c:v>23402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5F-4A8F-BB4D-3AC684396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69328"/>
        <c:axId val="532668016"/>
      </c:scatterChart>
      <c:valAx>
        <c:axId val="532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8016"/>
        <c:crosses val="autoZero"/>
        <c:crossBetween val="midCat"/>
      </c:valAx>
      <c:valAx>
        <c:axId val="532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197223</xdr:colOff>
      <xdr:row>17</xdr:row>
      <xdr:rowOff>111897</xdr:rowOff>
    </xdr:from>
    <xdr:to>
      <xdr:col>13</xdr:col>
      <xdr:colOff>590388</xdr:colOff>
      <xdr:row>32</xdr:row>
      <xdr:rowOff>79240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A4C1EB-A4B6-40E3-8266-96300FC2B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217714</xdr:colOff>
      <xdr:row>17</xdr:row>
      <xdr:rowOff>97971</xdr:rowOff>
    </xdr:from>
    <xdr:to>
      <xdr:col>21</xdr:col>
      <xdr:colOff>571500</xdr:colOff>
      <xdr:row>32</xdr:row>
      <xdr:rowOff>65314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2068C5-E0BC-4D83-8E2B-DAC56B0187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174171</xdr:rowOff>
    </xdr:from>
    <xdr:to>
      <xdr:col>6</xdr:col>
      <xdr:colOff>391886</xdr:colOff>
      <xdr:row>32</xdr:row>
      <xdr:rowOff>141514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ACD3F8-4661-4AC9-A214-0B1557119A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muel/workspace/METR4901/B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M"/>
      <sheetName val="Mount"/>
      <sheetName val="Sensor"/>
      <sheetName val="Data"/>
    </sheetNames>
    <sheetDataSet>
      <sheetData sheetId="0"/>
      <sheetData sheetId="1"/>
      <sheetData sheetId="2"/>
      <sheetData sheetId="3">
        <row r="2">
          <cell r="A2" t="str">
            <v>Blue Led</v>
          </cell>
          <cell r="B2">
            <v>0.40400000000000003</v>
          </cell>
          <cell r="C2" t="str">
            <v>Osram Opto CHIPLED 0603 470 nm Blue LED, 1608 (0603) SMD package</v>
          </cell>
          <cell r="D2" t="str">
            <v>10 Pack</v>
          </cell>
        </row>
        <row r="3">
          <cell r="A3" t="str">
            <v>Res 10k</v>
          </cell>
          <cell r="B3">
            <v>3.6000000000000004E-2</v>
          </cell>
          <cell r="C3" t="str">
            <v>Vishay CRCW Series Thick Film Surface Mount Fixed Resistor 0805 Case 10kΩ ±1% 0.125W ±100ppm/°C</v>
          </cell>
          <cell r="D3" t="str">
            <v>50 Pack</v>
          </cell>
        </row>
        <row r="4">
          <cell r="A4" t="str">
            <v>Res 220</v>
          </cell>
          <cell r="B4">
            <v>3.6000000000000004E-2</v>
          </cell>
          <cell r="C4" t="str">
            <v>Vishay CRCW Series Thick Film Surface Mount Fixed Resistor 0805 Case 220Ω ±1% 0.125W ±100ppm/°C</v>
          </cell>
          <cell r="D4" t="str">
            <v>50 Pack</v>
          </cell>
        </row>
        <row r="5">
          <cell r="A5" t="str">
            <v>Res 1k</v>
          </cell>
          <cell r="B5">
            <v>3.6000000000000004E-2</v>
          </cell>
          <cell r="C5" t="str">
            <v xml:space="preserve">Vishay CRCW Series Thick Film Surface Mount Fixed Resistor 0805 Case 1kΩ ±1% 0.125W ±100ppm/°C </v>
          </cell>
          <cell r="D5" t="str">
            <v>50 Pack</v>
          </cell>
        </row>
        <row r="6">
          <cell r="A6" t="str">
            <v>Nucleo</v>
          </cell>
          <cell r="B6">
            <v>16.73</v>
          </cell>
          <cell r="C6" t="str">
            <v>STM32 Nucleo-32 development board</v>
          </cell>
        </row>
        <row r="7">
          <cell r="A7" t="str">
            <v>Reflective IR Sensor</v>
          </cell>
          <cell r="B7">
            <v>1.3169999999999999</v>
          </cell>
          <cell r="C7" t="str">
            <v xml:space="preserve">Vishay TCRT5000L, Through Hole Reflective Sensor, Transistor Output 2, Leaded package </v>
          </cell>
        </row>
        <row r="8">
          <cell r="A8" t="str">
            <v>USB to Micro USB Cable (1.8m)</v>
          </cell>
          <cell r="B8">
            <v>2.5100000000000002</v>
          </cell>
          <cell r="C8" t="str">
            <v>RS USB2.0 Cable, A-MicroB, M/M, 1.8m</v>
          </cell>
        </row>
        <row r="9">
          <cell r="A9" t="str">
            <v>Ethernet Cable 1.5m</v>
          </cell>
          <cell r="B9">
            <v>2.8299999999999996</v>
          </cell>
          <cell r="C9" t="str">
            <v>RJ45 YELLOW PATCH LEADS UTP</v>
          </cell>
        </row>
        <row r="10">
          <cell r="A10" t="str">
            <v>PCB Header 36 Pin M</v>
          </cell>
          <cell r="B10">
            <v>1.32</v>
          </cell>
          <cell r="C10" t="str">
            <v>HARWIN M20, 2.54mm Pitch, 36 Way, 1 Row, Straight Pin Header, Through Hole</v>
          </cell>
        </row>
        <row r="11">
          <cell r="A11" t="str">
            <v>PCB Header 36 Pin M, Right Angle</v>
          </cell>
          <cell r="B11">
            <v>1.78</v>
          </cell>
          <cell r="C11" t="str">
            <v xml:space="preserve">HARWIN M20, 2.54mm Pitch, 36 Way, 1 Row, Right Angle Pin Header, Through Hole </v>
          </cell>
        </row>
        <row r="12">
          <cell r="A12" t="str">
            <v>PCB Header 45 Pin, Socket</v>
          </cell>
          <cell r="B12">
            <v>3.02</v>
          </cell>
          <cell r="C12" t="str">
            <v xml:space="preserve">Stelvio Kontek MODUCOM Series 2.54mm Pitch 45 Way 1 Row Straight PCB Socket, Through Hole, Solder Termination </v>
          </cell>
        </row>
        <row r="13">
          <cell r="A13" t="str">
            <v>Ethernet Header</v>
          </cell>
          <cell r="B13">
            <v>1.8</v>
          </cell>
          <cell r="C13" t="str">
            <v xml:space="preserve">RS Pro Cat5 8 Way Right Angle PCB Mount Unshielded RJ45 Connector Female </v>
          </cell>
        </row>
        <row r="14">
          <cell r="A14" t="str">
            <v>Hose Clamp (16mm)</v>
          </cell>
          <cell r="B14">
            <v>0.54100000000000004</v>
          </cell>
          <cell r="C14" t="str">
            <v>JCS Hi-Torque Steel Slotted Hex Hose Clip Bolt Drive, 9mm Band Width, 14mm - 16mm Inside Diameter</v>
          </cell>
          <cell r="D14" t="str">
            <v>10 Pack</v>
          </cell>
        </row>
        <row r="15">
          <cell r="A15" t="str">
            <v>Nylon Snap Grip</v>
          </cell>
          <cell r="B15">
            <v>0.56200000000000006</v>
          </cell>
          <cell r="C15" t="str">
            <v xml:space="preserve">RS Pro Nylon Snap Grip, 4.2mm Band Width, 5.6mm - 6.5mm Inside Diameter </v>
          </cell>
          <cell r="D15" t="str">
            <v>10 Pack</v>
          </cell>
        </row>
        <row r="16">
          <cell r="A16" t="str">
            <v>KK 2 Way</v>
          </cell>
          <cell r="B16">
            <v>0.221</v>
          </cell>
          <cell r="C16" t="str">
            <v xml:space="preserve">Molex KK 254 6410, 2.54mm Pitch, 2 Way, 1 Row, Straight PCB Header, Through Hole </v>
          </cell>
          <cell r="D16" t="str">
            <v>10 Pack</v>
          </cell>
        </row>
        <row r="17">
          <cell r="A17" t="str">
            <v>KK 3 Way</v>
          </cell>
          <cell r="B17">
            <v>0.432</v>
          </cell>
          <cell r="C17" t="str">
            <v xml:space="preserve">Molex KK 254 6410, 2.54mm Pitch, 3 Way, 1 Row, Straight PCB Header, Through Hole </v>
          </cell>
          <cell r="D17" t="str">
            <v>10 Pack</v>
          </cell>
        </row>
        <row r="18">
          <cell r="A18" t="str">
            <v>KK 3 Way [Right]</v>
          </cell>
          <cell r="B18">
            <v>1.4379999999999999</v>
          </cell>
          <cell r="C18" t="str">
            <v>Molex KK 254 7478, 2.54mm Pitch, 2 Way, 1 Row, Right Angle PCB Header, Through Hole</v>
          </cell>
          <cell r="D18" t="str">
            <v>5 Pack</v>
          </cell>
        </row>
        <row r="19">
          <cell r="A19" t="str">
            <v>KK 6 way</v>
          </cell>
          <cell r="B19">
            <v>0.56599999999999995</v>
          </cell>
          <cell r="C19" t="str">
            <v>Molex KK 254 6410, 2.54mm Pitch, 6 Way, 1 Row, Straight PCB Header, Through Hole</v>
          </cell>
          <cell r="D19" t="str">
            <v>10 Pack</v>
          </cell>
        </row>
        <row r="20">
          <cell r="A20" t="str">
            <v>KK 8 way</v>
          </cell>
          <cell r="B20">
            <v>0.89600000000000002</v>
          </cell>
          <cell r="C20" t="str">
            <v xml:space="preserve">Molex KK 254 6410, 2.54mm Pitch, 8 Way, 1 Row, Straight PCB Header, Through Hole </v>
          </cell>
          <cell r="D20" t="str">
            <v>10 Pack</v>
          </cell>
        </row>
        <row r="21">
          <cell r="A21" t="str">
            <v>KK 12 way</v>
          </cell>
          <cell r="B21">
            <v>1.137</v>
          </cell>
          <cell r="C21" t="str">
            <v xml:space="preserve">Molex KK 254 6410, 2.54mm Pitch, 12 Way, 1 Row, Straight PCB Header, Through Hole </v>
          </cell>
          <cell r="D21" t="str">
            <v>10 Pack</v>
          </cell>
        </row>
        <row r="22">
          <cell r="A22" t="str">
            <v>KK 3 Way [Con]</v>
          </cell>
          <cell r="B22">
            <v>0.14699999999999999</v>
          </cell>
          <cell r="C22" t="str">
            <v xml:space="preserve">Molex KK 254 2695, 2.54mm Pitch, 3 Way, 1 Row Female Connector Housing </v>
          </cell>
          <cell r="D22" t="str">
            <v>10 Pack</v>
          </cell>
        </row>
        <row r="23">
          <cell r="A23" t="str">
            <v>KK 12 Way [Con]</v>
          </cell>
          <cell r="B23">
            <v>0.754</v>
          </cell>
          <cell r="C23" t="str">
            <v xml:space="preserve">Molex KK 254 2695, 2.54mm Pitch, 12 Way, 1 Row Female Connector Housing </v>
          </cell>
          <cell r="D23" t="str">
            <v>10 Pack</v>
          </cell>
        </row>
        <row r="24">
          <cell r="A24" t="str">
            <v>Crimp Terminal</v>
          </cell>
          <cell r="B24">
            <v>0.11700000000000001</v>
          </cell>
          <cell r="C24" t="str">
            <v xml:space="preserve">Molex KK 4809 Crimp Terminal Contact, Female, 0.05mm² to 0.35mm², 30AWG to 22AWG, Tin Plating </v>
          </cell>
          <cell r="D24" t="str">
            <v>100 Pck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ABB1B-0852-401E-B9D9-23AC9C720A04}">
  <dimension ref="A1:Y32"/>
  <sheetViews>
    <sheetView tabSelected="1" zoomScale="85" zoomScaleNormal="85" workbookViewId="0">
      <selection activeCell="I14" sqref="I14"/>
    </sheetView>
  </sheetViews>
  <sheetFormatPr defaultRowHeight="14.6" x14ac:dyDescent="0.4"/>
  <cols>
    <col min="1" max="1" width="9.140625" style="1"/>
    <col min="20" max="20" width="9.140625" customWidth="1"/>
    <col min="21" max="21" width="0.5" customWidth="1"/>
  </cols>
  <sheetData>
    <row r="1" spans="1:21" ht="15" thickBot="1" x14ac:dyDescent="0.45">
      <c r="B1" t="s">
        <v>2</v>
      </c>
      <c r="C1">
        <v>150</v>
      </c>
    </row>
    <row r="2" spans="1:21" x14ac:dyDescent="0.4">
      <c r="A2" s="3" t="s">
        <v>0</v>
      </c>
      <c r="B2" s="4" t="s">
        <v>1</v>
      </c>
      <c r="C2">
        <f>SUM(B:B)</f>
        <v>101</v>
      </c>
      <c r="E2">
        <f>AVERAGE(E9:E23)</f>
        <v>9.9</v>
      </c>
      <c r="G2" s="5">
        <f>C2/C1</f>
        <v>0.67333333333333334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7"/>
      <c r="U2" s="2">
        <f>1</f>
        <v>1</v>
      </c>
    </row>
    <row r="3" spans="1:21" x14ac:dyDescent="0.4">
      <c r="A3" s="1">
        <v>43242</v>
      </c>
      <c r="B3">
        <v>0</v>
      </c>
      <c r="C3">
        <v>0</v>
      </c>
      <c r="D3">
        <v>0</v>
      </c>
      <c r="E3" t="b">
        <f>IF(B3&gt;0,B3)</f>
        <v>0</v>
      </c>
      <c r="G3" s="8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10"/>
    </row>
    <row r="4" spans="1:21" x14ac:dyDescent="0.4">
      <c r="A4" s="1">
        <v>43243</v>
      </c>
      <c r="B4">
        <v>1</v>
      </c>
      <c r="C4">
        <v>0</v>
      </c>
      <c r="E4">
        <f t="shared" ref="E4:E23" si="0">IF(B4&gt;0,B4)</f>
        <v>1</v>
      </c>
      <c r="G4" s="8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10"/>
    </row>
    <row r="5" spans="1:21" x14ac:dyDescent="0.4">
      <c r="A5" s="1">
        <v>43244</v>
      </c>
      <c r="B5">
        <v>1</v>
      </c>
      <c r="C5">
        <v>21</v>
      </c>
      <c r="E5">
        <f t="shared" si="0"/>
        <v>1</v>
      </c>
      <c r="G5" s="8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10"/>
    </row>
    <row r="6" spans="1:21" x14ac:dyDescent="0.4">
      <c r="A6" s="1">
        <v>43245</v>
      </c>
      <c r="B6">
        <f>C6-C5</f>
        <v>0</v>
      </c>
      <c r="C6">
        <f t="shared" ref="C6:C8" si="1">C5</f>
        <v>21</v>
      </c>
      <c r="E6" t="b">
        <f t="shared" si="0"/>
        <v>0</v>
      </c>
      <c r="G6" s="8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10"/>
    </row>
    <row r="7" spans="1:21" x14ac:dyDescent="0.4">
      <c r="A7" s="1">
        <v>43246</v>
      </c>
      <c r="B7">
        <f>C7-C6</f>
        <v>0</v>
      </c>
      <c r="C7">
        <f t="shared" si="1"/>
        <v>21</v>
      </c>
      <c r="E7" t="b">
        <f t="shared" si="0"/>
        <v>0</v>
      </c>
      <c r="G7" s="8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10"/>
    </row>
    <row r="8" spans="1:21" ht="15" thickBot="1" x14ac:dyDescent="0.45">
      <c r="A8" s="1">
        <v>43247</v>
      </c>
      <c r="B8">
        <f t="shared" ref="B8:B18" si="2">C8-C7</f>
        <v>0</v>
      </c>
      <c r="C8">
        <f t="shared" si="1"/>
        <v>21</v>
      </c>
      <c r="E8" t="b">
        <f t="shared" si="0"/>
        <v>0</v>
      </c>
      <c r="G8" s="11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3"/>
    </row>
    <row r="9" spans="1:21" x14ac:dyDescent="0.4">
      <c r="A9" s="1">
        <v>43248</v>
      </c>
      <c r="B9">
        <f t="shared" si="2"/>
        <v>4</v>
      </c>
      <c r="C9">
        <v>25</v>
      </c>
      <c r="E9">
        <f t="shared" si="0"/>
        <v>4</v>
      </c>
      <c r="G9">
        <f t="shared" ref="G9:G21" si="3">G10+1</f>
        <v>15</v>
      </c>
    </row>
    <row r="10" spans="1:21" x14ac:dyDescent="0.4">
      <c r="A10" s="1">
        <v>43249</v>
      </c>
      <c r="B10">
        <f t="shared" si="2"/>
        <v>4</v>
      </c>
      <c r="C10">
        <v>29</v>
      </c>
      <c r="E10">
        <f t="shared" si="0"/>
        <v>4</v>
      </c>
      <c r="G10">
        <f t="shared" si="3"/>
        <v>14</v>
      </c>
    </row>
    <row r="11" spans="1:21" x14ac:dyDescent="0.4">
      <c r="A11" s="1">
        <v>43250</v>
      </c>
      <c r="B11">
        <f t="shared" si="2"/>
        <v>13</v>
      </c>
      <c r="C11">
        <v>42</v>
      </c>
      <c r="D11">
        <v>8349</v>
      </c>
      <c r="E11">
        <f t="shared" si="0"/>
        <v>13</v>
      </c>
      <c r="F11">
        <f t="shared" ref="F11:F18" si="4">D11-D10</f>
        <v>8349</v>
      </c>
      <c r="G11">
        <f t="shared" si="3"/>
        <v>13</v>
      </c>
    </row>
    <row r="12" spans="1:21" x14ac:dyDescent="0.4">
      <c r="A12" s="1">
        <v>43251</v>
      </c>
      <c r="B12">
        <f t="shared" si="2"/>
        <v>14</v>
      </c>
      <c r="C12">
        <v>56</v>
      </c>
      <c r="D12">
        <v>11727</v>
      </c>
      <c r="E12">
        <f t="shared" si="0"/>
        <v>14</v>
      </c>
      <c r="F12">
        <f t="shared" si="4"/>
        <v>3378</v>
      </c>
      <c r="G12">
        <f t="shared" si="3"/>
        <v>12</v>
      </c>
    </row>
    <row r="13" spans="1:21" x14ac:dyDescent="0.4">
      <c r="A13" s="1">
        <v>43252</v>
      </c>
      <c r="B13">
        <f t="shared" si="2"/>
        <v>8</v>
      </c>
      <c r="C13">
        <v>64</v>
      </c>
      <c r="D13">
        <v>13787</v>
      </c>
      <c r="E13">
        <f t="shared" si="0"/>
        <v>8</v>
      </c>
      <c r="F13">
        <f t="shared" si="4"/>
        <v>2060</v>
      </c>
      <c r="G13">
        <f t="shared" si="3"/>
        <v>11</v>
      </c>
    </row>
    <row r="14" spans="1:21" x14ac:dyDescent="0.4">
      <c r="A14" s="1">
        <v>43253</v>
      </c>
      <c r="B14">
        <f t="shared" si="2"/>
        <v>13</v>
      </c>
      <c r="C14">
        <v>77</v>
      </c>
      <c r="D14">
        <v>15849</v>
      </c>
      <c r="E14">
        <f t="shared" si="0"/>
        <v>13</v>
      </c>
      <c r="F14">
        <f t="shared" si="4"/>
        <v>2062</v>
      </c>
      <c r="G14">
        <f t="shared" si="3"/>
        <v>10</v>
      </c>
    </row>
    <row r="15" spans="1:21" x14ac:dyDescent="0.4">
      <c r="A15" s="1">
        <v>43254</v>
      </c>
      <c r="B15">
        <f t="shared" si="2"/>
        <v>4</v>
      </c>
      <c r="C15">
        <v>81</v>
      </c>
      <c r="D15">
        <v>17862</v>
      </c>
      <c r="E15">
        <f t="shared" si="0"/>
        <v>4</v>
      </c>
      <c r="F15">
        <f t="shared" si="4"/>
        <v>2013</v>
      </c>
      <c r="G15">
        <f t="shared" si="3"/>
        <v>9</v>
      </c>
    </row>
    <row r="16" spans="1:21" x14ac:dyDescent="0.4">
      <c r="A16" s="1">
        <v>43255</v>
      </c>
      <c r="B16">
        <f t="shared" si="2"/>
        <v>28</v>
      </c>
      <c r="C16">
        <v>109</v>
      </c>
      <c r="D16">
        <v>20507</v>
      </c>
      <c r="E16">
        <f t="shared" si="0"/>
        <v>28</v>
      </c>
      <c r="F16">
        <f t="shared" si="4"/>
        <v>2645</v>
      </c>
      <c r="G16">
        <f t="shared" si="3"/>
        <v>8</v>
      </c>
    </row>
    <row r="17" spans="1:25" x14ac:dyDescent="0.4">
      <c r="A17" s="1">
        <v>43256</v>
      </c>
      <c r="B17">
        <f t="shared" si="2"/>
        <v>10</v>
      </c>
      <c r="C17">
        <v>119</v>
      </c>
      <c r="D17">
        <v>22954</v>
      </c>
      <c r="E17">
        <f t="shared" si="0"/>
        <v>10</v>
      </c>
      <c r="F17">
        <f t="shared" si="4"/>
        <v>2447</v>
      </c>
      <c r="G17">
        <f t="shared" si="3"/>
        <v>7</v>
      </c>
    </row>
    <row r="18" spans="1:25" x14ac:dyDescent="0.4">
      <c r="A18" s="1">
        <v>43257</v>
      </c>
      <c r="B18">
        <f t="shared" si="2"/>
        <v>1</v>
      </c>
      <c r="C18">
        <v>120</v>
      </c>
      <c r="D18">
        <v>23402</v>
      </c>
      <c r="E18">
        <f t="shared" si="0"/>
        <v>1</v>
      </c>
      <c r="F18">
        <f t="shared" si="4"/>
        <v>448</v>
      </c>
      <c r="G18">
        <f t="shared" si="3"/>
        <v>6</v>
      </c>
    </row>
    <row r="19" spans="1:25" x14ac:dyDescent="0.4">
      <c r="A19" s="1">
        <v>43258</v>
      </c>
      <c r="E19" t="b">
        <f t="shared" si="0"/>
        <v>0</v>
      </c>
      <c r="G19">
        <f t="shared" si="3"/>
        <v>5</v>
      </c>
    </row>
    <row r="20" spans="1:25" x14ac:dyDescent="0.4">
      <c r="A20" s="1">
        <v>43259</v>
      </c>
      <c r="E20" t="b">
        <f t="shared" si="0"/>
        <v>0</v>
      </c>
      <c r="G20">
        <f t="shared" si="3"/>
        <v>4</v>
      </c>
    </row>
    <row r="21" spans="1:25" x14ac:dyDescent="0.4">
      <c r="A21" s="1">
        <v>43260</v>
      </c>
      <c r="E21" t="b">
        <f t="shared" si="0"/>
        <v>0</v>
      </c>
      <c r="G21">
        <f t="shared" si="3"/>
        <v>3</v>
      </c>
    </row>
    <row r="22" spans="1:25" x14ac:dyDescent="0.4">
      <c r="A22" s="1">
        <v>43261</v>
      </c>
      <c r="E22" t="b">
        <f t="shared" si="0"/>
        <v>0</v>
      </c>
      <c r="G22">
        <f>G23+1</f>
        <v>2</v>
      </c>
    </row>
    <row r="23" spans="1:25" x14ac:dyDescent="0.4">
      <c r="A23" s="1">
        <v>43262</v>
      </c>
      <c r="E23" t="b">
        <f t="shared" si="0"/>
        <v>0</v>
      </c>
      <c r="G23">
        <f>G24+1</f>
        <v>1</v>
      </c>
    </row>
    <row r="24" spans="1:25" x14ac:dyDescent="0.4">
      <c r="X24">
        <v>210</v>
      </c>
      <c r="Y24">
        <f>X24-50</f>
        <v>160</v>
      </c>
    </row>
    <row r="25" spans="1:25" x14ac:dyDescent="0.4">
      <c r="X25">
        <v>297</v>
      </c>
      <c r="Y25">
        <f>X25-50</f>
        <v>247</v>
      </c>
    </row>
    <row r="28" spans="1:25" x14ac:dyDescent="0.4">
      <c r="B28" t="s">
        <v>3</v>
      </c>
    </row>
    <row r="29" spans="1:25" x14ac:dyDescent="0.4">
      <c r="C29">
        <v>10</v>
      </c>
      <c r="I29" t="s">
        <v>4</v>
      </c>
    </row>
    <row r="30" spans="1:25" x14ac:dyDescent="0.4">
      <c r="C30">
        <v>20</v>
      </c>
      <c r="I30" t="s">
        <v>5</v>
      </c>
    </row>
    <row r="31" spans="1:25" x14ac:dyDescent="0.4">
      <c r="C31">
        <v>25</v>
      </c>
      <c r="I31" t="s">
        <v>6</v>
      </c>
    </row>
    <row r="32" spans="1:25" x14ac:dyDescent="0.4">
      <c r="C32">
        <v>15</v>
      </c>
      <c r="I32" t="s">
        <v>7</v>
      </c>
    </row>
  </sheetData>
  <mergeCells count="1">
    <mergeCell ref="G2:T8"/>
  </mergeCells>
  <conditionalFormatting sqref="G2 U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{F3CB65F5-E9F3-4330-B564-CC4153825D1F}</x14:id>
        </ext>
      </extLst>
    </cfRule>
  </conditionalFormatting>
  <conditionalFormatting sqref="A1:A1048576">
    <cfRule type="cellIs" dxfId="0" priority="1" operator="equal">
      <formula>TODAY()</formula>
    </cfRule>
  </conditionalFormatting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CB65F5-E9F3-4330-B564-CC4153825D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 U2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9D2CF-378C-4956-AAFD-AC298C0A88CB}">
  <dimension ref="A1:P28"/>
  <sheetViews>
    <sheetView topLeftCell="A8" workbookViewId="0">
      <selection activeCell="M27" sqref="M27"/>
    </sheetView>
  </sheetViews>
  <sheetFormatPr defaultRowHeight="14.6" x14ac:dyDescent="0.4"/>
  <sheetData>
    <row r="1" spans="1:16" x14ac:dyDescent="0.4">
      <c r="A1" t="str">
        <f ca="1">VLOOKUP($A1,[1]Data!$A$2:$D$66,3,FALSE)</f>
        <v>Osram Opto CHIPLED 0603 470 nm Blue LED, 1608 (0603) SMD package</v>
      </c>
      <c r="M1" t="s">
        <v>9</v>
      </c>
      <c r="N1" t="s">
        <v>10</v>
      </c>
      <c r="O1">
        <v>6</v>
      </c>
      <c r="P1">
        <v>24</v>
      </c>
    </row>
    <row r="2" spans="1:16" x14ac:dyDescent="0.4">
      <c r="A2" t="str">
        <f ca="1">VLOOKUP($A2,[1]Data!$A$2:$D$66,3,FALSE)</f>
        <v>Vishay CRCW Series Thick Film Surface Mount Fixed Resistor 0805 Case 10kΩ ±1% 0.125W ±100ppm/°C</v>
      </c>
      <c r="L2" t="s">
        <v>8</v>
      </c>
      <c r="M2">
        <v>5</v>
      </c>
      <c r="N2">
        <v>0</v>
      </c>
      <c r="O2">
        <f>M2*6</f>
        <v>30</v>
      </c>
      <c r="P2">
        <f>N2*4*6</f>
        <v>0</v>
      </c>
    </row>
    <row r="3" spans="1:16" x14ac:dyDescent="0.4">
      <c r="A3" t="str">
        <f ca="1">VLOOKUP($A3,[1]Data!$A$2:$D$66,3,FALSE)</f>
        <v>Vishay CRCW Series Thick Film Surface Mount Fixed Resistor 0805 Case 220Ω ±1% 0.125W ±100ppm/°C</v>
      </c>
      <c r="L3" t="s">
        <v>11</v>
      </c>
      <c r="M3">
        <v>17</v>
      </c>
      <c r="O3">
        <f t="shared" ref="O3:O13" si="0">M3*6</f>
        <v>102</v>
      </c>
      <c r="P3">
        <f>N3*4*6</f>
        <v>0</v>
      </c>
    </row>
    <row r="4" spans="1:16" x14ac:dyDescent="0.4">
      <c r="A4" t="str">
        <f ca="1">VLOOKUP($A4,[1]Data!$A$2:$D$66,3,FALSE)</f>
        <v xml:space="preserve">Vishay CRCW Series Thick Film Surface Mount Fixed Resistor 0805 Case 1kΩ ±1% 0.125W ±100ppm/°C </v>
      </c>
      <c r="L4" t="s">
        <v>12</v>
      </c>
      <c r="N4">
        <v>1</v>
      </c>
      <c r="O4">
        <f t="shared" si="0"/>
        <v>0</v>
      </c>
      <c r="P4">
        <f t="shared" ref="P4:P13" si="1">N4*4*6</f>
        <v>24</v>
      </c>
    </row>
    <row r="5" spans="1:16" x14ac:dyDescent="0.4">
      <c r="A5" t="str">
        <f ca="1">VLOOKUP($A5,[1]Data!$A$2:$D$66,3,FALSE)</f>
        <v>STM32 Nucleo-32 development board</v>
      </c>
      <c r="L5" t="s">
        <v>21</v>
      </c>
      <c r="N5">
        <v>1</v>
      </c>
      <c r="O5">
        <f t="shared" si="0"/>
        <v>0</v>
      </c>
      <c r="P5">
        <f t="shared" si="1"/>
        <v>24</v>
      </c>
    </row>
    <row r="6" spans="1:16" x14ac:dyDescent="0.4">
      <c r="A6" t="str">
        <f ca="1">VLOOKUP($A6,[1]Data!$A$2:$D$66,3,FALSE)</f>
        <v xml:space="preserve">Vishay TCRT5000L, Through Hole Reflective Sensor, Transistor Output 2, Leaded package </v>
      </c>
      <c r="L6" t="s">
        <v>13</v>
      </c>
      <c r="M6">
        <v>7</v>
      </c>
      <c r="N6">
        <v>1</v>
      </c>
      <c r="O6">
        <f t="shared" si="0"/>
        <v>42</v>
      </c>
      <c r="P6">
        <f t="shared" si="1"/>
        <v>24</v>
      </c>
    </row>
    <row r="7" spans="1:16" x14ac:dyDescent="0.4">
      <c r="A7" t="str">
        <f ca="1">VLOOKUP($A7,[1]Data!$A$2:$D$66,3,FALSE)</f>
        <v>RS USB2.0 Cable, A-MicroB, M/M, 1.8m</v>
      </c>
      <c r="L7" t="s">
        <v>14</v>
      </c>
      <c r="M7">
        <v>4</v>
      </c>
      <c r="N7">
        <v>1</v>
      </c>
      <c r="O7">
        <f t="shared" si="0"/>
        <v>24</v>
      </c>
      <c r="P7">
        <f t="shared" si="1"/>
        <v>24</v>
      </c>
    </row>
    <row r="8" spans="1:16" x14ac:dyDescent="0.4">
      <c r="A8" t="str">
        <f ca="1">VLOOKUP($A8,[1]Data!$A$2:$D$66,3,FALSE)</f>
        <v>RJ45 YELLOW PATCH LEADS UTP</v>
      </c>
      <c r="L8" t="s">
        <v>15</v>
      </c>
      <c r="M8">
        <v>2</v>
      </c>
      <c r="O8">
        <f>M8*4</f>
        <v>8</v>
      </c>
      <c r="P8">
        <f t="shared" si="1"/>
        <v>0</v>
      </c>
    </row>
    <row r="9" spans="1:16" x14ac:dyDescent="0.4">
      <c r="A9" t="str">
        <f ca="1">VLOOKUP($A9,[1]Data!$A$2:$D$66,3,FALSE)</f>
        <v xml:space="preserve">Stelvio Kontek MODUCOM Series 2.54mm Pitch 45 Way 1 Row Straight PCB Socket, Through Hole, Solder Termination </v>
      </c>
      <c r="L9" t="s">
        <v>16</v>
      </c>
      <c r="M9">
        <v>2</v>
      </c>
      <c r="O9">
        <f t="shared" ref="O9:O10" si="2">M9*4</f>
        <v>8</v>
      </c>
      <c r="P9">
        <f t="shared" si="1"/>
        <v>0</v>
      </c>
    </row>
    <row r="10" spans="1:16" x14ac:dyDescent="0.4">
      <c r="A10" t="str">
        <f ca="1">VLOOKUP($A10,[1]Data!$A$2:$D$66,3,FALSE)</f>
        <v>HARWIN M20, 2.54mm Pitch, 36 Way, 1 Row, Straight Pin Header, Through Hole</v>
      </c>
      <c r="L10" t="s">
        <v>17</v>
      </c>
      <c r="M10">
        <v>8</v>
      </c>
      <c r="O10">
        <f t="shared" si="2"/>
        <v>32</v>
      </c>
      <c r="P10">
        <f t="shared" si="1"/>
        <v>0</v>
      </c>
    </row>
    <row r="11" spans="1:16" x14ac:dyDescent="0.4">
      <c r="A11" t="str">
        <f ca="1">VLOOKUP($A11,[1]Data!$A$2:$D$66,3,FALSE)</f>
        <v xml:space="preserve">RS Pro Cat5 8 Way Right Angle PCB Mount Unshielded RJ45 Connector Female </v>
      </c>
      <c r="L11" t="s">
        <v>18</v>
      </c>
      <c r="N11">
        <v>1</v>
      </c>
      <c r="O11">
        <f t="shared" si="0"/>
        <v>0</v>
      </c>
      <c r="P11">
        <f t="shared" si="1"/>
        <v>24</v>
      </c>
    </row>
    <row r="12" spans="1:16" x14ac:dyDescent="0.4">
      <c r="A12" t="str">
        <f ca="1">VLOOKUP($A12,[1]Data!$A$2:$D$66,3,FALSE)</f>
        <v xml:space="preserve">Molex KK 254 6410, 2.54mm Pitch, 3 Way, 1 Row, Straight PCB Header, Through Hole </v>
      </c>
      <c r="L12" t="s">
        <v>19</v>
      </c>
      <c r="O12">
        <v>5</v>
      </c>
      <c r="P12">
        <f t="shared" si="1"/>
        <v>0</v>
      </c>
    </row>
    <row r="13" spans="1:16" x14ac:dyDescent="0.4">
      <c r="A13" t="str">
        <f ca="1">VLOOKUP($A13,[1]Data!$A$2:$D$66,3,FALSE)</f>
        <v xml:space="preserve">Molex KK 254 6410, 2.54mm Pitch, 12 Way, 1 Row, Straight PCB Header, Through Hole </v>
      </c>
      <c r="L13" t="s">
        <v>20</v>
      </c>
      <c r="M13">
        <v>2</v>
      </c>
      <c r="O13">
        <f t="shared" si="0"/>
        <v>12</v>
      </c>
      <c r="P13">
        <f t="shared" si="1"/>
        <v>0</v>
      </c>
    </row>
    <row r="14" spans="1:16" x14ac:dyDescent="0.4">
      <c r="A14" t="str">
        <f ca="1">VLOOKUP($A14,[1]Data!$A$2:$D$66,3,FALSE)</f>
        <v xml:space="preserve">Molex KK 254 2695, 2.54mm Pitch, 3 Way, 1 Row Female Connector Housing </v>
      </c>
      <c r="L14" t="s">
        <v>22</v>
      </c>
      <c r="M14">
        <f>M7*3+M8*12</f>
        <v>36</v>
      </c>
      <c r="N14">
        <f>N7*3+N8*12</f>
        <v>3</v>
      </c>
      <c r="O14">
        <f t="shared" ref="O14" si="3">M14*6</f>
        <v>216</v>
      </c>
      <c r="P14">
        <f t="shared" ref="P14" si="4">N14*4*6</f>
        <v>72</v>
      </c>
    </row>
    <row r="15" spans="1:16" x14ac:dyDescent="0.4">
      <c r="A15" t="str">
        <f ca="1">VLOOKUP($A15,[1]Data!$A$2:$D$66,3,FALSE)</f>
        <v xml:space="preserve">Molex KK 254 2695, 2.54mm Pitch, 12 Way, 1 Row Female Connector Housing </v>
      </c>
      <c r="L15" t="s">
        <v>23</v>
      </c>
      <c r="M15">
        <v>2</v>
      </c>
      <c r="O15">
        <f t="shared" ref="O15:O18" si="5">M15*6</f>
        <v>12</v>
      </c>
      <c r="P15">
        <f t="shared" ref="P15:P18" si="6">N15*4*6</f>
        <v>0</v>
      </c>
    </row>
    <row r="16" spans="1:16" x14ac:dyDescent="0.4">
      <c r="A16" t="str">
        <f ca="1">VLOOKUP($A16,[1]Data!$A$2:$D$66,3,FALSE)</f>
        <v xml:space="preserve">Molex KK 4809 Crimp Terminal Contact, Female, 0.05mm² to 0.35mm², 30AWG to 22AWG, Tin Plating </v>
      </c>
      <c r="L16" t="s">
        <v>24</v>
      </c>
      <c r="M16">
        <v>2</v>
      </c>
      <c r="O16">
        <f t="shared" si="5"/>
        <v>12</v>
      </c>
      <c r="P16">
        <f t="shared" si="6"/>
        <v>0</v>
      </c>
    </row>
    <row r="17" spans="12:16" x14ac:dyDescent="0.4">
      <c r="L17" t="s">
        <v>25</v>
      </c>
      <c r="M17">
        <v>1</v>
      </c>
      <c r="O17">
        <f t="shared" si="5"/>
        <v>6</v>
      </c>
      <c r="P17">
        <f t="shared" si="6"/>
        <v>0</v>
      </c>
    </row>
    <row r="18" spans="12:16" x14ac:dyDescent="0.4">
      <c r="L18" t="s">
        <v>26</v>
      </c>
      <c r="M18">
        <f>30/45</f>
        <v>0.66666666666666663</v>
      </c>
      <c r="O18">
        <f t="shared" si="5"/>
        <v>4</v>
      </c>
      <c r="P18">
        <f t="shared" si="6"/>
        <v>0</v>
      </c>
    </row>
    <row r="19" spans="12:16" x14ac:dyDescent="0.4">
      <c r="L19" t="s">
        <v>27</v>
      </c>
      <c r="M19">
        <v>1</v>
      </c>
      <c r="O19">
        <f t="shared" ref="O19:O22" si="7">M19*6</f>
        <v>6</v>
      </c>
      <c r="P19">
        <f t="shared" ref="P19:P21" si="8">N19*4*6</f>
        <v>0</v>
      </c>
    </row>
    <row r="20" spans="12:16" x14ac:dyDescent="0.4">
      <c r="L20" t="s">
        <v>28</v>
      </c>
      <c r="M20">
        <v>2</v>
      </c>
      <c r="O20">
        <f t="shared" si="7"/>
        <v>12</v>
      </c>
      <c r="P20">
        <f t="shared" si="8"/>
        <v>0</v>
      </c>
    </row>
    <row r="21" spans="12:16" x14ac:dyDescent="0.4">
      <c r="L21" t="s">
        <v>29</v>
      </c>
      <c r="M21">
        <v>24</v>
      </c>
      <c r="N21">
        <v>3</v>
      </c>
      <c r="O21">
        <f t="shared" si="7"/>
        <v>144</v>
      </c>
      <c r="P21">
        <f t="shared" si="8"/>
        <v>72</v>
      </c>
    </row>
    <row r="22" spans="12:16" x14ac:dyDescent="0.4">
      <c r="L22" t="s">
        <v>30</v>
      </c>
      <c r="M22">
        <v>6</v>
      </c>
      <c r="O22">
        <f t="shared" si="7"/>
        <v>36</v>
      </c>
    </row>
    <row r="23" spans="12:16" x14ac:dyDescent="0.4">
      <c r="L23" t="s">
        <v>31</v>
      </c>
      <c r="M23">
        <v>8</v>
      </c>
      <c r="O23">
        <f>M23*4</f>
        <v>32</v>
      </c>
    </row>
    <row r="24" spans="12:16" x14ac:dyDescent="0.4">
      <c r="L24" t="s">
        <v>32</v>
      </c>
      <c r="O24">
        <f>O23*2+O17*2+1</f>
        <v>77</v>
      </c>
    </row>
    <row r="25" spans="12:16" x14ac:dyDescent="0.4">
      <c r="L25" t="s">
        <v>34</v>
      </c>
      <c r="O25">
        <f t="shared" ref="O25" si="9">M25*6</f>
        <v>0</v>
      </c>
    </row>
    <row r="26" spans="12:16" x14ac:dyDescent="0.4">
      <c r="L26" t="s">
        <v>35</v>
      </c>
      <c r="O26">
        <f>O17*4</f>
        <v>24</v>
      </c>
    </row>
    <row r="27" spans="12:16" x14ac:dyDescent="0.4">
      <c r="L27" t="s">
        <v>33</v>
      </c>
      <c r="O27">
        <f>SUM(O24:O26)</f>
        <v>101</v>
      </c>
    </row>
    <row r="28" spans="12:16" x14ac:dyDescent="0.4">
      <c r="L28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Williams</dc:creator>
  <cp:lastModifiedBy>Samuel Williams</cp:lastModifiedBy>
  <dcterms:created xsi:type="dcterms:W3CDTF">2018-05-24T07:56:03Z</dcterms:created>
  <dcterms:modified xsi:type="dcterms:W3CDTF">2018-06-05T23:21:29Z</dcterms:modified>
</cp:coreProperties>
</file>